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png" ContentType="image/png"/>
  <Default Extension="emf" ContentType="image/x-emf"/>
  <Default Extension="rels" ContentType="application/vnd.openxmlformats-package.relationships+xml"/>
  <Default Extension="xml" ContentType="application/xml"/>
  <Default Extension="vml" ContentType="application/vnd.openxmlformats-officedocument.vmlDrawing"/>
  <Default Extension="jpg" ContentType="image/jpeg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trlProps/ctrlProp1.xml" ContentType="application/vnd.ms-excel.controlproperties+xml"/>
  <Override PartName="/xl/ctrlProps/ctrlProp2.xml" ContentType="application/vnd.ms-excel.controlproperties+xml"/>
  <Override PartName="/xl/ctrlProps/ctrlProp3.xml" ContentType="application/vnd.ms-excel.controlproperties+xml"/>
  <Override PartName="/xl/ctrlProps/ctrlProp4.xml" ContentType="application/vnd.ms-excel.controlproperties+xml"/>
  <Override PartName="/xl/ctrlProps/ctrlProp5.xml" ContentType="application/vnd.ms-excel.controlproperties+xml"/>
  <Override PartName="/xl/ctrlProps/ctrlProp6.xml" ContentType="application/vnd.ms-excel.controlproperties+xml"/>
  <Override PartName="/xl/comments1.xml" ContentType="application/vnd.openxmlformats-officedocument.spreadsheetml.comments+xml"/>
  <Override PartName="/xl/charts/chart1.xml" ContentType="application/vnd.openxmlformats-officedocument.drawingml.chart+xml"/>
  <Override PartName="/xl/tables/table1.xml" ContentType="application/vnd.openxmlformats-officedocument.spreadsheetml.table+xml"/>
  <Override PartName="/xl/drawings/drawing3.xml" ContentType="application/vnd.openxmlformats-officedocument.drawing+xml"/>
  <Override PartName="/xl/tables/table2.xml" ContentType="application/vnd.openxmlformats-officedocument.spreadsheetml.table+xml"/>
  <Override PartName="/xl/drawings/drawing4.xml" ContentType="application/vnd.openxmlformats-officedocument.drawing+xml"/>
  <Override PartName="/xl/tables/table3.xml" ContentType="application/vnd.openxmlformats-officedocument.spreadsheetml.table+xml"/>
  <Override PartName="/xl/tables/table4.xml" ContentType="application/vnd.openxmlformats-officedocument.spreadsheetml.table+xml"/>
  <Override PartName="/xl/drawings/drawing5.xml" ContentType="application/vnd.openxmlformats-officedocument.drawing+xml"/>
  <Override PartName="/xl/tables/table5.xml" ContentType="application/vnd.openxmlformats-officedocument.spreadsheetml.table+xml"/>
  <Override PartName="/xl/tables/table6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7" lowestEdited="7" rupBuild="17127"/>
  <workbookPr defaultThemeVersion="164011"/>
  <mc:AlternateContent xmlns:mc="http://schemas.openxmlformats.org/markup-compatibility/2006">
    <mc:Choice Requires="x15">
      <x15ac:absPath xmlns:x15ac="http://schemas.microsoft.com/office/spreadsheetml/2010/11/ac" url="\\INDZARAPC\Users\dinesh\Desktop\INDZARA\Solutions\DataVis\Olympics_Dashboard\Live\"/>
    </mc:Choice>
  </mc:AlternateContent>
  <bookViews>
    <workbookView xWindow="0" yWindow="0" windowWidth="28800" windowHeight="12210" tabRatio="626"/>
  </bookViews>
  <sheets>
    <sheet name="WELCOME" sheetId="12" r:id="rId1"/>
    <sheet name="2016_RIO_OLYMPICS_DASHBOARD" sheetId="8" r:id="rId2"/>
    <sheet name="CALC_COUNTRIES" sheetId="10" state="hidden" r:id="rId3"/>
    <sheet name="INPUT_COUNTRIES" sheetId="2" state="hidden" r:id="rId4"/>
    <sheet name="INPUT_SPORTS" sheetId="17" state="hidden" r:id="rId5"/>
    <sheet name="ATHLETES" sheetId="15" state="hidden" r:id="rId6"/>
    <sheet name="H" sheetId="11" state="hidden" r:id="rId7"/>
    <sheet name="2016_Events_Results" sheetId="5" state="hidden" r:id="rId8"/>
    <sheet name="2016_Athletes_Medals" sheetId="13" state="hidden" r:id="rId9"/>
  </sheets>
  <definedNames>
    <definedName name="AFG">INPUT_COUNTRIES!$C$2</definedName>
    <definedName name="AHO">INPUT_COUNTRIES!$C$137</definedName>
    <definedName name="ALB">INPUT_COUNTRIES!$C$3</definedName>
    <definedName name="ALG">INPUT_COUNTRIES!$C$4</definedName>
    <definedName name="AND">INPUT_COUNTRIES!$C$6</definedName>
    <definedName name="ANG">INPUT_COUNTRIES!$C$7</definedName>
    <definedName name="ANT">INPUT_COUNTRIES!$C$8</definedName>
    <definedName name="ARC">INPUT_SPORTS!$D$4</definedName>
    <definedName name="ARG">INPUT_COUNTRIES!$C$9</definedName>
    <definedName name="ARM">INPUT_COUNTRIES!$C$10</definedName>
    <definedName name="ART">INPUT_SPORTS!$D$5</definedName>
    <definedName name="ARU">INPUT_COUNTRIES!$C$11</definedName>
    <definedName name="ASA">INPUT_COUNTRIES!$C$5</definedName>
    <definedName name="ATH">INPUT_SPORTS!$D$6</definedName>
    <definedName name="AUS">INPUT_COUNTRIES!$C$12</definedName>
    <definedName name="AUT">INPUT_COUNTRIES!$C$13</definedName>
    <definedName name="AZE">INPUT_COUNTRIES!$C$14</definedName>
    <definedName name="BAD">INPUT_SPORTS!$D$7</definedName>
    <definedName name="BAH">INPUT_COUNTRIES!$C$15</definedName>
    <definedName name="BAN">INPUT_COUNTRIES!$C$17</definedName>
    <definedName name="BAR">INPUT_COUNTRIES!$C$18</definedName>
    <definedName name="BAS">INPUT_SPORTS!$D$8</definedName>
    <definedName name="BDI">INPUT_COUNTRIES!$C$32</definedName>
    <definedName name="BEA">INPUT_SPORTS!$D$9</definedName>
    <definedName name="BEL">INPUT_COUNTRIES!$C$20</definedName>
    <definedName name="BEN">INPUT_COUNTRIES!$C$22</definedName>
    <definedName name="BER">INPUT_COUNTRIES!$C$23</definedName>
    <definedName name="BHU">INPUT_COUNTRIES!$C$24</definedName>
    <definedName name="BIH">INPUT_COUNTRIES!$C$26</definedName>
    <definedName name="BIZ">INPUT_COUNTRIES!$C$21</definedName>
    <definedName name="BLNK">H!$P$2</definedName>
    <definedName name="BLNKW">H!$S$2</definedName>
    <definedName name="BLR">INPUT_COUNTRIES!$C$19</definedName>
    <definedName name="BOL">INPUT_COUNTRIES!$C$25</definedName>
    <definedName name="BOT">INPUT_COUNTRIES!$C$27</definedName>
    <definedName name="BOX">INPUT_SPORTS!$D$10</definedName>
    <definedName name="BRA">INPUT_COUNTRIES!$C$28</definedName>
    <definedName name="BRN">INPUT_COUNTRIES!$C$16</definedName>
    <definedName name="BRU">INPUT_COUNTRIES!$C$29</definedName>
    <definedName name="BUL">INPUT_COUNTRIES!$C$30</definedName>
    <definedName name="BUR">INPUT_COUNTRIES!$C$31</definedName>
    <definedName name="C_EVENTNAME_ROW">H!$F$4</definedName>
    <definedName name="CAF">INPUT_COUNTRIES!$C$38</definedName>
    <definedName name="CAM">INPUT_COUNTRIES!$C$33</definedName>
    <definedName name="CAN">INPUT_COUNTRIES!$C$35</definedName>
    <definedName name="CAY">INPUT_COUNTRIES!$C$37</definedName>
    <definedName name="CBM">INPUT_SPORTS!$D$13</definedName>
    <definedName name="CGO">INPUT_COUNTRIES!$C$45</definedName>
    <definedName name="CHA">INPUT_COUNTRIES!$C$39</definedName>
    <definedName name="CHI">INPUT_COUNTRIES!$C$40</definedName>
    <definedName name="CHN">INPUT_COUNTRIES!$C$41</definedName>
    <definedName name="CIV">INPUT_COUNTRIES!$C$48</definedName>
    <definedName name="CMB">INPUT_SPORTS!$D$14</definedName>
    <definedName name="CMR">INPUT_COUNTRIES!$C$34</definedName>
    <definedName name="COD">INPUT_COUNTRIES!$C$58</definedName>
    <definedName name="COK">INPUT_COUNTRIES!$C$46</definedName>
    <definedName name="COL">INPUT_COUNTRIES!$C$43</definedName>
    <definedName name="COM">INPUT_COUNTRIES!$C$44</definedName>
    <definedName name="CPV">INPUT_COUNTRIES!$C$36</definedName>
    <definedName name="CRC">INPUT_COUNTRIES!$C$47</definedName>
    <definedName name="CRD">INPUT_SPORTS!$D$15</definedName>
    <definedName name="CRO">INPUT_COUNTRIES!$C$49</definedName>
    <definedName name="CSL">INPUT_SPORTS!$D$11</definedName>
    <definedName name="CSP">INPUT_SPORTS!$D$12</definedName>
    <definedName name="CTR">INPUT_SPORTS!$D$16</definedName>
    <definedName name="CUB">INPUT_COUNTRIES!$C$50</definedName>
    <definedName name="CYP">INPUT_COUNTRIES!$C$51</definedName>
    <definedName name="CZE">INPUT_COUNTRIES!$C$52</definedName>
    <definedName name="DEN">INPUT_COUNTRIES!$C$53</definedName>
    <definedName name="DIV">INPUT_SPORTS!$D$17</definedName>
    <definedName name="DJI">INPUT_COUNTRIES!$C$54</definedName>
    <definedName name="DMA">INPUT_COUNTRIES!$C$55</definedName>
    <definedName name="DOM">INPUT_COUNTRIES!$C$56</definedName>
    <definedName name="ECU">INPUT_COUNTRIES!$C$60</definedName>
    <definedName name="EGY">INPUT_COUNTRIES!$C$61</definedName>
    <definedName name="EQU">INPUT_SPORTS!$D$18</definedName>
    <definedName name="ERI">INPUT_COUNTRIES!$C$64</definedName>
    <definedName name="ESA">INPUT_COUNTRIES!$C$62</definedName>
    <definedName name="ESP">INPUT_COUNTRIES!$C$179</definedName>
    <definedName name="EST">INPUT_COUNTRIES!$C$65</definedName>
    <definedName name="ETH">INPUT_COUNTRIES!$C$66</definedName>
    <definedName name="FEN">INPUT_SPORTS!$D$19</definedName>
    <definedName name="FIJ">INPUT_COUNTRIES!$C$67</definedName>
    <definedName name="FIN">INPUT_COUNTRIES!$C$68</definedName>
    <definedName name="FOO">INPUT_SPORTS!$D$20</definedName>
    <definedName name="FRA">INPUT_COUNTRIES!$C$69</definedName>
    <definedName name="FSM">INPUT_COUNTRIES!$C$125</definedName>
    <definedName name="GAB">INPUT_COUNTRIES!$C$70</definedName>
    <definedName name="GAM">INPUT_COUNTRIES!$C$71</definedName>
    <definedName name="GBR">INPUT_COUNTRIES!$C$75</definedName>
    <definedName name="GBS">INPUT_COUNTRIES!$C$81</definedName>
    <definedName name="GEO">INPUT_COUNTRIES!$C$72</definedName>
    <definedName name="GEQ">INPUT_COUNTRIES!$C$63</definedName>
    <definedName name="GER">INPUT_COUNTRIES!$C$73</definedName>
    <definedName name="GHA">INPUT_COUNTRIES!$C$74</definedName>
    <definedName name="GOL">INPUT_SPORTS!$D$21</definedName>
    <definedName name="GRE">INPUT_COUNTRIES!$C$76</definedName>
    <definedName name="GRN">INPUT_COUNTRIES!$C$77</definedName>
    <definedName name="GUA">INPUT_COUNTRIES!$C$79</definedName>
    <definedName name="GUI">INPUT_COUNTRIES!$C$80</definedName>
    <definedName name="GUM">INPUT_COUNTRIES!$C$78</definedName>
    <definedName name="GUY">INPUT_COUNTRIES!$C$82</definedName>
    <definedName name="HAI">INPUT_COUNTRIES!$C$83</definedName>
    <definedName name="HAN">INPUT_SPORTS!$D$22</definedName>
    <definedName name="HKG">INPUT_COUNTRIES!$C$85</definedName>
    <definedName name="HOC">INPUT_SPORTS!$D$23</definedName>
    <definedName name="HON">INPUT_COUNTRIES!$C$84</definedName>
    <definedName name="HUN">INPUT_COUNTRIES!$C$86</definedName>
    <definedName name="I_CV_CNTRY">H!$F$6</definedName>
    <definedName name="I_CV_COUNTRY">'2016_RIO_OLYMPICS_DASHBOARD'!$M$3</definedName>
    <definedName name="I_RANK_METHOD">'2016_RIO_OLYMPICS_DASHBOARD'!$S$7</definedName>
    <definedName name="I_SV_EVENTNAME">'2016_RIO_OLYMPICS_DASHBOARD'!$O$23</definedName>
    <definedName name="I_SV_SPORT">'2016_RIO_OLYMPICS_DASHBOARD'!$Q$3</definedName>
    <definedName name="I_SV_SPORT_LOGO">H!$F$7</definedName>
    <definedName name="I_VIEW">H!$J$2</definedName>
    <definedName name="IC_ATH_1">INDIRECT(H!$S$14)</definedName>
    <definedName name="IC_ATH_2">INDIRECT(H!$S$15)</definedName>
    <definedName name="IC_ATH_3">INDIRECT(H!$S$16)</definedName>
    <definedName name="IC_ATH_4">INDIRECT(H!$S$17)</definedName>
    <definedName name="IC_ATH_5">INDIRECT(H!$S$18)</definedName>
    <definedName name="IC_CV_CNTRY">INDIRECT(H!$F$6)</definedName>
    <definedName name="IC_OLY_LOGO">INDIRECT(H!$F$8)</definedName>
    <definedName name="IC_POD_B1">INDIRECT(H!$J$27)</definedName>
    <definedName name="IC_POD_B2">INDIRECT(H!$M$27)</definedName>
    <definedName name="IC_POD_G1">INDIRECT(H!$J$25)</definedName>
    <definedName name="IC_POD_G2">INDIRECT(H!$M$25)</definedName>
    <definedName name="IC_POD_S1">INDIRECT(H!$J$26)</definedName>
    <definedName name="IC_POD_S2">INDIRECT(H!$M$26)</definedName>
    <definedName name="IC_POD_S3">INDIRECT(H!$P$26)</definedName>
    <definedName name="IC_SV">INDIRECT(H!$F$7)</definedName>
    <definedName name="IC_SV_C1">INDIRECT(H!$M$14)</definedName>
    <definedName name="IC_SV_C2">INDIRECT(H!$M$15)</definedName>
    <definedName name="IC_SV_C3">INDIRECT(H!$M$16)</definedName>
    <definedName name="IC_SV_C4">INDIRECT(H!$M$17)</definedName>
    <definedName name="IC_SV_C5">INDIRECT(H!$M$18)</definedName>
    <definedName name="INA">INPUT_COUNTRIES!$C$89</definedName>
    <definedName name="IND">INPUT_COUNTRIES!$C$88</definedName>
    <definedName name="IOA">INPUT_COUNTRIES!$C$90</definedName>
    <definedName name="IRI">INPUT_COUNTRIES!$C$91</definedName>
    <definedName name="IRL">INPUT_COUNTRIES!$C$93</definedName>
    <definedName name="IRQ">INPUT_COUNTRIES!$C$92</definedName>
    <definedName name="ISL">INPUT_COUNTRIES!$C$87</definedName>
    <definedName name="ISR">INPUT_COUNTRIES!$C$94</definedName>
    <definedName name="ISV">INPUT_COUNTRIES!$C$208</definedName>
    <definedName name="ITA">INPUT_COUNTRIES!$C$95</definedName>
    <definedName name="IVB">INPUT_COUNTRIES!$C$207</definedName>
    <definedName name="JAM">INPUT_COUNTRIES!$C$96</definedName>
    <definedName name="JOR">INPUT_COUNTRIES!$C$98</definedName>
    <definedName name="JPN">INPUT_COUNTRIES!$C$97</definedName>
    <definedName name="JUD">INPUT_SPORTS!$D$24</definedName>
    <definedName name="KAZ">INPUT_COUNTRIES!$C$99</definedName>
    <definedName name="KEN">INPUT_COUNTRIES!$C$100</definedName>
    <definedName name="KGZ">INPUT_COUNTRIES!$C$104</definedName>
    <definedName name="KIR">INPUT_COUNTRIES!$C$101</definedName>
    <definedName name="KOR">INPUT_COUNTRIES!$C$157</definedName>
    <definedName name="KOS">INPUT_COUNTRIES!$C$102</definedName>
    <definedName name="KSA">INPUT_COUNTRIES!$C$167</definedName>
    <definedName name="KUW">INPUT_COUNTRIES!$C$103</definedName>
    <definedName name="L_COUNTRIES">T_COUNTRIES[Country]</definedName>
    <definedName name="L_SPORTS" localSheetId="8">T_SPORTS[SPORT]</definedName>
    <definedName name="L_SPORTS">T_SPORTS[SPORT]</definedName>
    <definedName name="L_SV_EVENTNAMES">OFFSET(H!$C$3,0,0,H!$F$2)</definedName>
    <definedName name="LAO">INPUT_COUNTRIES!$C$105</definedName>
    <definedName name="LAT">INPUT_COUNTRIES!$C$106</definedName>
    <definedName name="LBA">INPUT_COUNTRIES!$C$110</definedName>
    <definedName name="LBR">INPUT_COUNTRIES!$C$109</definedName>
    <definedName name="LCA">INPUT_COUNTRIES!$C$162</definedName>
    <definedName name="LES">INPUT_COUNTRIES!$C$108</definedName>
    <definedName name="LIB">INPUT_COUNTRIES!$C$107</definedName>
    <definedName name="LIE">INPUT_COUNTRIES!$C$111</definedName>
    <definedName name="LTU">INPUT_COUNTRIES!$C$112</definedName>
    <definedName name="LUX">INPUT_COUNTRIES!$C$113</definedName>
    <definedName name="MAD">INPUT_COUNTRIES!$C$115</definedName>
    <definedName name="MAR">INPUT_COUNTRIES!$C$130</definedName>
    <definedName name="MAS">INPUT_COUNTRIES!$C$117</definedName>
    <definedName name="MAW">INPUT_COUNTRIES!$C$116</definedName>
    <definedName name="MDA">INPUT_COUNTRIES!$C$126</definedName>
    <definedName name="MDV">INPUT_COUNTRIES!$C$118</definedName>
    <definedName name="MEX">INPUT_COUNTRIES!$C$124</definedName>
    <definedName name="MGL">INPUT_COUNTRIES!$C$128</definedName>
    <definedName name="MHL">INPUT_COUNTRIES!$C$121</definedName>
    <definedName name="MKD">INPUT_COUNTRIES!$C$114</definedName>
    <definedName name="MLI">INPUT_COUNTRIES!$C$119</definedName>
    <definedName name="MLT">INPUT_COUNTRIES!$C$120</definedName>
    <definedName name="MNE">INPUT_COUNTRIES!$C$129</definedName>
    <definedName name="MON">INPUT_COUNTRIES!$C$127</definedName>
    <definedName name="MOZ">INPUT_COUNTRIES!$C$131</definedName>
    <definedName name="MPE">INPUT_SPORTS!$D$26</definedName>
    <definedName name="MRI">INPUT_COUNTRIES!$C$123</definedName>
    <definedName name="MSW">INPUT_SPORTS!$D$25</definedName>
    <definedName name="MTN">INPUT_COUNTRIES!$C$122</definedName>
    <definedName name="MYA">INPUT_COUNTRIES!$C$132</definedName>
    <definedName name="NAM">INPUT_COUNTRIES!$C$133</definedName>
    <definedName name="NCA">INPUT_COUNTRIES!$C$139</definedName>
    <definedName name="NED">INPUT_COUNTRIES!$C$136</definedName>
    <definedName name="NEP">INPUT_COUNTRIES!$C$135</definedName>
    <definedName name="NGR">INPUT_COUNTRIES!$C$141</definedName>
    <definedName name="NIG">INPUT_COUNTRIES!$C$140</definedName>
    <definedName name="NOR">INPUT_COUNTRIES!$C$142</definedName>
    <definedName name="NRU">INPUT_COUNTRIES!$C$134</definedName>
    <definedName name="NZL">INPUT_COUNTRIES!$C$138</definedName>
    <definedName name="OLY_LOGO">H!$V$2</definedName>
    <definedName name="OMA">INPUT_COUNTRIES!$C$143</definedName>
    <definedName name="PAK">INPUT_COUNTRIES!$C$144</definedName>
    <definedName name="PAN">INPUT_COUNTRIES!$C$147</definedName>
    <definedName name="PAR">INPUT_COUNTRIES!$C$149</definedName>
    <definedName name="PER">INPUT_COUNTRIES!$C$150</definedName>
    <definedName name="PHI">INPUT_COUNTRIES!$C$151</definedName>
    <definedName name="PLE">INPUT_COUNTRIES!$C$146</definedName>
    <definedName name="PLW">INPUT_COUNTRIES!$C$145</definedName>
    <definedName name="PNG">INPUT_COUNTRIES!$C$148</definedName>
    <definedName name="POL">INPUT_COUNTRIES!$C$152</definedName>
    <definedName name="POR">INPUT_COUNTRIES!$C$153</definedName>
    <definedName name="_xlnm.Print_Area" localSheetId="1">'2016_RIO_OLYMPICS_DASHBOARD'!$A$1:$U$40</definedName>
    <definedName name="PRK">INPUT_COUNTRIES!$C$57</definedName>
    <definedName name="PUR">INPUT_COUNTRIES!$C$154</definedName>
    <definedName name="QAT">INPUT_COUNTRIES!$C$155</definedName>
    <definedName name="RHG">INPUT_SPORTS!$D$27</definedName>
    <definedName name="ROT">INPUT_COUNTRIES!$C$156</definedName>
    <definedName name="ROU">INPUT_COUNTRIES!$C$158</definedName>
    <definedName name="ROW">INPUT_SPORTS!$D$28</definedName>
    <definedName name="RSA">INPUT_COUNTRIES!$C$177</definedName>
    <definedName name="RUG">INPUT_SPORTS!$D$29</definedName>
    <definedName name="RUS">INPUT_COUNTRIES!$C$159</definedName>
    <definedName name="RWA">INPUT_COUNTRIES!$C$160</definedName>
    <definedName name="SAI">INPUT_SPORTS!$D$30</definedName>
    <definedName name="SAM">INPUT_COUNTRIES!$C$164</definedName>
    <definedName name="SEN">INPUT_COUNTRIES!$C$168</definedName>
    <definedName name="SEY">INPUT_COUNTRIES!$C$170</definedName>
    <definedName name="SHO">INPUT_SPORTS!$D$31</definedName>
    <definedName name="SIN">INPUT_COUNTRIES!$C$172</definedName>
    <definedName name="SKN">INPUT_COUNTRIES!$C$161</definedName>
    <definedName name="SLE">INPUT_COUNTRIES!$C$171</definedName>
    <definedName name="SLO">INPUT_COUNTRIES!$C$174</definedName>
    <definedName name="SMR">INPUT_COUNTRIES!$C$165</definedName>
    <definedName name="SOL">INPUT_COUNTRIES!$C$175</definedName>
    <definedName name="SOM">INPUT_COUNTRIES!$C$176</definedName>
    <definedName name="SRB">INPUT_COUNTRIES!$C$169</definedName>
    <definedName name="SRI">INPUT_COUNTRIES!$C$180</definedName>
    <definedName name="SSD">INPUT_COUNTRIES!$C$178</definedName>
    <definedName name="SSW">INPUT_SPORTS!$D$33</definedName>
    <definedName name="STP">INPUT_COUNTRIES!$C$166</definedName>
    <definedName name="SUD">INPUT_COUNTRIES!$C$181</definedName>
    <definedName name="SUI">INPUT_COUNTRIES!$C$185</definedName>
    <definedName name="SUR">INPUT_COUNTRIES!$C$182</definedName>
    <definedName name="SVK">INPUT_COUNTRIES!$C$173</definedName>
    <definedName name="SWE">INPUT_COUNTRIES!$C$184</definedName>
    <definedName name="SWI">INPUT_SPORTS!$D$32</definedName>
    <definedName name="SWZ">INPUT_COUNTRIES!$C$183</definedName>
    <definedName name="SYR">INPUT_COUNTRIES!$C$186</definedName>
    <definedName name="TAE">INPUT_SPORTS!$D$35</definedName>
    <definedName name="TAN">INPUT_COUNTRIES!$C$189</definedName>
    <definedName name="TBT">INPUT_SPORTS!$D$34</definedName>
    <definedName name="TEN">INPUT_SPORTS!$D$36</definedName>
    <definedName name="TGA">INPUT_COUNTRIES!$C$192</definedName>
    <definedName name="THA">INPUT_COUNTRIES!$C$190</definedName>
    <definedName name="TJK">INPUT_COUNTRIES!$C$188</definedName>
    <definedName name="TKM">INPUT_COUNTRIES!$C$196</definedName>
    <definedName name="TLS">INPUT_COUNTRIES!$C$59</definedName>
    <definedName name="TOG">INPUT_COUNTRIES!$C$191</definedName>
    <definedName name="TON">INPUT_SPORTS!$D$38</definedName>
    <definedName name="TPE">INPUT_COUNTRIES!$C$42</definedName>
    <definedName name="TRG">INPUT_SPORTS!$D$37</definedName>
    <definedName name="TTO">INPUT_COUNTRIES!$C$193</definedName>
    <definedName name="TUN">INPUT_COUNTRIES!$C$194</definedName>
    <definedName name="TUR">INPUT_COUNTRIES!$C$195</definedName>
    <definedName name="TUV">INPUT_COUNTRIES!$C$197</definedName>
    <definedName name="UAE">INPUT_COUNTRIES!$C$200</definedName>
    <definedName name="UGA">INPUT_COUNTRIES!$C$198</definedName>
    <definedName name="UKR">INPUT_COUNTRIES!$C$199</definedName>
    <definedName name="URU">INPUT_COUNTRIES!$C$202</definedName>
    <definedName name="USA">INPUT_COUNTRIES!$C$201</definedName>
    <definedName name="UZB">INPUT_COUNTRIES!$C$203</definedName>
    <definedName name="VAN">INPUT_COUNTRIES!$C$204</definedName>
    <definedName name="VEN">INPUT_COUNTRIES!$C$205</definedName>
    <definedName name="VIE">INPUT_COUNTRIES!$C$206</definedName>
    <definedName name="VIN">INPUT_COUNTRIES!$C$163</definedName>
    <definedName name="VOL">INPUT_SPORTS!$D$39</definedName>
    <definedName name="WEI">INPUT_SPORTS!$D$41</definedName>
    <definedName name="WPO">INPUT_SPORTS!$D$40</definedName>
    <definedName name="WRE">INPUT_SPORTS!$D$42</definedName>
    <definedName name="YEM">INPUT_COUNTRIES!$C$209</definedName>
    <definedName name="ZAM">INPUT_COUNTRIES!$C$210</definedName>
    <definedName name="ZIM">INPUT_COUNTRIES!$C$211</definedName>
  </definedNames>
  <calcPr calcId="171027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H4" i="17" l="1"/>
  <c r="H5" i="17"/>
  <c r="H6" i="17"/>
  <c r="H7" i="17"/>
  <c r="H8" i="17"/>
  <c r="H9" i="17"/>
  <c r="H10" i="17"/>
  <c r="H11" i="17"/>
  <c r="H12" i="17"/>
  <c r="H13" i="17"/>
  <c r="H14" i="17"/>
  <c r="H15" i="17"/>
  <c r="H16" i="17"/>
  <c r="H17" i="17"/>
  <c r="H18" i="17"/>
  <c r="H19" i="17"/>
  <c r="H20" i="17"/>
  <c r="H21" i="17"/>
  <c r="H22" i="17"/>
  <c r="H23" i="17"/>
  <c r="H24" i="17"/>
  <c r="H25" i="17"/>
  <c r="H26" i="17"/>
  <c r="H27" i="17"/>
  <c r="H28" i="17"/>
  <c r="H29" i="17"/>
  <c r="H30" i="17"/>
  <c r="H31" i="17"/>
  <c r="H32" i="17"/>
  <c r="H33" i="17"/>
  <c r="H34" i="17"/>
  <c r="H35" i="17"/>
  <c r="H36" i="17"/>
  <c r="H37" i="17"/>
  <c r="H38" i="17"/>
  <c r="H39" i="17"/>
  <c r="H40" i="17"/>
  <c r="H41" i="17"/>
  <c r="H42" i="17"/>
  <c r="G4" i="17"/>
  <c r="G5" i="17"/>
  <c r="G6" i="17"/>
  <c r="G7" i="17"/>
  <c r="G8" i="17"/>
  <c r="G9" i="17"/>
  <c r="G10" i="17"/>
  <c r="G11" i="17"/>
  <c r="G12" i="17"/>
  <c r="G13" i="17"/>
  <c r="G14" i="17"/>
  <c r="G15" i="17"/>
  <c r="G16" i="17"/>
  <c r="G17" i="17"/>
  <c r="G18" i="17"/>
  <c r="G19" i="17"/>
  <c r="G20" i="17"/>
  <c r="G21" i="17"/>
  <c r="G22" i="17"/>
  <c r="G23" i="17"/>
  <c r="G24" i="17"/>
  <c r="G25" i="17"/>
  <c r="G26" i="17"/>
  <c r="G27" i="17"/>
  <c r="G28" i="17"/>
  <c r="G29" i="17"/>
  <c r="G30" i="17"/>
  <c r="G31" i="17"/>
  <c r="G32" i="17"/>
  <c r="G33" i="17"/>
  <c r="G34" i="17"/>
  <c r="G35" i="17"/>
  <c r="G36" i="17"/>
  <c r="G37" i="17"/>
  <c r="G38" i="17"/>
  <c r="G39" i="17"/>
  <c r="G40" i="17"/>
  <c r="G41" i="17"/>
  <c r="G42" i="17"/>
  <c r="F4" i="17"/>
  <c r="F5" i="17"/>
  <c r="F6" i="17"/>
  <c r="F7" i="17"/>
  <c r="F8" i="17"/>
  <c r="F9" i="17"/>
  <c r="F10" i="17"/>
  <c r="F11" i="17"/>
  <c r="F12" i="17"/>
  <c r="F13" i="17"/>
  <c r="F14" i="17"/>
  <c r="F15" i="17"/>
  <c r="F16" i="17"/>
  <c r="F17" i="17"/>
  <c r="F18" i="17"/>
  <c r="F19" i="17"/>
  <c r="F20" i="17"/>
  <c r="F21" i="17"/>
  <c r="F22" i="17"/>
  <c r="F23" i="17"/>
  <c r="F24" i="17"/>
  <c r="F25" i="17"/>
  <c r="F26" i="17"/>
  <c r="F27" i="17"/>
  <c r="F28" i="17"/>
  <c r="F29" i="17"/>
  <c r="F30" i="17"/>
  <c r="F31" i="17"/>
  <c r="F32" i="17"/>
  <c r="F33" i="17"/>
  <c r="F34" i="17"/>
  <c r="F35" i="17"/>
  <c r="F36" i="17"/>
  <c r="F37" i="17"/>
  <c r="F38" i="17"/>
  <c r="F39" i="17"/>
  <c r="F40" i="17"/>
  <c r="F41" i="17"/>
  <c r="F42" i="17"/>
  <c r="E3" i="10" l="1"/>
  <c r="E4" i="10"/>
  <c r="E5" i="10"/>
  <c r="E6" i="10"/>
  <c r="E7" i="10"/>
  <c r="E8" i="10"/>
  <c r="E9" i="10"/>
  <c r="E10" i="10"/>
  <c r="E11" i="10"/>
  <c r="E12" i="10"/>
  <c r="E13" i="10"/>
  <c r="E14" i="10"/>
  <c r="E15" i="10"/>
  <c r="E16" i="10"/>
  <c r="E17" i="10"/>
  <c r="E18" i="10"/>
  <c r="E19" i="10"/>
  <c r="E20" i="10"/>
  <c r="E21" i="10"/>
  <c r="E22" i="10"/>
  <c r="E23" i="10"/>
  <c r="E24" i="10"/>
  <c r="E25" i="10"/>
  <c r="E26" i="10"/>
  <c r="E27" i="10"/>
  <c r="E28" i="10"/>
  <c r="E29" i="10"/>
  <c r="E30" i="10"/>
  <c r="E31" i="10"/>
  <c r="E32" i="10"/>
  <c r="E33" i="10"/>
  <c r="E34" i="10"/>
  <c r="E35" i="10"/>
  <c r="E36" i="10"/>
  <c r="E37" i="10"/>
  <c r="E38" i="10"/>
  <c r="E39" i="10"/>
  <c r="E40" i="10"/>
  <c r="E41" i="10"/>
  <c r="E42" i="10"/>
  <c r="E43" i="10"/>
  <c r="E44" i="10"/>
  <c r="E45" i="10"/>
  <c r="E46" i="10"/>
  <c r="E47" i="10"/>
  <c r="E48" i="10"/>
  <c r="E49" i="10"/>
  <c r="E50" i="10"/>
  <c r="E51" i="10"/>
  <c r="E52" i="10"/>
  <c r="E53" i="10"/>
  <c r="E54" i="10"/>
  <c r="E55" i="10"/>
  <c r="E56" i="10"/>
  <c r="E57" i="10"/>
  <c r="E58" i="10"/>
  <c r="E59" i="10"/>
  <c r="E60" i="10"/>
  <c r="E61" i="10"/>
  <c r="E62" i="10"/>
  <c r="E63" i="10"/>
  <c r="E64" i="10"/>
  <c r="E65" i="10"/>
  <c r="E66" i="10"/>
  <c r="E67" i="10"/>
  <c r="E68" i="10"/>
  <c r="E69" i="10"/>
  <c r="E70" i="10"/>
  <c r="E71" i="10"/>
  <c r="E72" i="10"/>
  <c r="E73" i="10"/>
  <c r="E74" i="10"/>
  <c r="E75" i="10"/>
  <c r="E76" i="10"/>
  <c r="E77" i="10"/>
  <c r="E78" i="10"/>
  <c r="E79" i="10"/>
  <c r="E80" i="10"/>
  <c r="E81" i="10"/>
  <c r="E82" i="10"/>
  <c r="E83" i="10"/>
  <c r="E84" i="10"/>
  <c r="E85" i="10"/>
  <c r="E86" i="10"/>
  <c r="E87" i="10"/>
  <c r="E88" i="10"/>
  <c r="E89" i="10"/>
  <c r="E90" i="10"/>
  <c r="E91" i="10"/>
  <c r="E92" i="10"/>
  <c r="E93" i="10"/>
  <c r="E94" i="10"/>
  <c r="E95" i="10"/>
  <c r="E96" i="10"/>
  <c r="E97" i="10"/>
  <c r="E98" i="10"/>
  <c r="E99" i="10"/>
  <c r="E100" i="10"/>
  <c r="E101" i="10"/>
  <c r="E102" i="10"/>
  <c r="E103" i="10"/>
  <c r="E104" i="10"/>
  <c r="E105" i="10"/>
  <c r="E106" i="10"/>
  <c r="E107" i="10"/>
  <c r="E108" i="10"/>
  <c r="E109" i="10"/>
  <c r="E110" i="10"/>
  <c r="E111" i="10"/>
  <c r="E112" i="10"/>
  <c r="E113" i="10"/>
  <c r="E114" i="10"/>
  <c r="E115" i="10"/>
  <c r="E116" i="10"/>
  <c r="E117" i="10"/>
  <c r="E118" i="10"/>
  <c r="E119" i="10"/>
  <c r="E120" i="10"/>
  <c r="E121" i="10"/>
  <c r="E122" i="10"/>
  <c r="E123" i="10"/>
  <c r="E124" i="10"/>
  <c r="E125" i="10"/>
  <c r="E126" i="10"/>
  <c r="E127" i="10"/>
  <c r="E128" i="10"/>
  <c r="E129" i="10"/>
  <c r="E130" i="10"/>
  <c r="E131" i="10"/>
  <c r="E132" i="10"/>
  <c r="E133" i="10"/>
  <c r="E134" i="10"/>
  <c r="E135" i="10"/>
  <c r="E136" i="10"/>
  <c r="E137" i="10"/>
  <c r="E138" i="10"/>
  <c r="E139" i="10"/>
  <c r="E140" i="10"/>
  <c r="E141" i="10"/>
  <c r="E142" i="10"/>
  <c r="E143" i="10"/>
  <c r="E144" i="10"/>
  <c r="E145" i="10"/>
  <c r="E146" i="10"/>
  <c r="E147" i="10"/>
  <c r="E148" i="10"/>
  <c r="E149" i="10"/>
  <c r="E150" i="10"/>
  <c r="E151" i="10"/>
  <c r="E152" i="10"/>
  <c r="E153" i="10"/>
  <c r="E154" i="10"/>
  <c r="E155" i="10"/>
  <c r="E156" i="10"/>
  <c r="E157" i="10"/>
  <c r="E158" i="10"/>
  <c r="E159" i="10"/>
  <c r="E160" i="10"/>
  <c r="E161" i="10"/>
  <c r="E162" i="10"/>
  <c r="E163" i="10"/>
  <c r="E164" i="10"/>
  <c r="E165" i="10"/>
  <c r="E166" i="10"/>
  <c r="E167" i="10"/>
  <c r="E168" i="10"/>
  <c r="E169" i="10"/>
  <c r="E170" i="10"/>
  <c r="E171" i="10"/>
  <c r="E172" i="10"/>
  <c r="E173" i="10"/>
  <c r="E174" i="10"/>
  <c r="E175" i="10"/>
  <c r="E176" i="10"/>
  <c r="E177" i="10"/>
  <c r="E178" i="10"/>
  <c r="E179" i="10"/>
  <c r="E180" i="10"/>
  <c r="E181" i="10"/>
  <c r="E182" i="10"/>
  <c r="E183" i="10"/>
  <c r="E184" i="10"/>
  <c r="E185" i="10"/>
  <c r="E186" i="10"/>
  <c r="E187" i="10"/>
  <c r="E188" i="10"/>
  <c r="E189" i="10"/>
  <c r="E190" i="10"/>
  <c r="E191" i="10"/>
  <c r="E192" i="10"/>
  <c r="E193" i="10"/>
  <c r="E194" i="10"/>
  <c r="E195" i="10"/>
  <c r="E196" i="10"/>
  <c r="E197" i="10"/>
  <c r="E198" i="10"/>
  <c r="E199" i="10"/>
  <c r="E200" i="10"/>
  <c r="E201" i="10"/>
  <c r="E202" i="10"/>
  <c r="E203" i="10"/>
  <c r="E204" i="10"/>
  <c r="E205" i="10"/>
  <c r="E206" i="10"/>
  <c r="E207" i="10"/>
  <c r="E208" i="10"/>
  <c r="E209" i="10"/>
  <c r="E210" i="10"/>
  <c r="E211" i="10"/>
  <c r="D3" i="10"/>
  <c r="D4" i="10"/>
  <c r="D5" i="10"/>
  <c r="D6" i="10"/>
  <c r="D7" i="10"/>
  <c r="D8" i="10"/>
  <c r="D9" i="10"/>
  <c r="D10" i="10"/>
  <c r="D11" i="10"/>
  <c r="D12" i="10"/>
  <c r="D13" i="10"/>
  <c r="D14" i="10"/>
  <c r="D15" i="10"/>
  <c r="D16" i="10"/>
  <c r="D17" i="10"/>
  <c r="D18" i="10"/>
  <c r="D19" i="10"/>
  <c r="D20" i="10"/>
  <c r="D21" i="10"/>
  <c r="D22" i="10"/>
  <c r="D23" i="10"/>
  <c r="D24" i="10"/>
  <c r="D25" i="10"/>
  <c r="D26" i="10"/>
  <c r="D27" i="10"/>
  <c r="D28" i="10"/>
  <c r="D29" i="10"/>
  <c r="D30" i="10"/>
  <c r="D31" i="10"/>
  <c r="D32" i="10"/>
  <c r="D33" i="10"/>
  <c r="D34" i="10"/>
  <c r="D35" i="10"/>
  <c r="D36" i="10"/>
  <c r="D37" i="10"/>
  <c r="D38" i="10"/>
  <c r="D39" i="10"/>
  <c r="D40" i="10"/>
  <c r="D41" i="10"/>
  <c r="D42" i="10"/>
  <c r="D43" i="10"/>
  <c r="D44" i="10"/>
  <c r="D45" i="10"/>
  <c r="D46" i="10"/>
  <c r="D47" i="10"/>
  <c r="D48" i="10"/>
  <c r="D49" i="10"/>
  <c r="D50" i="10"/>
  <c r="D51" i="10"/>
  <c r="D52" i="10"/>
  <c r="D53" i="10"/>
  <c r="D54" i="10"/>
  <c r="D55" i="10"/>
  <c r="D56" i="10"/>
  <c r="D57" i="10"/>
  <c r="D58" i="10"/>
  <c r="D59" i="10"/>
  <c r="D60" i="10"/>
  <c r="D61" i="10"/>
  <c r="D62" i="10"/>
  <c r="D63" i="10"/>
  <c r="D64" i="10"/>
  <c r="D65" i="10"/>
  <c r="D66" i="10"/>
  <c r="D67" i="10"/>
  <c r="D68" i="10"/>
  <c r="D69" i="10"/>
  <c r="D70" i="10"/>
  <c r="D71" i="10"/>
  <c r="D72" i="10"/>
  <c r="D73" i="10"/>
  <c r="D74" i="10"/>
  <c r="D75" i="10"/>
  <c r="D76" i="10"/>
  <c r="D77" i="10"/>
  <c r="D78" i="10"/>
  <c r="D79" i="10"/>
  <c r="D80" i="10"/>
  <c r="D81" i="10"/>
  <c r="D82" i="10"/>
  <c r="D83" i="10"/>
  <c r="D84" i="10"/>
  <c r="D85" i="10"/>
  <c r="D86" i="10"/>
  <c r="D87" i="10"/>
  <c r="D88" i="10"/>
  <c r="D89" i="10"/>
  <c r="D90" i="10"/>
  <c r="D91" i="10"/>
  <c r="D92" i="10"/>
  <c r="D93" i="10"/>
  <c r="D94" i="10"/>
  <c r="D95" i="10"/>
  <c r="D96" i="10"/>
  <c r="D97" i="10"/>
  <c r="D98" i="10"/>
  <c r="D99" i="10"/>
  <c r="D100" i="10"/>
  <c r="D101" i="10"/>
  <c r="D102" i="10"/>
  <c r="D103" i="10"/>
  <c r="D104" i="10"/>
  <c r="D105" i="10"/>
  <c r="D106" i="10"/>
  <c r="D107" i="10"/>
  <c r="D108" i="10"/>
  <c r="D109" i="10"/>
  <c r="D110" i="10"/>
  <c r="D111" i="10"/>
  <c r="D112" i="10"/>
  <c r="D113" i="10"/>
  <c r="D114" i="10"/>
  <c r="D115" i="10"/>
  <c r="D116" i="10"/>
  <c r="D117" i="10"/>
  <c r="D118" i="10"/>
  <c r="D119" i="10"/>
  <c r="D120" i="10"/>
  <c r="D121" i="10"/>
  <c r="D122" i="10"/>
  <c r="D123" i="10"/>
  <c r="D124" i="10"/>
  <c r="D125" i="10"/>
  <c r="D126" i="10"/>
  <c r="D127" i="10"/>
  <c r="D128" i="10"/>
  <c r="D129" i="10"/>
  <c r="D130" i="10"/>
  <c r="D131" i="10"/>
  <c r="D132" i="10"/>
  <c r="D133" i="10"/>
  <c r="D134" i="10"/>
  <c r="D135" i="10"/>
  <c r="D136" i="10"/>
  <c r="D137" i="10"/>
  <c r="D138" i="10"/>
  <c r="D139" i="10"/>
  <c r="D140" i="10"/>
  <c r="D141" i="10"/>
  <c r="D142" i="10"/>
  <c r="D143" i="10"/>
  <c r="D144" i="10"/>
  <c r="D145" i="10"/>
  <c r="D146" i="10"/>
  <c r="D147" i="10"/>
  <c r="D148" i="10"/>
  <c r="D149" i="10"/>
  <c r="D150" i="10"/>
  <c r="D151" i="10"/>
  <c r="D152" i="10"/>
  <c r="D153" i="10"/>
  <c r="D154" i="10"/>
  <c r="D155" i="10"/>
  <c r="D156" i="10"/>
  <c r="D157" i="10"/>
  <c r="D158" i="10"/>
  <c r="D159" i="10"/>
  <c r="D160" i="10"/>
  <c r="D161" i="10"/>
  <c r="D162" i="10"/>
  <c r="D163" i="10"/>
  <c r="D164" i="10"/>
  <c r="D165" i="10"/>
  <c r="D166" i="10"/>
  <c r="D167" i="10"/>
  <c r="D168" i="10"/>
  <c r="D169" i="10"/>
  <c r="D170" i="10"/>
  <c r="D171" i="10"/>
  <c r="D172" i="10"/>
  <c r="D173" i="10"/>
  <c r="D174" i="10"/>
  <c r="D175" i="10"/>
  <c r="D176" i="10"/>
  <c r="D177" i="10"/>
  <c r="D178" i="10"/>
  <c r="D179" i="10"/>
  <c r="D180" i="10"/>
  <c r="D181" i="10"/>
  <c r="D182" i="10"/>
  <c r="D183" i="10"/>
  <c r="D184" i="10"/>
  <c r="D185" i="10"/>
  <c r="D186" i="10"/>
  <c r="D187" i="10"/>
  <c r="D188" i="10"/>
  <c r="D189" i="10"/>
  <c r="D190" i="10"/>
  <c r="D191" i="10"/>
  <c r="D192" i="10"/>
  <c r="D193" i="10"/>
  <c r="D194" i="10"/>
  <c r="D195" i="10"/>
  <c r="D196" i="10"/>
  <c r="D197" i="10"/>
  <c r="D198" i="10"/>
  <c r="D199" i="10"/>
  <c r="D200" i="10"/>
  <c r="D201" i="10"/>
  <c r="D202" i="10"/>
  <c r="D203" i="10"/>
  <c r="D204" i="10"/>
  <c r="D205" i="10"/>
  <c r="D206" i="10"/>
  <c r="D207" i="10"/>
  <c r="D208" i="10"/>
  <c r="D209" i="10"/>
  <c r="D210" i="10"/>
  <c r="D211" i="10"/>
  <c r="C3" i="10"/>
  <c r="C4" i="10"/>
  <c r="C5" i="10"/>
  <c r="C6" i="10"/>
  <c r="C7" i="10"/>
  <c r="C8" i="10"/>
  <c r="C9" i="10"/>
  <c r="C10" i="10"/>
  <c r="C11" i="10"/>
  <c r="C12" i="10"/>
  <c r="C13" i="10"/>
  <c r="C14" i="10"/>
  <c r="C15" i="10"/>
  <c r="C16" i="10"/>
  <c r="C17" i="10"/>
  <c r="C18" i="10"/>
  <c r="C19" i="10"/>
  <c r="C20" i="10"/>
  <c r="C21" i="10"/>
  <c r="C22" i="10"/>
  <c r="C23" i="10"/>
  <c r="C24" i="10"/>
  <c r="C25" i="10"/>
  <c r="C26" i="10"/>
  <c r="C27" i="10"/>
  <c r="C28" i="10"/>
  <c r="C29" i="10"/>
  <c r="C30" i="10"/>
  <c r="C31" i="10"/>
  <c r="C32" i="10"/>
  <c r="C33" i="10"/>
  <c r="C34" i="10"/>
  <c r="C35" i="10"/>
  <c r="C36" i="10"/>
  <c r="C37" i="10"/>
  <c r="C38" i="10"/>
  <c r="C39" i="10"/>
  <c r="C40" i="10"/>
  <c r="C41" i="10"/>
  <c r="C42" i="10"/>
  <c r="C43" i="10"/>
  <c r="C44" i="10"/>
  <c r="C45" i="10"/>
  <c r="C46" i="10"/>
  <c r="C47" i="10"/>
  <c r="C48" i="10"/>
  <c r="C49" i="10"/>
  <c r="C50" i="10"/>
  <c r="C51" i="10"/>
  <c r="C52" i="10"/>
  <c r="C53" i="10"/>
  <c r="C54" i="10"/>
  <c r="C55" i="10"/>
  <c r="C56" i="10"/>
  <c r="C57" i="10"/>
  <c r="C58" i="10"/>
  <c r="C59" i="10"/>
  <c r="C60" i="10"/>
  <c r="C61" i="10"/>
  <c r="C62" i="10"/>
  <c r="C63" i="10"/>
  <c r="C64" i="10"/>
  <c r="C65" i="10"/>
  <c r="C66" i="10"/>
  <c r="C67" i="10"/>
  <c r="C68" i="10"/>
  <c r="C69" i="10"/>
  <c r="C70" i="10"/>
  <c r="C71" i="10"/>
  <c r="C72" i="10"/>
  <c r="C73" i="10"/>
  <c r="C74" i="10"/>
  <c r="C75" i="10"/>
  <c r="C76" i="10"/>
  <c r="C77" i="10"/>
  <c r="C78" i="10"/>
  <c r="C79" i="10"/>
  <c r="C80" i="10"/>
  <c r="C81" i="10"/>
  <c r="C82" i="10"/>
  <c r="C83" i="10"/>
  <c r="C84" i="10"/>
  <c r="C85" i="10"/>
  <c r="C86" i="10"/>
  <c r="C87" i="10"/>
  <c r="C88" i="10"/>
  <c r="C89" i="10"/>
  <c r="C90" i="10"/>
  <c r="C91" i="10"/>
  <c r="C92" i="10"/>
  <c r="C93" i="10"/>
  <c r="C94" i="10"/>
  <c r="C95" i="10"/>
  <c r="C96" i="10"/>
  <c r="C97" i="10"/>
  <c r="C98" i="10"/>
  <c r="C99" i="10"/>
  <c r="C100" i="10"/>
  <c r="C101" i="10"/>
  <c r="C102" i="10"/>
  <c r="C103" i="10"/>
  <c r="C104" i="10"/>
  <c r="C105" i="10"/>
  <c r="C106" i="10"/>
  <c r="C107" i="10"/>
  <c r="C108" i="10"/>
  <c r="C109" i="10"/>
  <c r="C110" i="10"/>
  <c r="C111" i="10"/>
  <c r="C112" i="10"/>
  <c r="C113" i="10"/>
  <c r="C114" i="10"/>
  <c r="C115" i="10"/>
  <c r="C116" i="10"/>
  <c r="C117" i="10"/>
  <c r="C118" i="10"/>
  <c r="C119" i="10"/>
  <c r="C120" i="10"/>
  <c r="C121" i="10"/>
  <c r="C122" i="10"/>
  <c r="C123" i="10"/>
  <c r="C124" i="10"/>
  <c r="C125" i="10"/>
  <c r="C126" i="10"/>
  <c r="C127" i="10"/>
  <c r="C128" i="10"/>
  <c r="C129" i="10"/>
  <c r="C130" i="10"/>
  <c r="C131" i="10"/>
  <c r="C132" i="10"/>
  <c r="C133" i="10"/>
  <c r="C134" i="10"/>
  <c r="C135" i="10"/>
  <c r="C136" i="10"/>
  <c r="C137" i="10"/>
  <c r="C138" i="10"/>
  <c r="C139" i="10"/>
  <c r="C140" i="10"/>
  <c r="C141" i="10"/>
  <c r="C142" i="10"/>
  <c r="C143" i="10"/>
  <c r="C144" i="10"/>
  <c r="C145" i="10"/>
  <c r="C146" i="10"/>
  <c r="C147" i="10"/>
  <c r="C148" i="10"/>
  <c r="C149" i="10"/>
  <c r="C150" i="10"/>
  <c r="C151" i="10"/>
  <c r="C152" i="10"/>
  <c r="C153" i="10"/>
  <c r="C154" i="10"/>
  <c r="C155" i="10"/>
  <c r="C156" i="10"/>
  <c r="C157" i="10"/>
  <c r="C158" i="10"/>
  <c r="C159" i="10"/>
  <c r="C160" i="10"/>
  <c r="C161" i="10"/>
  <c r="C162" i="10"/>
  <c r="C163" i="10"/>
  <c r="C164" i="10"/>
  <c r="C165" i="10"/>
  <c r="C166" i="10"/>
  <c r="C167" i="10"/>
  <c r="C168" i="10"/>
  <c r="C169" i="10"/>
  <c r="C170" i="10"/>
  <c r="C171" i="10"/>
  <c r="C172" i="10"/>
  <c r="C173" i="10"/>
  <c r="C174" i="10"/>
  <c r="C175" i="10"/>
  <c r="C176" i="10"/>
  <c r="C177" i="10"/>
  <c r="C178" i="10"/>
  <c r="C179" i="10"/>
  <c r="C180" i="10"/>
  <c r="C181" i="10"/>
  <c r="C182" i="10"/>
  <c r="C183" i="10"/>
  <c r="C184" i="10"/>
  <c r="C185" i="10"/>
  <c r="C186" i="10"/>
  <c r="C187" i="10"/>
  <c r="C188" i="10"/>
  <c r="C189" i="10"/>
  <c r="C190" i="10"/>
  <c r="C191" i="10"/>
  <c r="C192" i="10"/>
  <c r="C193" i="10"/>
  <c r="C194" i="10"/>
  <c r="C195" i="10"/>
  <c r="C196" i="10"/>
  <c r="C197" i="10"/>
  <c r="C198" i="10"/>
  <c r="C199" i="10"/>
  <c r="C200" i="10"/>
  <c r="C201" i="10"/>
  <c r="C202" i="10"/>
  <c r="C203" i="10"/>
  <c r="C204" i="10"/>
  <c r="C205" i="10"/>
  <c r="C206" i="10"/>
  <c r="C207" i="10"/>
  <c r="C208" i="10"/>
  <c r="C209" i="10"/>
  <c r="C210" i="10"/>
  <c r="C211" i="10"/>
  <c r="J205" i="10"/>
  <c r="J206" i="10"/>
  <c r="J207" i="10"/>
  <c r="J208" i="10"/>
  <c r="J209" i="10"/>
  <c r="J210" i="10"/>
  <c r="J211" i="10"/>
  <c r="K205" i="10"/>
  <c r="K206" i="10"/>
  <c r="K207" i="10"/>
  <c r="K208" i="10"/>
  <c r="K209" i="10"/>
  <c r="K210" i="10"/>
  <c r="K211" i="10"/>
  <c r="L205" i="10"/>
  <c r="L206" i="10"/>
  <c r="L207" i="10"/>
  <c r="L208" i="10"/>
  <c r="L209" i="10"/>
  <c r="L210" i="10"/>
  <c r="L211" i="10"/>
  <c r="F208" i="10" l="1"/>
  <c r="G208" i="10" s="1"/>
  <c r="M211" i="10"/>
  <c r="O211" i="10" s="1"/>
  <c r="M207" i="10"/>
  <c r="O207" i="10" s="1"/>
  <c r="F207" i="10"/>
  <c r="G207" i="10" s="1"/>
  <c r="F206" i="10"/>
  <c r="G206" i="10" s="1"/>
  <c r="M209" i="10"/>
  <c r="P209" i="10" s="1"/>
  <c r="M205" i="10"/>
  <c r="M210" i="10"/>
  <c r="P210" i="10" s="1"/>
  <c r="M206" i="10"/>
  <c r="M208" i="10"/>
  <c r="P208" i="10" s="1"/>
  <c r="F210" i="10"/>
  <c r="F211" i="10"/>
  <c r="F209" i="10"/>
  <c r="I209" i="10" s="1"/>
  <c r="F205" i="10"/>
  <c r="P211" i="10" l="1"/>
  <c r="R207" i="10"/>
  <c r="P207" i="10"/>
  <c r="Q207" i="10"/>
  <c r="I208" i="10"/>
  <c r="H208" i="10"/>
  <c r="R211" i="10"/>
  <c r="N211" i="10"/>
  <c r="H207" i="10"/>
  <c r="I207" i="10"/>
  <c r="N207" i="10"/>
  <c r="Q208" i="10"/>
  <c r="O210" i="10"/>
  <c r="R210" i="10"/>
  <c r="N208" i="10"/>
  <c r="O208" i="10"/>
  <c r="N209" i="10"/>
  <c r="O209" i="10"/>
  <c r="N206" i="10"/>
  <c r="N210" i="10"/>
  <c r="R208" i="10"/>
  <c r="R209" i="10"/>
  <c r="N205" i="10"/>
  <c r="G211" i="10"/>
  <c r="I211" i="10"/>
  <c r="G205" i="10"/>
  <c r="G210" i="10"/>
  <c r="I210" i="10"/>
  <c r="G209" i="10"/>
  <c r="Q206" i="10"/>
  <c r="H210" i="10"/>
  <c r="Q210" i="10"/>
  <c r="Q209" i="10"/>
  <c r="Q211" i="10"/>
  <c r="H209" i="10"/>
  <c r="H211" i="10"/>
  <c r="Q205" i="10"/>
  <c r="B20" i="8" l="1"/>
  <c r="F8" i="11"/>
  <c r="F6" i="11"/>
  <c r="F7" i="11"/>
  <c r="B4" i="11" a="1"/>
  <c r="B4" i="11" s="1"/>
  <c r="B5" i="11" a="1"/>
  <c r="B5" i="11" s="1"/>
  <c r="B6" i="11" a="1"/>
  <c r="B6" i="11" s="1"/>
  <c r="B7" i="11" a="1"/>
  <c r="B7" i="11" s="1"/>
  <c r="B8" i="11" a="1"/>
  <c r="B8" i="11" s="1"/>
  <c r="B9" i="11" a="1"/>
  <c r="B9" i="11" s="1"/>
  <c r="B10" i="11" a="1"/>
  <c r="B10" i="11" s="1"/>
  <c r="B11" i="11" a="1"/>
  <c r="B11" i="11" s="1"/>
  <c r="B12" i="11" a="1"/>
  <c r="B12" i="11" s="1"/>
  <c r="B13" i="11" a="1"/>
  <c r="B13" i="11" s="1"/>
  <c r="B14" i="11" a="1"/>
  <c r="B14" i="11" s="1"/>
  <c r="B15" i="11" a="1"/>
  <c r="B15" i="11" s="1"/>
  <c r="B16" i="11" a="1"/>
  <c r="B16" i="11" s="1"/>
  <c r="B17" i="11" a="1"/>
  <c r="B17" i="11" s="1"/>
  <c r="B18" i="11" a="1"/>
  <c r="B18" i="11" s="1"/>
  <c r="B19" i="11" a="1"/>
  <c r="B19" i="11" s="1"/>
  <c r="B20" i="11" a="1"/>
  <c r="B20" i="11" s="1"/>
  <c r="B21" i="11" a="1"/>
  <c r="B21" i="11" s="1"/>
  <c r="B22" i="11" a="1"/>
  <c r="B22" i="11" s="1"/>
  <c r="B23" i="11" a="1"/>
  <c r="B23" i="11" s="1"/>
  <c r="B24" i="11" a="1"/>
  <c r="B24" i="11" s="1"/>
  <c r="B25" i="11" a="1"/>
  <c r="B25" i="11" s="1"/>
  <c r="B26" i="11" a="1"/>
  <c r="B26" i="11" s="1"/>
  <c r="B27" i="11" a="1"/>
  <c r="B27" i="11" s="1"/>
  <c r="B28" i="11" a="1"/>
  <c r="B28" i="11" s="1"/>
  <c r="B29" i="11" a="1"/>
  <c r="B29" i="11" s="1"/>
  <c r="B30" i="11" a="1"/>
  <c r="B30" i="11" s="1"/>
  <c r="B31" i="11" a="1"/>
  <c r="B31" i="11" s="1"/>
  <c r="B32" i="11" a="1"/>
  <c r="B32" i="11" s="1"/>
  <c r="B33" i="11" a="1"/>
  <c r="B33" i="11" s="1"/>
  <c r="B34" i="11" a="1"/>
  <c r="B34" i="11" s="1"/>
  <c r="B35" i="11" a="1"/>
  <c r="B35" i="11" s="1"/>
  <c r="B36" i="11" a="1"/>
  <c r="B36" i="11" s="1"/>
  <c r="B37" i="11" a="1"/>
  <c r="B37" i="11" s="1"/>
  <c r="B38" i="11" a="1"/>
  <c r="B38" i="11" s="1"/>
  <c r="B39" i="11" a="1"/>
  <c r="B39" i="11" s="1"/>
  <c r="B40" i="11" a="1"/>
  <c r="B40" i="11" s="1"/>
  <c r="B41" i="11" a="1"/>
  <c r="B41" i="11" s="1"/>
  <c r="B42" i="11" a="1"/>
  <c r="B42" i="11" s="1"/>
  <c r="B43" i="11" a="1"/>
  <c r="B43" i="11" s="1"/>
  <c r="B44" i="11" a="1"/>
  <c r="B44" i="11" s="1"/>
  <c r="B45" i="11" a="1"/>
  <c r="B45" i="11" s="1"/>
  <c r="B46" i="11" a="1"/>
  <c r="B46" i="11" s="1"/>
  <c r="B47" i="11" a="1"/>
  <c r="B47" i="11" s="1"/>
  <c r="B48" i="11" a="1"/>
  <c r="B48" i="11" s="1"/>
  <c r="B49" i="11" a="1"/>
  <c r="B49" i="11" s="1"/>
  <c r="B50" i="11" a="1"/>
  <c r="B50" i="11" s="1"/>
  <c r="B51" i="11" a="1"/>
  <c r="B51" i="11" s="1"/>
  <c r="B52" i="11" a="1"/>
  <c r="B52" i="11" s="1"/>
  <c r="B3" i="11" a="1"/>
  <c r="B3" i="11" s="1"/>
  <c r="C1863" i="15" l="1"/>
  <c r="D1863" i="15"/>
  <c r="E1863" i="15"/>
  <c r="C708" i="15"/>
  <c r="C712" i="15"/>
  <c r="C716" i="15"/>
  <c r="C720" i="15"/>
  <c r="C724" i="15"/>
  <c r="C728" i="15"/>
  <c r="C732" i="15"/>
  <c r="C736" i="15"/>
  <c r="C740" i="15"/>
  <c r="C744" i="15"/>
  <c r="C748" i="15"/>
  <c r="C752" i="15"/>
  <c r="C756" i="15"/>
  <c r="C760" i="15"/>
  <c r="C764" i="15"/>
  <c r="C768" i="15"/>
  <c r="C772" i="15"/>
  <c r="C776" i="15"/>
  <c r="C780" i="15"/>
  <c r="C784" i="15"/>
  <c r="C788" i="15"/>
  <c r="C792" i="15"/>
  <c r="C796" i="15"/>
  <c r="C800" i="15"/>
  <c r="C804" i="15"/>
  <c r="C808" i="15"/>
  <c r="C812" i="15"/>
  <c r="C816" i="15"/>
  <c r="C820" i="15"/>
  <c r="C824" i="15"/>
  <c r="C828" i="15"/>
  <c r="C832" i="15"/>
  <c r="C836" i="15"/>
  <c r="C840" i="15"/>
  <c r="C844" i="15"/>
  <c r="C848" i="15"/>
  <c r="C852" i="15"/>
  <c r="C856" i="15"/>
  <c r="C860" i="15"/>
  <c r="C864" i="15"/>
  <c r="C868" i="15"/>
  <c r="C872" i="15"/>
  <c r="C876" i="15"/>
  <c r="C880" i="15"/>
  <c r="C884" i="15"/>
  <c r="C888" i="15"/>
  <c r="C892" i="15"/>
  <c r="C896" i="15"/>
  <c r="C900" i="15"/>
  <c r="C904" i="15"/>
  <c r="C908" i="15"/>
  <c r="C912" i="15"/>
  <c r="C916" i="15"/>
  <c r="C920" i="15"/>
  <c r="C924" i="15"/>
  <c r="C928" i="15"/>
  <c r="C932" i="15"/>
  <c r="C936" i="15"/>
  <c r="C940" i="15"/>
  <c r="C944" i="15"/>
  <c r="C948" i="15"/>
  <c r="C952" i="15"/>
  <c r="C956" i="15"/>
  <c r="C960" i="15"/>
  <c r="C964" i="15"/>
  <c r="C968" i="15"/>
  <c r="C972" i="15"/>
  <c r="C976" i="15"/>
  <c r="C980" i="15"/>
  <c r="C984" i="15"/>
  <c r="C988" i="15"/>
  <c r="C992" i="15"/>
  <c r="C996" i="15"/>
  <c r="C1000" i="15"/>
  <c r="C1004" i="15"/>
  <c r="C1008" i="15"/>
  <c r="C1012" i="15"/>
  <c r="C1016" i="15"/>
  <c r="C1020" i="15"/>
  <c r="C1024" i="15"/>
  <c r="C1028" i="15"/>
  <c r="C1032" i="15"/>
  <c r="C1036" i="15"/>
  <c r="C1040" i="15"/>
  <c r="C1044" i="15"/>
  <c r="C709" i="15"/>
  <c r="C713" i="15"/>
  <c r="C717" i="15"/>
  <c r="C721" i="15"/>
  <c r="C725" i="15"/>
  <c r="C729" i="15"/>
  <c r="C733" i="15"/>
  <c r="C737" i="15"/>
  <c r="C741" i="15"/>
  <c r="C745" i="15"/>
  <c r="C749" i="15"/>
  <c r="C753" i="15"/>
  <c r="C757" i="15"/>
  <c r="C761" i="15"/>
  <c r="C765" i="15"/>
  <c r="C769" i="15"/>
  <c r="C773" i="15"/>
  <c r="C777" i="15"/>
  <c r="C781" i="15"/>
  <c r="C785" i="15"/>
  <c r="C789" i="15"/>
  <c r="C793" i="15"/>
  <c r="C797" i="15"/>
  <c r="C801" i="15"/>
  <c r="C805" i="15"/>
  <c r="C809" i="15"/>
  <c r="C813" i="15"/>
  <c r="C817" i="15"/>
  <c r="C821" i="15"/>
  <c r="C825" i="15"/>
  <c r="C829" i="15"/>
  <c r="C833" i="15"/>
  <c r="C837" i="15"/>
  <c r="C841" i="15"/>
  <c r="C845" i="15"/>
  <c r="C849" i="15"/>
  <c r="C853" i="15"/>
  <c r="C857" i="15"/>
  <c r="C861" i="15"/>
  <c r="C865" i="15"/>
  <c r="C869" i="15"/>
  <c r="C873" i="15"/>
  <c r="C877" i="15"/>
  <c r="C881" i="15"/>
  <c r="C885" i="15"/>
  <c r="C889" i="15"/>
  <c r="C893" i="15"/>
  <c r="C897" i="15"/>
  <c r="C901" i="15"/>
  <c r="C905" i="15"/>
  <c r="C909" i="15"/>
  <c r="C913" i="15"/>
  <c r="C917" i="15"/>
  <c r="C921" i="15"/>
  <c r="C925" i="15"/>
  <c r="C929" i="15"/>
  <c r="C933" i="15"/>
  <c r="C937" i="15"/>
  <c r="C941" i="15"/>
  <c r="C945" i="15"/>
  <c r="C949" i="15"/>
  <c r="C953" i="15"/>
  <c r="C957" i="15"/>
  <c r="C961" i="15"/>
  <c r="C965" i="15"/>
  <c r="C969" i="15"/>
  <c r="C973" i="15"/>
  <c r="C977" i="15"/>
  <c r="C981" i="15"/>
  <c r="C985" i="15"/>
  <c r="C989" i="15"/>
  <c r="C993" i="15"/>
  <c r="C997" i="15"/>
  <c r="C1001" i="15"/>
  <c r="C1005" i="15"/>
  <c r="C1009" i="15"/>
  <c r="C1013" i="15"/>
  <c r="C1017" i="15"/>
  <c r="C1021" i="15"/>
  <c r="C1025" i="15"/>
  <c r="C1029" i="15"/>
  <c r="C1033" i="15"/>
  <c r="C1037" i="15"/>
  <c r="C1041" i="15"/>
  <c r="C1045" i="15"/>
  <c r="C710" i="15"/>
  <c r="C714" i="15"/>
  <c r="C718" i="15"/>
  <c r="C722" i="15"/>
  <c r="C726" i="15"/>
  <c r="C730" i="15"/>
  <c r="C734" i="15"/>
  <c r="C738" i="15"/>
  <c r="C742" i="15"/>
  <c r="C746" i="15"/>
  <c r="C750" i="15"/>
  <c r="C754" i="15"/>
  <c r="C758" i="15"/>
  <c r="C762" i="15"/>
  <c r="C766" i="15"/>
  <c r="C770" i="15"/>
  <c r="C774" i="15"/>
  <c r="C778" i="15"/>
  <c r="C782" i="15"/>
  <c r="C786" i="15"/>
  <c r="C790" i="15"/>
  <c r="C794" i="15"/>
  <c r="C798" i="15"/>
  <c r="C802" i="15"/>
  <c r="C806" i="15"/>
  <c r="C810" i="15"/>
  <c r="C814" i="15"/>
  <c r="C818" i="15"/>
  <c r="C822" i="15"/>
  <c r="C826" i="15"/>
  <c r="C830" i="15"/>
  <c r="C834" i="15"/>
  <c r="C838" i="15"/>
  <c r="C842" i="15"/>
  <c r="C846" i="15"/>
  <c r="C850" i="15"/>
  <c r="C854" i="15"/>
  <c r="C858" i="15"/>
  <c r="C862" i="15"/>
  <c r="C866" i="15"/>
  <c r="C870" i="15"/>
  <c r="C874" i="15"/>
  <c r="C878" i="15"/>
  <c r="C882" i="15"/>
  <c r="C886" i="15"/>
  <c r="C890" i="15"/>
  <c r="C894" i="15"/>
  <c r="C898" i="15"/>
  <c r="C902" i="15"/>
  <c r="C906" i="15"/>
  <c r="C910" i="15"/>
  <c r="C914" i="15"/>
  <c r="C918" i="15"/>
  <c r="C922" i="15"/>
  <c r="C926" i="15"/>
  <c r="C930" i="15"/>
  <c r="C934" i="15"/>
  <c r="C938" i="15"/>
  <c r="C942" i="15"/>
  <c r="C946" i="15"/>
  <c r="C950" i="15"/>
  <c r="C954" i="15"/>
  <c r="C958" i="15"/>
  <c r="C962" i="15"/>
  <c r="C966" i="15"/>
  <c r="C970" i="15"/>
  <c r="C974" i="15"/>
  <c r="C978" i="15"/>
  <c r="C982" i="15"/>
  <c r="C986" i="15"/>
  <c r="C990" i="15"/>
  <c r="C994" i="15"/>
  <c r="C998" i="15"/>
  <c r="C1002" i="15"/>
  <c r="C1006" i="15"/>
  <c r="C1010" i="15"/>
  <c r="C1014" i="15"/>
  <c r="C1018" i="15"/>
  <c r="C1022" i="15"/>
  <c r="C1026" i="15"/>
  <c r="C1030" i="15"/>
  <c r="C1034" i="15"/>
  <c r="C1038" i="15"/>
  <c r="C1042" i="15"/>
  <c r="C1046" i="15"/>
  <c r="C711" i="15"/>
  <c r="C727" i="15"/>
  <c r="C743" i="15"/>
  <c r="C759" i="15"/>
  <c r="C775" i="15"/>
  <c r="C791" i="15"/>
  <c r="C807" i="15"/>
  <c r="C823" i="15"/>
  <c r="C839" i="15"/>
  <c r="C855" i="15"/>
  <c r="C871" i="15"/>
  <c r="C887" i="15"/>
  <c r="C903" i="15"/>
  <c r="C919" i="15"/>
  <c r="C935" i="15"/>
  <c r="C951" i="15"/>
  <c r="C967" i="15"/>
  <c r="C983" i="15"/>
  <c r="C999" i="15"/>
  <c r="C1015" i="15"/>
  <c r="C1031" i="15"/>
  <c r="C1047" i="15"/>
  <c r="C1051" i="15"/>
  <c r="C1055" i="15"/>
  <c r="C1059" i="15"/>
  <c r="C1063" i="15"/>
  <c r="C1067" i="15"/>
  <c r="C1071" i="15"/>
  <c r="C1075" i="15"/>
  <c r="C1079" i="15"/>
  <c r="C1083" i="15"/>
  <c r="C1087" i="15"/>
  <c r="C1091" i="15"/>
  <c r="C1095" i="15"/>
  <c r="C1099" i="15"/>
  <c r="C1103" i="15"/>
  <c r="C1107" i="15"/>
  <c r="C1111" i="15"/>
  <c r="C1115" i="15"/>
  <c r="C1119" i="15"/>
  <c r="C1123" i="15"/>
  <c r="C1127" i="15"/>
  <c r="C1131" i="15"/>
  <c r="C1135" i="15"/>
  <c r="C1139" i="15"/>
  <c r="C1143" i="15"/>
  <c r="C1147" i="15"/>
  <c r="C1151" i="15"/>
  <c r="C1155" i="15"/>
  <c r="C1159" i="15"/>
  <c r="C1163" i="15"/>
  <c r="C1167" i="15"/>
  <c r="C1171" i="15"/>
  <c r="C1175" i="15"/>
  <c r="C1179" i="15"/>
  <c r="C1183" i="15"/>
  <c r="C1187" i="15"/>
  <c r="C1191" i="15"/>
  <c r="C1195" i="15"/>
  <c r="C1199" i="15"/>
  <c r="C1203" i="15"/>
  <c r="C1207" i="15"/>
  <c r="C1211" i="15"/>
  <c r="C1215" i="15"/>
  <c r="C1219" i="15"/>
  <c r="C1223" i="15"/>
  <c r="C1227" i="15"/>
  <c r="C1231" i="15"/>
  <c r="C1235" i="15"/>
  <c r="C1239" i="15"/>
  <c r="C1243" i="15"/>
  <c r="C1247" i="15"/>
  <c r="C1251" i="15"/>
  <c r="C1255" i="15"/>
  <c r="C1259" i="15"/>
  <c r="C1263" i="15"/>
  <c r="C1267" i="15"/>
  <c r="C1271" i="15"/>
  <c r="C1275" i="15"/>
  <c r="C1279" i="15"/>
  <c r="C1283" i="15"/>
  <c r="C1287" i="15"/>
  <c r="C1291" i="15"/>
  <c r="C1295" i="15"/>
  <c r="C1299" i="15"/>
  <c r="C715" i="15"/>
  <c r="C731" i="15"/>
  <c r="C747" i="15"/>
  <c r="C763" i="15"/>
  <c r="C779" i="15"/>
  <c r="C795" i="15"/>
  <c r="C811" i="15"/>
  <c r="C827" i="15"/>
  <c r="C843" i="15"/>
  <c r="C859" i="15"/>
  <c r="C875" i="15"/>
  <c r="C891" i="15"/>
  <c r="C907" i="15"/>
  <c r="C923" i="15"/>
  <c r="C939" i="15"/>
  <c r="C955" i="15"/>
  <c r="C971" i="15"/>
  <c r="C987" i="15"/>
  <c r="C1003" i="15"/>
  <c r="C1019" i="15"/>
  <c r="C1035" i="15"/>
  <c r="C1048" i="15"/>
  <c r="C1052" i="15"/>
  <c r="C1056" i="15"/>
  <c r="C1060" i="15"/>
  <c r="C1064" i="15"/>
  <c r="C1068" i="15"/>
  <c r="C1072" i="15"/>
  <c r="C1076" i="15"/>
  <c r="C1080" i="15"/>
  <c r="C1084" i="15"/>
  <c r="C1088" i="15"/>
  <c r="C1092" i="15"/>
  <c r="C1096" i="15"/>
  <c r="C1100" i="15"/>
  <c r="C1104" i="15"/>
  <c r="C1108" i="15"/>
  <c r="C1112" i="15"/>
  <c r="C1116" i="15"/>
  <c r="C1120" i="15"/>
  <c r="C1124" i="15"/>
  <c r="C1128" i="15"/>
  <c r="C1132" i="15"/>
  <c r="C1136" i="15"/>
  <c r="C1140" i="15"/>
  <c r="C1144" i="15"/>
  <c r="C1148" i="15"/>
  <c r="C1152" i="15"/>
  <c r="C1156" i="15"/>
  <c r="C1160" i="15"/>
  <c r="C1164" i="15"/>
  <c r="C1168" i="15"/>
  <c r="C1172" i="15"/>
  <c r="C1176" i="15"/>
  <c r="C1180" i="15"/>
  <c r="C1184" i="15"/>
  <c r="C1188" i="15"/>
  <c r="C1192" i="15"/>
  <c r="C1196" i="15"/>
  <c r="C1200" i="15"/>
  <c r="C1204" i="15"/>
  <c r="C1208" i="15"/>
  <c r="C1212" i="15"/>
  <c r="C1216" i="15"/>
  <c r="C1220" i="15"/>
  <c r="C1224" i="15"/>
  <c r="C1228" i="15"/>
  <c r="C1232" i="15"/>
  <c r="C1236" i="15"/>
  <c r="C1240" i="15"/>
  <c r="C1244" i="15"/>
  <c r="C1248" i="15"/>
  <c r="C1252" i="15"/>
  <c r="C1256" i="15"/>
  <c r="C1260" i="15"/>
  <c r="C1264" i="15"/>
  <c r="C1268" i="15"/>
  <c r="C1272" i="15"/>
  <c r="C1276" i="15"/>
  <c r="C1280" i="15"/>
  <c r="C1284" i="15"/>
  <c r="C1288" i="15"/>
  <c r="C1292" i="15"/>
  <c r="C1296" i="15"/>
  <c r="C1300" i="15"/>
  <c r="C1304" i="15"/>
  <c r="C719" i="15"/>
  <c r="C735" i="15"/>
  <c r="C751" i="15"/>
  <c r="C767" i="15"/>
  <c r="C783" i="15"/>
  <c r="C799" i="15"/>
  <c r="C815" i="15"/>
  <c r="C831" i="15"/>
  <c r="C847" i="15"/>
  <c r="C863" i="15"/>
  <c r="C879" i="15"/>
  <c r="C895" i="15"/>
  <c r="C911" i="15"/>
  <c r="C927" i="15"/>
  <c r="C943" i="15"/>
  <c r="C959" i="15"/>
  <c r="C975" i="15"/>
  <c r="C991" i="15"/>
  <c r="C1007" i="15"/>
  <c r="C1023" i="15"/>
  <c r="C1039" i="15"/>
  <c r="C1049" i="15"/>
  <c r="C1053" i="15"/>
  <c r="C1057" i="15"/>
  <c r="C1061" i="15"/>
  <c r="C1065" i="15"/>
  <c r="C1069" i="15"/>
  <c r="C1073" i="15"/>
  <c r="C1077" i="15"/>
  <c r="C1081" i="15"/>
  <c r="C1085" i="15"/>
  <c r="C1089" i="15"/>
  <c r="C1093" i="15"/>
  <c r="C1097" i="15"/>
  <c r="C1101" i="15"/>
  <c r="C1105" i="15"/>
  <c r="C1109" i="15"/>
  <c r="C1113" i="15"/>
  <c r="C1117" i="15"/>
  <c r="C1121" i="15"/>
  <c r="C1125" i="15"/>
  <c r="C1129" i="15"/>
  <c r="C1133" i="15"/>
  <c r="C1137" i="15"/>
  <c r="C1141" i="15"/>
  <c r="C1145" i="15"/>
  <c r="C1149" i="15"/>
  <c r="C1153" i="15"/>
  <c r="C1157" i="15"/>
  <c r="C1161" i="15"/>
  <c r="C1165" i="15"/>
  <c r="C1169" i="15"/>
  <c r="C1173" i="15"/>
  <c r="C1177" i="15"/>
  <c r="C1181" i="15"/>
  <c r="C1185" i="15"/>
  <c r="C1189" i="15"/>
  <c r="C1193" i="15"/>
  <c r="C1197" i="15"/>
  <c r="C1201" i="15"/>
  <c r="C1205" i="15"/>
  <c r="C1209" i="15"/>
  <c r="C1213" i="15"/>
  <c r="C1217" i="15"/>
  <c r="C1221" i="15"/>
  <c r="C1225" i="15"/>
  <c r="C1229" i="15"/>
  <c r="C1233" i="15"/>
  <c r="C1237" i="15"/>
  <c r="C1241" i="15"/>
  <c r="C1245" i="15"/>
  <c r="C1249" i="15"/>
  <c r="C1253" i="15"/>
  <c r="C1257" i="15"/>
  <c r="C1261" i="15"/>
  <c r="C1265" i="15"/>
  <c r="C1269" i="15"/>
  <c r="C1273" i="15"/>
  <c r="C1277" i="15"/>
  <c r="C1281" i="15"/>
  <c r="C1285" i="15"/>
  <c r="C1289" i="15"/>
  <c r="C1293" i="15"/>
  <c r="C1297" i="15"/>
  <c r="C1301" i="15"/>
  <c r="C723" i="15"/>
  <c r="C787" i="15"/>
  <c r="C851" i="15"/>
  <c r="C915" i="15"/>
  <c r="C979" i="15"/>
  <c r="C1043" i="15"/>
  <c r="C1062" i="15"/>
  <c r="C1078" i="15"/>
  <c r="C1094" i="15"/>
  <c r="C1110" i="15"/>
  <c r="C1126" i="15"/>
  <c r="C1142" i="15"/>
  <c r="C1158" i="15"/>
  <c r="C1174" i="15"/>
  <c r="C1190" i="15"/>
  <c r="C1206" i="15"/>
  <c r="C1222" i="15"/>
  <c r="C1238" i="15"/>
  <c r="C1254" i="15"/>
  <c r="C1270" i="15"/>
  <c r="C1286" i="15"/>
  <c r="C1302" i="15"/>
  <c r="C1307" i="15"/>
  <c r="C1311" i="15"/>
  <c r="C1315" i="15"/>
  <c r="C1319" i="15"/>
  <c r="C1323" i="15"/>
  <c r="C1327" i="15"/>
  <c r="C1331" i="15"/>
  <c r="C1335" i="15"/>
  <c r="C1339" i="15"/>
  <c r="C1343" i="15"/>
  <c r="C1347" i="15"/>
  <c r="C1351" i="15"/>
  <c r="C1355" i="15"/>
  <c r="C1359" i="15"/>
  <c r="C1363" i="15"/>
  <c r="C1367" i="15"/>
  <c r="C1371" i="15"/>
  <c r="C1375" i="15"/>
  <c r="C1379" i="15"/>
  <c r="C1383" i="15"/>
  <c r="C1387" i="15"/>
  <c r="C1391" i="15"/>
  <c r="C1395" i="15"/>
  <c r="C1399" i="15"/>
  <c r="C1403" i="15"/>
  <c r="C1407" i="15"/>
  <c r="C1411" i="15"/>
  <c r="C1415" i="15"/>
  <c r="C1419" i="15"/>
  <c r="C1423" i="15"/>
  <c r="C1427" i="15"/>
  <c r="C1431" i="15"/>
  <c r="C1435" i="15"/>
  <c r="C1439" i="15"/>
  <c r="C1443" i="15"/>
  <c r="C1447" i="15"/>
  <c r="C1451" i="15"/>
  <c r="C1455" i="15"/>
  <c r="C1459" i="15"/>
  <c r="C1463" i="15"/>
  <c r="C1467" i="15"/>
  <c r="C1471" i="15"/>
  <c r="C1475" i="15"/>
  <c r="C1479" i="15"/>
  <c r="C1483" i="15"/>
  <c r="C1487" i="15"/>
  <c r="C1491" i="15"/>
  <c r="C1495" i="15"/>
  <c r="C1499" i="15"/>
  <c r="C1503" i="15"/>
  <c r="C1507" i="15"/>
  <c r="C1511" i="15"/>
  <c r="C1515" i="15"/>
  <c r="C1519" i="15"/>
  <c r="C1523" i="15"/>
  <c r="C1527" i="15"/>
  <c r="C1531" i="15"/>
  <c r="C1535" i="15"/>
  <c r="C1539" i="15"/>
  <c r="C1543" i="15"/>
  <c r="C1547" i="15"/>
  <c r="C1551" i="15"/>
  <c r="C1555" i="15"/>
  <c r="C739" i="15"/>
  <c r="C803" i="15"/>
  <c r="C867" i="15"/>
  <c r="C931" i="15"/>
  <c r="C995" i="15"/>
  <c r="C1050" i="15"/>
  <c r="C1066" i="15"/>
  <c r="C1082" i="15"/>
  <c r="C1098" i="15"/>
  <c r="C1114" i="15"/>
  <c r="C1130" i="15"/>
  <c r="C1146" i="15"/>
  <c r="C1162" i="15"/>
  <c r="C1178" i="15"/>
  <c r="C1194" i="15"/>
  <c r="C1210" i="15"/>
  <c r="C1226" i="15"/>
  <c r="C1242" i="15"/>
  <c r="C1258" i="15"/>
  <c r="C1274" i="15"/>
  <c r="C1290" i="15"/>
  <c r="C1303" i="15"/>
  <c r="C1308" i="15"/>
  <c r="C1312" i="15"/>
  <c r="C1316" i="15"/>
  <c r="C1320" i="15"/>
  <c r="C1324" i="15"/>
  <c r="C1328" i="15"/>
  <c r="C1332" i="15"/>
  <c r="C1336" i="15"/>
  <c r="C1340" i="15"/>
  <c r="C1344" i="15"/>
  <c r="C1348" i="15"/>
  <c r="C1352" i="15"/>
  <c r="C1356" i="15"/>
  <c r="C1360" i="15"/>
  <c r="C1364" i="15"/>
  <c r="C1368" i="15"/>
  <c r="C1372" i="15"/>
  <c r="C1376" i="15"/>
  <c r="C1380" i="15"/>
  <c r="C1384" i="15"/>
  <c r="C1388" i="15"/>
  <c r="C1392" i="15"/>
  <c r="C1396" i="15"/>
  <c r="C1400" i="15"/>
  <c r="C1404" i="15"/>
  <c r="C1408" i="15"/>
  <c r="C1412" i="15"/>
  <c r="C1416" i="15"/>
  <c r="C1420" i="15"/>
  <c r="C1424" i="15"/>
  <c r="C1428" i="15"/>
  <c r="C1432" i="15"/>
  <c r="C1436" i="15"/>
  <c r="C1440" i="15"/>
  <c r="C1444" i="15"/>
  <c r="C1448" i="15"/>
  <c r="C1452" i="15"/>
  <c r="C1456" i="15"/>
  <c r="C1460" i="15"/>
  <c r="C1464" i="15"/>
  <c r="C1468" i="15"/>
  <c r="C1472" i="15"/>
  <c r="C1476" i="15"/>
  <c r="C1480" i="15"/>
  <c r="C1484" i="15"/>
  <c r="C1488" i="15"/>
  <c r="C1492" i="15"/>
  <c r="C1496" i="15"/>
  <c r="C1500" i="15"/>
  <c r="C1504" i="15"/>
  <c r="C1508" i="15"/>
  <c r="C1512" i="15"/>
  <c r="C1516" i="15"/>
  <c r="C1520" i="15"/>
  <c r="C1524" i="15"/>
  <c r="C1528" i="15"/>
  <c r="C1532" i="15"/>
  <c r="C1536" i="15"/>
  <c r="C1540" i="15"/>
  <c r="C1544" i="15"/>
  <c r="C1548" i="15"/>
  <c r="C1552" i="15"/>
  <c r="C1556" i="15"/>
  <c r="C1560" i="15"/>
  <c r="C1564" i="15"/>
  <c r="C755" i="15"/>
  <c r="C819" i="15"/>
  <c r="C883" i="15"/>
  <c r="C947" i="15"/>
  <c r="C1011" i="15"/>
  <c r="C1054" i="15"/>
  <c r="C1070" i="15"/>
  <c r="C1086" i="15"/>
  <c r="C1102" i="15"/>
  <c r="C1118" i="15"/>
  <c r="C1134" i="15"/>
  <c r="C1150" i="15"/>
  <c r="C1166" i="15"/>
  <c r="C1182" i="15"/>
  <c r="C1198" i="15"/>
  <c r="C1214" i="15"/>
  <c r="C1230" i="15"/>
  <c r="C1246" i="15"/>
  <c r="C1262" i="15"/>
  <c r="C1278" i="15"/>
  <c r="C1294" i="15"/>
  <c r="C1305" i="15"/>
  <c r="C1309" i="15"/>
  <c r="C1313" i="15"/>
  <c r="C1317" i="15"/>
  <c r="C1321" i="15"/>
  <c r="C1325" i="15"/>
  <c r="C1329" i="15"/>
  <c r="C1333" i="15"/>
  <c r="C1337" i="15"/>
  <c r="C1341" i="15"/>
  <c r="C1345" i="15"/>
  <c r="C1349" i="15"/>
  <c r="C1353" i="15"/>
  <c r="C1357" i="15"/>
  <c r="C1361" i="15"/>
  <c r="C1365" i="15"/>
  <c r="C1369" i="15"/>
  <c r="C1373" i="15"/>
  <c r="C1377" i="15"/>
  <c r="C1381" i="15"/>
  <c r="C1385" i="15"/>
  <c r="C1389" i="15"/>
  <c r="C1393" i="15"/>
  <c r="C1397" i="15"/>
  <c r="C1401" i="15"/>
  <c r="C1405" i="15"/>
  <c r="C1409" i="15"/>
  <c r="C1413" i="15"/>
  <c r="C1417" i="15"/>
  <c r="C1421" i="15"/>
  <c r="C1425" i="15"/>
  <c r="C1429" i="15"/>
  <c r="C1433" i="15"/>
  <c r="C1437" i="15"/>
  <c r="C1441" i="15"/>
  <c r="C1445" i="15"/>
  <c r="C1449" i="15"/>
  <c r="C1453" i="15"/>
  <c r="C1457" i="15"/>
  <c r="C1461" i="15"/>
  <c r="C1465" i="15"/>
  <c r="C1469" i="15"/>
  <c r="C1473" i="15"/>
  <c r="C1477" i="15"/>
  <c r="C1481" i="15"/>
  <c r="C1485" i="15"/>
  <c r="C1489" i="15"/>
  <c r="C1493" i="15"/>
  <c r="C1497" i="15"/>
  <c r="C1501" i="15"/>
  <c r="C1505" i="15"/>
  <c r="C1509" i="15"/>
  <c r="C1513" i="15"/>
  <c r="C1517" i="15"/>
  <c r="C1521" i="15"/>
  <c r="C1525" i="15"/>
  <c r="C1529" i="15"/>
  <c r="C1533" i="15"/>
  <c r="C1537" i="15"/>
  <c r="C1541" i="15"/>
  <c r="C1545" i="15"/>
  <c r="C1549" i="15"/>
  <c r="C1553" i="15"/>
  <c r="C1557" i="15"/>
  <c r="C1561" i="15"/>
  <c r="C1565" i="15"/>
  <c r="C771" i="15"/>
  <c r="C1027" i="15"/>
  <c r="C1106" i="15"/>
  <c r="C1170" i="15"/>
  <c r="C1234" i="15"/>
  <c r="C1298" i="15"/>
  <c r="C1318" i="15"/>
  <c r="C1334" i="15"/>
  <c r="C1350" i="15"/>
  <c r="C1366" i="15"/>
  <c r="C1382" i="15"/>
  <c r="C1398" i="15"/>
  <c r="C1414" i="15"/>
  <c r="C1430" i="15"/>
  <c r="C1446" i="15"/>
  <c r="C1462" i="15"/>
  <c r="C1478" i="15"/>
  <c r="C1494" i="15"/>
  <c r="C1510" i="15"/>
  <c r="C1526" i="15"/>
  <c r="C1542" i="15"/>
  <c r="C1558" i="15"/>
  <c r="C1566" i="15"/>
  <c r="C1570" i="15"/>
  <c r="C1574" i="15"/>
  <c r="C1578" i="15"/>
  <c r="C1582" i="15"/>
  <c r="C1586" i="15"/>
  <c r="C1590" i="15"/>
  <c r="C1594" i="15"/>
  <c r="C1598" i="15"/>
  <c r="C1602" i="15"/>
  <c r="C1609" i="15"/>
  <c r="C1613" i="15"/>
  <c r="C1617" i="15"/>
  <c r="C1621" i="15"/>
  <c r="C1625" i="15"/>
  <c r="C1629" i="15"/>
  <c r="C1633" i="15"/>
  <c r="C1637" i="15"/>
  <c r="C1641" i="15"/>
  <c r="C1645" i="15"/>
  <c r="C1649" i="15"/>
  <c r="C1653" i="15"/>
  <c r="C1657" i="15"/>
  <c r="C1661" i="15"/>
  <c r="C1665" i="15"/>
  <c r="C1669" i="15"/>
  <c r="C1673" i="15"/>
  <c r="C1677" i="15"/>
  <c r="C1681" i="15"/>
  <c r="C1685" i="15"/>
  <c r="C1689" i="15"/>
  <c r="C1693" i="15"/>
  <c r="C1697" i="15"/>
  <c r="C1701" i="15"/>
  <c r="C1705" i="15"/>
  <c r="C1709" i="15"/>
  <c r="C1713" i="15"/>
  <c r="C1717" i="15"/>
  <c r="C1721" i="15"/>
  <c r="C1725" i="15"/>
  <c r="C1729" i="15"/>
  <c r="C1733" i="15"/>
  <c r="C1737" i="15"/>
  <c r="C1741" i="15"/>
  <c r="C1745" i="15"/>
  <c r="C1749" i="15"/>
  <c r="C1753" i="15"/>
  <c r="C1757" i="15"/>
  <c r="C1761" i="15"/>
  <c r="C1765" i="15"/>
  <c r="C1769" i="15"/>
  <c r="C1773" i="15"/>
  <c r="C1777" i="15"/>
  <c r="C1781" i="15"/>
  <c r="C1785" i="15"/>
  <c r="C1789" i="15"/>
  <c r="C1793" i="15"/>
  <c r="C1797" i="15"/>
  <c r="C1801" i="15"/>
  <c r="C1805" i="15"/>
  <c r="C1809" i="15"/>
  <c r="C1813" i="15"/>
  <c r="C1817" i="15"/>
  <c r="C1821" i="15"/>
  <c r="C1825" i="15"/>
  <c r="C1829" i="15"/>
  <c r="C1833" i="15"/>
  <c r="C1837" i="15"/>
  <c r="C1841" i="15"/>
  <c r="C1845" i="15"/>
  <c r="C1849" i="15"/>
  <c r="C1853" i="15"/>
  <c r="C1857" i="15"/>
  <c r="C1861" i="15"/>
  <c r="D710" i="15"/>
  <c r="D714" i="15"/>
  <c r="D718" i="15"/>
  <c r="D722" i="15"/>
  <c r="D726" i="15"/>
  <c r="D730" i="15"/>
  <c r="D734" i="15"/>
  <c r="D738" i="15"/>
  <c r="D742" i="15"/>
  <c r="D746" i="15"/>
  <c r="D750" i="15"/>
  <c r="D754" i="15"/>
  <c r="D758" i="15"/>
  <c r="D762" i="15"/>
  <c r="D766" i="15"/>
  <c r="D770" i="15"/>
  <c r="D774" i="15"/>
  <c r="D778" i="15"/>
  <c r="D782" i="15"/>
  <c r="D786" i="15"/>
  <c r="D790" i="15"/>
  <c r="D794" i="15"/>
  <c r="D798" i="15"/>
  <c r="D802" i="15"/>
  <c r="D806" i="15"/>
  <c r="D810" i="15"/>
  <c r="D814" i="15"/>
  <c r="D818" i="15"/>
  <c r="D822" i="15"/>
  <c r="D826" i="15"/>
  <c r="D830" i="15"/>
  <c r="D834" i="15"/>
  <c r="D838" i="15"/>
  <c r="D842" i="15"/>
  <c r="D846" i="15"/>
  <c r="D850" i="15"/>
  <c r="D854" i="15"/>
  <c r="D858" i="15"/>
  <c r="D862" i="15"/>
  <c r="D866" i="15"/>
  <c r="D870" i="15"/>
  <c r="D874" i="15"/>
  <c r="D878" i="15"/>
  <c r="D882" i="15"/>
  <c r="D886" i="15"/>
  <c r="D890" i="15"/>
  <c r="D894" i="15"/>
  <c r="D898" i="15"/>
  <c r="D902" i="15"/>
  <c r="D906" i="15"/>
  <c r="D910" i="15"/>
  <c r="D914" i="15"/>
  <c r="D918" i="15"/>
  <c r="D922" i="15"/>
  <c r="D926" i="15"/>
  <c r="D930" i="15"/>
  <c r="D934" i="15"/>
  <c r="D938" i="15"/>
  <c r="D942" i="15"/>
  <c r="D946" i="15"/>
  <c r="D950" i="15"/>
  <c r="D954" i="15"/>
  <c r="D958" i="15"/>
  <c r="D962" i="15"/>
  <c r="D966" i="15"/>
  <c r="D970" i="15"/>
  <c r="D974" i="15"/>
  <c r="D978" i="15"/>
  <c r="D982" i="15"/>
  <c r="D986" i="15"/>
  <c r="D990" i="15"/>
  <c r="D994" i="15"/>
  <c r="D998" i="15"/>
  <c r="C835" i="15"/>
  <c r="C1058" i="15"/>
  <c r="C1122" i="15"/>
  <c r="C1186" i="15"/>
  <c r="C1250" i="15"/>
  <c r="C1306" i="15"/>
  <c r="C1322" i="15"/>
  <c r="C1338" i="15"/>
  <c r="C1354" i="15"/>
  <c r="C1370" i="15"/>
  <c r="C1386" i="15"/>
  <c r="C1402" i="15"/>
  <c r="C1418" i="15"/>
  <c r="C1434" i="15"/>
  <c r="C1450" i="15"/>
  <c r="C1466" i="15"/>
  <c r="C1482" i="15"/>
  <c r="C1498" i="15"/>
  <c r="C1514" i="15"/>
  <c r="C1530" i="15"/>
  <c r="C1546" i="15"/>
  <c r="C1559" i="15"/>
  <c r="C1567" i="15"/>
  <c r="C1571" i="15"/>
  <c r="C1575" i="15"/>
  <c r="C1579" i="15"/>
  <c r="C1583" i="15"/>
  <c r="C1587" i="15"/>
  <c r="C1591" i="15"/>
  <c r="C1595" i="15"/>
  <c r="C1599" i="15"/>
  <c r="C1603" i="15"/>
  <c r="C1606" i="15"/>
  <c r="C1610" i="15"/>
  <c r="C1614" i="15"/>
  <c r="C1618" i="15"/>
  <c r="C1622" i="15"/>
  <c r="C1626" i="15"/>
  <c r="C1630" i="15"/>
  <c r="C1634" i="15"/>
  <c r="C1638" i="15"/>
  <c r="C1642" i="15"/>
  <c r="C1646" i="15"/>
  <c r="C1650" i="15"/>
  <c r="C1654" i="15"/>
  <c r="C1658" i="15"/>
  <c r="C1662" i="15"/>
  <c r="C1666" i="15"/>
  <c r="C1670" i="15"/>
  <c r="C1674" i="15"/>
  <c r="C1678" i="15"/>
  <c r="C1682" i="15"/>
  <c r="C1686" i="15"/>
  <c r="C1690" i="15"/>
  <c r="C1694" i="15"/>
  <c r="C1698" i="15"/>
  <c r="C1702" i="15"/>
  <c r="C1706" i="15"/>
  <c r="C1710" i="15"/>
  <c r="C1714" i="15"/>
  <c r="C1718" i="15"/>
  <c r="C1722" i="15"/>
  <c r="C1726" i="15"/>
  <c r="C1730" i="15"/>
  <c r="C1734" i="15"/>
  <c r="C1738" i="15"/>
  <c r="C1742" i="15"/>
  <c r="C1746" i="15"/>
  <c r="C1750" i="15"/>
  <c r="C1754" i="15"/>
  <c r="C1758" i="15"/>
  <c r="C1762" i="15"/>
  <c r="C1766" i="15"/>
  <c r="C1770" i="15"/>
  <c r="C1774" i="15"/>
  <c r="C1778" i="15"/>
  <c r="C1782" i="15"/>
  <c r="C1786" i="15"/>
  <c r="C1790" i="15"/>
  <c r="C1794" i="15"/>
  <c r="C1798" i="15"/>
  <c r="C1802" i="15"/>
  <c r="C1806" i="15"/>
  <c r="C1810" i="15"/>
  <c r="C1814" i="15"/>
  <c r="C1818" i="15"/>
  <c r="C1822" i="15"/>
  <c r="C1826" i="15"/>
  <c r="C1830" i="15"/>
  <c r="C1834" i="15"/>
  <c r="C1838" i="15"/>
  <c r="C1842" i="15"/>
  <c r="C1846" i="15"/>
  <c r="C1850" i="15"/>
  <c r="C1854" i="15"/>
  <c r="C1858" i="15"/>
  <c r="C1862" i="15"/>
  <c r="D711" i="15"/>
  <c r="D715" i="15"/>
  <c r="D719" i="15"/>
  <c r="D723" i="15"/>
  <c r="D727" i="15"/>
  <c r="D731" i="15"/>
  <c r="D735" i="15"/>
  <c r="D739" i="15"/>
  <c r="D743" i="15"/>
  <c r="D747" i="15"/>
  <c r="D751" i="15"/>
  <c r="D755" i="15"/>
  <c r="D759" i="15"/>
  <c r="D763" i="15"/>
  <c r="D767" i="15"/>
  <c r="D771" i="15"/>
  <c r="D775" i="15"/>
  <c r="D779" i="15"/>
  <c r="D783" i="15"/>
  <c r="D787" i="15"/>
  <c r="D791" i="15"/>
  <c r="D795" i="15"/>
  <c r="D799" i="15"/>
  <c r="D803" i="15"/>
  <c r="D807" i="15"/>
  <c r="D811" i="15"/>
  <c r="D815" i="15"/>
  <c r="D819" i="15"/>
  <c r="D823" i="15"/>
  <c r="D827" i="15"/>
  <c r="D831" i="15"/>
  <c r="D835" i="15"/>
  <c r="D839" i="15"/>
  <c r="D843" i="15"/>
  <c r="D847" i="15"/>
  <c r="D851" i="15"/>
  <c r="D855" i="15"/>
  <c r="D859" i="15"/>
  <c r="D863" i="15"/>
  <c r="D867" i="15"/>
  <c r="D871" i="15"/>
  <c r="D875" i="15"/>
  <c r="D879" i="15"/>
  <c r="D883" i="15"/>
  <c r="D887" i="15"/>
  <c r="D891" i="15"/>
  <c r="D895" i="15"/>
  <c r="D899" i="15"/>
  <c r="D903" i="15"/>
  <c r="D907" i="15"/>
  <c r="D911" i="15"/>
  <c r="D915" i="15"/>
  <c r="D919" i="15"/>
  <c r="D923" i="15"/>
  <c r="D927" i="15"/>
  <c r="D931" i="15"/>
  <c r="D935" i="15"/>
  <c r="D939" i="15"/>
  <c r="D943" i="15"/>
  <c r="D947" i="15"/>
  <c r="D951" i="15"/>
  <c r="D955" i="15"/>
  <c r="D959" i="15"/>
  <c r="D963" i="15"/>
  <c r="D967" i="15"/>
  <c r="D971" i="15"/>
  <c r="D975" i="15"/>
  <c r="D979" i="15"/>
  <c r="D983" i="15"/>
  <c r="D987" i="15"/>
  <c r="D991" i="15"/>
  <c r="D995" i="15"/>
  <c r="D999" i="15"/>
  <c r="C899" i="15"/>
  <c r="C1074" i="15"/>
  <c r="C1138" i="15"/>
  <c r="C1202" i="15"/>
  <c r="C1266" i="15"/>
  <c r="C1310" i="15"/>
  <c r="C1326" i="15"/>
  <c r="C1342" i="15"/>
  <c r="C1358" i="15"/>
  <c r="C1374" i="15"/>
  <c r="C1390" i="15"/>
  <c r="C1406" i="15"/>
  <c r="C1422" i="15"/>
  <c r="C1438" i="15"/>
  <c r="C1454" i="15"/>
  <c r="C1470" i="15"/>
  <c r="C1486" i="15"/>
  <c r="C1502" i="15"/>
  <c r="C1518" i="15"/>
  <c r="C1534" i="15"/>
  <c r="C1550" i="15"/>
  <c r="C1562" i="15"/>
  <c r="C1568" i="15"/>
  <c r="C1572" i="15"/>
  <c r="C1576" i="15"/>
  <c r="C1580" i="15"/>
  <c r="C1584" i="15"/>
  <c r="C1588" i="15"/>
  <c r="C1592" i="15"/>
  <c r="C1596" i="15"/>
  <c r="C1600" i="15"/>
  <c r="C1604" i="15"/>
  <c r="C1607" i="15"/>
  <c r="C1611" i="15"/>
  <c r="C1615" i="15"/>
  <c r="C1619" i="15"/>
  <c r="C1623" i="15"/>
  <c r="C1627" i="15"/>
  <c r="C1631" i="15"/>
  <c r="C1635" i="15"/>
  <c r="C1639" i="15"/>
  <c r="C1643" i="15"/>
  <c r="C1647" i="15"/>
  <c r="C1651" i="15"/>
  <c r="C1655" i="15"/>
  <c r="C1659" i="15"/>
  <c r="C1663" i="15"/>
  <c r="C1667" i="15"/>
  <c r="C1671" i="15"/>
  <c r="C1675" i="15"/>
  <c r="C1679" i="15"/>
  <c r="C1683" i="15"/>
  <c r="C1687" i="15"/>
  <c r="C1691" i="15"/>
  <c r="C1695" i="15"/>
  <c r="C1699" i="15"/>
  <c r="C1703" i="15"/>
  <c r="C1707" i="15"/>
  <c r="C1711" i="15"/>
  <c r="C1715" i="15"/>
  <c r="C1719" i="15"/>
  <c r="C1723" i="15"/>
  <c r="C1727" i="15"/>
  <c r="C1731" i="15"/>
  <c r="C1735" i="15"/>
  <c r="C1739" i="15"/>
  <c r="C1743" i="15"/>
  <c r="C1747" i="15"/>
  <c r="C1751" i="15"/>
  <c r="C1755" i="15"/>
  <c r="C1759" i="15"/>
  <c r="C1763" i="15"/>
  <c r="C1767" i="15"/>
  <c r="C1771" i="15"/>
  <c r="C1775" i="15"/>
  <c r="C1779" i="15"/>
  <c r="C1783" i="15"/>
  <c r="C1787" i="15"/>
  <c r="C1791" i="15"/>
  <c r="C1795" i="15"/>
  <c r="C1799" i="15"/>
  <c r="C1803" i="15"/>
  <c r="C1807" i="15"/>
  <c r="C1811" i="15"/>
  <c r="C1815" i="15"/>
  <c r="C1819" i="15"/>
  <c r="C1823" i="15"/>
  <c r="C1827" i="15"/>
  <c r="C1831" i="15"/>
  <c r="C1835" i="15"/>
  <c r="C1839" i="15"/>
  <c r="C1843" i="15"/>
  <c r="C1847" i="15"/>
  <c r="C1851" i="15"/>
  <c r="C1855" i="15"/>
  <c r="C1859" i="15"/>
  <c r="D708" i="15"/>
  <c r="D712" i="15"/>
  <c r="D716" i="15"/>
  <c r="D720" i="15"/>
  <c r="D724" i="15"/>
  <c r="D728" i="15"/>
  <c r="D732" i="15"/>
  <c r="D736" i="15"/>
  <c r="D740" i="15"/>
  <c r="D744" i="15"/>
  <c r="D748" i="15"/>
  <c r="D752" i="15"/>
  <c r="D756" i="15"/>
  <c r="D760" i="15"/>
  <c r="D764" i="15"/>
  <c r="D768" i="15"/>
  <c r="D772" i="15"/>
  <c r="D776" i="15"/>
  <c r="D780" i="15"/>
  <c r="D784" i="15"/>
  <c r="D788" i="15"/>
  <c r="D792" i="15"/>
  <c r="D796" i="15"/>
  <c r="D800" i="15"/>
  <c r="D804" i="15"/>
  <c r="D808" i="15"/>
  <c r="D812" i="15"/>
  <c r="D816" i="15"/>
  <c r="D820" i="15"/>
  <c r="D824" i="15"/>
  <c r="D828" i="15"/>
  <c r="D832" i="15"/>
  <c r="D836" i="15"/>
  <c r="D840" i="15"/>
  <c r="D844" i="15"/>
  <c r="D848" i="15"/>
  <c r="D852" i="15"/>
  <c r="D856" i="15"/>
  <c r="D860" i="15"/>
  <c r="D864" i="15"/>
  <c r="D868" i="15"/>
  <c r="D872" i="15"/>
  <c r="D876" i="15"/>
  <c r="D880" i="15"/>
  <c r="D884" i="15"/>
  <c r="D888" i="15"/>
  <c r="D892" i="15"/>
  <c r="D896" i="15"/>
  <c r="D900" i="15"/>
  <c r="D904" i="15"/>
  <c r="D908" i="15"/>
  <c r="D912" i="15"/>
  <c r="D916" i="15"/>
  <c r="D920" i="15"/>
  <c r="D924" i="15"/>
  <c r="D928" i="15"/>
  <c r="D932" i="15"/>
  <c r="D936" i="15"/>
  <c r="D940" i="15"/>
  <c r="D944" i="15"/>
  <c r="D948" i="15"/>
  <c r="D952" i="15"/>
  <c r="D956" i="15"/>
  <c r="D960" i="15"/>
  <c r="D964" i="15"/>
  <c r="D968" i="15"/>
  <c r="D972" i="15"/>
  <c r="D976" i="15"/>
  <c r="D980" i="15"/>
  <c r="D984" i="15"/>
  <c r="D988" i="15"/>
  <c r="D992" i="15"/>
  <c r="D996" i="15"/>
  <c r="D1000" i="15"/>
  <c r="C963" i="15"/>
  <c r="C1282" i="15"/>
  <c r="C1362" i="15"/>
  <c r="C1426" i="15"/>
  <c r="C1490" i="15"/>
  <c r="C1554" i="15"/>
  <c r="C1577" i="15"/>
  <c r="C1593" i="15"/>
  <c r="C1608" i="15"/>
  <c r="C1624" i="15"/>
  <c r="C1640" i="15"/>
  <c r="C1656" i="15"/>
  <c r="C1672" i="15"/>
  <c r="C1688" i="15"/>
  <c r="C1704" i="15"/>
  <c r="C1720" i="15"/>
  <c r="C1736" i="15"/>
  <c r="C1752" i="15"/>
  <c r="C1768" i="15"/>
  <c r="C1784" i="15"/>
  <c r="C1800" i="15"/>
  <c r="C1816" i="15"/>
  <c r="C1832" i="15"/>
  <c r="C1848" i="15"/>
  <c r="D709" i="15"/>
  <c r="D725" i="15"/>
  <c r="D741" i="15"/>
  <c r="D757" i="15"/>
  <c r="D773" i="15"/>
  <c r="D789" i="15"/>
  <c r="D805" i="15"/>
  <c r="D821" i="15"/>
  <c r="D837" i="15"/>
  <c r="D853" i="15"/>
  <c r="D869" i="15"/>
  <c r="D885" i="15"/>
  <c r="D901" i="15"/>
  <c r="D917" i="15"/>
  <c r="D933" i="15"/>
  <c r="D949" i="15"/>
  <c r="D965" i="15"/>
  <c r="D981" i="15"/>
  <c r="D997" i="15"/>
  <c r="D1004" i="15"/>
  <c r="D1008" i="15"/>
  <c r="D1012" i="15"/>
  <c r="D1016" i="15"/>
  <c r="D1020" i="15"/>
  <c r="D1024" i="15"/>
  <c r="D1028" i="15"/>
  <c r="D1032" i="15"/>
  <c r="D1036" i="15"/>
  <c r="D1040" i="15"/>
  <c r="D1044" i="15"/>
  <c r="D1048" i="15"/>
  <c r="D1052" i="15"/>
  <c r="D1056" i="15"/>
  <c r="D1060" i="15"/>
  <c r="D1064" i="15"/>
  <c r="D1068" i="15"/>
  <c r="D1072" i="15"/>
  <c r="D1076" i="15"/>
  <c r="D1080" i="15"/>
  <c r="D1084" i="15"/>
  <c r="D1088" i="15"/>
  <c r="D1092" i="15"/>
  <c r="D1096" i="15"/>
  <c r="D1100" i="15"/>
  <c r="D1104" i="15"/>
  <c r="D1108" i="15"/>
  <c r="D1112" i="15"/>
  <c r="D1116" i="15"/>
  <c r="D1120" i="15"/>
  <c r="D1124" i="15"/>
  <c r="D1128" i="15"/>
  <c r="D1132" i="15"/>
  <c r="D1136" i="15"/>
  <c r="D1140" i="15"/>
  <c r="D1144" i="15"/>
  <c r="D1148" i="15"/>
  <c r="D1152" i="15"/>
  <c r="D1156" i="15"/>
  <c r="D1160" i="15"/>
  <c r="D1164" i="15"/>
  <c r="D1168" i="15"/>
  <c r="D1172" i="15"/>
  <c r="D1176" i="15"/>
  <c r="D1180" i="15"/>
  <c r="D1184" i="15"/>
  <c r="D1188" i="15"/>
  <c r="D1192" i="15"/>
  <c r="D1196" i="15"/>
  <c r="D1200" i="15"/>
  <c r="D1204" i="15"/>
  <c r="D1208" i="15"/>
  <c r="D1212" i="15"/>
  <c r="D1216" i="15"/>
  <c r="D1220" i="15"/>
  <c r="D1224" i="15"/>
  <c r="D1228" i="15"/>
  <c r="D1232" i="15"/>
  <c r="D1236" i="15"/>
  <c r="D1240" i="15"/>
  <c r="D1244" i="15"/>
  <c r="D1248" i="15"/>
  <c r="D1252" i="15"/>
  <c r="D1256" i="15"/>
  <c r="D1260" i="15"/>
  <c r="D1264" i="15"/>
  <c r="D1268" i="15"/>
  <c r="D1272" i="15"/>
  <c r="D1276" i="15"/>
  <c r="D1280" i="15"/>
  <c r="D1284" i="15"/>
  <c r="D1288" i="15"/>
  <c r="D1292" i="15"/>
  <c r="D1296" i="15"/>
  <c r="D1300" i="15"/>
  <c r="D1304" i="15"/>
  <c r="D1308" i="15"/>
  <c r="D1312" i="15"/>
  <c r="D1316" i="15"/>
  <c r="D1320" i="15"/>
  <c r="D1324" i="15"/>
  <c r="D1328" i="15"/>
  <c r="D1332" i="15"/>
  <c r="D1336" i="15"/>
  <c r="D1340" i="15"/>
  <c r="D1344" i="15"/>
  <c r="D1348" i="15"/>
  <c r="D1352" i="15"/>
  <c r="D1356" i="15"/>
  <c r="D1360" i="15"/>
  <c r="D1364" i="15"/>
  <c r="D1368" i="15"/>
  <c r="D1372" i="15"/>
  <c r="D1376" i="15"/>
  <c r="D1380" i="15"/>
  <c r="D1384" i="15"/>
  <c r="D1388" i="15"/>
  <c r="D1392" i="15"/>
  <c r="D1396" i="15"/>
  <c r="D1400" i="15"/>
  <c r="D1404" i="15"/>
  <c r="D1408" i="15"/>
  <c r="D1412" i="15"/>
  <c r="D1416" i="15"/>
  <c r="D1420" i="15"/>
  <c r="D1424" i="15"/>
  <c r="D1428" i="15"/>
  <c r="D1432" i="15"/>
  <c r="D1436" i="15"/>
  <c r="D1440" i="15"/>
  <c r="D1444" i="15"/>
  <c r="D1448" i="15"/>
  <c r="D1452" i="15"/>
  <c r="D1456" i="15"/>
  <c r="D1460" i="15"/>
  <c r="D1464" i="15"/>
  <c r="D1468" i="15"/>
  <c r="D1472" i="15"/>
  <c r="D1476" i="15"/>
  <c r="D1480" i="15"/>
  <c r="D1484" i="15"/>
  <c r="C1090" i="15"/>
  <c r="C1314" i="15"/>
  <c r="C1378" i="15"/>
  <c r="C1442" i="15"/>
  <c r="C1506" i="15"/>
  <c r="C1563" i="15"/>
  <c r="C1581" i="15"/>
  <c r="C1597" i="15"/>
  <c r="C1612" i="15"/>
  <c r="C1628" i="15"/>
  <c r="C1644" i="15"/>
  <c r="C1660" i="15"/>
  <c r="C1676" i="15"/>
  <c r="C1692" i="15"/>
  <c r="C1708" i="15"/>
  <c r="C1724" i="15"/>
  <c r="C1740" i="15"/>
  <c r="C1756" i="15"/>
  <c r="C1772" i="15"/>
  <c r="C1788" i="15"/>
  <c r="C1804" i="15"/>
  <c r="C1820" i="15"/>
  <c r="C1836" i="15"/>
  <c r="C1852" i="15"/>
  <c r="D713" i="15"/>
  <c r="D729" i="15"/>
  <c r="D745" i="15"/>
  <c r="D761" i="15"/>
  <c r="D777" i="15"/>
  <c r="D793" i="15"/>
  <c r="D809" i="15"/>
  <c r="D825" i="15"/>
  <c r="D841" i="15"/>
  <c r="D857" i="15"/>
  <c r="D873" i="15"/>
  <c r="D889" i="15"/>
  <c r="D905" i="15"/>
  <c r="D921" i="15"/>
  <c r="D937" i="15"/>
  <c r="D953" i="15"/>
  <c r="D969" i="15"/>
  <c r="D985" i="15"/>
  <c r="D1001" i="15"/>
  <c r="D1005" i="15"/>
  <c r="D1009" i="15"/>
  <c r="D1013" i="15"/>
  <c r="D1017" i="15"/>
  <c r="D1021" i="15"/>
  <c r="D1025" i="15"/>
  <c r="D1029" i="15"/>
  <c r="D1033" i="15"/>
  <c r="D1037" i="15"/>
  <c r="D1041" i="15"/>
  <c r="D1045" i="15"/>
  <c r="D1049" i="15"/>
  <c r="D1053" i="15"/>
  <c r="D1057" i="15"/>
  <c r="D1061" i="15"/>
  <c r="D1065" i="15"/>
  <c r="D1069" i="15"/>
  <c r="D1073" i="15"/>
  <c r="D1077" i="15"/>
  <c r="D1081" i="15"/>
  <c r="D1085" i="15"/>
  <c r="D1089" i="15"/>
  <c r="D1093" i="15"/>
  <c r="D1097" i="15"/>
  <c r="D1101" i="15"/>
  <c r="D1105" i="15"/>
  <c r="D1109" i="15"/>
  <c r="D1113" i="15"/>
  <c r="D1117" i="15"/>
  <c r="D1121" i="15"/>
  <c r="D1125" i="15"/>
  <c r="D1129" i="15"/>
  <c r="D1133" i="15"/>
  <c r="D1137" i="15"/>
  <c r="D1141" i="15"/>
  <c r="D1145" i="15"/>
  <c r="D1149" i="15"/>
  <c r="D1153" i="15"/>
  <c r="D1157" i="15"/>
  <c r="D1161" i="15"/>
  <c r="D1165" i="15"/>
  <c r="D1169" i="15"/>
  <c r="D1173" i="15"/>
  <c r="D1177" i="15"/>
  <c r="D1181" i="15"/>
  <c r="D1185" i="15"/>
  <c r="D1189" i="15"/>
  <c r="D1193" i="15"/>
  <c r="D1197" i="15"/>
  <c r="D1201" i="15"/>
  <c r="D1205" i="15"/>
  <c r="D1209" i="15"/>
  <c r="D1213" i="15"/>
  <c r="D1217" i="15"/>
  <c r="D1221" i="15"/>
  <c r="D1225" i="15"/>
  <c r="D1229" i="15"/>
  <c r="D1233" i="15"/>
  <c r="D1237" i="15"/>
  <c r="D1241" i="15"/>
  <c r="D1245" i="15"/>
  <c r="D1249" i="15"/>
  <c r="D1253" i="15"/>
  <c r="D1257" i="15"/>
  <c r="D1261" i="15"/>
  <c r="D1265" i="15"/>
  <c r="D1269" i="15"/>
  <c r="D1273" i="15"/>
  <c r="D1277" i="15"/>
  <c r="D1281" i="15"/>
  <c r="D1285" i="15"/>
  <c r="D1289" i="15"/>
  <c r="D1293" i="15"/>
  <c r="D1297" i="15"/>
  <c r="D1301" i="15"/>
  <c r="D1305" i="15"/>
  <c r="D1309" i="15"/>
  <c r="D1313" i="15"/>
  <c r="D1317" i="15"/>
  <c r="D1321" i="15"/>
  <c r="D1325" i="15"/>
  <c r="D1329" i="15"/>
  <c r="D1333" i="15"/>
  <c r="D1337" i="15"/>
  <c r="D1341" i="15"/>
  <c r="D1345" i="15"/>
  <c r="D1349" i="15"/>
  <c r="D1353" i="15"/>
  <c r="D1357" i="15"/>
  <c r="D1361" i="15"/>
  <c r="D1365" i="15"/>
  <c r="D1369" i="15"/>
  <c r="D1373" i="15"/>
  <c r="D1377" i="15"/>
  <c r="D1381" i="15"/>
  <c r="D1385" i="15"/>
  <c r="D1389" i="15"/>
  <c r="D1393" i="15"/>
  <c r="D1397" i="15"/>
  <c r="D1401" i="15"/>
  <c r="D1405" i="15"/>
  <c r="D1409" i="15"/>
  <c r="D1413" i="15"/>
  <c r="D1417" i="15"/>
  <c r="D1421" i="15"/>
  <c r="D1425" i="15"/>
  <c r="D1429" i="15"/>
  <c r="D1433" i="15"/>
  <c r="D1437" i="15"/>
  <c r="D1441" i="15"/>
  <c r="D1445" i="15"/>
  <c r="D1449" i="15"/>
  <c r="D1453" i="15"/>
  <c r="D1457" i="15"/>
  <c r="D1461" i="15"/>
  <c r="D1465" i="15"/>
  <c r="D1469" i="15"/>
  <c r="D1473" i="15"/>
  <c r="D1477" i="15"/>
  <c r="D1481" i="15"/>
  <c r="D1485" i="15"/>
  <c r="D1489" i="15"/>
  <c r="D1493" i="15"/>
  <c r="D1497" i="15"/>
  <c r="D1501" i="15"/>
  <c r="D1505" i="15"/>
  <c r="D1509" i="15"/>
  <c r="C1154" i="15"/>
  <c r="C1330" i="15"/>
  <c r="C1394" i="15"/>
  <c r="C1458" i="15"/>
  <c r="C1522" i="15"/>
  <c r="C1569" i="15"/>
  <c r="C1585" i="15"/>
  <c r="C1601" i="15"/>
  <c r="C1616" i="15"/>
  <c r="C1632" i="15"/>
  <c r="C1648" i="15"/>
  <c r="C1664" i="15"/>
  <c r="C1680" i="15"/>
  <c r="C1696" i="15"/>
  <c r="C1712" i="15"/>
  <c r="C1728" i="15"/>
  <c r="C1744" i="15"/>
  <c r="C1760" i="15"/>
  <c r="C1776" i="15"/>
  <c r="C1792" i="15"/>
  <c r="C1808" i="15"/>
  <c r="C1824" i="15"/>
  <c r="C1840" i="15"/>
  <c r="C1856" i="15"/>
  <c r="D717" i="15"/>
  <c r="D733" i="15"/>
  <c r="D749" i="15"/>
  <c r="D765" i="15"/>
  <c r="D781" i="15"/>
  <c r="D797" i="15"/>
  <c r="D813" i="15"/>
  <c r="D829" i="15"/>
  <c r="D845" i="15"/>
  <c r="D861" i="15"/>
  <c r="D877" i="15"/>
  <c r="D893" i="15"/>
  <c r="D909" i="15"/>
  <c r="D925" i="15"/>
  <c r="D941" i="15"/>
  <c r="D957" i="15"/>
  <c r="D973" i="15"/>
  <c r="D989" i="15"/>
  <c r="D1002" i="15"/>
  <c r="D1006" i="15"/>
  <c r="D1010" i="15"/>
  <c r="D1014" i="15"/>
  <c r="D1018" i="15"/>
  <c r="D1022" i="15"/>
  <c r="D1026" i="15"/>
  <c r="D1030" i="15"/>
  <c r="D1034" i="15"/>
  <c r="D1038" i="15"/>
  <c r="D1042" i="15"/>
  <c r="D1046" i="15"/>
  <c r="D1050" i="15"/>
  <c r="D1054" i="15"/>
  <c r="D1058" i="15"/>
  <c r="D1062" i="15"/>
  <c r="D1066" i="15"/>
  <c r="D1070" i="15"/>
  <c r="D1074" i="15"/>
  <c r="D1078" i="15"/>
  <c r="D1082" i="15"/>
  <c r="D1086" i="15"/>
  <c r="D1090" i="15"/>
  <c r="D1094" i="15"/>
  <c r="D1098" i="15"/>
  <c r="D1102" i="15"/>
  <c r="D1106" i="15"/>
  <c r="D1110" i="15"/>
  <c r="D1114" i="15"/>
  <c r="D1118" i="15"/>
  <c r="D1122" i="15"/>
  <c r="D1126" i="15"/>
  <c r="D1130" i="15"/>
  <c r="D1134" i="15"/>
  <c r="D1138" i="15"/>
  <c r="D1142" i="15"/>
  <c r="D1146" i="15"/>
  <c r="D1150" i="15"/>
  <c r="D1154" i="15"/>
  <c r="D1158" i="15"/>
  <c r="D1162" i="15"/>
  <c r="D1166" i="15"/>
  <c r="D1170" i="15"/>
  <c r="D1174" i="15"/>
  <c r="D1178" i="15"/>
  <c r="D1182" i="15"/>
  <c r="D1186" i="15"/>
  <c r="D1190" i="15"/>
  <c r="D1194" i="15"/>
  <c r="D1198" i="15"/>
  <c r="D1202" i="15"/>
  <c r="D1206" i="15"/>
  <c r="D1210" i="15"/>
  <c r="D1214" i="15"/>
  <c r="D1218" i="15"/>
  <c r="D1222" i="15"/>
  <c r="D1226" i="15"/>
  <c r="D1230" i="15"/>
  <c r="D1234" i="15"/>
  <c r="D1238" i="15"/>
  <c r="D1242" i="15"/>
  <c r="D1246" i="15"/>
  <c r="D1250" i="15"/>
  <c r="D1254" i="15"/>
  <c r="D1258" i="15"/>
  <c r="D1262" i="15"/>
  <c r="D1266" i="15"/>
  <c r="D1270" i="15"/>
  <c r="D1274" i="15"/>
  <c r="D1278" i="15"/>
  <c r="D1282" i="15"/>
  <c r="D1286" i="15"/>
  <c r="D1290" i="15"/>
  <c r="D1294" i="15"/>
  <c r="D1298" i="15"/>
  <c r="D1302" i="15"/>
  <c r="D1306" i="15"/>
  <c r="D1310" i="15"/>
  <c r="D1314" i="15"/>
  <c r="D1318" i="15"/>
  <c r="D1322" i="15"/>
  <c r="D1326" i="15"/>
  <c r="D1330" i="15"/>
  <c r="D1334" i="15"/>
  <c r="D1338" i="15"/>
  <c r="D1342" i="15"/>
  <c r="D1346" i="15"/>
  <c r="D1350" i="15"/>
  <c r="D1354" i="15"/>
  <c r="D1358" i="15"/>
  <c r="D1362" i="15"/>
  <c r="D1366" i="15"/>
  <c r="D1370" i="15"/>
  <c r="D1374" i="15"/>
  <c r="D1378" i="15"/>
  <c r="D1382" i="15"/>
  <c r="D1386" i="15"/>
  <c r="D1390" i="15"/>
  <c r="D1394" i="15"/>
  <c r="D1398" i="15"/>
  <c r="D1402" i="15"/>
  <c r="D1406" i="15"/>
  <c r="D1410" i="15"/>
  <c r="D1414" i="15"/>
  <c r="D1418" i="15"/>
  <c r="D1422" i="15"/>
  <c r="D1426" i="15"/>
  <c r="D1430" i="15"/>
  <c r="D1434" i="15"/>
  <c r="D1438" i="15"/>
  <c r="D1442" i="15"/>
  <c r="D1446" i="15"/>
  <c r="D1450" i="15"/>
  <c r="D1454" i="15"/>
  <c r="D1458" i="15"/>
  <c r="D1462" i="15"/>
  <c r="D1466" i="15"/>
  <c r="D1470" i="15"/>
  <c r="D1474" i="15"/>
  <c r="D1478" i="15"/>
  <c r="D1482" i="15"/>
  <c r="D1486" i="15"/>
  <c r="D1490" i="15"/>
  <c r="D1494" i="15"/>
  <c r="D1498" i="15"/>
  <c r="D1502" i="15"/>
  <c r="D1506" i="15"/>
  <c r="D1510" i="15"/>
  <c r="C1218" i="15"/>
  <c r="C1538" i="15"/>
  <c r="C1620" i="15"/>
  <c r="C1684" i="15"/>
  <c r="C1748" i="15"/>
  <c r="C1812" i="15"/>
  <c r="D721" i="15"/>
  <c r="D785" i="15"/>
  <c r="D849" i="15"/>
  <c r="D913" i="15"/>
  <c r="D977" i="15"/>
  <c r="D1011" i="15"/>
  <c r="D1027" i="15"/>
  <c r="D1043" i="15"/>
  <c r="D1059" i="15"/>
  <c r="D1075" i="15"/>
  <c r="D1091" i="15"/>
  <c r="D1107" i="15"/>
  <c r="D1123" i="15"/>
  <c r="D1139" i="15"/>
  <c r="D1155" i="15"/>
  <c r="D1171" i="15"/>
  <c r="D1187" i="15"/>
  <c r="D1203" i="15"/>
  <c r="D1219" i="15"/>
  <c r="D1235" i="15"/>
  <c r="D1251" i="15"/>
  <c r="D1267" i="15"/>
  <c r="D1283" i="15"/>
  <c r="D1299" i="15"/>
  <c r="D1315" i="15"/>
  <c r="D1331" i="15"/>
  <c r="D1347" i="15"/>
  <c r="D1363" i="15"/>
  <c r="D1379" i="15"/>
  <c r="D1395" i="15"/>
  <c r="D1411" i="15"/>
  <c r="D1427" i="15"/>
  <c r="D1443" i="15"/>
  <c r="D1459" i="15"/>
  <c r="D1475" i="15"/>
  <c r="D1488" i="15"/>
  <c r="D1496" i="15"/>
  <c r="D1504" i="15"/>
  <c r="D1512" i="15"/>
  <c r="D1516" i="15"/>
  <c r="D1520" i="15"/>
  <c r="D1524" i="15"/>
  <c r="D1528" i="15"/>
  <c r="D1532" i="15"/>
  <c r="D1536" i="15"/>
  <c r="D1540" i="15"/>
  <c r="D1544" i="15"/>
  <c r="D1548" i="15"/>
  <c r="D1552" i="15"/>
  <c r="D1556" i="15"/>
  <c r="D1560" i="15"/>
  <c r="D1564" i="15"/>
  <c r="D1568" i="15"/>
  <c r="D1572" i="15"/>
  <c r="D1576" i="15"/>
  <c r="D1580" i="15"/>
  <c r="D1584" i="15"/>
  <c r="D1588" i="15"/>
  <c r="D1592" i="15"/>
  <c r="D1596" i="15"/>
  <c r="D1600" i="15"/>
  <c r="D1604" i="15"/>
  <c r="D1607" i="15"/>
  <c r="D1611" i="15"/>
  <c r="D1615" i="15"/>
  <c r="D1619" i="15"/>
  <c r="D1623" i="15"/>
  <c r="D1627" i="15"/>
  <c r="D1631" i="15"/>
  <c r="D1635" i="15"/>
  <c r="D1639" i="15"/>
  <c r="D1643" i="15"/>
  <c r="D1647" i="15"/>
  <c r="D1651" i="15"/>
  <c r="D1655" i="15"/>
  <c r="D1659" i="15"/>
  <c r="D1663" i="15"/>
  <c r="D1667" i="15"/>
  <c r="D1671" i="15"/>
  <c r="D1675" i="15"/>
  <c r="D1679" i="15"/>
  <c r="D1683" i="15"/>
  <c r="D1687" i="15"/>
  <c r="D1691" i="15"/>
  <c r="D1695" i="15"/>
  <c r="D1699" i="15"/>
  <c r="D1703" i="15"/>
  <c r="D1707" i="15"/>
  <c r="D1711" i="15"/>
  <c r="D1715" i="15"/>
  <c r="D1719" i="15"/>
  <c r="D1723" i="15"/>
  <c r="D1727" i="15"/>
  <c r="D1731" i="15"/>
  <c r="D1735" i="15"/>
  <c r="D1739" i="15"/>
  <c r="D1743" i="15"/>
  <c r="D1747" i="15"/>
  <c r="D1751" i="15"/>
  <c r="D1755" i="15"/>
  <c r="D1759" i="15"/>
  <c r="D1763" i="15"/>
  <c r="D1767" i="15"/>
  <c r="D1771" i="15"/>
  <c r="D1775" i="15"/>
  <c r="D1779" i="15"/>
  <c r="D1783" i="15"/>
  <c r="D1787" i="15"/>
  <c r="D1791" i="15"/>
  <c r="D1795" i="15"/>
  <c r="D1799" i="15"/>
  <c r="D1803" i="15"/>
  <c r="D1807" i="15"/>
  <c r="D1811" i="15"/>
  <c r="D1815" i="15"/>
  <c r="D1819" i="15"/>
  <c r="D1823" i="15"/>
  <c r="D1827" i="15"/>
  <c r="D1831" i="15"/>
  <c r="D1835" i="15"/>
  <c r="D1839" i="15"/>
  <c r="D1843" i="15"/>
  <c r="D1847" i="15"/>
  <c r="D1851" i="15"/>
  <c r="D1855" i="15"/>
  <c r="D1859" i="15"/>
  <c r="E708" i="15"/>
  <c r="E712" i="15"/>
  <c r="E716" i="15"/>
  <c r="E720" i="15"/>
  <c r="E724" i="15"/>
  <c r="E728" i="15"/>
  <c r="E732" i="15"/>
  <c r="E736" i="15"/>
  <c r="E740" i="15"/>
  <c r="E744" i="15"/>
  <c r="E748" i="15"/>
  <c r="E752" i="15"/>
  <c r="E756" i="15"/>
  <c r="E760" i="15"/>
  <c r="E764" i="15"/>
  <c r="E768" i="15"/>
  <c r="E772" i="15"/>
  <c r="E776" i="15"/>
  <c r="E780" i="15"/>
  <c r="E784" i="15"/>
  <c r="E788" i="15"/>
  <c r="E792" i="15"/>
  <c r="E796" i="15"/>
  <c r="E800" i="15"/>
  <c r="E804" i="15"/>
  <c r="E808" i="15"/>
  <c r="E812" i="15"/>
  <c r="E816" i="15"/>
  <c r="E820" i="15"/>
  <c r="E824" i="15"/>
  <c r="E828" i="15"/>
  <c r="E832" i="15"/>
  <c r="E836" i="15"/>
  <c r="E840" i="15"/>
  <c r="E844" i="15"/>
  <c r="E848" i="15"/>
  <c r="E852" i="15"/>
  <c r="E856" i="15"/>
  <c r="E860" i="15"/>
  <c r="E864" i="15"/>
  <c r="C1346" i="15"/>
  <c r="C1573" i="15"/>
  <c r="C1636" i="15"/>
  <c r="C1700" i="15"/>
  <c r="C1764" i="15"/>
  <c r="C1828" i="15"/>
  <c r="D737" i="15"/>
  <c r="D801" i="15"/>
  <c r="D865" i="15"/>
  <c r="D929" i="15"/>
  <c r="D993" i="15"/>
  <c r="D1015" i="15"/>
  <c r="D1031" i="15"/>
  <c r="D1047" i="15"/>
  <c r="D1063" i="15"/>
  <c r="D1079" i="15"/>
  <c r="D1095" i="15"/>
  <c r="D1111" i="15"/>
  <c r="D1127" i="15"/>
  <c r="D1143" i="15"/>
  <c r="D1159" i="15"/>
  <c r="D1175" i="15"/>
  <c r="D1191" i="15"/>
  <c r="D1207" i="15"/>
  <c r="D1223" i="15"/>
  <c r="D1239" i="15"/>
  <c r="D1255" i="15"/>
  <c r="D1271" i="15"/>
  <c r="D1287" i="15"/>
  <c r="D1303" i="15"/>
  <c r="D1319" i="15"/>
  <c r="D1335" i="15"/>
  <c r="D1351" i="15"/>
  <c r="D1367" i="15"/>
  <c r="D1383" i="15"/>
  <c r="D1399" i="15"/>
  <c r="D1415" i="15"/>
  <c r="D1431" i="15"/>
  <c r="D1447" i="15"/>
  <c r="D1463" i="15"/>
  <c r="D1479" i="15"/>
  <c r="D1491" i="15"/>
  <c r="D1499" i="15"/>
  <c r="D1507" i="15"/>
  <c r="D1513" i="15"/>
  <c r="D1517" i="15"/>
  <c r="D1521" i="15"/>
  <c r="D1525" i="15"/>
  <c r="D1529" i="15"/>
  <c r="D1533" i="15"/>
  <c r="D1537" i="15"/>
  <c r="D1541" i="15"/>
  <c r="D1545" i="15"/>
  <c r="D1549" i="15"/>
  <c r="D1553" i="15"/>
  <c r="D1557" i="15"/>
  <c r="D1561" i="15"/>
  <c r="D1565" i="15"/>
  <c r="D1569" i="15"/>
  <c r="D1573" i="15"/>
  <c r="D1577" i="15"/>
  <c r="D1581" i="15"/>
  <c r="D1585" i="15"/>
  <c r="D1589" i="15"/>
  <c r="D1593" i="15"/>
  <c r="D1597" i="15"/>
  <c r="D1601" i="15"/>
  <c r="D1605" i="15"/>
  <c r="D1608" i="15"/>
  <c r="D1612" i="15"/>
  <c r="D1616" i="15"/>
  <c r="D1620" i="15"/>
  <c r="D1624" i="15"/>
  <c r="D1628" i="15"/>
  <c r="D1632" i="15"/>
  <c r="D1636" i="15"/>
  <c r="D1640" i="15"/>
  <c r="D1644" i="15"/>
  <c r="D1648" i="15"/>
  <c r="D1652" i="15"/>
  <c r="D1656" i="15"/>
  <c r="D1660" i="15"/>
  <c r="D1664" i="15"/>
  <c r="D1668" i="15"/>
  <c r="D1672" i="15"/>
  <c r="D1676" i="15"/>
  <c r="D1680" i="15"/>
  <c r="D1684" i="15"/>
  <c r="D1688" i="15"/>
  <c r="D1692" i="15"/>
  <c r="D1696" i="15"/>
  <c r="D1700" i="15"/>
  <c r="D1704" i="15"/>
  <c r="D1708" i="15"/>
  <c r="D1712" i="15"/>
  <c r="D1716" i="15"/>
  <c r="D1720" i="15"/>
  <c r="D1724" i="15"/>
  <c r="D1728" i="15"/>
  <c r="D1732" i="15"/>
  <c r="D1736" i="15"/>
  <c r="D1740" i="15"/>
  <c r="D1744" i="15"/>
  <c r="D1748" i="15"/>
  <c r="D1752" i="15"/>
  <c r="D1756" i="15"/>
  <c r="D1760" i="15"/>
  <c r="D1764" i="15"/>
  <c r="D1768" i="15"/>
  <c r="D1772" i="15"/>
  <c r="D1776" i="15"/>
  <c r="D1780" i="15"/>
  <c r="D1784" i="15"/>
  <c r="D1788" i="15"/>
  <c r="D1792" i="15"/>
  <c r="D1796" i="15"/>
  <c r="D1800" i="15"/>
  <c r="D1804" i="15"/>
  <c r="D1808" i="15"/>
  <c r="D1812" i="15"/>
  <c r="D1816" i="15"/>
  <c r="D1820" i="15"/>
  <c r="D1824" i="15"/>
  <c r="D1828" i="15"/>
  <c r="D1832" i="15"/>
  <c r="D1836" i="15"/>
  <c r="D1840" i="15"/>
  <c r="D1844" i="15"/>
  <c r="D1848" i="15"/>
  <c r="D1852" i="15"/>
  <c r="D1856" i="15"/>
  <c r="D1860" i="15"/>
  <c r="E709" i="15"/>
  <c r="E713" i="15"/>
  <c r="E717" i="15"/>
  <c r="E721" i="15"/>
  <c r="E725" i="15"/>
  <c r="E729" i="15"/>
  <c r="E733" i="15"/>
  <c r="E737" i="15"/>
  <c r="E741" i="15"/>
  <c r="E745" i="15"/>
  <c r="E749" i="15"/>
  <c r="E753" i="15"/>
  <c r="E757" i="15"/>
  <c r="E761" i="15"/>
  <c r="E765" i="15"/>
  <c r="E769" i="15"/>
  <c r="E773" i="15"/>
  <c r="E777" i="15"/>
  <c r="E781" i="15"/>
  <c r="E785" i="15"/>
  <c r="E789" i="15"/>
  <c r="E793" i="15"/>
  <c r="E797" i="15"/>
  <c r="E801" i="15"/>
  <c r="E805" i="15"/>
  <c r="E809" i="15"/>
  <c r="E813" i="15"/>
  <c r="E817" i="15"/>
  <c r="E821" i="15"/>
  <c r="E825" i="15"/>
  <c r="E829" i="15"/>
  <c r="E833" i="15"/>
  <c r="E837" i="15"/>
  <c r="E841" i="15"/>
  <c r="E845" i="15"/>
  <c r="E849" i="15"/>
  <c r="E853" i="15"/>
  <c r="E857" i="15"/>
  <c r="E861" i="15"/>
  <c r="C1410" i="15"/>
  <c r="C1589" i="15"/>
  <c r="C1652" i="15"/>
  <c r="C1716" i="15"/>
  <c r="C1780" i="15"/>
  <c r="C1844" i="15"/>
  <c r="D753" i="15"/>
  <c r="D817" i="15"/>
  <c r="D881" i="15"/>
  <c r="D945" i="15"/>
  <c r="D1003" i="15"/>
  <c r="D1019" i="15"/>
  <c r="D1035" i="15"/>
  <c r="D1051" i="15"/>
  <c r="D1067" i="15"/>
  <c r="D1083" i="15"/>
  <c r="D1099" i="15"/>
  <c r="D1115" i="15"/>
  <c r="D1131" i="15"/>
  <c r="D1147" i="15"/>
  <c r="D1163" i="15"/>
  <c r="D1179" i="15"/>
  <c r="D1195" i="15"/>
  <c r="D1211" i="15"/>
  <c r="D1227" i="15"/>
  <c r="D1243" i="15"/>
  <c r="D1259" i="15"/>
  <c r="D1275" i="15"/>
  <c r="D1291" i="15"/>
  <c r="D1307" i="15"/>
  <c r="D1323" i="15"/>
  <c r="D1339" i="15"/>
  <c r="D1355" i="15"/>
  <c r="D1371" i="15"/>
  <c r="D1387" i="15"/>
  <c r="D1403" i="15"/>
  <c r="D1419" i="15"/>
  <c r="D1435" i="15"/>
  <c r="D1451" i="15"/>
  <c r="D1467" i="15"/>
  <c r="D1483" i="15"/>
  <c r="D1492" i="15"/>
  <c r="D1500" i="15"/>
  <c r="D1508" i="15"/>
  <c r="D1514" i="15"/>
  <c r="D1518" i="15"/>
  <c r="D1522" i="15"/>
  <c r="D1526" i="15"/>
  <c r="D1530" i="15"/>
  <c r="D1534" i="15"/>
  <c r="D1538" i="15"/>
  <c r="D1542" i="15"/>
  <c r="D1546" i="15"/>
  <c r="D1550" i="15"/>
  <c r="D1554" i="15"/>
  <c r="D1558" i="15"/>
  <c r="D1562" i="15"/>
  <c r="D1566" i="15"/>
  <c r="D1570" i="15"/>
  <c r="D1574" i="15"/>
  <c r="D1578" i="15"/>
  <c r="D1582" i="15"/>
  <c r="D1586" i="15"/>
  <c r="D1590" i="15"/>
  <c r="D1594" i="15"/>
  <c r="D1598" i="15"/>
  <c r="D1602" i="15"/>
  <c r="D1609" i="15"/>
  <c r="D1613" i="15"/>
  <c r="D1617" i="15"/>
  <c r="D1621" i="15"/>
  <c r="D1625" i="15"/>
  <c r="D1629" i="15"/>
  <c r="D1633" i="15"/>
  <c r="D1637" i="15"/>
  <c r="D1641" i="15"/>
  <c r="D1645" i="15"/>
  <c r="D1649" i="15"/>
  <c r="D1653" i="15"/>
  <c r="D1657" i="15"/>
  <c r="D1661" i="15"/>
  <c r="D1665" i="15"/>
  <c r="D1669" i="15"/>
  <c r="D1673" i="15"/>
  <c r="D1677" i="15"/>
  <c r="D1681" i="15"/>
  <c r="D1685" i="15"/>
  <c r="D1689" i="15"/>
  <c r="D1693" i="15"/>
  <c r="D1697" i="15"/>
  <c r="D1701" i="15"/>
  <c r="D1705" i="15"/>
  <c r="D1709" i="15"/>
  <c r="D1713" i="15"/>
  <c r="D1717" i="15"/>
  <c r="D1721" i="15"/>
  <c r="D1725" i="15"/>
  <c r="D1729" i="15"/>
  <c r="D1733" i="15"/>
  <c r="D1737" i="15"/>
  <c r="D1741" i="15"/>
  <c r="D1745" i="15"/>
  <c r="D1749" i="15"/>
  <c r="D1753" i="15"/>
  <c r="D1757" i="15"/>
  <c r="D1761" i="15"/>
  <c r="D1765" i="15"/>
  <c r="D1769" i="15"/>
  <c r="D1773" i="15"/>
  <c r="D1777" i="15"/>
  <c r="D1781" i="15"/>
  <c r="D1785" i="15"/>
  <c r="D1789" i="15"/>
  <c r="D1793" i="15"/>
  <c r="D1797" i="15"/>
  <c r="D1801" i="15"/>
  <c r="D1805" i="15"/>
  <c r="D1809" i="15"/>
  <c r="D1813" i="15"/>
  <c r="D1817" i="15"/>
  <c r="D1821" i="15"/>
  <c r="D1825" i="15"/>
  <c r="D1829" i="15"/>
  <c r="D1833" i="15"/>
  <c r="D1837" i="15"/>
  <c r="D1841" i="15"/>
  <c r="D1845" i="15"/>
  <c r="D1849" i="15"/>
  <c r="D1853" i="15"/>
  <c r="D1857" i="15"/>
  <c r="D1861" i="15"/>
  <c r="E710" i="15"/>
  <c r="E714" i="15"/>
  <c r="E718" i="15"/>
  <c r="E722" i="15"/>
  <c r="E726" i="15"/>
  <c r="E730" i="15"/>
  <c r="E734" i="15"/>
  <c r="E738" i="15"/>
  <c r="E742" i="15"/>
  <c r="E746" i="15"/>
  <c r="E750" i="15"/>
  <c r="E754" i="15"/>
  <c r="E758" i="15"/>
  <c r="E762" i="15"/>
  <c r="E766" i="15"/>
  <c r="E770" i="15"/>
  <c r="E774" i="15"/>
  <c r="E778" i="15"/>
  <c r="E782" i="15"/>
  <c r="E786" i="15"/>
  <c r="E790" i="15"/>
  <c r="E794" i="15"/>
  <c r="E798" i="15"/>
  <c r="E802" i="15"/>
  <c r="E806" i="15"/>
  <c r="E810" i="15"/>
  <c r="E814" i="15"/>
  <c r="E818" i="15"/>
  <c r="E822" i="15"/>
  <c r="E826" i="15"/>
  <c r="E830" i="15"/>
  <c r="E834" i="15"/>
  <c r="E838" i="15"/>
  <c r="E842" i="15"/>
  <c r="E846" i="15"/>
  <c r="E850" i="15"/>
  <c r="E854" i="15"/>
  <c r="E858" i="15"/>
  <c r="C1474" i="15"/>
  <c r="C1796" i="15"/>
  <c r="D897" i="15"/>
  <c r="D1039" i="15"/>
  <c r="D1103" i="15"/>
  <c r="D1167" i="15"/>
  <c r="D1231" i="15"/>
  <c r="D1295" i="15"/>
  <c r="D1359" i="15"/>
  <c r="D1423" i="15"/>
  <c r="D1487" i="15"/>
  <c r="D1515" i="15"/>
  <c r="D1531" i="15"/>
  <c r="D1547" i="15"/>
  <c r="D1563" i="15"/>
  <c r="D1579" i="15"/>
  <c r="D1595" i="15"/>
  <c r="D1610" i="15"/>
  <c r="D1626" i="15"/>
  <c r="D1642" i="15"/>
  <c r="D1658" i="15"/>
  <c r="D1674" i="15"/>
  <c r="D1690" i="15"/>
  <c r="D1706" i="15"/>
  <c r="D1722" i="15"/>
  <c r="D1738" i="15"/>
  <c r="D1754" i="15"/>
  <c r="D1770" i="15"/>
  <c r="D1786" i="15"/>
  <c r="D1802" i="15"/>
  <c r="D1818" i="15"/>
  <c r="D1834" i="15"/>
  <c r="D1850" i="15"/>
  <c r="E711" i="15"/>
  <c r="E727" i="15"/>
  <c r="E743" i="15"/>
  <c r="E759" i="15"/>
  <c r="E775" i="15"/>
  <c r="E791" i="15"/>
  <c r="E807" i="15"/>
  <c r="E823" i="15"/>
  <c r="E839" i="15"/>
  <c r="E855" i="15"/>
  <c r="E865" i="15"/>
  <c r="E869" i="15"/>
  <c r="E873" i="15"/>
  <c r="E877" i="15"/>
  <c r="E881" i="15"/>
  <c r="E885" i="15"/>
  <c r="E889" i="15"/>
  <c r="E893" i="15"/>
  <c r="E897" i="15"/>
  <c r="E901" i="15"/>
  <c r="E905" i="15"/>
  <c r="E909" i="15"/>
  <c r="E913" i="15"/>
  <c r="E917" i="15"/>
  <c r="E921" i="15"/>
  <c r="E925" i="15"/>
  <c r="E929" i="15"/>
  <c r="E933" i="15"/>
  <c r="E937" i="15"/>
  <c r="E941" i="15"/>
  <c r="E945" i="15"/>
  <c r="E949" i="15"/>
  <c r="E953" i="15"/>
  <c r="E957" i="15"/>
  <c r="E961" i="15"/>
  <c r="E965" i="15"/>
  <c r="E969" i="15"/>
  <c r="E973" i="15"/>
  <c r="E977" i="15"/>
  <c r="E981" i="15"/>
  <c r="E985" i="15"/>
  <c r="E989" i="15"/>
  <c r="E993" i="15"/>
  <c r="E997" i="15"/>
  <c r="E1001" i="15"/>
  <c r="E1005" i="15"/>
  <c r="E1009" i="15"/>
  <c r="E1013" i="15"/>
  <c r="E1017" i="15"/>
  <c r="E1021" i="15"/>
  <c r="E1025" i="15"/>
  <c r="E1029" i="15"/>
  <c r="E1033" i="15"/>
  <c r="E1037" i="15"/>
  <c r="E1041" i="15"/>
  <c r="E1045" i="15"/>
  <c r="E1049" i="15"/>
  <c r="E1053" i="15"/>
  <c r="E1057" i="15"/>
  <c r="E1061" i="15"/>
  <c r="E1065" i="15"/>
  <c r="E1069" i="15"/>
  <c r="E1073" i="15"/>
  <c r="E1077" i="15"/>
  <c r="E1081" i="15"/>
  <c r="E1085" i="15"/>
  <c r="E1089" i="15"/>
  <c r="E1093" i="15"/>
  <c r="E1097" i="15"/>
  <c r="E1101" i="15"/>
  <c r="E1105" i="15"/>
  <c r="E1109" i="15"/>
  <c r="E1113" i="15"/>
  <c r="E1117" i="15"/>
  <c r="E1121" i="15"/>
  <c r="E1125" i="15"/>
  <c r="E1129" i="15"/>
  <c r="E1133" i="15"/>
  <c r="E1137" i="15"/>
  <c r="E1141" i="15"/>
  <c r="E1145" i="15"/>
  <c r="E1149" i="15"/>
  <c r="E1153" i="15"/>
  <c r="E1157" i="15"/>
  <c r="E1161" i="15"/>
  <c r="E1165" i="15"/>
  <c r="E1169" i="15"/>
  <c r="E1173" i="15"/>
  <c r="E1177" i="15"/>
  <c r="E1181" i="15"/>
  <c r="E1185" i="15"/>
  <c r="E1189" i="15"/>
  <c r="E1193" i="15"/>
  <c r="E1197" i="15"/>
  <c r="E1201" i="15"/>
  <c r="E1205" i="15"/>
  <c r="E1209" i="15"/>
  <c r="E1213" i="15"/>
  <c r="E1217" i="15"/>
  <c r="E1221" i="15"/>
  <c r="E1225" i="15"/>
  <c r="E1229" i="15"/>
  <c r="E1233" i="15"/>
  <c r="E1237" i="15"/>
  <c r="E1241" i="15"/>
  <c r="E1245" i="15"/>
  <c r="E1249" i="15"/>
  <c r="E1253" i="15"/>
  <c r="E1257" i="15"/>
  <c r="E1261" i="15"/>
  <c r="E1265" i="15"/>
  <c r="E1269" i="15"/>
  <c r="E1273" i="15"/>
  <c r="E1277" i="15"/>
  <c r="E1281" i="15"/>
  <c r="E1285" i="15"/>
  <c r="E1289" i="15"/>
  <c r="E1293" i="15"/>
  <c r="E1297" i="15"/>
  <c r="E1301" i="15"/>
  <c r="E1305" i="15"/>
  <c r="E1309" i="15"/>
  <c r="E1313" i="15"/>
  <c r="E1317" i="15"/>
  <c r="E1321" i="15"/>
  <c r="E1325" i="15"/>
  <c r="E1329" i="15"/>
  <c r="E1333" i="15"/>
  <c r="E1337" i="15"/>
  <c r="E1341" i="15"/>
  <c r="E1345" i="15"/>
  <c r="E1349" i="15"/>
  <c r="E1353" i="15"/>
  <c r="E1357" i="15"/>
  <c r="E1361" i="15"/>
  <c r="E1365" i="15"/>
  <c r="E1369" i="15"/>
  <c r="E1373" i="15"/>
  <c r="E1377" i="15"/>
  <c r="E1381" i="15"/>
  <c r="E1385" i="15"/>
  <c r="E1389" i="15"/>
  <c r="E1393" i="15"/>
  <c r="E1397" i="15"/>
  <c r="E1401" i="15"/>
  <c r="E1405" i="15"/>
  <c r="E1409" i="15"/>
  <c r="E1413" i="15"/>
  <c r="E1417" i="15"/>
  <c r="E1421" i="15"/>
  <c r="E1425" i="15"/>
  <c r="E1429" i="15"/>
  <c r="E1433" i="15"/>
  <c r="E1437" i="15"/>
  <c r="E1441" i="15"/>
  <c r="E1445" i="15"/>
  <c r="E1449" i="15"/>
  <c r="E1453" i="15"/>
  <c r="E1457" i="15"/>
  <c r="E1461" i="15"/>
  <c r="E1465" i="15"/>
  <c r="E1469" i="15"/>
  <c r="E1473" i="15"/>
  <c r="E1477" i="15"/>
  <c r="E1481" i="15"/>
  <c r="E1485" i="15"/>
  <c r="E1489" i="15"/>
  <c r="E1493" i="15"/>
  <c r="E1497" i="15"/>
  <c r="E1501" i="15"/>
  <c r="E1505" i="15"/>
  <c r="E1509" i="15"/>
  <c r="E1513" i="15"/>
  <c r="E1517" i="15"/>
  <c r="E1521" i="15"/>
  <c r="E1525" i="15"/>
  <c r="E1529" i="15"/>
  <c r="E1533" i="15"/>
  <c r="E1537" i="15"/>
  <c r="E1541" i="15"/>
  <c r="E1545" i="15"/>
  <c r="E1549" i="15"/>
  <c r="E1553" i="15"/>
  <c r="E1557" i="15"/>
  <c r="E1561" i="15"/>
  <c r="E1565" i="15"/>
  <c r="E1569" i="15"/>
  <c r="E1573" i="15"/>
  <c r="E1577" i="15"/>
  <c r="E1581" i="15"/>
  <c r="E1585" i="15"/>
  <c r="E1589" i="15"/>
  <c r="E1593" i="15"/>
  <c r="E1597" i="15"/>
  <c r="E1601" i="15"/>
  <c r="E1605" i="15"/>
  <c r="E1608" i="15"/>
  <c r="E1612" i="15"/>
  <c r="E1616" i="15"/>
  <c r="E1620" i="15"/>
  <c r="E1624" i="15"/>
  <c r="E1628" i="15"/>
  <c r="E1632" i="15"/>
  <c r="E1636" i="15"/>
  <c r="E1640" i="15"/>
  <c r="E1644" i="15"/>
  <c r="E1648" i="15"/>
  <c r="E1652" i="15"/>
  <c r="E1656" i="15"/>
  <c r="E1660" i="15"/>
  <c r="E1664" i="15"/>
  <c r="E1668" i="15"/>
  <c r="E1672" i="15"/>
  <c r="E1676" i="15"/>
  <c r="E1680" i="15"/>
  <c r="E1684" i="15"/>
  <c r="E1688" i="15"/>
  <c r="E1692" i="15"/>
  <c r="E1696" i="15"/>
  <c r="E1700" i="15"/>
  <c r="E1704" i="15"/>
  <c r="E1708" i="15"/>
  <c r="E1712" i="15"/>
  <c r="E1716" i="15"/>
  <c r="E1720" i="15"/>
  <c r="E1724" i="15"/>
  <c r="E1728" i="15"/>
  <c r="E1732" i="15"/>
  <c r="E1736" i="15"/>
  <c r="E1740" i="15"/>
  <c r="E1744" i="15"/>
  <c r="E1748" i="15"/>
  <c r="E1752" i="15"/>
  <c r="E1756" i="15"/>
  <c r="E1760" i="15"/>
  <c r="E1764" i="15"/>
  <c r="E1768" i="15"/>
  <c r="E1772" i="15"/>
  <c r="E1776" i="15"/>
  <c r="E1780" i="15"/>
  <c r="E1784" i="15"/>
  <c r="E1788" i="15"/>
  <c r="E1792" i="15"/>
  <c r="E1796" i="15"/>
  <c r="E1800" i="15"/>
  <c r="E1804" i="15"/>
  <c r="E1808" i="15"/>
  <c r="E1812" i="15"/>
  <c r="E1816" i="15"/>
  <c r="E1820" i="15"/>
  <c r="E1824" i="15"/>
  <c r="E1828" i="15"/>
  <c r="E1832" i="15"/>
  <c r="E1836" i="15"/>
  <c r="E1840" i="15"/>
  <c r="E1844" i="15"/>
  <c r="E1848" i="15"/>
  <c r="E1852" i="15"/>
  <c r="E1856" i="15"/>
  <c r="E1860" i="15"/>
  <c r="C1605" i="15"/>
  <c r="C1860" i="15"/>
  <c r="D961" i="15"/>
  <c r="D1055" i="15"/>
  <c r="D1119" i="15"/>
  <c r="D1183" i="15"/>
  <c r="D1247" i="15"/>
  <c r="D1311" i="15"/>
  <c r="D1375" i="15"/>
  <c r="D1439" i="15"/>
  <c r="D1495" i="15"/>
  <c r="D1519" i="15"/>
  <c r="D1535" i="15"/>
  <c r="D1551" i="15"/>
  <c r="D1567" i="15"/>
  <c r="D1583" i="15"/>
  <c r="D1599" i="15"/>
  <c r="D1614" i="15"/>
  <c r="D1630" i="15"/>
  <c r="D1646" i="15"/>
  <c r="D1662" i="15"/>
  <c r="D1678" i="15"/>
  <c r="D1694" i="15"/>
  <c r="D1710" i="15"/>
  <c r="D1726" i="15"/>
  <c r="D1742" i="15"/>
  <c r="D1758" i="15"/>
  <c r="D1774" i="15"/>
  <c r="D1790" i="15"/>
  <c r="D1806" i="15"/>
  <c r="D1822" i="15"/>
  <c r="D1838" i="15"/>
  <c r="D1854" i="15"/>
  <c r="E715" i="15"/>
  <c r="E731" i="15"/>
  <c r="E747" i="15"/>
  <c r="E763" i="15"/>
  <c r="E779" i="15"/>
  <c r="E795" i="15"/>
  <c r="E811" i="15"/>
  <c r="E827" i="15"/>
  <c r="E843" i="15"/>
  <c r="E859" i="15"/>
  <c r="E866" i="15"/>
  <c r="E870" i="15"/>
  <c r="E874" i="15"/>
  <c r="E878" i="15"/>
  <c r="E882" i="15"/>
  <c r="E886" i="15"/>
  <c r="E890" i="15"/>
  <c r="E894" i="15"/>
  <c r="E898" i="15"/>
  <c r="E902" i="15"/>
  <c r="E906" i="15"/>
  <c r="E910" i="15"/>
  <c r="E914" i="15"/>
  <c r="E918" i="15"/>
  <c r="E922" i="15"/>
  <c r="E926" i="15"/>
  <c r="E930" i="15"/>
  <c r="E934" i="15"/>
  <c r="E938" i="15"/>
  <c r="E942" i="15"/>
  <c r="E946" i="15"/>
  <c r="E950" i="15"/>
  <c r="E954" i="15"/>
  <c r="E958" i="15"/>
  <c r="E962" i="15"/>
  <c r="E966" i="15"/>
  <c r="E970" i="15"/>
  <c r="E974" i="15"/>
  <c r="E978" i="15"/>
  <c r="E982" i="15"/>
  <c r="E986" i="15"/>
  <c r="E990" i="15"/>
  <c r="E994" i="15"/>
  <c r="E998" i="15"/>
  <c r="E1002" i="15"/>
  <c r="E1006" i="15"/>
  <c r="E1010" i="15"/>
  <c r="E1014" i="15"/>
  <c r="E1018" i="15"/>
  <c r="E1022" i="15"/>
  <c r="E1026" i="15"/>
  <c r="E1030" i="15"/>
  <c r="E1034" i="15"/>
  <c r="E1038" i="15"/>
  <c r="E1042" i="15"/>
  <c r="E1046" i="15"/>
  <c r="E1050" i="15"/>
  <c r="E1054" i="15"/>
  <c r="E1058" i="15"/>
  <c r="E1062" i="15"/>
  <c r="E1066" i="15"/>
  <c r="E1070" i="15"/>
  <c r="E1074" i="15"/>
  <c r="E1078" i="15"/>
  <c r="E1082" i="15"/>
  <c r="E1086" i="15"/>
  <c r="E1090" i="15"/>
  <c r="E1094" i="15"/>
  <c r="E1098" i="15"/>
  <c r="E1102" i="15"/>
  <c r="E1106" i="15"/>
  <c r="E1110" i="15"/>
  <c r="E1114" i="15"/>
  <c r="E1118" i="15"/>
  <c r="E1122" i="15"/>
  <c r="E1126" i="15"/>
  <c r="E1130" i="15"/>
  <c r="E1134" i="15"/>
  <c r="E1138" i="15"/>
  <c r="E1142" i="15"/>
  <c r="E1146" i="15"/>
  <c r="E1150" i="15"/>
  <c r="E1154" i="15"/>
  <c r="E1158" i="15"/>
  <c r="E1162" i="15"/>
  <c r="E1166" i="15"/>
  <c r="E1170" i="15"/>
  <c r="E1174" i="15"/>
  <c r="E1178" i="15"/>
  <c r="E1182" i="15"/>
  <c r="E1186" i="15"/>
  <c r="E1190" i="15"/>
  <c r="E1194" i="15"/>
  <c r="E1198" i="15"/>
  <c r="E1202" i="15"/>
  <c r="E1206" i="15"/>
  <c r="E1210" i="15"/>
  <c r="E1214" i="15"/>
  <c r="E1218" i="15"/>
  <c r="E1222" i="15"/>
  <c r="E1226" i="15"/>
  <c r="E1230" i="15"/>
  <c r="E1234" i="15"/>
  <c r="E1238" i="15"/>
  <c r="E1242" i="15"/>
  <c r="E1246" i="15"/>
  <c r="E1250" i="15"/>
  <c r="E1254" i="15"/>
  <c r="E1258" i="15"/>
  <c r="E1262" i="15"/>
  <c r="E1266" i="15"/>
  <c r="E1270" i="15"/>
  <c r="E1274" i="15"/>
  <c r="E1278" i="15"/>
  <c r="E1282" i="15"/>
  <c r="E1286" i="15"/>
  <c r="E1290" i="15"/>
  <c r="E1294" i="15"/>
  <c r="E1298" i="15"/>
  <c r="E1302" i="15"/>
  <c r="E1306" i="15"/>
  <c r="E1310" i="15"/>
  <c r="E1314" i="15"/>
  <c r="E1318" i="15"/>
  <c r="E1322" i="15"/>
  <c r="E1326" i="15"/>
  <c r="E1330" i="15"/>
  <c r="E1334" i="15"/>
  <c r="E1338" i="15"/>
  <c r="E1342" i="15"/>
  <c r="E1346" i="15"/>
  <c r="E1350" i="15"/>
  <c r="E1354" i="15"/>
  <c r="E1358" i="15"/>
  <c r="E1362" i="15"/>
  <c r="E1366" i="15"/>
  <c r="E1370" i="15"/>
  <c r="E1374" i="15"/>
  <c r="E1378" i="15"/>
  <c r="E1382" i="15"/>
  <c r="E1386" i="15"/>
  <c r="E1390" i="15"/>
  <c r="E1394" i="15"/>
  <c r="E1398" i="15"/>
  <c r="E1402" i="15"/>
  <c r="E1406" i="15"/>
  <c r="E1410" i="15"/>
  <c r="E1414" i="15"/>
  <c r="E1418" i="15"/>
  <c r="E1422" i="15"/>
  <c r="E1426" i="15"/>
  <c r="E1430" i="15"/>
  <c r="E1434" i="15"/>
  <c r="E1438" i="15"/>
  <c r="E1442" i="15"/>
  <c r="E1446" i="15"/>
  <c r="E1450" i="15"/>
  <c r="E1454" i="15"/>
  <c r="E1458" i="15"/>
  <c r="E1462" i="15"/>
  <c r="E1466" i="15"/>
  <c r="E1470" i="15"/>
  <c r="E1474" i="15"/>
  <c r="E1478" i="15"/>
  <c r="E1482" i="15"/>
  <c r="E1486" i="15"/>
  <c r="E1490" i="15"/>
  <c r="E1494" i="15"/>
  <c r="E1498" i="15"/>
  <c r="E1502" i="15"/>
  <c r="E1506" i="15"/>
  <c r="E1510" i="15"/>
  <c r="E1514" i="15"/>
  <c r="E1518" i="15"/>
  <c r="E1522" i="15"/>
  <c r="E1526" i="15"/>
  <c r="E1530" i="15"/>
  <c r="E1534" i="15"/>
  <c r="E1538" i="15"/>
  <c r="E1542" i="15"/>
  <c r="E1546" i="15"/>
  <c r="E1550" i="15"/>
  <c r="E1554" i="15"/>
  <c r="E1558" i="15"/>
  <c r="E1562" i="15"/>
  <c r="E1566" i="15"/>
  <c r="E1570" i="15"/>
  <c r="E1574" i="15"/>
  <c r="E1578" i="15"/>
  <c r="E1582" i="15"/>
  <c r="E1586" i="15"/>
  <c r="E1590" i="15"/>
  <c r="E1594" i="15"/>
  <c r="E1598" i="15"/>
  <c r="E1602" i="15"/>
  <c r="E1609" i="15"/>
  <c r="E1613" i="15"/>
  <c r="E1617" i="15"/>
  <c r="E1621" i="15"/>
  <c r="E1625" i="15"/>
  <c r="E1629" i="15"/>
  <c r="E1633" i="15"/>
  <c r="E1637" i="15"/>
  <c r="E1641" i="15"/>
  <c r="E1645" i="15"/>
  <c r="E1649" i="15"/>
  <c r="E1653" i="15"/>
  <c r="E1657" i="15"/>
  <c r="E1661" i="15"/>
  <c r="E1665" i="15"/>
  <c r="E1669" i="15"/>
  <c r="E1673" i="15"/>
  <c r="E1677" i="15"/>
  <c r="E1681" i="15"/>
  <c r="E1685" i="15"/>
  <c r="E1689" i="15"/>
  <c r="E1693" i="15"/>
  <c r="E1697" i="15"/>
  <c r="E1701" i="15"/>
  <c r="E1705" i="15"/>
  <c r="E1709" i="15"/>
  <c r="E1713" i="15"/>
  <c r="E1717" i="15"/>
  <c r="E1721" i="15"/>
  <c r="E1725" i="15"/>
  <c r="E1729" i="15"/>
  <c r="E1733" i="15"/>
  <c r="E1737" i="15"/>
  <c r="E1741" i="15"/>
  <c r="E1745" i="15"/>
  <c r="E1749" i="15"/>
  <c r="E1753" i="15"/>
  <c r="E1757" i="15"/>
  <c r="E1761" i="15"/>
  <c r="E1765" i="15"/>
  <c r="E1769" i="15"/>
  <c r="E1773" i="15"/>
  <c r="E1777" i="15"/>
  <c r="E1781" i="15"/>
  <c r="E1785" i="15"/>
  <c r="E1789" i="15"/>
  <c r="E1793" i="15"/>
  <c r="E1797" i="15"/>
  <c r="E1801" i="15"/>
  <c r="E1805" i="15"/>
  <c r="E1809" i="15"/>
  <c r="E1813" i="15"/>
  <c r="E1817" i="15"/>
  <c r="E1821" i="15"/>
  <c r="E1825" i="15"/>
  <c r="E1829" i="15"/>
  <c r="E1833" i="15"/>
  <c r="F1833" i="15" s="1"/>
  <c r="E1837" i="15"/>
  <c r="E1841" i="15"/>
  <c r="E1845" i="15"/>
  <c r="E1849" i="15"/>
  <c r="E1853" i="15"/>
  <c r="E1857" i="15"/>
  <c r="E1861" i="15"/>
  <c r="C1668" i="15"/>
  <c r="D1007" i="15"/>
  <c r="D1135" i="15"/>
  <c r="D1263" i="15"/>
  <c r="D1391" i="15"/>
  <c r="D1503" i="15"/>
  <c r="D1539" i="15"/>
  <c r="D1571" i="15"/>
  <c r="D1603" i="15"/>
  <c r="D1634" i="15"/>
  <c r="D1666" i="15"/>
  <c r="D1698" i="15"/>
  <c r="D1730" i="15"/>
  <c r="D1762" i="15"/>
  <c r="D1794" i="15"/>
  <c r="D1826" i="15"/>
  <c r="D1858" i="15"/>
  <c r="E735" i="15"/>
  <c r="E767" i="15"/>
  <c r="E799" i="15"/>
  <c r="E831" i="15"/>
  <c r="E862" i="15"/>
  <c r="E871" i="15"/>
  <c r="E879" i="15"/>
  <c r="E887" i="15"/>
  <c r="E895" i="15"/>
  <c r="E903" i="15"/>
  <c r="E911" i="15"/>
  <c r="E919" i="15"/>
  <c r="E927" i="15"/>
  <c r="E935" i="15"/>
  <c r="E943" i="15"/>
  <c r="E951" i="15"/>
  <c r="E959" i="15"/>
  <c r="E967" i="15"/>
  <c r="E975" i="15"/>
  <c r="E983" i="15"/>
  <c r="E991" i="15"/>
  <c r="E999" i="15"/>
  <c r="E1007" i="15"/>
  <c r="E1015" i="15"/>
  <c r="E1023" i="15"/>
  <c r="E1031" i="15"/>
  <c r="E1039" i="15"/>
  <c r="E1047" i="15"/>
  <c r="E1055" i="15"/>
  <c r="E1063" i="15"/>
  <c r="E1071" i="15"/>
  <c r="E1079" i="15"/>
  <c r="E1087" i="15"/>
  <c r="E1095" i="15"/>
  <c r="E1103" i="15"/>
  <c r="E1111" i="15"/>
  <c r="E1119" i="15"/>
  <c r="E1127" i="15"/>
  <c r="E1135" i="15"/>
  <c r="E1143" i="15"/>
  <c r="E1151" i="15"/>
  <c r="E1159" i="15"/>
  <c r="E1167" i="15"/>
  <c r="E1175" i="15"/>
  <c r="E1183" i="15"/>
  <c r="E1191" i="15"/>
  <c r="E1199" i="15"/>
  <c r="E1207" i="15"/>
  <c r="E1215" i="15"/>
  <c r="E1223" i="15"/>
  <c r="E1231" i="15"/>
  <c r="E1239" i="15"/>
  <c r="E1247" i="15"/>
  <c r="E1255" i="15"/>
  <c r="E1263" i="15"/>
  <c r="E1271" i="15"/>
  <c r="E1279" i="15"/>
  <c r="E1287" i="15"/>
  <c r="E1295" i="15"/>
  <c r="E1303" i="15"/>
  <c r="E1311" i="15"/>
  <c r="E1319" i="15"/>
  <c r="E1327" i="15"/>
  <c r="E1335" i="15"/>
  <c r="E1343" i="15"/>
  <c r="E1351" i="15"/>
  <c r="E1359" i="15"/>
  <c r="E1367" i="15"/>
  <c r="E1375" i="15"/>
  <c r="E1383" i="15"/>
  <c r="E1391" i="15"/>
  <c r="E1399" i="15"/>
  <c r="E1407" i="15"/>
  <c r="E1415" i="15"/>
  <c r="E1423" i="15"/>
  <c r="E1431" i="15"/>
  <c r="E1439" i="15"/>
  <c r="E1447" i="15"/>
  <c r="E1455" i="15"/>
  <c r="E1463" i="15"/>
  <c r="E1471" i="15"/>
  <c r="E1479" i="15"/>
  <c r="E1487" i="15"/>
  <c r="E1495" i="15"/>
  <c r="E1503" i="15"/>
  <c r="E1511" i="15"/>
  <c r="E1519" i="15"/>
  <c r="E1527" i="15"/>
  <c r="E1535" i="15"/>
  <c r="E1543" i="15"/>
  <c r="E1551" i="15"/>
  <c r="E1559" i="15"/>
  <c r="E1567" i="15"/>
  <c r="E1575" i="15"/>
  <c r="E1583" i="15"/>
  <c r="E1591" i="15"/>
  <c r="E1599" i="15"/>
  <c r="E1606" i="15"/>
  <c r="E1614" i="15"/>
  <c r="C1732" i="15"/>
  <c r="D1023" i="15"/>
  <c r="D1151" i="15"/>
  <c r="D1279" i="15"/>
  <c r="D1407" i="15"/>
  <c r="D1511" i="15"/>
  <c r="D1543" i="15"/>
  <c r="D1575" i="15"/>
  <c r="D1606" i="15"/>
  <c r="D1638" i="15"/>
  <c r="D1670" i="15"/>
  <c r="D1702" i="15"/>
  <c r="D1734" i="15"/>
  <c r="D1766" i="15"/>
  <c r="D1798" i="15"/>
  <c r="D1830" i="15"/>
  <c r="D1862" i="15"/>
  <c r="E739" i="15"/>
  <c r="E771" i="15"/>
  <c r="E803" i="15"/>
  <c r="E835" i="15"/>
  <c r="E863" i="15"/>
  <c r="E872" i="15"/>
  <c r="E880" i="15"/>
  <c r="E888" i="15"/>
  <c r="E896" i="15"/>
  <c r="E904" i="15"/>
  <c r="E912" i="15"/>
  <c r="E920" i="15"/>
  <c r="E928" i="15"/>
  <c r="E936" i="15"/>
  <c r="E944" i="15"/>
  <c r="E952" i="15"/>
  <c r="E960" i="15"/>
  <c r="E968" i="15"/>
  <c r="E976" i="15"/>
  <c r="E984" i="15"/>
  <c r="E992" i="15"/>
  <c r="E1000" i="15"/>
  <c r="E1008" i="15"/>
  <c r="E1016" i="15"/>
  <c r="E1024" i="15"/>
  <c r="E1032" i="15"/>
  <c r="E1040" i="15"/>
  <c r="E1048" i="15"/>
  <c r="E1056" i="15"/>
  <c r="E1064" i="15"/>
  <c r="E1072" i="15"/>
  <c r="E1080" i="15"/>
  <c r="E1088" i="15"/>
  <c r="E1096" i="15"/>
  <c r="E1104" i="15"/>
  <c r="E1112" i="15"/>
  <c r="E1120" i="15"/>
  <c r="E1128" i="15"/>
  <c r="E1136" i="15"/>
  <c r="E1144" i="15"/>
  <c r="E1152" i="15"/>
  <c r="E1160" i="15"/>
  <c r="E1168" i="15"/>
  <c r="E1176" i="15"/>
  <c r="E1184" i="15"/>
  <c r="E1192" i="15"/>
  <c r="E1200" i="15"/>
  <c r="E1208" i="15"/>
  <c r="E1216" i="15"/>
  <c r="E1224" i="15"/>
  <c r="E1232" i="15"/>
  <c r="E1240" i="15"/>
  <c r="E1248" i="15"/>
  <c r="E1256" i="15"/>
  <c r="E1264" i="15"/>
  <c r="E1272" i="15"/>
  <c r="E1280" i="15"/>
  <c r="E1288" i="15"/>
  <c r="E1296" i="15"/>
  <c r="E1304" i="15"/>
  <c r="E1312" i="15"/>
  <c r="E1320" i="15"/>
  <c r="E1328" i="15"/>
  <c r="E1336" i="15"/>
  <c r="E1344" i="15"/>
  <c r="E1352" i="15"/>
  <c r="E1360" i="15"/>
  <c r="E1368" i="15"/>
  <c r="E1376" i="15"/>
  <c r="E1384" i="15"/>
  <c r="E1392" i="15"/>
  <c r="E1400" i="15"/>
  <c r="E1408" i="15"/>
  <c r="E1416" i="15"/>
  <c r="E1424" i="15"/>
  <c r="E1432" i="15"/>
  <c r="E1440" i="15"/>
  <c r="E1448" i="15"/>
  <c r="E1456" i="15"/>
  <c r="E1464" i="15"/>
  <c r="E1472" i="15"/>
  <c r="E1480" i="15"/>
  <c r="E1488" i="15"/>
  <c r="E1496" i="15"/>
  <c r="E1504" i="15"/>
  <c r="E1512" i="15"/>
  <c r="E1520" i="15"/>
  <c r="E1528" i="15"/>
  <c r="E1536" i="15"/>
  <c r="E1544" i="15"/>
  <c r="E1552" i="15"/>
  <c r="E1560" i="15"/>
  <c r="E1568" i="15"/>
  <c r="E1576" i="15"/>
  <c r="E1584" i="15"/>
  <c r="E1592" i="15"/>
  <c r="E1600" i="15"/>
  <c r="E1607" i="15"/>
  <c r="E1615" i="15"/>
  <c r="E1623" i="15"/>
  <c r="E1631" i="15"/>
  <c r="E1639" i="15"/>
  <c r="E1647" i="15"/>
  <c r="E1655" i="15"/>
  <c r="E1663" i="15"/>
  <c r="E1671" i="15"/>
  <c r="E1679" i="15"/>
  <c r="E1687" i="15"/>
  <c r="E1695" i="15"/>
  <c r="E1703" i="15"/>
  <c r="E1711" i="15"/>
  <c r="E1719" i="15"/>
  <c r="E1727" i="15"/>
  <c r="E1735" i="15"/>
  <c r="E1743" i="15"/>
  <c r="E1751" i="15"/>
  <c r="E1759" i="15"/>
  <c r="E1767" i="15"/>
  <c r="E1775" i="15"/>
  <c r="E1783" i="15"/>
  <c r="E1791" i="15"/>
  <c r="E1799" i="15"/>
  <c r="E1807" i="15"/>
  <c r="E1815" i="15"/>
  <c r="E1823" i="15"/>
  <c r="E1831" i="15"/>
  <c r="E1839" i="15"/>
  <c r="E1847" i="15"/>
  <c r="E1855" i="15"/>
  <c r="D769" i="15"/>
  <c r="D1199" i="15"/>
  <c r="D1455" i="15"/>
  <c r="D1555" i="15"/>
  <c r="D1618" i="15"/>
  <c r="D1682" i="15"/>
  <c r="D1746" i="15"/>
  <c r="D1810" i="15"/>
  <c r="E719" i="15"/>
  <c r="E783" i="15"/>
  <c r="E847" i="15"/>
  <c r="E875" i="15"/>
  <c r="E891" i="15"/>
  <c r="E907" i="15"/>
  <c r="E923" i="15"/>
  <c r="E939" i="15"/>
  <c r="E955" i="15"/>
  <c r="E971" i="15"/>
  <c r="E987" i="15"/>
  <c r="E1003" i="15"/>
  <c r="E1019" i="15"/>
  <c r="E1035" i="15"/>
  <c r="E1051" i="15"/>
  <c r="E1067" i="15"/>
  <c r="E1083" i="15"/>
  <c r="E1099" i="15"/>
  <c r="E1115" i="15"/>
  <c r="E1131" i="15"/>
  <c r="E1147" i="15"/>
  <c r="E1163" i="15"/>
  <c r="E1179" i="15"/>
  <c r="E1195" i="15"/>
  <c r="E1211" i="15"/>
  <c r="E1227" i="15"/>
  <c r="E1243" i="15"/>
  <c r="E1259" i="15"/>
  <c r="E1275" i="15"/>
  <c r="E1291" i="15"/>
  <c r="E1307" i="15"/>
  <c r="E1323" i="15"/>
  <c r="E1339" i="15"/>
  <c r="E1355" i="15"/>
  <c r="E1371" i="15"/>
  <c r="E1387" i="15"/>
  <c r="E1403" i="15"/>
  <c r="E1419" i="15"/>
  <c r="E1435" i="15"/>
  <c r="E1451" i="15"/>
  <c r="E1467" i="15"/>
  <c r="E1483" i="15"/>
  <c r="E1499" i="15"/>
  <c r="E1515" i="15"/>
  <c r="E1531" i="15"/>
  <c r="E1547" i="15"/>
  <c r="E1563" i="15"/>
  <c r="E1579" i="15"/>
  <c r="E1595" i="15"/>
  <c r="E1610" i="15"/>
  <c r="E1622" i="15"/>
  <c r="E1634" i="15"/>
  <c r="E1643" i="15"/>
  <c r="E1654" i="15"/>
  <c r="E1666" i="15"/>
  <c r="E1675" i="15"/>
  <c r="E1686" i="15"/>
  <c r="E1698" i="15"/>
  <c r="E1707" i="15"/>
  <c r="E1718" i="15"/>
  <c r="E1730" i="15"/>
  <c r="E1739" i="15"/>
  <c r="E1750" i="15"/>
  <c r="E1762" i="15"/>
  <c r="E1771" i="15"/>
  <c r="E1782" i="15"/>
  <c r="E1794" i="15"/>
  <c r="E1803" i="15"/>
  <c r="E1814" i="15"/>
  <c r="E1826" i="15"/>
  <c r="E1835" i="15"/>
  <c r="E1846" i="15"/>
  <c r="E1858" i="15"/>
  <c r="D1087" i="15"/>
  <c r="D1591" i="15"/>
  <c r="D1782" i="15"/>
  <c r="E755" i="15"/>
  <c r="E884" i="15"/>
  <c r="E932" i="15"/>
  <c r="E980" i="15"/>
  <c r="E1012" i="15"/>
  <c r="E1060" i="15"/>
  <c r="E1108" i="15"/>
  <c r="E1156" i="15"/>
  <c r="E1204" i="15"/>
  <c r="E1252" i="15"/>
  <c r="E1300" i="15"/>
  <c r="E1332" i="15"/>
  <c r="E1380" i="15"/>
  <c r="E1412" i="15"/>
  <c r="E1460" i="15"/>
  <c r="E1508" i="15"/>
  <c r="E1556" i="15"/>
  <c r="E1588" i="15"/>
  <c r="E1630" i="15"/>
  <c r="E1662" i="15"/>
  <c r="E1694" i="15"/>
  <c r="E1726" i="15"/>
  <c r="E1758" i="15"/>
  <c r="E1790" i="15"/>
  <c r="E1811" i="15"/>
  <c r="E1843" i="15"/>
  <c r="D833" i="15"/>
  <c r="D1215" i="15"/>
  <c r="D1471" i="15"/>
  <c r="D1559" i="15"/>
  <c r="D1622" i="15"/>
  <c r="D1686" i="15"/>
  <c r="D1750" i="15"/>
  <c r="D1814" i="15"/>
  <c r="E723" i="15"/>
  <c r="E787" i="15"/>
  <c r="E851" i="15"/>
  <c r="E876" i="15"/>
  <c r="E892" i="15"/>
  <c r="E908" i="15"/>
  <c r="E924" i="15"/>
  <c r="E940" i="15"/>
  <c r="E956" i="15"/>
  <c r="E972" i="15"/>
  <c r="E988" i="15"/>
  <c r="E1004" i="15"/>
  <c r="E1020" i="15"/>
  <c r="E1036" i="15"/>
  <c r="E1052" i="15"/>
  <c r="E1068" i="15"/>
  <c r="E1084" i="15"/>
  <c r="E1100" i="15"/>
  <c r="E1116" i="15"/>
  <c r="E1132" i="15"/>
  <c r="E1148" i="15"/>
  <c r="E1164" i="15"/>
  <c r="E1180" i="15"/>
  <c r="E1196" i="15"/>
  <c r="E1212" i="15"/>
  <c r="E1228" i="15"/>
  <c r="E1244" i="15"/>
  <c r="E1260" i="15"/>
  <c r="E1276" i="15"/>
  <c r="E1292" i="15"/>
  <c r="E1308" i="15"/>
  <c r="E1324" i="15"/>
  <c r="E1340" i="15"/>
  <c r="E1356" i="15"/>
  <c r="E1372" i="15"/>
  <c r="E1388" i="15"/>
  <c r="E1404" i="15"/>
  <c r="E1420" i="15"/>
  <c r="E1436" i="15"/>
  <c r="E1452" i="15"/>
  <c r="E1468" i="15"/>
  <c r="E1484" i="15"/>
  <c r="E1500" i="15"/>
  <c r="E1516" i="15"/>
  <c r="E1532" i="15"/>
  <c r="E1548" i="15"/>
  <c r="E1564" i="15"/>
  <c r="E1580" i="15"/>
  <c r="E1596" i="15"/>
  <c r="E1611" i="15"/>
  <c r="E1626" i="15"/>
  <c r="E1635" i="15"/>
  <c r="E1646" i="15"/>
  <c r="E1658" i="15"/>
  <c r="E1667" i="15"/>
  <c r="E1678" i="15"/>
  <c r="E1690" i="15"/>
  <c r="E1699" i="15"/>
  <c r="E1710" i="15"/>
  <c r="E1722" i="15"/>
  <c r="E1731" i="15"/>
  <c r="E1742" i="15"/>
  <c r="E1754" i="15"/>
  <c r="E1763" i="15"/>
  <c r="E1774" i="15"/>
  <c r="E1786" i="15"/>
  <c r="E1795" i="15"/>
  <c r="E1806" i="15"/>
  <c r="E1818" i="15"/>
  <c r="E1827" i="15"/>
  <c r="E1838" i="15"/>
  <c r="E1850" i="15"/>
  <c r="E1859" i="15"/>
  <c r="F1859" i="15" s="1"/>
  <c r="D1527" i="15"/>
  <c r="D1654" i="15"/>
  <c r="D1846" i="15"/>
  <c r="E868" i="15"/>
  <c r="E900" i="15"/>
  <c r="E948" i="15"/>
  <c r="E996" i="15"/>
  <c r="E1044" i="15"/>
  <c r="E1092" i="15"/>
  <c r="E1140" i="15"/>
  <c r="E1188" i="15"/>
  <c r="E1236" i="15"/>
  <c r="E1268" i="15"/>
  <c r="E1316" i="15"/>
  <c r="E1364" i="15"/>
  <c r="E1428" i="15"/>
  <c r="E1476" i="15"/>
  <c r="E1524" i="15"/>
  <c r="E1572" i="15"/>
  <c r="E1619" i="15"/>
  <c r="E1651" i="15"/>
  <c r="E1683" i="15"/>
  <c r="E1715" i="15"/>
  <c r="E1747" i="15"/>
  <c r="E1779" i="15"/>
  <c r="E1802" i="15"/>
  <c r="E1854" i="15"/>
  <c r="D1071" i="15"/>
  <c r="D1327" i="15"/>
  <c r="D1523" i="15"/>
  <c r="D1587" i="15"/>
  <c r="D1650" i="15"/>
  <c r="D1714" i="15"/>
  <c r="D1778" i="15"/>
  <c r="D1842" i="15"/>
  <c r="E751" i="15"/>
  <c r="E815" i="15"/>
  <c r="E867" i="15"/>
  <c r="E883" i="15"/>
  <c r="E899" i="15"/>
  <c r="E915" i="15"/>
  <c r="E931" i="15"/>
  <c r="E947" i="15"/>
  <c r="E963" i="15"/>
  <c r="E979" i="15"/>
  <c r="E995" i="15"/>
  <c r="E1011" i="15"/>
  <c r="E1027" i="15"/>
  <c r="E1043" i="15"/>
  <c r="E1059" i="15"/>
  <c r="E1075" i="15"/>
  <c r="E1091" i="15"/>
  <c r="E1107" i="15"/>
  <c r="E1123" i="15"/>
  <c r="E1139" i="15"/>
  <c r="E1155" i="15"/>
  <c r="E1171" i="15"/>
  <c r="E1187" i="15"/>
  <c r="E1203" i="15"/>
  <c r="E1219" i="15"/>
  <c r="E1235" i="15"/>
  <c r="E1251" i="15"/>
  <c r="E1267" i="15"/>
  <c r="E1283" i="15"/>
  <c r="E1299" i="15"/>
  <c r="E1315" i="15"/>
  <c r="E1331" i="15"/>
  <c r="E1347" i="15"/>
  <c r="E1363" i="15"/>
  <c r="E1379" i="15"/>
  <c r="E1395" i="15"/>
  <c r="E1411" i="15"/>
  <c r="E1427" i="15"/>
  <c r="E1443" i="15"/>
  <c r="E1459" i="15"/>
  <c r="E1475" i="15"/>
  <c r="E1491" i="15"/>
  <c r="E1507" i="15"/>
  <c r="E1523" i="15"/>
  <c r="E1539" i="15"/>
  <c r="E1555" i="15"/>
  <c r="E1571" i="15"/>
  <c r="E1587" i="15"/>
  <c r="E1603" i="15"/>
  <c r="E1618" i="15"/>
  <c r="E1627" i="15"/>
  <c r="E1638" i="15"/>
  <c r="E1650" i="15"/>
  <c r="E1659" i="15"/>
  <c r="E1670" i="15"/>
  <c r="E1682" i="15"/>
  <c r="E1691" i="15"/>
  <c r="E1702" i="15"/>
  <c r="E1714" i="15"/>
  <c r="E1723" i="15"/>
  <c r="E1734" i="15"/>
  <c r="E1746" i="15"/>
  <c r="E1755" i="15"/>
  <c r="E1766" i="15"/>
  <c r="E1778" i="15"/>
  <c r="E1787" i="15"/>
  <c r="E1798" i="15"/>
  <c r="E1810" i="15"/>
  <c r="E1819" i="15"/>
  <c r="E1830" i="15"/>
  <c r="E1842" i="15"/>
  <c r="E1851" i="15"/>
  <c r="E1862" i="15"/>
  <c r="F1862" i="15" s="1"/>
  <c r="D1343" i="15"/>
  <c r="D1718" i="15"/>
  <c r="E819" i="15"/>
  <c r="E916" i="15"/>
  <c r="E964" i="15"/>
  <c r="E1028" i="15"/>
  <c r="E1076" i="15"/>
  <c r="E1124" i="15"/>
  <c r="E1172" i="15"/>
  <c r="E1220" i="15"/>
  <c r="E1284" i="15"/>
  <c r="E1348" i="15"/>
  <c r="E1396" i="15"/>
  <c r="E1444" i="15"/>
  <c r="E1492" i="15"/>
  <c r="E1540" i="15"/>
  <c r="E1604" i="15"/>
  <c r="E1642" i="15"/>
  <c r="E1674" i="15"/>
  <c r="E1706" i="15"/>
  <c r="E1738" i="15"/>
  <c r="E1770" i="15"/>
  <c r="E1822" i="15"/>
  <c r="E1834" i="15"/>
  <c r="P14" i="11"/>
  <c r="P15" i="11" s="1"/>
  <c r="F1853" i="15" l="1"/>
  <c r="F1854" i="15"/>
  <c r="F1861" i="15"/>
  <c r="G1861" i="15" s="1"/>
  <c r="F1845" i="15"/>
  <c r="F1829" i="15"/>
  <c r="G1829" i="15" s="1"/>
  <c r="F1857" i="15"/>
  <c r="G1857" i="15" s="1"/>
  <c r="F1841" i="15"/>
  <c r="G1841" i="15" s="1"/>
  <c r="F1825" i="15"/>
  <c r="G1825" i="15" s="1"/>
  <c r="F1863" i="15"/>
  <c r="G1863" i="15" s="1"/>
  <c r="F1835" i="15"/>
  <c r="G1835" i="15" s="1"/>
  <c r="F1849" i="15"/>
  <c r="G1849" i="15" s="1"/>
  <c r="G1862" i="15"/>
  <c r="G1859" i="15"/>
  <c r="G1833" i="15"/>
  <c r="G1854" i="15"/>
  <c r="G1845" i="15"/>
  <c r="G1853" i="15"/>
  <c r="F1838" i="15"/>
  <c r="F1732" i="15"/>
  <c r="F1668" i="15"/>
  <c r="F1852" i="15"/>
  <c r="F1836" i="15"/>
  <c r="F1830" i="15"/>
  <c r="F1855" i="15"/>
  <c r="F1856" i="15"/>
  <c r="F1840" i="15"/>
  <c r="F1827" i="15"/>
  <c r="F1846" i="15"/>
  <c r="F1780" i="15"/>
  <c r="F1410" i="15"/>
  <c r="F1834" i="15"/>
  <c r="F1784" i="15"/>
  <c r="F1720" i="15"/>
  <c r="F1656" i="15"/>
  <c r="F1593" i="15"/>
  <c r="F1739" i="15"/>
  <c r="F1723" i="15"/>
  <c r="F1580" i="15"/>
  <c r="F1698" i="15"/>
  <c r="F1682" i="15"/>
  <c r="F1587" i="15"/>
  <c r="F1558" i="15"/>
  <c r="F1289" i="15"/>
  <c r="F1273" i="15"/>
  <c r="F1257" i="15"/>
  <c r="F1241" i="15"/>
  <c r="F1225" i="15"/>
  <c r="F1209" i="15"/>
  <c r="F1193" i="15"/>
  <c r="F1177" i="15"/>
  <c r="F1161" i="15"/>
  <c r="F1145" i="15"/>
  <c r="F1129" i="15"/>
  <c r="F1113" i="15"/>
  <c r="F1097" i="15"/>
  <c r="F1081" i="15"/>
  <c r="F1065" i="15"/>
  <c r="F1049" i="15"/>
  <c r="F845" i="15"/>
  <c r="F781" i="15"/>
  <c r="F717" i="15"/>
  <c r="F1839" i="15"/>
  <c r="F1847" i="15"/>
  <c r="F1842" i="15"/>
  <c r="F1858" i="15"/>
  <c r="F1831" i="15"/>
  <c r="F1684" i="15"/>
  <c r="F1824" i="15"/>
  <c r="F1760" i="15"/>
  <c r="F1696" i="15"/>
  <c r="F1632" i="15"/>
  <c r="F1569" i="15"/>
  <c r="F1330" i="15"/>
  <c r="F1788" i="15"/>
  <c r="F1724" i="15"/>
  <c r="F1660" i="15"/>
  <c r="F1597" i="15"/>
  <c r="F1442" i="15"/>
  <c r="F1810" i="15"/>
  <c r="F1794" i="15"/>
  <c r="F1778" i="15"/>
  <c r="F1746" i="15"/>
  <c r="F1730" i="15"/>
  <c r="F1714" i="15"/>
  <c r="F1650" i="15"/>
  <c r="F1634" i="15"/>
  <c r="F1618" i="15"/>
  <c r="F1603" i="15"/>
  <c r="F1571" i="15"/>
  <c r="F1530" i="15"/>
  <c r="F1466" i="15"/>
  <c r="F1402" i="15"/>
  <c r="F1338" i="15"/>
  <c r="F1186" i="15"/>
  <c r="F1817" i="15"/>
  <c r="F1801" i="15"/>
  <c r="F1785" i="15"/>
  <c r="F1769" i="15"/>
  <c r="F1753" i="15"/>
  <c r="F1721" i="15"/>
  <c r="F1705" i="15"/>
  <c r="F1689" i="15"/>
  <c r="F1673" i="15"/>
  <c r="F1657" i="15"/>
  <c r="F1641" i="15"/>
  <c r="F1625" i="15"/>
  <c r="F1609" i="15"/>
  <c r="F1594" i="15"/>
  <c r="F1578" i="15"/>
  <c r="F1494" i="15"/>
  <c r="F1430" i="15"/>
  <c r="F1366" i="15"/>
  <c r="F1298" i="15"/>
  <c r="F1027" i="15"/>
  <c r="F1557" i="15"/>
  <c r="F1541" i="15"/>
  <c r="F1525" i="15"/>
  <c r="F1509" i="15"/>
  <c r="F1493" i="15"/>
  <c r="F1477" i="15"/>
  <c r="F1461" i="15"/>
  <c r="F1445" i="15"/>
  <c r="F1429" i="15"/>
  <c r="F1413" i="15"/>
  <c r="F1397" i="15"/>
  <c r="F1381" i="15"/>
  <c r="F1365" i="15"/>
  <c r="F1349" i="15"/>
  <c r="F1333" i="15"/>
  <c r="F1317" i="15"/>
  <c r="F1294" i="15"/>
  <c r="F1230" i="15"/>
  <c r="F1166" i="15"/>
  <c r="F1102" i="15"/>
  <c r="F1011" i="15"/>
  <c r="F755" i="15"/>
  <c r="F1552" i="15"/>
  <c r="F1536" i="15"/>
  <c r="F1520" i="15"/>
  <c r="F1504" i="15"/>
  <c r="F1488" i="15"/>
  <c r="F1472" i="15"/>
  <c r="F1456" i="15"/>
  <c r="F1440" i="15"/>
  <c r="F1424" i="15"/>
  <c r="F1408" i="15"/>
  <c r="F1392" i="15"/>
  <c r="F1376" i="15"/>
  <c r="F1360" i="15"/>
  <c r="F1344" i="15"/>
  <c r="F1328" i="15"/>
  <c r="F1312" i="15"/>
  <c r="F1274" i="15"/>
  <c r="F1210" i="15"/>
  <c r="F1146" i="15"/>
  <c r="F1082" i="15"/>
  <c r="F931" i="15"/>
  <c r="F1555" i="15"/>
  <c r="F1539" i="15"/>
  <c r="F1523" i="15"/>
  <c r="F1507" i="15"/>
  <c r="F1491" i="15"/>
  <c r="F1475" i="15"/>
  <c r="F1459" i="15"/>
  <c r="F1443" i="15"/>
  <c r="F1427" i="15"/>
  <c r="F1411" i="15"/>
  <c r="F1395" i="15"/>
  <c r="F1379" i="15"/>
  <c r="F1363" i="15"/>
  <c r="F1347" i="15"/>
  <c r="F1331" i="15"/>
  <c r="F1315" i="15"/>
  <c r="F1286" i="15"/>
  <c r="F1222" i="15"/>
  <c r="F1158" i="15"/>
  <c r="F1094" i="15"/>
  <c r="F979" i="15"/>
  <c r="F723" i="15"/>
  <c r="F991" i="15"/>
  <c r="F927" i="15"/>
  <c r="F863" i="15"/>
  <c r="F799" i="15"/>
  <c r="F735" i="15"/>
  <c r="F1296" i="15"/>
  <c r="F1280" i="15"/>
  <c r="F1264" i="15"/>
  <c r="F1248" i="15"/>
  <c r="F1232" i="15"/>
  <c r="F1216" i="15"/>
  <c r="F1200" i="15"/>
  <c r="F1184" i="15"/>
  <c r="F1168" i="15"/>
  <c r="F1152" i="15"/>
  <c r="F1136" i="15"/>
  <c r="F1120" i="15"/>
  <c r="F1104" i="15"/>
  <c r="F1088" i="15"/>
  <c r="F1072" i="15"/>
  <c r="F1056" i="15"/>
  <c r="F1019" i="15"/>
  <c r="F955" i="15"/>
  <c r="F1700" i="15"/>
  <c r="F1426" i="15"/>
  <c r="F1819" i="15"/>
  <c r="F1803" i="15"/>
  <c r="F1787" i="15"/>
  <c r="F1771" i="15"/>
  <c r="F1755" i="15"/>
  <c r="F1707" i="15"/>
  <c r="F1691" i="15"/>
  <c r="F1675" i="15"/>
  <c r="F1659" i="15"/>
  <c r="F1643" i="15"/>
  <c r="F1627" i="15"/>
  <c r="F1611" i="15"/>
  <c r="F1596" i="15"/>
  <c r="F1562" i="15"/>
  <c r="F1502" i="15"/>
  <c r="F1438" i="15"/>
  <c r="F1374" i="15"/>
  <c r="F1310" i="15"/>
  <c r="F1074" i="15"/>
  <c r="F1762" i="15"/>
  <c r="F1666" i="15"/>
  <c r="F1737" i="15"/>
  <c r="F1851" i="15"/>
  <c r="F1850" i="15"/>
  <c r="F1843" i="15"/>
  <c r="F1826" i="15"/>
  <c r="F1605" i="15"/>
  <c r="F1848" i="15"/>
  <c r="F1832" i="15"/>
  <c r="F1860" i="15"/>
  <c r="F1844" i="15"/>
  <c r="F1828" i="15"/>
  <c r="F1474" i="15"/>
  <c r="F1652" i="15"/>
  <c r="F1573" i="15"/>
  <c r="F1812" i="15"/>
  <c r="F1538" i="15"/>
  <c r="F1792" i="15"/>
  <c r="F1728" i="15"/>
  <c r="F1664" i="15"/>
  <c r="F1601" i="15"/>
  <c r="F1458" i="15"/>
  <c r="F1589" i="15"/>
  <c r="F1764" i="15"/>
  <c r="F1346" i="15"/>
  <c r="F891" i="15"/>
  <c r="F827" i="15"/>
  <c r="F763" i="15"/>
  <c r="F1299" i="15"/>
  <c r="F1283" i="15"/>
  <c r="F1267" i="15"/>
  <c r="F1251" i="15"/>
  <c r="F1235" i="15"/>
  <c r="F1219" i="15"/>
  <c r="F1203" i="15"/>
  <c r="F1187" i="15"/>
  <c r="F1171" i="15"/>
  <c r="F1155" i="15"/>
  <c r="F1139" i="15"/>
  <c r="F1123" i="15"/>
  <c r="F1107" i="15"/>
  <c r="F1091" i="15"/>
  <c r="F1075" i="15"/>
  <c r="F1059" i="15"/>
  <c r="F1031" i="15"/>
  <c r="F967" i="15"/>
  <c r="F903" i="15"/>
  <c r="F839" i="15"/>
  <c r="F775" i="15"/>
  <c r="F711" i="15"/>
  <c r="F1034" i="15"/>
  <c r="F1018" i="15"/>
  <c r="F1002" i="15"/>
  <c r="F986" i="15"/>
  <c r="F970" i="15"/>
  <c r="F954" i="15"/>
  <c r="F938" i="15"/>
  <c r="F922" i="15"/>
  <c r="F906" i="15"/>
  <c r="F890" i="15"/>
  <c r="F874" i="15"/>
  <c r="F858" i="15"/>
  <c r="F842" i="15"/>
  <c r="F826" i="15"/>
  <c r="F810" i="15"/>
  <c r="F794" i="15"/>
  <c r="F778" i="15"/>
  <c r="F762" i="15"/>
  <c r="F746" i="15"/>
  <c r="F730" i="15"/>
  <c r="F714" i="15"/>
  <c r="F1037" i="15"/>
  <c r="F1021" i="15"/>
  <c r="F1005" i="15"/>
  <c r="F989" i="15"/>
  <c r="F973" i="15"/>
  <c r="F957" i="15"/>
  <c r="F941" i="15"/>
  <c r="F925" i="15"/>
  <c r="F909" i="15"/>
  <c r="F893" i="15"/>
  <c r="F877" i="15"/>
  <c r="F861" i="15"/>
  <c r="F829" i="15"/>
  <c r="F813" i="15"/>
  <c r="F797" i="15"/>
  <c r="F765" i="15"/>
  <c r="F749" i="15"/>
  <c r="F733" i="15"/>
  <c r="F1040" i="15"/>
  <c r="F1024" i="15"/>
  <c r="F1008" i="15"/>
  <c r="F992" i="15"/>
  <c r="F976" i="15"/>
  <c r="F960" i="15"/>
  <c r="F944" i="15"/>
  <c r="F928" i="15"/>
  <c r="F912" i="15"/>
  <c r="F896" i="15"/>
  <c r="F880" i="15"/>
  <c r="F864" i="15"/>
  <c r="F848" i="15"/>
  <c r="F832" i="15"/>
  <c r="F816" i="15"/>
  <c r="F800" i="15"/>
  <c r="F784" i="15"/>
  <c r="F768" i="15"/>
  <c r="F752" i="15"/>
  <c r="F736" i="15"/>
  <c r="F720" i="15"/>
  <c r="F1796" i="15"/>
  <c r="F1716" i="15"/>
  <c r="F1636" i="15"/>
  <c r="F1620" i="15"/>
  <c r="F1808" i="15"/>
  <c r="F1744" i="15"/>
  <c r="F1680" i="15"/>
  <c r="F1616" i="15"/>
  <c r="F1522" i="15"/>
  <c r="F1154" i="15"/>
  <c r="F1772" i="15"/>
  <c r="F1708" i="15"/>
  <c r="F1644" i="15"/>
  <c r="F1581" i="15"/>
  <c r="F1378" i="15"/>
  <c r="F1768" i="15"/>
  <c r="F1704" i="15"/>
  <c r="F1640" i="15"/>
  <c r="F1577" i="15"/>
  <c r="F1362" i="15"/>
  <c r="F1815" i="15"/>
  <c r="F1799" i="15"/>
  <c r="F1783" i="15"/>
  <c r="F1767" i="15"/>
  <c r="F1751" i="15"/>
  <c r="F1735" i="15"/>
  <c r="F1719" i="15"/>
  <c r="F1703" i="15"/>
  <c r="F1687" i="15"/>
  <c r="F1671" i="15"/>
  <c r="F1655" i="15"/>
  <c r="F1639" i="15"/>
  <c r="F1623" i="15"/>
  <c r="F1607" i="15"/>
  <c r="F1592" i="15"/>
  <c r="F1576" i="15"/>
  <c r="F1550" i="15"/>
  <c r="F1486" i="15"/>
  <c r="F1422" i="15"/>
  <c r="F1358" i="15"/>
  <c r="F1266" i="15"/>
  <c r="F899" i="15"/>
  <c r="F1822" i="15"/>
  <c r="F1806" i="15"/>
  <c r="F1790" i="15"/>
  <c r="F1774" i="15"/>
  <c r="F1758" i="15"/>
  <c r="F1742" i="15"/>
  <c r="F1726" i="15"/>
  <c r="F1710" i="15"/>
  <c r="F1694" i="15"/>
  <c r="F1678" i="15"/>
  <c r="F1662" i="15"/>
  <c r="F1646" i="15"/>
  <c r="F1630" i="15"/>
  <c r="F1614" i="15"/>
  <c r="F1599" i="15"/>
  <c r="F1583" i="15"/>
  <c r="F1567" i="15"/>
  <c r="F1514" i="15"/>
  <c r="F1450" i="15"/>
  <c r="F1386" i="15"/>
  <c r="F1322" i="15"/>
  <c r="F1122" i="15"/>
  <c r="F1813" i="15"/>
  <c r="F1797" i="15"/>
  <c r="F1781" i="15"/>
  <c r="F1765" i="15"/>
  <c r="F1749" i="15"/>
  <c r="F1733" i="15"/>
  <c r="F1717" i="15"/>
  <c r="F1701" i="15"/>
  <c r="F1685" i="15"/>
  <c r="F1669" i="15"/>
  <c r="F1653" i="15"/>
  <c r="F1637" i="15"/>
  <c r="F1621" i="15"/>
  <c r="F1590" i="15"/>
  <c r="F1574" i="15"/>
  <c r="F1542" i="15"/>
  <c r="F1478" i="15"/>
  <c r="F1414" i="15"/>
  <c r="F1350" i="15"/>
  <c r="F1234" i="15"/>
  <c r="F771" i="15"/>
  <c r="F1553" i="15"/>
  <c r="F1537" i="15"/>
  <c r="F1521" i="15"/>
  <c r="F1505" i="15"/>
  <c r="F1489" i="15"/>
  <c r="F1473" i="15"/>
  <c r="F1457" i="15"/>
  <c r="F1441" i="15"/>
  <c r="F1425" i="15"/>
  <c r="F1409" i="15"/>
  <c r="F1393" i="15"/>
  <c r="F1377" i="15"/>
  <c r="F1361" i="15"/>
  <c r="F1345" i="15"/>
  <c r="F1329" i="15"/>
  <c r="F1313" i="15"/>
  <c r="F1278" i="15"/>
  <c r="F1214" i="15"/>
  <c r="F1150" i="15"/>
  <c r="F1086" i="15"/>
  <c r="F947" i="15"/>
  <c r="F1564" i="15"/>
  <c r="F1548" i="15"/>
  <c r="F1532" i="15"/>
  <c r="F1516" i="15"/>
  <c r="F1500" i="15"/>
  <c r="F1484" i="15"/>
  <c r="F1468" i="15"/>
  <c r="F1452" i="15"/>
  <c r="F1436" i="15"/>
  <c r="F1420" i="15"/>
  <c r="F1404" i="15"/>
  <c r="F1388" i="15"/>
  <c r="F1372" i="15"/>
  <c r="F1356" i="15"/>
  <c r="F1340" i="15"/>
  <c r="F1324" i="15"/>
  <c r="F1308" i="15"/>
  <c r="F1258" i="15"/>
  <c r="F1194" i="15"/>
  <c r="F1130" i="15"/>
  <c r="F1066" i="15"/>
  <c r="F867" i="15"/>
  <c r="F1551" i="15"/>
  <c r="F1535" i="15"/>
  <c r="F1519" i="15"/>
  <c r="F1503" i="15"/>
  <c r="F1487" i="15"/>
  <c r="F1471" i="15"/>
  <c r="F1455" i="15"/>
  <c r="F1439" i="15"/>
  <c r="F1423" i="15"/>
  <c r="F1407" i="15"/>
  <c r="F1391" i="15"/>
  <c r="F1375" i="15"/>
  <c r="F1359" i="15"/>
  <c r="F1343" i="15"/>
  <c r="F1327" i="15"/>
  <c r="F1311" i="15"/>
  <c r="F1270" i="15"/>
  <c r="F1206" i="15"/>
  <c r="F1142" i="15"/>
  <c r="F1078" i="15"/>
  <c r="F915" i="15"/>
  <c r="F1301" i="15"/>
  <c r="F1285" i="15"/>
  <c r="F1269" i="15"/>
  <c r="F1253" i="15"/>
  <c r="F1237" i="15"/>
  <c r="F1221" i="15"/>
  <c r="F1205" i="15"/>
  <c r="F1189" i="15"/>
  <c r="F1173" i="15"/>
  <c r="F1157" i="15"/>
  <c r="F1141" i="15"/>
  <c r="F1125" i="15"/>
  <c r="F1109" i="15"/>
  <c r="F1093" i="15"/>
  <c r="F1077" i="15"/>
  <c r="F1061" i="15"/>
  <c r="F1039" i="15"/>
  <c r="F975" i="15"/>
  <c r="F911" i="15"/>
  <c r="F847" i="15"/>
  <c r="F783" i="15"/>
  <c r="F719" i="15"/>
  <c r="F1292" i="15"/>
  <c r="F1276" i="15"/>
  <c r="F1260" i="15"/>
  <c r="F1244" i="15"/>
  <c r="F1228" i="15"/>
  <c r="F1212" i="15"/>
  <c r="F1196" i="15"/>
  <c r="F1180" i="15"/>
  <c r="F1164" i="15"/>
  <c r="F1148" i="15"/>
  <c r="F1132" i="15"/>
  <c r="F1116" i="15"/>
  <c r="F1100" i="15"/>
  <c r="F1084" i="15"/>
  <c r="F1068" i="15"/>
  <c r="F1052" i="15"/>
  <c r="F1003" i="15"/>
  <c r="F939" i="15"/>
  <c r="F875" i="15"/>
  <c r="F811" i="15"/>
  <c r="F747" i="15"/>
  <c r="F1295" i="15"/>
  <c r="F1279" i="15"/>
  <c r="F1263" i="15"/>
  <c r="F1247" i="15"/>
  <c r="F1231" i="15"/>
  <c r="F1215" i="15"/>
  <c r="F1199" i="15"/>
  <c r="F1183" i="15"/>
  <c r="F1167" i="15"/>
  <c r="F1151" i="15"/>
  <c r="F1135" i="15"/>
  <c r="F1119" i="15"/>
  <c r="F1103" i="15"/>
  <c r="F1087" i="15"/>
  <c r="F1071" i="15"/>
  <c r="F1055" i="15"/>
  <c r="F1015" i="15"/>
  <c r="F951" i="15"/>
  <c r="F887" i="15"/>
  <c r="F823" i="15"/>
  <c r="F759" i="15"/>
  <c r="F1046" i="15"/>
  <c r="F1030" i="15"/>
  <c r="F1014" i="15"/>
  <c r="F998" i="15"/>
  <c r="F982" i="15"/>
  <c r="F966" i="15"/>
  <c r="F950" i="15"/>
  <c r="F934" i="15"/>
  <c r="F918" i="15"/>
  <c r="F902" i="15"/>
  <c r="F886" i="15"/>
  <c r="F870" i="15"/>
  <c r="F854" i="15"/>
  <c r="F838" i="15"/>
  <c r="F822" i="15"/>
  <c r="F806" i="15"/>
  <c r="F790" i="15"/>
  <c r="F774" i="15"/>
  <c r="F758" i="15"/>
  <c r="F742" i="15"/>
  <c r="F726" i="15"/>
  <c r="F710" i="15"/>
  <c r="F1033" i="15"/>
  <c r="F1017" i="15"/>
  <c r="F1001" i="15"/>
  <c r="F985" i="15"/>
  <c r="F969" i="15"/>
  <c r="F953" i="15"/>
  <c r="F937" i="15"/>
  <c r="F921" i="15"/>
  <c r="F905" i="15"/>
  <c r="F889" i="15"/>
  <c r="F873" i="15"/>
  <c r="F857" i="15"/>
  <c r="F841" i="15"/>
  <c r="F825" i="15"/>
  <c r="F809" i="15"/>
  <c r="F793" i="15"/>
  <c r="F777" i="15"/>
  <c r="F761" i="15"/>
  <c r="F745" i="15"/>
  <c r="F729" i="15"/>
  <c r="F713" i="15"/>
  <c r="F1036" i="15"/>
  <c r="F1020" i="15"/>
  <c r="F1004" i="15"/>
  <c r="F988" i="15"/>
  <c r="F972" i="15"/>
  <c r="F956" i="15"/>
  <c r="F940" i="15"/>
  <c r="F924" i="15"/>
  <c r="F908" i="15"/>
  <c r="F892" i="15"/>
  <c r="F876" i="15"/>
  <c r="F860" i="15"/>
  <c r="F844" i="15"/>
  <c r="F828" i="15"/>
  <c r="F812" i="15"/>
  <c r="F796" i="15"/>
  <c r="F780" i="15"/>
  <c r="F764" i="15"/>
  <c r="F748" i="15"/>
  <c r="F732" i="15"/>
  <c r="F716" i="15"/>
  <c r="F1820" i="15"/>
  <c r="F1756" i="15"/>
  <c r="F1692" i="15"/>
  <c r="F1628" i="15"/>
  <c r="F1563" i="15"/>
  <c r="F1314" i="15"/>
  <c r="F1816" i="15"/>
  <c r="F1752" i="15"/>
  <c r="F1688" i="15"/>
  <c r="F1624" i="15"/>
  <c r="F1554" i="15"/>
  <c r="F1282" i="15"/>
  <c r="F1811" i="15"/>
  <c r="F1795" i="15"/>
  <c r="F1779" i="15"/>
  <c r="F1763" i="15"/>
  <c r="F1747" i="15"/>
  <c r="F1731" i="15"/>
  <c r="F1715" i="15"/>
  <c r="F1699" i="15"/>
  <c r="F1683" i="15"/>
  <c r="F1667" i="15"/>
  <c r="F1651" i="15"/>
  <c r="F1635" i="15"/>
  <c r="F1619" i="15"/>
  <c r="F1604" i="15"/>
  <c r="F1588" i="15"/>
  <c r="F1572" i="15"/>
  <c r="F1534" i="15"/>
  <c r="F1470" i="15"/>
  <c r="F1406" i="15"/>
  <c r="F1342" i="15"/>
  <c r="F1202" i="15"/>
  <c r="F1818" i="15"/>
  <c r="F1802" i="15"/>
  <c r="F1786" i="15"/>
  <c r="F1770" i="15"/>
  <c r="F1754" i="15"/>
  <c r="F1738" i="15"/>
  <c r="F1722" i="15"/>
  <c r="F1706" i="15"/>
  <c r="F1690" i="15"/>
  <c r="F1674" i="15"/>
  <c r="F1658" i="15"/>
  <c r="F1642" i="15"/>
  <c r="F1626" i="15"/>
  <c r="F1610" i="15"/>
  <c r="F1595" i="15"/>
  <c r="F1579" i="15"/>
  <c r="F1559" i="15"/>
  <c r="F1498" i="15"/>
  <c r="F1434" i="15"/>
  <c r="F1370" i="15"/>
  <c r="F1306" i="15"/>
  <c r="F1058" i="15"/>
  <c r="F1809" i="15"/>
  <c r="F1793" i="15"/>
  <c r="F1777" i="15"/>
  <c r="F1761" i="15"/>
  <c r="F1745" i="15"/>
  <c r="F1729" i="15"/>
  <c r="F1713" i="15"/>
  <c r="F1697" i="15"/>
  <c r="F1681" i="15"/>
  <c r="F1665" i="15"/>
  <c r="F1649" i="15"/>
  <c r="F1633" i="15"/>
  <c r="F1617" i="15"/>
  <c r="F1602" i="15"/>
  <c r="F1586" i="15"/>
  <c r="F1570" i="15"/>
  <c r="F1526" i="15"/>
  <c r="F1462" i="15"/>
  <c r="F1398" i="15"/>
  <c r="F1334" i="15"/>
  <c r="F1170" i="15"/>
  <c r="F1565" i="15"/>
  <c r="F1549" i="15"/>
  <c r="F1533" i="15"/>
  <c r="F1517" i="15"/>
  <c r="F1501" i="15"/>
  <c r="F1485" i="15"/>
  <c r="F1469" i="15"/>
  <c r="F1453" i="15"/>
  <c r="F1437" i="15"/>
  <c r="F1421" i="15"/>
  <c r="F1405" i="15"/>
  <c r="F1389" i="15"/>
  <c r="F1373" i="15"/>
  <c r="F1357" i="15"/>
  <c r="F1341" i="15"/>
  <c r="F1325" i="15"/>
  <c r="F1309" i="15"/>
  <c r="F1262" i="15"/>
  <c r="F1198" i="15"/>
  <c r="F1134" i="15"/>
  <c r="F1070" i="15"/>
  <c r="F883" i="15"/>
  <c r="F1560" i="15"/>
  <c r="F1544" i="15"/>
  <c r="F1528" i="15"/>
  <c r="F1512" i="15"/>
  <c r="F1496" i="15"/>
  <c r="F1480" i="15"/>
  <c r="F1464" i="15"/>
  <c r="F1448" i="15"/>
  <c r="F1432" i="15"/>
  <c r="F1416" i="15"/>
  <c r="F1400" i="15"/>
  <c r="F1384" i="15"/>
  <c r="F1368" i="15"/>
  <c r="F1352" i="15"/>
  <c r="F1336" i="15"/>
  <c r="F1320" i="15"/>
  <c r="F1303" i="15"/>
  <c r="F1242" i="15"/>
  <c r="F1178" i="15"/>
  <c r="F1114" i="15"/>
  <c r="F1050" i="15"/>
  <c r="F803" i="15"/>
  <c r="F1547" i="15"/>
  <c r="F1531" i="15"/>
  <c r="F1515" i="15"/>
  <c r="F1499" i="15"/>
  <c r="F1483" i="15"/>
  <c r="F1467" i="15"/>
  <c r="F1451" i="15"/>
  <c r="F1435" i="15"/>
  <c r="F1419" i="15"/>
  <c r="F1403" i="15"/>
  <c r="F1387" i="15"/>
  <c r="F1371" i="15"/>
  <c r="F1355" i="15"/>
  <c r="F1339" i="15"/>
  <c r="F1323" i="15"/>
  <c r="F1307" i="15"/>
  <c r="F1254" i="15"/>
  <c r="F1190" i="15"/>
  <c r="F1126" i="15"/>
  <c r="F1062" i="15"/>
  <c r="F851" i="15"/>
  <c r="F1297" i="15"/>
  <c r="F1281" i="15"/>
  <c r="F1265" i="15"/>
  <c r="F1249" i="15"/>
  <c r="F1233" i="15"/>
  <c r="F1217" i="15"/>
  <c r="F1201" i="15"/>
  <c r="F1185" i="15"/>
  <c r="F1169" i="15"/>
  <c r="F1153" i="15"/>
  <c r="F1137" i="15"/>
  <c r="F1121" i="15"/>
  <c r="F1105" i="15"/>
  <c r="F1089" i="15"/>
  <c r="F1073" i="15"/>
  <c r="F1057" i="15"/>
  <c r="F1023" i="15"/>
  <c r="F959" i="15"/>
  <c r="F895" i="15"/>
  <c r="F831" i="15"/>
  <c r="F767" i="15"/>
  <c r="F1304" i="15"/>
  <c r="F1288" i="15"/>
  <c r="F1272" i="15"/>
  <c r="F1256" i="15"/>
  <c r="F1240" i="15"/>
  <c r="F1224" i="15"/>
  <c r="F1208" i="15"/>
  <c r="F1192" i="15"/>
  <c r="F1176" i="15"/>
  <c r="F1160" i="15"/>
  <c r="F1144" i="15"/>
  <c r="F1128" i="15"/>
  <c r="F1112" i="15"/>
  <c r="F1096" i="15"/>
  <c r="F1080" i="15"/>
  <c r="F1064" i="15"/>
  <c r="F1048" i="15"/>
  <c r="F987" i="15"/>
  <c r="F923" i="15"/>
  <c r="F859" i="15"/>
  <c r="F795" i="15"/>
  <c r="F731" i="15"/>
  <c r="F1291" i="15"/>
  <c r="F1275" i="15"/>
  <c r="F1259" i="15"/>
  <c r="F1243" i="15"/>
  <c r="F1227" i="15"/>
  <c r="F1211" i="15"/>
  <c r="F1195" i="15"/>
  <c r="F1179" i="15"/>
  <c r="F1163" i="15"/>
  <c r="F1147" i="15"/>
  <c r="F1131" i="15"/>
  <c r="F1115" i="15"/>
  <c r="F1099" i="15"/>
  <c r="F1083" i="15"/>
  <c r="F1067" i="15"/>
  <c r="F1051" i="15"/>
  <c r="F999" i="15"/>
  <c r="F935" i="15"/>
  <c r="F871" i="15"/>
  <c r="F807" i="15"/>
  <c r="F743" i="15"/>
  <c r="F1042" i="15"/>
  <c r="F1026" i="15"/>
  <c r="F1010" i="15"/>
  <c r="F994" i="15"/>
  <c r="F978" i="15"/>
  <c r="F962" i="15"/>
  <c r="F946" i="15"/>
  <c r="F930" i="15"/>
  <c r="F914" i="15"/>
  <c r="F898" i="15"/>
  <c r="F882" i="15"/>
  <c r="F866" i="15"/>
  <c r="F850" i="15"/>
  <c r="F834" i="15"/>
  <c r="F818" i="15"/>
  <c r="F802" i="15"/>
  <c r="F786" i="15"/>
  <c r="F770" i="15"/>
  <c r="F754" i="15"/>
  <c r="F738" i="15"/>
  <c r="F722" i="15"/>
  <c r="F1045" i="15"/>
  <c r="F1029" i="15"/>
  <c r="F1013" i="15"/>
  <c r="F997" i="15"/>
  <c r="F981" i="15"/>
  <c r="F965" i="15"/>
  <c r="F949" i="15"/>
  <c r="F933" i="15"/>
  <c r="F917" i="15"/>
  <c r="F901" i="15"/>
  <c r="F885" i="15"/>
  <c r="F869" i="15"/>
  <c r="F853" i="15"/>
  <c r="F837" i="15"/>
  <c r="F821" i="15"/>
  <c r="F805" i="15"/>
  <c r="F789" i="15"/>
  <c r="F773" i="15"/>
  <c r="F757" i="15"/>
  <c r="F741" i="15"/>
  <c r="F725" i="15"/>
  <c r="F709" i="15"/>
  <c r="F1032" i="15"/>
  <c r="F1016" i="15"/>
  <c r="F1000" i="15"/>
  <c r="F984" i="15"/>
  <c r="F968" i="15"/>
  <c r="F952" i="15"/>
  <c r="F936" i="15"/>
  <c r="F920" i="15"/>
  <c r="F904" i="15"/>
  <c r="F888" i="15"/>
  <c r="F872" i="15"/>
  <c r="F856" i="15"/>
  <c r="F840" i="15"/>
  <c r="F824" i="15"/>
  <c r="F808" i="15"/>
  <c r="F792" i="15"/>
  <c r="F776" i="15"/>
  <c r="F760" i="15"/>
  <c r="F744" i="15"/>
  <c r="F728" i="15"/>
  <c r="F712" i="15"/>
  <c r="F1748" i="15"/>
  <c r="F1218" i="15"/>
  <c r="F1776" i="15"/>
  <c r="F1712" i="15"/>
  <c r="F1648" i="15"/>
  <c r="F1585" i="15"/>
  <c r="F1394" i="15"/>
  <c r="F1804" i="15"/>
  <c r="F1740" i="15"/>
  <c r="F1676" i="15"/>
  <c r="F1612" i="15"/>
  <c r="F1506" i="15"/>
  <c r="F1090" i="15"/>
  <c r="F1800" i="15"/>
  <c r="F1736" i="15"/>
  <c r="F1672" i="15"/>
  <c r="F1608" i="15"/>
  <c r="F1490" i="15"/>
  <c r="F963" i="15"/>
  <c r="F1823" i="15"/>
  <c r="F1807" i="15"/>
  <c r="F1791" i="15"/>
  <c r="F1775" i="15"/>
  <c r="F1759" i="15"/>
  <c r="F1743" i="15"/>
  <c r="F1727" i="15"/>
  <c r="F1711" i="15"/>
  <c r="F1695" i="15"/>
  <c r="F1679" i="15"/>
  <c r="F1663" i="15"/>
  <c r="F1647" i="15"/>
  <c r="F1631" i="15"/>
  <c r="F1615" i="15"/>
  <c r="F1600" i="15"/>
  <c r="F1584" i="15"/>
  <c r="F1568" i="15"/>
  <c r="F1518" i="15"/>
  <c r="F1454" i="15"/>
  <c r="F1390" i="15"/>
  <c r="F1326" i="15"/>
  <c r="F1138" i="15"/>
  <c r="F1814" i="15"/>
  <c r="F1798" i="15"/>
  <c r="F1782" i="15"/>
  <c r="F1766" i="15"/>
  <c r="F1750" i="15"/>
  <c r="F1734" i="15"/>
  <c r="F1718" i="15"/>
  <c r="F1702" i="15"/>
  <c r="F1686" i="15"/>
  <c r="F1670" i="15"/>
  <c r="F1654" i="15"/>
  <c r="F1638" i="15"/>
  <c r="F1622" i="15"/>
  <c r="F1606" i="15"/>
  <c r="F1591" i="15"/>
  <c r="F1575" i="15"/>
  <c r="F1546" i="15"/>
  <c r="F1482" i="15"/>
  <c r="F1418" i="15"/>
  <c r="F1354" i="15"/>
  <c r="F1250" i="15"/>
  <c r="F835" i="15"/>
  <c r="F1837" i="15"/>
  <c r="F1821" i="15"/>
  <c r="F1805" i="15"/>
  <c r="F1789" i="15"/>
  <c r="F1773" i="15"/>
  <c r="F1757" i="15"/>
  <c r="F1741" i="15"/>
  <c r="F1725" i="15"/>
  <c r="F1709" i="15"/>
  <c r="F1693" i="15"/>
  <c r="F1677" i="15"/>
  <c r="F1661" i="15"/>
  <c r="F1645" i="15"/>
  <c r="F1629" i="15"/>
  <c r="F1613" i="15"/>
  <c r="F1598" i="15"/>
  <c r="F1582" i="15"/>
  <c r="F1566" i="15"/>
  <c r="F1510" i="15"/>
  <c r="F1446" i="15"/>
  <c r="F1382" i="15"/>
  <c r="F1318" i="15"/>
  <c r="F1106" i="15"/>
  <c r="F1561" i="15"/>
  <c r="F1545" i="15"/>
  <c r="F1529" i="15"/>
  <c r="F1513" i="15"/>
  <c r="F1497" i="15"/>
  <c r="F1481" i="15"/>
  <c r="F1465" i="15"/>
  <c r="F1449" i="15"/>
  <c r="F1433" i="15"/>
  <c r="F1417" i="15"/>
  <c r="F1401" i="15"/>
  <c r="F1385" i="15"/>
  <c r="F1369" i="15"/>
  <c r="F1353" i="15"/>
  <c r="F1337" i="15"/>
  <c r="F1321" i="15"/>
  <c r="F1305" i="15"/>
  <c r="F1246" i="15"/>
  <c r="F1182" i="15"/>
  <c r="F1118" i="15"/>
  <c r="F1054" i="15"/>
  <c r="F819" i="15"/>
  <c r="F1556" i="15"/>
  <c r="F1540" i="15"/>
  <c r="F1524" i="15"/>
  <c r="F1508" i="15"/>
  <c r="F1492" i="15"/>
  <c r="F1476" i="15"/>
  <c r="F1460" i="15"/>
  <c r="F1444" i="15"/>
  <c r="F1428" i="15"/>
  <c r="F1412" i="15"/>
  <c r="F1396" i="15"/>
  <c r="F1380" i="15"/>
  <c r="F1364" i="15"/>
  <c r="F1348" i="15"/>
  <c r="F1332" i="15"/>
  <c r="F1316" i="15"/>
  <c r="F1290" i="15"/>
  <c r="F1226" i="15"/>
  <c r="F1162" i="15"/>
  <c r="F1098" i="15"/>
  <c r="F995" i="15"/>
  <c r="F739" i="15"/>
  <c r="F1543" i="15"/>
  <c r="F1527" i="15"/>
  <c r="F1511" i="15"/>
  <c r="F1495" i="15"/>
  <c r="F1479" i="15"/>
  <c r="F1463" i="15"/>
  <c r="F1447" i="15"/>
  <c r="F1431" i="15"/>
  <c r="F1415" i="15"/>
  <c r="F1399" i="15"/>
  <c r="F1383" i="15"/>
  <c r="F1367" i="15"/>
  <c r="F1351" i="15"/>
  <c r="F1335" i="15"/>
  <c r="F1319" i="15"/>
  <c r="F1302" i="15"/>
  <c r="F1238" i="15"/>
  <c r="F1174" i="15"/>
  <c r="F1110" i="15"/>
  <c r="F1043" i="15"/>
  <c r="F787" i="15"/>
  <c r="F1293" i="15"/>
  <c r="F1277" i="15"/>
  <c r="F1261" i="15"/>
  <c r="F1245" i="15"/>
  <c r="F1229" i="15"/>
  <c r="F1213" i="15"/>
  <c r="F1197" i="15"/>
  <c r="F1181" i="15"/>
  <c r="F1165" i="15"/>
  <c r="F1149" i="15"/>
  <c r="F1133" i="15"/>
  <c r="F1117" i="15"/>
  <c r="F1101" i="15"/>
  <c r="F1085" i="15"/>
  <c r="F1069" i="15"/>
  <c r="F1053" i="15"/>
  <c r="F1007" i="15"/>
  <c r="F943" i="15"/>
  <c r="F879" i="15"/>
  <c r="F815" i="15"/>
  <c r="F751" i="15"/>
  <c r="F1300" i="15"/>
  <c r="F1284" i="15"/>
  <c r="F1268" i="15"/>
  <c r="F1252" i="15"/>
  <c r="F1236" i="15"/>
  <c r="F1220" i="15"/>
  <c r="F1204" i="15"/>
  <c r="F1188" i="15"/>
  <c r="F1172" i="15"/>
  <c r="F1156" i="15"/>
  <c r="F1140" i="15"/>
  <c r="F1124" i="15"/>
  <c r="F1108" i="15"/>
  <c r="F1092" i="15"/>
  <c r="F1076" i="15"/>
  <c r="F1060" i="15"/>
  <c r="F1035" i="15"/>
  <c r="F971" i="15"/>
  <c r="F907" i="15"/>
  <c r="F843" i="15"/>
  <c r="F779" i="15"/>
  <c r="F715" i="15"/>
  <c r="F1287" i="15"/>
  <c r="F1271" i="15"/>
  <c r="F1255" i="15"/>
  <c r="F1239" i="15"/>
  <c r="F1223" i="15"/>
  <c r="F1207" i="15"/>
  <c r="F1191" i="15"/>
  <c r="F1175" i="15"/>
  <c r="F1159" i="15"/>
  <c r="F1143" i="15"/>
  <c r="F1127" i="15"/>
  <c r="F1111" i="15"/>
  <c r="F1095" i="15"/>
  <c r="F1079" i="15"/>
  <c r="F1063" i="15"/>
  <c r="F1047" i="15"/>
  <c r="F983" i="15"/>
  <c r="F919" i="15"/>
  <c r="F855" i="15"/>
  <c r="F791" i="15"/>
  <c r="F727" i="15"/>
  <c r="F1038" i="15"/>
  <c r="F1022" i="15"/>
  <c r="F1006" i="15"/>
  <c r="F990" i="15"/>
  <c r="F974" i="15"/>
  <c r="F958" i="15"/>
  <c r="F942" i="15"/>
  <c r="F926" i="15"/>
  <c r="F910" i="15"/>
  <c r="F894" i="15"/>
  <c r="F878" i="15"/>
  <c r="F862" i="15"/>
  <c r="F846" i="15"/>
  <c r="F830" i="15"/>
  <c r="F814" i="15"/>
  <c r="F798" i="15"/>
  <c r="F782" i="15"/>
  <c r="F766" i="15"/>
  <c r="F750" i="15"/>
  <c r="F734" i="15"/>
  <c r="F718" i="15"/>
  <c r="F1041" i="15"/>
  <c r="F1025" i="15"/>
  <c r="F1009" i="15"/>
  <c r="F993" i="15"/>
  <c r="F977" i="15"/>
  <c r="F961" i="15"/>
  <c r="F945" i="15"/>
  <c r="F929" i="15"/>
  <c r="F913" i="15"/>
  <c r="F897" i="15"/>
  <c r="F881" i="15"/>
  <c r="F865" i="15"/>
  <c r="F849" i="15"/>
  <c r="F833" i="15"/>
  <c r="F817" i="15"/>
  <c r="F801" i="15"/>
  <c r="F785" i="15"/>
  <c r="F769" i="15"/>
  <c r="F753" i="15"/>
  <c r="F737" i="15"/>
  <c r="F721" i="15"/>
  <c r="F1044" i="15"/>
  <c r="F1028" i="15"/>
  <c r="F1012" i="15"/>
  <c r="F996" i="15"/>
  <c r="F980" i="15"/>
  <c r="F964" i="15"/>
  <c r="F948" i="15"/>
  <c r="F932" i="15"/>
  <c r="F916" i="15"/>
  <c r="F900" i="15"/>
  <c r="F884" i="15"/>
  <c r="F868" i="15"/>
  <c r="F852" i="15"/>
  <c r="F836" i="15"/>
  <c r="F820" i="15"/>
  <c r="F804" i="15"/>
  <c r="F788" i="15"/>
  <c r="F772" i="15"/>
  <c r="F756" i="15"/>
  <c r="F740" i="15"/>
  <c r="F724" i="15"/>
  <c r="F708" i="15"/>
  <c r="P16" i="11"/>
  <c r="F14" i="11"/>
  <c r="G772" i="15" l="1"/>
  <c r="G964" i="15"/>
  <c r="G881" i="15"/>
  <c r="G1009" i="15"/>
  <c r="G798" i="15"/>
  <c r="G727" i="15"/>
  <c r="G724" i="15"/>
  <c r="G788" i="15"/>
  <c r="G852" i="15"/>
  <c r="G916" i="15"/>
  <c r="G980" i="15"/>
  <c r="G1044" i="15"/>
  <c r="G769" i="15"/>
  <c r="G833" i="15"/>
  <c r="G897" i="15"/>
  <c r="G961" i="15"/>
  <c r="G1025" i="15"/>
  <c r="G750" i="15"/>
  <c r="G814" i="15"/>
  <c r="G878" i="15"/>
  <c r="G942" i="15"/>
  <c r="G1006" i="15"/>
  <c r="G791" i="15"/>
  <c r="G1047" i="15"/>
  <c r="G1111" i="15"/>
  <c r="G1175" i="15"/>
  <c r="G1239" i="15"/>
  <c r="G715" i="15"/>
  <c r="G971" i="15"/>
  <c r="G1092" i="15"/>
  <c r="G1156" i="15"/>
  <c r="G1220" i="15"/>
  <c r="G1284" i="15"/>
  <c r="G879" i="15"/>
  <c r="G1069" i="15"/>
  <c r="G1133" i="15"/>
  <c r="G1197" i="15"/>
  <c r="G1261" i="15"/>
  <c r="G1043" i="15"/>
  <c r="G1302" i="15"/>
  <c r="G1367" i="15"/>
  <c r="G1431" i="15"/>
  <c r="G1495" i="15"/>
  <c r="G739" i="15"/>
  <c r="G1226" i="15"/>
  <c r="G1348" i="15"/>
  <c r="G1412" i="15"/>
  <c r="G1476" i="15"/>
  <c r="G1540" i="15"/>
  <c r="G1118" i="15"/>
  <c r="G1321" i="15"/>
  <c r="G1385" i="15"/>
  <c r="G1449" i="15"/>
  <c r="G1513" i="15"/>
  <c r="G1106" i="15"/>
  <c r="G1510" i="15"/>
  <c r="G1613" i="15"/>
  <c r="G1677" i="15"/>
  <c r="G1741" i="15"/>
  <c r="G1805" i="15"/>
  <c r="G1250" i="15"/>
  <c r="G1546" i="15"/>
  <c r="G1622" i="15"/>
  <c r="G1686" i="15"/>
  <c r="G1750" i="15"/>
  <c r="G1814" i="15"/>
  <c r="G1454" i="15"/>
  <c r="G1600" i="15"/>
  <c r="G1663" i="15"/>
  <c r="G1727" i="15"/>
  <c r="G1791" i="15"/>
  <c r="G1490" i="15"/>
  <c r="G1800" i="15"/>
  <c r="G1676" i="15"/>
  <c r="G1585" i="15"/>
  <c r="G1218" i="15"/>
  <c r="G744" i="15"/>
  <c r="G808" i="15"/>
  <c r="G872" i="15"/>
  <c r="G936" i="15"/>
  <c r="G1000" i="15"/>
  <c r="G725" i="15"/>
  <c r="G789" i="15"/>
  <c r="G853" i="15"/>
  <c r="G917" i="15"/>
  <c r="G981" i="15"/>
  <c r="G1045" i="15"/>
  <c r="G770" i="15"/>
  <c r="G834" i="15"/>
  <c r="G898" i="15"/>
  <c r="G962" i="15"/>
  <c r="G1026" i="15"/>
  <c r="G871" i="15"/>
  <c r="G1067" i="15"/>
  <c r="G1131" i="15"/>
  <c r="G1195" i="15"/>
  <c r="G1259" i="15"/>
  <c r="G795" i="15"/>
  <c r="G1048" i="15"/>
  <c r="G1112" i="15"/>
  <c r="G1176" i="15"/>
  <c r="G1240" i="15"/>
  <c r="G1304" i="15"/>
  <c r="G959" i="15"/>
  <c r="G1089" i="15"/>
  <c r="G1153" i="15"/>
  <c r="G1217" i="15"/>
  <c r="G1281" i="15"/>
  <c r="G1126" i="15"/>
  <c r="G1323" i="15"/>
  <c r="G1387" i="15"/>
  <c r="G1451" i="15"/>
  <c r="G1515" i="15"/>
  <c r="G1050" i="15"/>
  <c r="G1303" i="15"/>
  <c r="G1368" i="15"/>
  <c r="G1432" i="15"/>
  <c r="G1496" i="15"/>
  <c r="G1560" i="15"/>
  <c r="G1198" i="15"/>
  <c r="G1341" i="15"/>
  <c r="G1405" i="15"/>
  <c r="G1469" i="15"/>
  <c r="G1533" i="15"/>
  <c r="G1334" i="15"/>
  <c r="G1570" i="15"/>
  <c r="G1633" i="15"/>
  <c r="G1697" i="15"/>
  <c r="G1761" i="15"/>
  <c r="G1058" i="15"/>
  <c r="G1498" i="15"/>
  <c r="G1610" i="15"/>
  <c r="G1674" i="15"/>
  <c r="G1738" i="15"/>
  <c r="G1802" i="15"/>
  <c r="G1406" i="15"/>
  <c r="G1588" i="15"/>
  <c r="G1651" i="15"/>
  <c r="G1715" i="15"/>
  <c r="G1779" i="15"/>
  <c r="G1554" i="15"/>
  <c r="G1816" i="15"/>
  <c r="G1692" i="15"/>
  <c r="G732" i="15"/>
  <c r="G796" i="15"/>
  <c r="G860" i="15"/>
  <c r="G924" i="15"/>
  <c r="G988" i="15"/>
  <c r="G713" i="15"/>
  <c r="G777" i="15"/>
  <c r="G841" i="15"/>
  <c r="G905" i="15"/>
  <c r="G969" i="15"/>
  <c r="G1033" i="15"/>
  <c r="G758" i="15"/>
  <c r="G822" i="15"/>
  <c r="G886" i="15"/>
  <c r="G950" i="15"/>
  <c r="G1014" i="15"/>
  <c r="G823" i="15"/>
  <c r="G1055" i="15"/>
  <c r="G1119" i="15"/>
  <c r="G1183" i="15"/>
  <c r="G1247" i="15"/>
  <c r="G747" i="15"/>
  <c r="G1003" i="15"/>
  <c r="G1100" i="15"/>
  <c r="G1164" i="15"/>
  <c r="G1228" i="15"/>
  <c r="G1292" i="15"/>
  <c r="G911" i="15"/>
  <c r="G1077" i="15"/>
  <c r="G1141" i="15"/>
  <c r="G1205" i="15"/>
  <c r="G1269" i="15"/>
  <c r="G1078" i="15"/>
  <c r="G1311" i="15"/>
  <c r="G1375" i="15"/>
  <c r="G1439" i="15"/>
  <c r="G1503" i="15"/>
  <c r="G867" i="15"/>
  <c r="G1258" i="15"/>
  <c r="G1356" i="15"/>
  <c r="G1420" i="15"/>
  <c r="G1484" i="15"/>
  <c r="G1548" i="15"/>
  <c r="G1150" i="15"/>
  <c r="G1329" i="15"/>
  <c r="G1393" i="15"/>
  <c r="G1457" i="15"/>
  <c r="G1521" i="15"/>
  <c r="G1234" i="15"/>
  <c r="G1542" i="15"/>
  <c r="G1621" i="15"/>
  <c r="G1685" i="15"/>
  <c r="G1749" i="15"/>
  <c r="G1813" i="15"/>
  <c r="G1450" i="15"/>
  <c r="G1599" i="15"/>
  <c r="G1662" i="15"/>
  <c r="G1726" i="15"/>
  <c r="G1790" i="15"/>
  <c r="G1266" i="15"/>
  <c r="G1550" i="15"/>
  <c r="G1623" i="15"/>
  <c r="G1687" i="15"/>
  <c r="G1751" i="15"/>
  <c r="G1815" i="15"/>
  <c r="G1704" i="15"/>
  <c r="G1644" i="15"/>
  <c r="G1522" i="15"/>
  <c r="G1808" i="15"/>
  <c r="G1796" i="15"/>
  <c r="G768" i="15"/>
  <c r="G832" i="15"/>
  <c r="G896" i="15"/>
  <c r="G960" i="15"/>
  <c r="G1024" i="15"/>
  <c r="G765" i="15"/>
  <c r="G861" i="15"/>
  <c r="G925" i="15"/>
  <c r="G989" i="15"/>
  <c r="G714" i="15"/>
  <c r="G778" i="15"/>
  <c r="G842" i="15"/>
  <c r="G906" i="15"/>
  <c r="G970" i="15"/>
  <c r="G1034" i="15"/>
  <c r="G903" i="15"/>
  <c r="G1075" i="15"/>
  <c r="G1139" i="15"/>
  <c r="G1203" i="15"/>
  <c r="G1267" i="15"/>
  <c r="G827" i="15"/>
  <c r="G1589" i="15"/>
  <c r="G1728" i="15"/>
  <c r="G1573" i="15"/>
  <c r="G1844" i="15"/>
  <c r="G1605" i="15"/>
  <c r="G1851" i="15"/>
  <c r="G1074" i="15"/>
  <c r="G1502" i="15"/>
  <c r="G1627" i="15"/>
  <c r="G1691" i="15"/>
  <c r="G1787" i="15"/>
  <c r="G1700" i="15"/>
  <c r="G1072" i="15"/>
  <c r="G1136" i="15"/>
  <c r="G1200" i="15"/>
  <c r="G1264" i="15"/>
  <c r="G799" i="15"/>
  <c r="G723" i="15"/>
  <c r="G1222" i="15"/>
  <c r="G1347" i="15"/>
  <c r="G1411" i="15"/>
  <c r="G1475" i="15"/>
  <c r="G1539" i="15"/>
  <c r="G1146" i="15"/>
  <c r="G1328" i="15"/>
  <c r="G1392" i="15"/>
  <c r="G1456" i="15"/>
  <c r="G1520" i="15"/>
  <c r="G1011" i="15"/>
  <c r="G1294" i="15"/>
  <c r="G1365" i="15"/>
  <c r="G1429" i="15"/>
  <c r="G1493" i="15"/>
  <c r="G1557" i="15"/>
  <c r="G1430" i="15"/>
  <c r="G1609" i="15"/>
  <c r="G1673" i="15"/>
  <c r="G1753" i="15"/>
  <c r="G1817" i="15"/>
  <c r="G1466" i="15"/>
  <c r="G1618" i="15"/>
  <c r="G1730" i="15"/>
  <c r="G1810" i="15"/>
  <c r="G1724" i="15"/>
  <c r="G1632" i="15"/>
  <c r="G1684" i="15"/>
  <c r="G1847" i="15"/>
  <c r="G845" i="15"/>
  <c r="G1097" i="15"/>
  <c r="G1161" i="15"/>
  <c r="G1225" i="15"/>
  <c r="G1289" i="15"/>
  <c r="G1698" i="15"/>
  <c r="G1593" i="15"/>
  <c r="G1834" i="15"/>
  <c r="G1827" i="15"/>
  <c r="G1830" i="15"/>
  <c r="G1732" i="15"/>
  <c r="G836" i="15"/>
  <c r="G753" i="15"/>
  <c r="G740" i="15"/>
  <c r="G804" i="15"/>
  <c r="G868" i="15"/>
  <c r="G932" i="15"/>
  <c r="G996" i="15"/>
  <c r="G721" i="15"/>
  <c r="G785" i="15"/>
  <c r="G849" i="15"/>
  <c r="G913" i="15"/>
  <c r="G977" i="15"/>
  <c r="G1041" i="15"/>
  <c r="G766" i="15"/>
  <c r="G830" i="15"/>
  <c r="G894" i="15"/>
  <c r="G958" i="15"/>
  <c r="G1022" i="15"/>
  <c r="G855" i="15"/>
  <c r="G1063" i="15"/>
  <c r="G1127" i="15"/>
  <c r="G1191" i="15"/>
  <c r="G1255" i="15"/>
  <c r="G779" i="15"/>
  <c r="G1035" i="15"/>
  <c r="G1108" i="15"/>
  <c r="G1172" i="15"/>
  <c r="G1236" i="15"/>
  <c r="G1300" i="15"/>
  <c r="G943" i="15"/>
  <c r="G1085" i="15"/>
  <c r="G1149" i="15"/>
  <c r="G1213" i="15"/>
  <c r="G1277" i="15"/>
  <c r="G1110" i="15"/>
  <c r="G1319" i="15"/>
  <c r="G1383" i="15"/>
  <c r="G1447" i="15"/>
  <c r="G1511" i="15"/>
  <c r="G995" i="15"/>
  <c r="G1290" i="15"/>
  <c r="G1364" i="15"/>
  <c r="G1428" i="15"/>
  <c r="G1492" i="15"/>
  <c r="G1556" i="15"/>
  <c r="G1182" i="15"/>
  <c r="G1337" i="15"/>
  <c r="G1401" i="15"/>
  <c r="G1465" i="15"/>
  <c r="G1529" i="15"/>
  <c r="G1318" i="15"/>
  <c r="G1566" i="15"/>
  <c r="G1629" i="15"/>
  <c r="G1693" i="15"/>
  <c r="G1757" i="15"/>
  <c r="G1821" i="15"/>
  <c r="G1354" i="15"/>
  <c r="G1575" i="15"/>
  <c r="G1638" i="15"/>
  <c r="G1702" i="15"/>
  <c r="G1766" i="15"/>
  <c r="G1138" i="15"/>
  <c r="G1518" i="15"/>
  <c r="G1615" i="15"/>
  <c r="G1679" i="15"/>
  <c r="G1743" i="15"/>
  <c r="G1807" i="15"/>
  <c r="G1608" i="15"/>
  <c r="G1090" i="15"/>
  <c r="G1740" i="15"/>
  <c r="G1648" i="15"/>
  <c r="G1748" i="15"/>
  <c r="G760" i="15"/>
  <c r="G824" i="15"/>
  <c r="G888" i="15"/>
  <c r="G952" i="15"/>
  <c r="G1016" i="15"/>
  <c r="G741" i="15"/>
  <c r="G805" i="15"/>
  <c r="G869" i="15"/>
  <c r="G933" i="15"/>
  <c r="G997" i="15"/>
  <c r="G722" i="15"/>
  <c r="G786" i="15"/>
  <c r="G850" i="15"/>
  <c r="G914" i="15"/>
  <c r="G978" i="15"/>
  <c r="G1042" i="15"/>
  <c r="G935" i="15"/>
  <c r="G1083" i="15"/>
  <c r="G1147" i="15"/>
  <c r="G1211" i="15"/>
  <c r="G1275" i="15"/>
  <c r="G859" i="15"/>
  <c r="G1064" i="15"/>
  <c r="G1128" i="15"/>
  <c r="G1192" i="15"/>
  <c r="G1256" i="15"/>
  <c r="G767" i="15"/>
  <c r="G1023" i="15"/>
  <c r="G1105" i="15"/>
  <c r="G1169" i="15"/>
  <c r="G1233" i="15"/>
  <c r="G1297" i="15"/>
  <c r="G1190" i="15"/>
  <c r="G1339" i="15"/>
  <c r="G1403" i="15"/>
  <c r="G1467" i="15"/>
  <c r="G1531" i="15"/>
  <c r="G1114" i="15"/>
  <c r="G1320" i="15"/>
  <c r="G1384" i="15"/>
  <c r="G1448" i="15"/>
  <c r="G1512" i="15"/>
  <c r="G883" i="15"/>
  <c r="G1262" i="15"/>
  <c r="G1357" i="15"/>
  <c r="G1421" i="15"/>
  <c r="G1485" i="15"/>
  <c r="G1549" i="15"/>
  <c r="G1398" i="15"/>
  <c r="G1586" i="15"/>
  <c r="G1649" i="15"/>
  <c r="G1713" i="15"/>
  <c r="G1777" i="15"/>
  <c r="G1306" i="15"/>
  <c r="G1559" i="15"/>
  <c r="G1626" i="15"/>
  <c r="G1690" i="15"/>
  <c r="G1754" i="15"/>
  <c r="G1818" i="15"/>
  <c r="G1470" i="15"/>
  <c r="G1604" i="15"/>
  <c r="G1667" i="15"/>
  <c r="G1731" i="15"/>
  <c r="G1795" i="15"/>
  <c r="G1624" i="15"/>
  <c r="G1314" i="15"/>
  <c r="G1756" i="15"/>
  <c r="G748" i="15"/>
  <c r="G812" i="15"/>
  <c r="G876" i="15"/>
  <c r="G940" i="15"/>
  <c r="G1004" i="15"/>
  <c r="G729" i="15"/>
  <c r="G793" i="15"/>
  <c r="G857" i="15"/>
  <c r="G921" i="15"/>
  <c r="G985" i="15"/>
  <c r="G710" i="15"/>
  <c r="G774" i="15"/>
  <c r="G838" i="15"/>
  <c r="G902" i="15"/>
  <c r="G966" i="15"/>
  <c r="G1030" i="15"/>
  <c r="G887" i="15"/>
  <c r="G1071" i="15"/>
  <c r="G1135" i="15"/>
  <c r="G1199" i="15"/>
  <c r="G1263" i="15"/>
  <c r="G811" i="15"/>
  <c r="G1052" i="15"/>
  <c r="G1116" i="15"/>
  <c r="G1180" i="15"/>
  <c r="G1244" i="15"/>
  <c r="G719" i="15"/>
  <c r="G975" i="15"/>
  <c r="G1093" i="15"/>
  <c r="G1157" i="15"/>
  <c r="G1221" i="15"/>
  <c r="G1285" i="15"/>
  <c r="G1142" i="15"/>
  <c r="G1327" i="15"/>
  <c r="G1391" i="15"/>
  <c r="G1455" i="15"/>
  <c r="G1519" i="15"/>
  <c r="G1066" i="15"/>
  <c r="G1308" i="15"/>
  <c r="G1372" i="15"/>
  <c r="G1436" i="15"/>
  <c r="G1500" i="15"/>
  <c r="G1564" i="15"/>
  <c r="G1214" i="15"/>
  <c r="G1345" i="15"/>
  <c r="G1409" i="15"/>
  <c r="G1473" i="15"/>
  <c r="G1537" i="15"/>
  <c r="G1350" i="15"/>
  <c r="G1574" i="15"/>
  <c r="G1637" i="15"/>
  <c r="G1701" i="15"/>
  <c r="G1765" i="15"/>
  <c r="G1122" i="15"/>
  <c r="G1514" i="15"/>
  <c r="G1614" i="15"/>
  <c r="G1678" i="15"/>
  <c r="G1742" i="15"/>
  <c r="G1806" i="15"/>
  <c r="G1358" i="15"/>
  <c r="G1576" i="15"/>
  <c r="G1639" i="15"/>
  <c r="G1703" i="15"/>
  <c r="G1767" i="15"/>
  <c r="G1362" i="15"/>
  <c r="G1768" i="15"/>
  <c r="G1708" i="15"/>
  <c r="G1616" i="15"/>
  <c r="G1620" i="15"/>
  <c r="G720" i="15"/>
  <c r="G784" i="15"/>
  <c r="G848" i="15"/>
  <c r="G912" i="15"/>
  <c r="G976" i="15"/>
  <c r="G1040" i="15"/>
  <c r="G797" i="15"/>
  <c r="G877" i="15"/>
  <c r="G941" i="15"/>
  <c r="G1005" i="15"/>
  <c r="G730" i="15"/>
  <c r="G794" i="15"/>
  <c r="G858" i="15"/>
  <c r="G922" i="15"/>
  <c r="G986" i="15"/>
  <c r="G711" i="15"/>
  <c r="G967" i="15"/>
  <c r="G1091" i="15"/>
  <c r="G1155" i="15"/>
  <c r="G1219" i="15"/>
  <c r="G1283" i="15"/>
  <c r="G891" i="15"/>
  <c r="G1458" i="15"/>
  <c r="G1792" i="15"/>
  <c r="G1652" i="15"/>
  <c r="G1860" i="15"/>
  <c r="G1826" i="15"/>
  <c r="G1737" i="15"/>
  <c r="G1310" i="15"/>
  <c r="G1562" i="15"/>
  <c r="G1643" i="15"/>
  <c r="G1707" i="15"/>
  <c r="G1803" i="15"/>
  <c r="G955" i="15"/>
  <c r="G1088" i="15"/>
  <c r="G1152" i="15"/>
  <c r="G1216" i="15"/>
  <c r="G1280" i="15"/>
  <c r="G863" i="15"/>
  <c r="G979" i="15"/>
  <c r="G1286" i="15"/>
  <c r="G1363" i="15"/>
  <c r="G1427" i="15"/>
  <c r="G1491" i="15"/>
  <c r="G1555" i="15"/>
  <c r="G1210" i="15"/>
  <c r="G1344" i="15"/>
  <c r="G1408" i="15"/>
  <c r="G1472" i="15"/>
  <c r="G1536" i="15"/>
  <c r="G1102" i="15"/>
  <c r="G1317" i="15"/>
  <c r="G1381" i="15"/>
  <c r="G1445" i="15"/>
  <c r="G1509" i="15"/>
  <c r="G1027" i="15"/>
  <c r="G1494" i="15"/>
  <c r="G1625" i="15"/>
  <c r="G1689" i="15"/>
  <c r="G1769" i="15"/>
  <c r="G1186" i="15"/>
  <c r="G1530" i="15"/>
  <c r="G1634" i="15"/>
  <c r="G1746" i="15"/>
  <c r="G1442" i="15"/>
  <c r="G1788" i="15"/>
  <c r="G1696" i="15"/>
  <c r="G1831" i="15"/>
  <c r="G1839" i="15"/>
  <c r="G1049" i="15"/>
  <c r="G1113" i="15"/>
  <c r="G1177" i="15"/>
  <c r="G1241" i="15"/>
  <c r="G1558" i="15"/>
  <c r="G1580" i="15"/>
  <c r="G1656" i="15"/>
  <c r="G1410" i="15"/>
  <c r="G1840" i="15"/>
  <c r="G1836" i="15"/>
  <c r="G1838" i="15"/>
  <c r="G900" i="15"/>
  <c r="G817" i="15"/>
  <c r="G756" i="15"/>
  <c r="G820" i="15"/>
  <c r="G884" i="15"/>
  <c r="G948" i="15"/>
  <c r="G1012" i="15"/>
  <c r="G737" i="15"/>
  <c r="G801" i="15"/>
  <c r="G865" i="15"/>
  <c r="G929" i="15"/>
  <c r="G993" i="15"/>
  <c r="G718" i="15"/>
  <c r="G782" i="15"/>
  <c r="G846" i="15"/>
  <c r="G910" i="15"/>
  <c r="G974" i="15"/>
  <c r="G1038" i="15"/>
  <c r="G919" i="15"/>
  <c r="G1079" i="15"/>
  <c r="G1143" i="15"/>
  <c r="G1207" i="15"/>
  <c r="G1271" i="15"/>
  <c r="G843" i="15"/>
  <c r="G1060" i="15"/>
  <c r="G1124" i="15"/>
  <c r="G1188" i="15"/>
  <c r="G1252" i="15"/>
  <c r="G751" i="15"/>
  <c r="G1007" i="15"/>
  <c r="G1101" i="15"/>
  <c r="G1165" i="15"/>
  <c r="G1229" i="15"/>
  <c r="G1293" i="15"/>
  <c r="G1174" i="15"/>
  <c r="G1335" i="15"/>
  <c r="G1399" i="15"/>
  <c r="G1463" i="15"/>
  <c r="G1527" i="15"/>
  <c r="G1098" i="15"/>
  <c r="G1316" i="15"/>
  <c r="G1380" i="15"/>
  <c r="G1444" i="15"/>
  <c r="G1508" i="15"/>
  <c r="G819" i="15"/>
  <c r="G1246" i="15"/>
  <c r="G1353" i="15"/>
  <c r="G1417" i="15"/>
  <c r="G1481" i="15"/>
  <c r="G1545" i="15"/>
  <c r="G1382" i="15"/>
  <c r="G1582" i="15"/>
  <c r="G1645" i="15"/>
  <c r="G1709" i="15"/>
  <c r="G1773" i="15"/>
  <c r="G1837" i="15"/>
  <c r="G1418" i="15"/>
  <c r="G1591" i="15"/>
  <c r="G1654" i="15"/>
  <c r="G1718" i="15"/>
  <c r="G1782" i="15"/>
  <c r="G1326" i="15"/>
  <c r="G1568" i="15"/>
  <c r="G1631" i="15"/>
  <c r="G1695" i="15"/>
  <c r="G1759" i="15"/>
  <c r="G1823" i="15"/>
  <c r="G1672" i="15"/>
  <c r="G1506" i="15"/>
  <c r="G1804" i="15"/>
  <c r="G1712" i="15"/>
  <c r="G712" i="15"/>
  <c r="G776" i="15"/>
  <c r="G840" i="15"/>
  <c r="G904" i="15"/>
  <c r="G968" i="15"/>
  <c r="G1032" i="15"/>
  <c r="G757" i="15"/>
  <c r="G821" i="15"/>
  <c r="G885" i="15"/>
  <c r="G949" i="15"/>
  <c r="G1013" i="15"/>
  <c r="G738" i="15"/>
  <c r="G802" i="15"/>
  <c r="G866" i="15"/>
  <c r="G930" i="15"/>
  <c r="G994" i="15"/>
  <c r="G743" i="15"/>
  <c r="G999" i="15"/>
  <c r="G1099" i="15"/>
  <c r="G1163" i="15"/>
  <c r="G1227" i="15"/>
  <c r="G1291" i="15"/>
  <c r="G923" i="15"/>
  <c r="G1080" i="15"/>
  <c r="G1144" i="15"/>
  <c r="G1208" i="15"/>
  <c r="G1272" i="15"/>
  <c r="G831" i="15"/>
  <c r="G1057" i="15"/>
  <c r="G1121" i="15"/>
  <c r="G1185" i="15"/>
  <c r="G1249" i="15"/>
  <c r="G851" i="15"/>
  <c r="G1254" i="15"/>
  <c r="G1355" i="15"/>
  <c r="G1419" i="15"/>
  <c r="G1483" i="15"/>
  <c r="G1547" i="15"/>
  <c r="G1178" i="15"/>
  <c r="G1336" i="15"/>
  <c r="G1400" i="15"/>
  <c r="G1464" i="15"/>
  <c r="G1528" i="15"/>
  <c r="G1070" i="15"/>
  <c r="G1309" i="15"/>
  <c r="G1373" i="15"/>
  <c r="G1437" i="15"/>
  <c r="G1501" i="15"/>
  <c r="G1565" i="15"/>
  <c r="G1462" i="15"/>
  <c r="G1602" i="15"/>
  <c r="G1665" i="15"/>
  <c r="G1729" i="15"/>
  <c r="G1793" i="15"/>
  <c r="G1370" i="15"/>
  <c r="G1579" i="15"/>
  <c r="G1642" i="15"/>
  <c r="G1706" i="15"/>
  <c r="G1770" i="15"/>
  <c r="G1202" i="15"/>
  <c r="G1534" i="15"/>
  <c r="G1619" i="15"/>
  <c r="G1683" i="15"/>
  <c r="G1747" i="15"/>
  <c r="G1811" i="15"/>
  <c r="G1688" i="15"/>
  <c r="G1563" i="15"/>
  <c r="G1820" i="15"/>
  <c r="G764" i="15"/>
  <c r="G828" i="15"/>
  <c r="G892" i="15"/>
  <c r="G956" i="15"/>
  <c r="G1020" i="15"/>
  <c r="G745" i="15"/>
  <c r="G809" i="15"/>
  <c r="G873" i="15"/>
  <c r="G937" i="15"/>
  <c r="G1001" i="15"/>
  <c r="G726" i="15"/>
  <c r="G790" i="15"/>
  <c r="G854" i="15"/>
  <c r="G918" i="15"/>
  <c r="G982" i="15"/>
  <c r="G1046" i="15"/>
  <c r="G951" i="15"/>
  <c r="G1087" i="15"/>
  <c r="G1151" i="15"/>
  <c r="G1215" i="15"/>
  <c r="G1279" i="15"/>
  <c r="G875" i="15"/>
  <c r="G1068" i="15"/>
  <c r="G1132" i="15"/>
  <c r="G1196" i="15"/>
  <c r="G1260" i="15"/>
  <c r="G783" i="15"/>
  <c r="G1039" i="15"/>
  <c r="G1109" i="15"/>
  <c r="G1173" i="15"/>
  <c r="G1237" i="15"/>
  <c r="G1301" i="15"/>
  <c r="G1206" i="15"/>
  <c r="G1343" i="15"/>
  <c r="G1407" i="15"/>
  <c r="G1471" i="15"/>
  <c r="G1535" i="15"/>
  <c r="G1130" i="15"/>
  <c r="G1324" i="15"/>
  <c r="G1388" i="15"/>
  <c r="G1452" i="15"/>
  <c r="G1516" i="15"/>
  <c r="G947" i="15"/>
  <c r="G1278" i="15"/>
  <c r="G1361" i="15"/>
  <c r="G1425" i="15"/>
  <c r="G1489" i="15"/>
  <c r="G1553" i="15"/>
  <c r="G1414" i="15"/>
  <c r="G1590" i="15"/>
  <c r="G1653" i="15"/>
  <c r="G1717" i="15"/>
  <c r="G1781" i="15"/>
  <c r="G1322" i="15"/>
  <c r="G1567" i="15"/>
  <c r="G1630" i="15"/>
  <c r="G1694" i="15"/>
  <c r="G1758" i="15"/>
  <c r="G1822" i="15"/>
  <c r="G1422" i="15"/>
  <c r="G1592" i="15"/>
  <c r="G1655" i="15"/>
  <c r="G1719" i="15"/>
  <c r="G1783" i="15"/>
  <c r="G1577" i="15"/>
  <c r="G1378" i="15"/>
  <c r="G1772" i="15"/>
  <c r="G1680" i="15"/>
  <c r="G1636" i="15"/>
  <c r="G736" i="15"/>
  <c r="G800" i="15"/>
  <c r="G864" i="15"/>
  <c r="G928" i="15"/>
  <c r="G992" i="15"/>
  <c r="G733" i="15"/>
  <c r="G813" i="15"/>
  <c r="G893" i="15"/>
  <c r="G957" i="15"/>
  <c r="G1021" i="15"/>
  <c r="G746" i="15"/>
  <c r="G810" i="15"/>
  <c r="G874" i="15"/>
  <c r="G938" i="15"/>
  <c r="G1002" i="15"/>
  <c r="G775" i="15"/>
  <c r="G1031" i="15"/>
  <c r="G1107" i="15"/>
  <c r="G1171" i="15"/>
  <c r="G1235" i="15"/>
  <c r="G1299" i="15"/>
  <c r="G1346" i="15"/>
  <c r="G1601" i="15"/>
  <c r="G1538" i="15"/>
  <c r="G1474" i="15"/>
  <c r="G1832" i="15"/>
  <c r="G1843" i="15"/>
  <c r="G1666" i="15"/>
  <c r="G1374" i="15"/>
  <c r="G1596" i="15"/>
  <c r="G1659" i="15"/>
  <c r="G1755" i="15"/>
  <c r="G1819" i="15"/>
  <c r="G1019" i="15"/>
  <c r="G1104" i="15"/>
  <c r="G1168" i="15"/>
  <c r="G1232" i="15"/>
  <c r="G1296" i="15"/>
  <c r="G927" i="15"/>
  <c r="G1094" i="15"/>
  <c r="G1315" i="15"/>
  <c r="G1379" i="15"/>
  <c r="G1443" i="15"/>
  <c r="G1507" i="15"/>
  <c r="G931" i="15"/>
  <c r="G1274" i="15"/>
  <c r="G1360" i="15"/>
  <c r="G1424" i="15"/>
  <c r="G1488" i="15"/>
  <c r="G1552" i="15"/>
  <c r="G1166" i="15"/>
  <c r="G1333" i="15"/>
  <c r="G1397" i="15"/>
  <c r="G1461" i="15"/>
  <c r="G1525" i="15"/>
  <c r="G1298" i="15"/>
  <c r="G1578" i="15"/>
  <c r="G1641" i="15"/>
  <c r="G1705" i="15"/>
  <c r="G1785" i="15"/>
  <c r="G1338" i="15"/>
  <c r="G1571" i="15"/>
  <c r="G1650" i="15"/>
  <c r="G1778" i="15"/>
  <c r="G1597" i="15"/>
  <c r="G1330" i="15"/>
  <c r="G1760" i="15"/>
  <c r="G1858" i="15"/>
  <c r="G717" i="15"/>
  <c r="G1065" i="15"/>
  <c r="G1129" i="15"/>
  <c r="G1193" i="15"/>
  <c r="G1257" i="15"/>
  <c r="G1587" i="15"/>
  <c r="G1723" i="15"/>
  <c r="G1720" i="15"/>
  <c r="G1780" i="15"/>
  <c r="G1856" i="15"/>
  <c r="G1852" i="15"/>
  <c r="G708" i="15"/>
  <c r="G1028" i="15"/>
  <c r="G945" i="15"/>
  <c r="G734" i="15"/>
  <c r="G862" i="15"/>
  <c r="G926" i="15"/>
  <c r="G990" i="15"/>
  <c r="G983" i="15"/>
  <c r="G1095" i="15"/>
  <c r="G1159" i="15"/>
  <c r="G1223" i="15"/>
  <c r="G1287" i="15"/>
  <c r="G907" i="15"/>
  <c r="G1076" i="15"/>
  <c r="G1140" i="15"/>
  <c r="G1204" i="15"/>
  <c r="G1268" i="15"/>
  <c r="G815" i="15"/>
  <c r="G1053" i="15"/>
  <c r="G1117" i="15"/>
  <c r="G1181" i="15"/>
  <c r="G1245" i="15"/>
  <c r="G787" i="15"/>
  <c r="G1238" i="15"/>
  <c r="G1351" i="15"/>
  <c r="G1415" i="15"/>
  <c r="G1479" i="15"/>
  <c r="G1543" i="15"/>
  <c r="G1162" i="15"/>
  <c r="G1332" i="15"/>
  <c r="G1396" i="15"/>
  <c r="G1460" i="15"/>
  <c r="G1524" i="15"/>
  <c r="G1054" i="15"/>
  <c r="G1305" i="15"/>
  <c r="G1369" i="15"/>
  <c r="G1433" i="15"/>
  <c r="G1497" i="15"/>
  <c r="G1561" i="15"/>
  <c r="G1446" i="15"/>
  <c r="G1598" i="15"/>
  <c r="G1661" i="15"/>
  <c r="G1725" i="15"/>
  <c r="G1789" i="15"/>
  <c r="G835" i="15"/>
  <c r="G1482" i="15"/>
  <c r="G1606" i="15"/>
  <c r="G1670" i="15"/>
  <c r="G1734" i="15"/>
  <c r="G1798" i="15"/>
  <c r="G1390" i="15"/>
  <c r="G1584" i="15"/>
  <c r="G1647" i="15"/>
  <c r="G1711" i="15"/>
  <c r="G1775" i="15"/>
  <c r="G963" i="15"/>
  <c r="G1736" i="15"/>
  <c r="G1612" i="15"/>
  <c r="G1394" i="15"/>
  <c r="G1776" i="15"/>
  <c r="G728" i="15"/>
  <c r="G792" i="15"/>
  <c r="G856" i="15"/>
  <c r="G920" i="15"/>
  <c r="G984" i="15"/>
  <c r="G709" i="15"/>
  <c r="G773" i="15"/>
  <c r="G837" i="15"/>
  <c r="G901" i="15"/>
  <c r="G965" i="15"/>
  <c r="G1029" i="15"/>
  <c r="G754" i="15"/>
  <c r="G818" i="15"/>
  <c r="G882" i="15"/>
  <c r="G946" i="15"/>
  <c r="G1010" i="15"/>
  <c r="G807" i="15"/>
  <c r="G1051" i="15"/>
  <c r="G1115" i="15"/>
  <c r="G1179" i="15"/>
  <c r="G1243" i="15"/>
  <c r="G731" i="15"/>
  <c r="G987" i="15"/>
  <c r="G1096" i="15"/>
  <c r="G1160" i="15"/>
  <c r="G1224" i="15"/>
  <c r="G1288" i="15"/>
  <c r="G895" i="15"/>
  <c r="G1073" i="15"/>
  <c r="G1137" i="15"/>
  <c r="G1201" i="15"/>
  <c r="G1265" i="15"/>
  <c r="G1062" i="15"/>
  <c r="G1307" i="15"/>
  <c r="G1371" i="15"/>
  <c r="G1435" i="15"/>
  <c r="G1499" i="15"/>
  <c r="G803" i="15"/>
  <c r="G1242" i="15"/>
  <c r="G1352" i="15"/>
  <c r="G1416" i="15"/>
  <c r="G1480" i="15"/>
  <c r="G1544" i="15"/>
  <c r="G1134" i="15"/>
  <c r="G1325" i="15"/>
  <c r="G1389" i="15"/>
  <c r="G1453" i="15"/>
  <c r="G1517" i="15"/>
  <c r="G1170" i="15"/>
  <c r="G1526" i="15"/>
  <c r="G1617" i="15"/>
  <c r="G1681" i="15"/>
  <c r="G1745" i="15"/>
  <c r="G1809" i="15"/>
  <c r="G1434" i="15"/>
  <c r="G1595" i="15"/>
  <c r="G1658" i="15"/>
  <c r="G1722" i="15"/>
  <c r="G1786" i="15"/>
  <c r="G1342" i="15"/>
  <c r="G1572" i="15"/>
  <c r="G1635" i="15"/>
  <c r="G1699" i="15"/>
  <c r="G1763" i="15"/>
  <c r="G1282" i="15"/>
  <c r="G1752" i="15"/>
  <c r="G1628" i="15"/>
  <c r="G716" i="15"/>
  <c r="G780" i="15"/>
  <c r="G844" i="15"/>
  <c r="G908" i="15"/>
  <c r="G972" i="15"/>
  <c r="G1036" i="15"/>
  <c r="G761" i="15"/>
  <c r="G825" i="15"/>
  <c r="G889" i="15"/>
  <c r="G953" i="15"/>
  <c r="G1017" i="15"/>
  <c r="G742" i="15"/>
  <c r="G806" i="15"/>
  <c r="G870" i="15"/>
  <c r="G934" i="15"/>
  <c r="G998" i="15"/>
  <c r="G759" i="15"/>
  <c r="G1015" i="15"/>
  <c r="G1103" i="15"/>
  <c r="G1167" i="15"/>
  <c r="G1231" i="15"/>
  <c r="G1295" i="15"/>
  <c r="G939" i="15"/>
  <c r="G1084" i="15"/>
  <c r="G1148" i="15"/>
  <c r="G1212" i="15"/>
  <c r="G1276" i="15"/>
  <c r="G847" i="15"/>
  <c r="G1061" i="15"/>
  <c r="G1125" i="15"/>
  <c r="G1189" i="15"/>
  <c r="G1253" i="15"/>
  <c r="G915" i="15"/>
  <c r="G1270" i="15"/>
  <c r="G1359" i="15"/>
  <c r="G1423" i="15"/>
  <c r="G1487" i="15"/>
  <c r="G1551" i="15"/>
  <c r="G1194" i="15"/>
  <c r="G1340" i="15"/>
  <c r="G1404" i="15"/>
  <c r="G1468" i="15"/>
  <c r="G1532" i="15"/>
  <c r="G1086" i="15"/>
  <c r="G1313" i="15"/>
  <c r="G1377" i="15"/>
  <c r="G1441" i="15"/>
  <c r="G1505" i="15"/>
  <c r="G771" i="15"/>
  <c r="G1478" i="15"/>
  <c r="G1669" i="15"/>
  <c r="G1733" i="15"/>
  <c r="G1797" i="15"/>
  <c r="G1386" i="15"/>
  <c r="G1583" i="15"/>
  <c r="G1646" i="15"/>
  <c r="G1710" i="15"/>
  <c r="G1774" i="15"/>
  <c r="G899" i="15"/>
  <c r="G1486" i="15"/>
  <c r="G1607" i="15"/>
  <c r="G1671" i="15"/>
  <c r="G1735" i="15"/>
  <c r="G1799" i="15"/>
  <c r="G1640" i="15"/>
  <c r="G1581" i="15"/>
  <c r="G1154" i="15"/>
  <c r="G1744" i="15"/>
  <c r="G1716" i="15"/>
  <c r="G752" i="15"/>
  <c r="G816" i="15"/>
  <c r="G880" i="15"/>
  <c r="G944" i="15"/>
  <c r="G1008" i="15"/>
  <c r="G749" i="15"/>
  <c r="G829" i="15"/>
  <c r="G909" i="15"/>
  <c r="G973" i="15"/>
  <c r="G1037" i="15"/>
  <c r="G762" i="15"/>
  <c r="G826" i="15"/>
  <c r="G890" i="15"/>
  <c r="G954" i="15"/>
  <c r="G1018" i="15"/>
  <c r="G839" i="15"/>
  <c r="G1059" i="15"/>
  <c r="G1123" i="15"/>
  <c r="G1187" i="15"/>
  <c r="G1251" i="15"/>
  <c r="G763" i="15"/>
  <c r="G1764" i="15"/>
  <c r="G1664" i="15"/>
  <c r="G1812" i="15"/>
  <c r="G1828" i="15"/>
  <c r="G1848" i="15"/>
  <c r="G1850" i="15"/>
  <c r="G1762" i="15"/>
  <c r="G1438" i="15"/>
  <c r="G1611" i="15"/>
  <c r="G1675" i="15"/>
  <c r="G1771" i="15"/>
  <c r="G1426" i="15"/>
  <c r="G1056" i="15"/>
  <c r="G1120" i="15"/>
  <c r="G1184" i="15"/>
  <c r="G1248" i="15"/>
  <c r="G735" i="15"/>
  <c r="G991" i="15"/>
  <c r="G1158" i="15"/>
  <c r="G1331" i="15"/>
  <c r="G1395" i="15"/>
  <c r="G1459" i="15"/>
  <c r="G1523" i="15"/>
  <c r="G1082" i="15"/>
  <c r="G1312" i="15"/>
  <c r="G1376" i="15"/>
  <c r="G1440" i="15"/>
  <c r="G1504" i="15"/>
  <c r="G755" i="15"/>
  <c r="G1230" i="15"/>
  <c r="G1349" i="15"/>
  <c r="G1413" i="15"/>
  <c r="G1477" i="15"/>
  <c r="G1541" i="15"/>
  <c r="G1366" i="15"/>
  <c r="G1594" i="15"/>
  <c r="G1657" i="15"/>
  <c r="G1721" i="15"/>
  <c r="G1801" i="15"/>
  <c r="G1402" i="15"/>
  <c r="G1603" i="15"/>
  <c r="G1714" i="15"/>
  <c r="G1794" i="15"/>
  <c r="G1660" i="15"/>
  <c r="G1569" i="15"/>
  <c r="G1824" i="15"/>
  <c r="G1842" i="15"/>
  <c r="G781" i="15"/>
  <c r="G1081" i="15"/>
  <c r="G1145" i="15"/>
  <c r="G1209" i="15"/>
  <c r="G1273" i="15"/>
  <c r="G1682" i="15"/>
  <c r="G1739" i="15"/>
  <c r="G1784" i="15"/>
  <c r="G1846" i="15"/>
  <c r="G1855" i="15"/>
  <c r="G1668" i="15"/>
  <c r="F15" i="11"/>
  <c r="P17" i="11"/>
  <c r="T21" i="8"/>
  <c r="F16" i="11" l="1"/>
  <c r="P18" i="11"/>
  <c r="L3" i="10"/>
  <c r="L4" i="10"/>
  <c r="L5" i="10"/>
  <c r="L6" i="10"/>
  <c r="L7" i="10"/>
  <c r="L8" i="10"/>
  <c r="L9" i="10"/>
  <c r="L10" i="10"/>
  <c r="L11" i="10"/>
  <c r="L12" i="10"/>
  <c r="L13" i="10"/>
  <c r="L14" i="10"/>
  <c r="L15" i="10"/>
  <c r="L16" i="10"/>
  <c r="L17" i="10"/>
  <c r="L18" i="10"/>
  <c r="L19" i="10"/>
  <c r="L20" i="10"/>
  <c r="L21" i="10"/>
  <c r="L22" i="10"/>
  <c r="L23" i="10"/>
  <c r="L24" i="10"/>
  <c r="L25" i="10"/>
  <c r="L26" i="10"/>
  <c r="L27" i="10"/>
  <c r="L28" i="10"/>
  <c r="L29" i="10"/>
  <c r="L30" i="10"/>
  <c r="L31" i="10"/>
  <c r="L32" i="10"/>
  <c r="L33" i="10"/>
  <c r="L34" i="10"/>
  <c r="L35" i="10"/>
  <c r="L36" i="10"/>
  <c r="L37" i="10"/>
  <c r="L38" i="10"/>
  <c r="L39" i="10"/>
  <c r="L40" i="10"/>
  <c r="L41" i="10"/>
  <c r="L42" i="10"/>
  <c r="L43" i="10"/>
  <c r="L44" i="10"/>
  <c r="L45" i="10"/>
  <c r="L46" i="10"/>
  <c r="L47" i="10"/>
  <c r="L48" i="10"/>
  <c r="L49" i="10"/>
  <c r="L50" i="10"/>
  <c r="L51" i="10"/>
  <c r="L52" i="10"/>
  <c r="L53" i="10"/>
  <c r="L54" i="10"/>
  <c r="L55" i="10"/>
  <c r="L56" i="10"/>
  <c r="L57" i="10"/>
  <c r="L58" i="10"/>
  <c r="L59" i="10"/>
  <c r="L60" i="10"/>
  <c r="L61" i="10"/>
  <c r="L62" i="10"/>
  <c r="L63" i="10"/>
  <c r="L64" i="10"/>
  <c r="L65" i="10"/>
  <c r="L66" i="10"/>
  <c r="L67" i="10"/>
  <c r="L68" i="10"/>
  <c r="L69" i="10"/>
  <c r="L70" i="10"/>
  <c r="L71" i="10"/>
  <c r="L72" i="10"/>
  <c r="L73" i="10"/>
  <c r="L74" i="10"/>
  <c r="L75" i="10"/>
  <c r="L76" i="10"/>
  <c r="L77" i="10"/>
  <c r="L78" i="10"/>
  <c r="L79" i="10"/>
  <c r="L80" i="10"/>
  <c r="L81" i="10"/>
  <c r="L82" i="10"/>
  <c r="L83" i="10"/>
  <c r="L84" i="10"/>
  <c r="L85" i="10"/>
  <c r="L86" i="10"/>
  <c r="L87" i="10"/>
  <c r="L88" i="10"/>
  <c r="L89" i="10"/>
  <c r="L90" i="10"/>
  <c r="L91" i="10"/>
  <c r="L92" i="10"/>
  <c r="L93" i="10"/>
  <c r="L94" i="10"/>
  <c r="L95" i="10"/>
  <c r="L96" i="10"/>
  <c r="L97" i="10"/>
  <c r="L98" i="10"/>
  <c r="L99" i="10"/>
  <c r="L100" i="10"/>
  <c r="L101" i="10"/>
  <c r="L102" i="10"/>
  <c r="L103" i="10"/>
  <c r="L104" i="10"/>
  <c r="L105" i="10"/>
  <c r="L106" i="10"/>
  <c r="L107" i="10"/>
  <c r="L108" i="10"/>
  <c r="L109" i="10"/>
  <c r="L110" i="10"/>
  <c r="L111" i="10"/>
  <c r="L112" i="10"/>
  <c r="L113" i="10"/>
  <c r="L114" i="10"/>
  <c r="L115" i="10"/>
  <c r="L116" i="10"/>
  <c r="L117" i="10"/>
  <c r="L118" i="10"/>
  <c r="L119" i="10"/>
  <c r="L120" i="10"/>
  <c r="L121" i="10"/>
  <c r="L122" i="10"/>
  <c r="L123" i="10"/>
  <c r="L124" i="10"/>
  <c r="L125" i="10"/>
  <c r="L126" i="10"/>
  <c r="L127" i="10"/>
  <c r="L128" i="10"/>
  <c r="L129" i="10"/>
  <c r="L130" i="10"/>
  <c r="L131" i="10"/>
  <c r="L132" i="10"/>
  <c r="L133" i="10"/>
  <c r="L134" i="10"/>
  <c r="L135" i="10"/>
  <c r="L136" i="10"/>
  <c r="L137" i="10"/>
  <c r="L138" i="10"/>
  <c r="L139" i="10"/>
  <c r="L140" i="10"/>
  <c r="L141" i="10"/>
  <c r="L142" i="10"/>
  <c r="L143" i="10"/>
  <c r="L144" i="10"/>
  <c r="L145" i="10"/>
  <c r="L146" i="10"/>
  <c r="L147" i="10"/>
  <c r="L148" i="10"/>
  <c r="L149" i="10"/>
  <c r="L150" i="10"/>
  <c r="L151" i="10"/>
  <c r="L152" i="10"/>
  <c r="L153" i="10"/>
  <c r="L154" i="10"/>
  <c r="L155" i="10"/>
  <c r="L156" i="10"/>
  <c r="L157" i="10"/>
  <c r="L158" i="10"/>
  <c r="L159" i="10"/>
  <c r="L160" i="10"/>
  <c r="L161" i="10"/>
  <c r="L162" i="10"/>
  <c r="L163" i="10"/>
  <c r="L164" i="10"/>
  <c r="L165" i="10"/>
  <c r="L166" i="10"/>
  <c r="L167" i="10"/>
  <c r="L168" i="10"/>
  <c r="L169" i="10"/>
  <c r="L170" i="10"/>
  <c r="L171" i="10"/>
  <c r="L172" i="10"/>
  <c r="L173" i="10"/>
  <c r="L174" i="10"/>
  <c r="L175" i="10"/>
  <c r="L176" i="10"/>
  <c r="L177" i="10"/>
  <c r="L178" i="10"/>
  <c r="L179" i="10"/>
  <c r="L180" i="10"/>
  <c r="L181" i="10"/>
  <c r="L182" i="10"/>
  <c r="L183" i="10"/>
  <c r="L184" i="10"/>
  <c r="L185" i="10"/>
  <c r="L186" i="10"/>
  <c r="L187" i="10"/>
  <c r="L188" i="10"/>
  <c r="L189" i="10"/>
  <c r="L190" i="10"/>
  <c r="L191" i="10"/>
  <c r="L192" i="10"/>
  <c r="L193" i="10"/>
  <c r="L194" i="10"/>
  <c r="L195" i="10"/>
  <c r="L196" i="10"/>
  <c r="L197" i="10"/>
  <c r="L198" i="10"/>
  <c r="L199" i="10"/>
  <c r="L200" i="10"/>
  <c r="L201" i="10"/>
  <c r="L202" i="10"/>
  <c r="L203" i="10"/>
  <c r="L204" i="10"/>
  <c r="K3" i="10"/>
  <c r="K4" i="10"/>
  <c r="K5" i="10"/>
  <c r="K6" i="10"/>
  <c r="K7" i="10"/>
  <c r="K8" i="10"/>
  <c r="K9" i="10"/>
  <c r="K10" i="10"/>
  <c r="K11" i="10"/>
  <c r="K12" i="10"/>
  <c r="K13" i="10"/>
  <c r="K14" i="10"/>
  <c r="K15" i="10"/>
  <c r="K16" i="10"/>
  <c r="K17" i="10"/>
  <c r="K18" i="10"/>
  <c r="K19" i="10"/>
  <c r="K20" i="10"/>
  <c r="K21" i="10"/>
  <c r="K22" i="10"/>
  <c r="K23" i="10"/>
  <c r="K24" i="10"/>
  <c r="K25" i="10"/>
  <c r="K26" i="10"/>
  <c r="K27" i="10"/>
  <c r="K28" i="10"/>
  <c r="K29" i="10"/>
  <c r="K30" i="10"/>
  <c r="K31" i="10"/>
  <c r="K32" i="10"/>
  <c r="K33" i="10"/>
  <c r="K34" i="10"/>
  <c r="K35" i="10"/>
  <c r="K36" i="10"/>
  <c r="K37" i="10"/>
  <c r="K38" i="10"/>
  <c r="K39" i="10"/>
  <c r="K40" i="10"/>
  <c r="K41" i="10"/>
  <c r="K42" i="10"/>
  <c r="K43" i="10"/>
  <c r="K44" i="10"/>
  <c r="K45" i="10"/>
  <c r="K46" i="10"/>
  <c r="K47" i="10"/>
  <c r="K48" i="10"/>
  <c r="K49" i="10"/>
  <c r="K50" i="10"/>
  <c r="K51" i="10"/>
  <c r="K52" i="10"/>
  <c r="K53" i="10"/>
  <c r="K54" i="10"/>
  <c r="K55" i="10"/>
  <c r="K56" i="10"/>
  <c r="K57" i="10"/>
  <c r="K58" i="10"/>
  <c r="K59" i="10"/>
  <c r="K60" i="10"/>
  <c r="K61" i="10"/>
  <c r="K62" i="10"/>
  <c r="K63" i="10"/>
  <c r="K64" i="10"/>
  <c r="K65" i="10"/>
  <c r="K66" i="10"/>
  <c r="K67" i="10"/>
  <c r="K68" i="10"/>
  <c r="K69" i="10"/>
  <c r="K70" i="10"/>
  <c r="K71" i="10"/>
  <c r="K72" i="10"/>
  <c r="K73" i="10"/>
  <c r="K74" i="10"/>
  <c r="K75" i="10"/>
  <c r="K76" i="10"/>
  <c r="K77" i="10"/>
  <c r="K78" i="10"/>
  <c r="K79" i="10"/>
  <c r="K80" i="10"/>
  <c r="K81" i="10"/>
  <c r="K82" i="10"/>
  <c r="K83" i="10"/>
  <c r="K84" i="10"/>
  <c r="K85" i="10"/>
  <c r="K86" i="10"/>
  <c r="K87" i="10"/>
  <c r="K88" i="10"/>
  <c r="K89" i="10"/>
  <c r="K90" i="10"/>
  <c r="K91" i="10"/>
  <c r="K92" i="10"/>
  <c r="K93" i="10"/>
  <c r="K94" i="10"/>
  <c r="K95" i="10"/>
  <c r="K96" i="10"/>
  <c r="K97" i="10"/>
  <c r="K98" i="10"/>
  <c r="K99" i="10"/>
  <c r="K100" i="10"/>
  <c r="K101" i="10"/>
  <c r="K102" i="10"/>
  <c r="K103" i="10"/>
  <c r="K104" i="10"/>
  <c r="K105" i="10"/>
  <c r="K106" i="10"/>
  <c r="K107" i="10"/>
  <c r="K108" i="10"/>
  <c r="K109" i="10"/>
  <c r="K110" i="10"/>
  <c r="K111" i="10"/>
  <c r="K112" i="10"/>
  <c r="K113" i="10"/>
  <c r="K114" i="10"/>
  <c r="K115" i="10"/>
  <c r="K116" i="10"/>
  <c r="K117" i="10"/>
  <c r="K118" i="10"/>
  <c r="K119" i="10"/>
  <c r="K120" i="10"/>
  <c r="K121" i="10"/>
  <c r="K122" i="10"/>
  <c r="K123" i="10"/>
  <c r="K124" i="10"/>
  <c r="K125" i="10"/>
  <c r="K126" i="10"/>
  <c r="K127" i="10"/>
  <c r="K128" i="10"/>
  <c r="K129" i="10"/>
  <c r="K130" i="10"/>
  <c r="K131" i="10"/>
  <c r="K132" i="10"/>
  <c r="K133" i="10"/>
  <c r="K134" i="10"/>
  <c r="K135" i="10"/>
  <c r="K136" i="10"/>
  <c r="K137" i="10"/>
  <c r="K138" i="10"/>
  <c r="K139" i="10"/>
  <c r="K140" i="10"/>
  <c r="K141" i="10"/>
  <c r="K142" i="10"/>
  <c r="K143" i="10"/>
  <c r="K144" i="10"/>
  <c r="K145" i="10"/>
  <c r="K146" i="10"/>
  <c r="K147" i="10"/>
  <c r="K148" i="10"/>
  <c r="K149" i="10"/>
  <c r="K150" i="10"/>
  <c r="K151" i="10"/>
  <c r="K152" i="10"/>
  <c r="K153" i="10"/>
  <c r="K154" i="10"/>
  <c r="K155" i="10"/>
  <c r="K156" i="10"/>
  <c r="K157" i="10"/>
  <c r="K158" i="10"/>
  <c r="K159" i="10"/>
  <c r="K160" i="10"/>
  <c r="K161" i="10"/>
  <c r="K162" i="10"/>
  <c r="K163" i="10"/>
  <c r="K164" i="10"/>
  <c r="K165" i="10"/>
  <c r="K166" i="10"/>
  <c r="K167" i="10"/>
  <c r="K168" i="10"/>
  <c r="K169" i="10"/>
  <c r="K170" i="10"/>
  <c r="K171" i="10"/>
  <c r="K172" i="10"/>
  <c r="K173" i="10"/>
  <c r="K174" i="10"/>
  <c r="K175" i="10"/>
  <c r="K176" i="10"/>
  <c r="K177" i="10"/>
  <c r="K178" i="10"/>
  <c r="K179" i="10"/>
  <c r="K180" i="10"/>
  <c r="K181" i="10"/>
  <c r="K182" i="10"/>
  <c r="K183" i="10"/>
  <c r="K184" i="10"/>
  <c r="K185" i="10"/>
  <c r="K186" i="10"/>
  <c r="K187" i="10"/>
  <c r="K188" i="10"/>
  <c r="K189" i="10"/>
  <c r="K190" i="10"/>
  <c r="K191" i="10"/>
  <c r="K192" i="10"/>
  <c r="K193" i="10"/>
  <c r="K194" i="10"/>
  <c r="K195" i="10"/>
  <c r="K196" i="10"/>
  <c r="K197" i="10"/>
  <c r="K198" i="10"/>
  <c r="K199" i="10"/>
  <c r="K200" i="10"/>
  <c r="K201" i="10"/>
  <c r="K202" i="10"/>
  <c r="K203" i="10"/>
  <c r="K204" i="10"/>
  <c r="J3" i="10"/>
  <c r="J4" i="10"/>
  <c r="J5" i="10"/>
  <c r="J6" i="10"/>
  <c r="J7" i="10"/>
  <c r="J8" i="10"/>
  <c r="J9" i="10"/>
  <c r="J10" i="10"/>
  <c r="J11" i="10"/>
  <c r="J12" i="10"/>
  <c r="J13" i="10"/>
  <c r="J14" i="10"/>
  <c r="J15" i="10"/>
  <c r="J16" i="10"/>
  <c r="J17" i="10"/>
  <c r="J18" i="10"/>
  <c r="J19" i="10"/>
  <c r="J20" i="10"/>
  <c r="J21" i="10"/>
  <c r="J22" i="10"/>
  <c r="J23" i="10"/>
  <c r="J24" i="10"/>
  <c r="J25" i="10"/>
  <c r="J26" i="10"/>
  <c r="J27" i="10"/>
  <c r="J28" i="10"/>
  <c r="J29" i="10"/>
  <c r="J30" i="10"/>
  <c r="J31" i="10"/>
  <c r="J32" i="10"/>
  <c r="J33" i="10"/>
  <c r="J34" i="10"/>
  <c r="J35" i="10"/>
  <c r="J36" i="10"/>
  <c r="J37" i="10"/>
  <c r="J38" i="10"/>
  <c r="J39" i="10"/>
  <c r="J40" i="10"/>
  <c r="J41" i="10"/>
  <c r="J42" i="10"/>
  <c r="J43" i="10"/>
  <c r="J44" i="10"/>
  <c r="J45" i="10"/>
  <c r="J46" i="10"/>
  <c r="J47" i="10"/>
  <c r="J48" i="10"/>
  <c r="J49" i="10"/>
  <c r="J50" i="10"/>
  <c r="J51" i="10"/>
  <c r="J52" i="10"/>
  <c r="J53" i="10"/>
  <c r="J54" i="10"/>
  <c r="J55" i="10"/>
  <c r="J56" i="10"/>
  <c r="J57" i="10"/>
  <c r="J58" i="10"/>
  <c r="J59" i="10"/>
  <c r="J60" i="10"/>
  <c r="J61" i="10"/>
  <c r="J62" i="10"/>
  <c r="J63" i="10"/>
  <c r="J64" i="10"/>
  <c r="J65" i="10"/>
  <c r="J66" i="10"/>
  <c r="J67" i="10"/>
  <c r="J68" i="10"/>
  <c r="J69" i="10"/>
  <c r="J70" i="10"/>
  <c r="J71" i="10"/>
  <c r="J72" i="10"/>
  <c r="J73" i="10"/>
  <c r="J74" i="10"/>
  <c r="J75" i="10"/>
  <c r="J76" i="10"/>
  <c r="J77" i="10"/>
  <c r="J78" i="10"/>
  <c r="J79" i="10"/>
  <c r="J80" i="10"/>
  <c r="J81" i="10"/>
  <c r="J82" i="10"/>
  <c r="J83" i="10"/>
  <c r="J84" i="10"/>
  <c r="J85" i="10"/>
  <c r="J86" i="10"/>
  <c r="J87" i="10"/>
  <c r="J88" i="10"/>
  <c r="J89" i="10"/>
  <c r="J90" i="10"/>
  <c r="J91" i="10"/>
  <c r="J92" i="10"/>
  <c r="J93" i="10"/>
  <c r="J94" i="10"/>
  <c r="J95" i="10"/>
  <c r="J96" i="10"/>
  <c r="J97" i="10"/>
  <c r="J98" i="10"/>
  <c r="J99" i="10"/>
  <c r="J100" i="10"/>
  <c r="J101" i="10"/>
  <c r="J102" i="10"/>
  <c r="J103" i="10"/>
  <c r="J104" i="10"/>
  <c r="J105" i="10"/>
  <c r="J106" i="10"/>
  <c r="J107" i="10"/>
  <c r="J108" i="10"/>
  <c r="J109" i="10"/>
  <c r="J110" i="10"/>
  <c r="J111" i="10"/>
  <c r="J112" i="10"/>
  <c r="J113" i="10"/>
  <c r="J114" i="10"/>
  <c r="J115" i="10"/>
  <c r="J116" i="10"/>
  <c r="J117" i="10"/>
  <c r="J118" i="10"/>
  <c r="J119" i="10"/>
  <c r="J120" i="10"/>
  <c r="J121" i="10"/>
  <c r="J122" i="10"/>
  <c r="J123" i="10"/>
  <c r="J124" i="10"/>
  <c r="J125" i="10"/>
  <c r="J126" i="10"/>
  <c r="J127" i="10"/>
  <c r="J128" i="10"/>
  <c r="J129" i="10"/>
  <c r="J130" i="10"/>
  <c r="J131" i="10"/>
  <c r="J132" i="10"/>
  <c r="J133" i="10"/>
  <c r="J134" i="10"/>
  <c r="J135" i="10"/>
  <c r="J136" i="10"/>
  <c r="J137" i="10"/>
  <c r="J138" i="10"/>
  <c r="J139" i="10"/>
  <c r="J140" i="10"/>
  <c r="J141" i="10"/>
  <c r="J142" i="10"/>
  <c r="J143" i="10"/>
  <c r="J144" i="10"/>
  <c r="J145" i="10"/>
  <c r="J146" i="10"/>
  <c r="J147" i="10"/>
  <c r="J148" i="10"/>
  <c r="J149" i="10"/>
  <c r="J150" i="10"/>
  <c r="J151" i="10"/>
  <c r="J152" i="10"/>
  <c r="J153" i="10"/>
  <c r="J154" i="10"/>
  <c r="J155" i="10"/>
  <c r="J156" i="10"/>
  <c r="J157" i="10"/>
  <c r="J158" i="10"/>
  <c r="J159" i="10"/>
  <c r="J160" i="10"/>
  <c r="J161" i="10"/>
  <c r="J162" i="10"/>
  <c r="J163" i="10"/>
  <c r="J164" i="10"/>
  <c r="J165" i="10"/>
  <c r="J166" i="10"/>
  <c r="J167" i="10"/>
  <c r="J168" i="10"/>
  <c r="J169" i="10"/>
  <c r="J170" i="10"/>
  <c r="J171" i="10"/>
  <c r="J172" i="10"/>
  <c r="J173" i="10"/>
  <c r="J174" i="10"/>
  <c r="J175" i="10"/>
  <c r="J176" i="10"/>
  <c r="J177" i="10"/>
  <c r="J178" i="10"/>
  <c r="J179" i="10"/>
  <c r="J180" i="10"/>
  <c r="J181" i="10"/>
  <c r="J182" i="10"/>
  <c r="J183" i="10"/>
  <c r="J184" i="10"/>
  <c r="J185" i="10"/>
  <c r="J186" i="10"/>
  <c r="J187" i="10"/>
  <c r="J188" i="10"/>
  <c r="J189" i="10"/>
  <c r="J190" i="10"/>
  <c r="J191" i="10"/>
  <c r="J192" i="10"/>
  <c r="J193" i="10"/>
  <c r="J194" i="10"/>
  <c r="J195" i="10"/>
  <c r="J196" i="10"/>
  <c r="J197" i="10"/>
  <c r="J198" i="10"/>
  <c r="J199" i="10"/>
  <c r="J200" i="10"/>
  <c r="J201" i="10"/>
  <c r="J202" i="10"/>
  <c r="J203" i="10"/>
  <c r="J204" i="10"/>
  <c r="F17" i="11" l="1"/>
  <c r="F138" i="10"/>
  <c r="I138" i="10" s="1"/>
  <c r="F130" i="10"/>
  <c r="I130" i="10" s="1"/>
  <c r="F122" i="10"/>
  <c r="I122" i="10" s="1"/>
  <c r="F114" i="10"/>
  <c r="I114" i="10" s="1"/>
  <c r="F106" i="10"/>
  <c r="I106" i="10" s="1"/>
  <c r="F98" i="10"/>
  <c r="F90" i="10"/>
  <c r="F86" i="10"/>
  <c r="I86" i="10" s="1"/>
  <c r="F82" i="10"/>
  <c r="I82" i="10" s="1"/>
  <c r="F78" i="10"/>
  <c r="F74" i="10"/>
  <c r="F70" i="10"/>
  <c r="F66" i="10"/>
  <c r="F62" i="10"/>
  <c r="F58" i="10"/>
  <c r="F54" i="10"/>
  <c r="F50" i="10"/>
  <c r="F46" i="10"/>
  <c r="I46" i="10" s="1"/>
  <c r="F42" i="10"/>
  <c r="F38" i="10"/>
  <c r="I38" i="10" s="1"/>
  <c r="F34" i="10"/>
  <c r="I34" i="10" s="1"/>
  <c r="F30" i="10"/>
  <c r="I30" i="10" s="1"/>
  <c r="F26" i="10"/>
  <c r="I26" i="10" s="1"/>
  <c r="F22" i="10"/>
  <c r="I22" i="10" s="1"/>
  <c r="F18" i="10"/>
  <c r="I18" i="10" s="1"/>
  <c r="F14" i="10"/>
  <c r="F10" i="10"/>
  <c r="F6" i="10"/>
  <c r="I6" i="10" s="1"/>
  <c r="F203" i="10"/>
  <c r="F199" i="10"/>
  <c r="F195" i="10"/>
  <c r="F191" i="10"/>
  <c r="I191" i="10" s="1"/>
  <c r="F184" i="10"/>
  <c r="I184" i="10" s="1"/>
  <c r="F180" i="10"/>
  <c r="F176" i="10"/>
  <c r="I176" i="10" s="1"/>
  <c r="F172" i="10"/>
  <c r="I172" i="10" s="1"/>
  <c r="F168" i="10"/>
  <c r="I168" i="10" s="1"/>
  <c r="F164" i="10"/>
  <c r="I164" i="10" s="1"/>
  <c r="F160" i="10"/>
  <c r="F156" i="10"/>
  <c r="F152" i="10"/>
  <c r="F148" i="10"/>
  <c r="I148" i="10" s="1"/>
  <c r="F144" i="10"/>
  <c r="I144" i="10" s="1"/>
  <c r="F140" i="10"/>
  <c r="I140" i="10" s="1"/>
  <c r="F134" i="10"/>
  <c r="I134" i="10" s="1"/>
  <c r="F126" i="10"/>
  <c r="I126" i="10" s="1"/>
  <c r="F118" i="10"/>
  <c r="F110" i="10"/>
  <c r="I110" i="10" s="1"/>
  <c r="F102" i="10"/>
  <c r="I102" i="10" s="1"/>
  <c r="F94" i="10"/>
  <c r="F133" i="10"/>
  <c r="I133" i="10" s="1"/>
  <c r="F129" i="10"/>
  <c r="F125" i="10"/>
  <c r="F121" i="10"/>
  <c r="I121" i="10" s="1"/>
  <c r="F117" i="10"/>
  <c r="I117" i="10" s="1"/>
  <c r="F113" i="10"/>
  <c r="F109" i="10"/>
  <c r="I109" i="10" s="1"/>
  <c r="F105" i="10"/>
  <c r="I105" i="10" s="1"/>
  <c r="F101" i="10"/>
  <c r="F97" i="10"/>
  <c r="F93" i="10"/>
  <c r="I93" i="10" s="1"/>
  <c r="F89" i="10"/>
  <c r="F85" i="10"/>
  <c r="I85" i="10" s="1"/>
  <c r="F81" i="10"/>
  <c r="I81" i="10" s="1"/>
  <c r="F77" i="10"/>
  <c r="F73" i="10"/>
  <c r="F69" i="10"/>
  <c r="F65" i="10"/>
  <c r="I65" i="10" s="1"/>
  <c r="F61" i="10"/>
  <c r="I61" i="10" s="1"/>
  <c r="F57" i="10"/>
  <c r="F53" i="10"/>
  <c r="F49" i="10"/>
  <c r="F45" i="10"/>
  <c r="I45" i="10" s="1"/>
  <c r="F41" i="10"/>
  <c r="I41" i="10" s="1"/>
  <c r="F37" i="10"/>
  <c r="I37" i="10" s="1"/>
  <c r="F33" i="10"/>
  <c r="F29" i="10"/>
  <c r="F25" i="10"/>
  <c r="I25" i="10" s="1"/>
  <c r="F21" i="10"/>
  <c r="F17" i="10"/>
  <c r="F13" i="10"/>
  <c r="F9" i="10"/>
  <c r="I9" i="10" s="1"/>
  <c r="F5" i="10"/>
  <c r="F202" i="10"/>
  <c r="I202" i="10" s="1"/>
  <c r="F198" i="10"/>
  <c r="I198" i="10" s="1"/>
  <c r="F194" i="10"/>
  <c r="F190" i="10"/>
  <c r="F187" i="10"/>
  <c r="I187" i="10" s="1"/>
  <c r="F183" i="10"/>
  <c r="I183" i="10" s="1"/>
  <c r="F179" i="10"/>
  <c r="I179" i="10" s="1"/>
  <c r="F175" i="10"/>
  <c r="F171" i="10"/>
  <c r="I171" i="10" s="1"/>
  <c r="F167" i="10"/>
  <c r="I167" i="10" s="1"/>
  <c r="F163" i="10"/>
  <c r="I163" i="10" s="1"/>
  <c r="F159" i="10"/>
  <c r="F155" i="10"/>
  <c r="F151" i="10"/>
  <c r="I151" i="10" s="1"/>
  <c r="F147" i="10"/>
  <c r="I147" i="10" s="1"/>
  <c r="F143" i="10"/>
  <c r="F139" i="10"/>
  <c r="F136" i="10"/>
  <c r="I136" i="10" s="1"/>
  <c r="F132" i="10"/>
  <c r="I132" i="10" s="1"/>
  <c r="F128" i="10"/>
  <c r="I128" i="10" s="1"/>
  <c r="F124" i="10"/>
  <c r="I124" i="10" s="1"/>
  <c r="F120" i="10"/>
  <c r="I120" i="10" s="1"/>
  <c r="F116" i="10"/>
  <c r="I116" i="10" s="1"/>
  <c r="F112" i="10"/>
  <c r="I112" i="10" s="1"/>
  <c r="F108" i="10"/>
  <c r="I108" i="10" s="1"/>
  <c r="F104" i="10"/>
  <c r="I104" i="10" s="1"/>
  <c r="F100" i="10"/>
  <c r="F96" i="10"/>
  <c r="F92" i="10"/>
  <c r="F88" i="10"/>
  <c r="I88" i="10" s="1"/>
  <c r="F84" i="10"/>
  <c r="I84" i="10" s="1"/>
  <c r="F80" i="10"/>
  <c r="I80" i="10" s="1"/>
  <c r="F76" i="10"/>
  <c r="F72" i="10"/>
  <c r="I72" i="10" s="1"/>
  <c r="F68" i="10"/>
  <c r="F64" i="10"/>
  <c r="I64" i="10" s="1"/>
  <c r="F60" i="10"/>
  <c r="I60" i="10" s="1"/>
  <c r="F56" i="10"/>
  <c r="I56" i="10" s="1"/>
  <c r="F52" i="10"/>
  <c r="I52" i="10" s="1"/>
  <c r="F48" i="10"/>
  <c r="I48" i="10" s="1"/>
  <c r="F44" i="10"/>
  <c r="F40" i="10"/>
  <c r="I40" i="10" s="1"/>
  <c r="F36" i="10"/>
  <c r="F32" i="10"/>
  <c r="I32" i="10" s="1"/>
  <c r="F28" i="10"/>
  <c r="I28" i="10" s="1"/>
  <c r="F24" i="10"/>
  <c r="I24" i="10" s="1"/>
  <c r="F20" i="10"/>
  <c r="F16" i="10"/>
  <c r="F12" i="10"/>
  <c r="I12" i="10" s="1"/>
  <c r="F8" i="10"/>
  <c r="I8" i="10" s="1"/>
  <c r="F4" i="10"/>
  <c r="I4" i="10" s="1"/>
  <c r="F201" i="10"/>
  <c r="F197" i="10"/>
  <c r="I197" i="10" s="1"/>
  <c r="F193" i="10"/>
  <c r="F189" i="10"/>
  <c r="I189" i="10" s="1"/>
  <c r="F186" i="10"/>
  <c r="F182" i="10"/>
  <c r="I182" i="10" s="1"/>
  <c r="F178" i="10"/>
  <c r="F174" i="10"/>
  <c r="F170" i="10"/>
  <c r="F166" i="10"/>
  <c r="I166" i="10" s="1"/>
  <c r="F162" i="10"/>
  <c r="I162" i="10" s="1"/>
  <c r="F158" i="10"/>
  <c r="F154" i="10"/>
  <c r="F150" i="10"/>
  <c r="I150" i="10" s="1"/>
  <c r="F146" i="10"/>
  <c r="I146" i="10" s="1"/>
  <c r="F142" i="10"/>
  <c r="F137" i="10"/>
  <c r="F131" i="10"/>
  <c r="F127" i="10"/>
  <c r="F123" i="10"/>
  <c r="I123" i="10" s="1"/>
  <c r="F119" i="10"/>
  <c r="I119" i="10" s="1"/>
  <c r="F115" i="10"/>
  <c r="I115" i="10" s="1"/>
  <c r="F111" i="10"/>
  <c r="I111" i="10" s="1"/>
  <c r="F107" i="10"/>
  <c r="I107" i="10" s="1"/>
  <c r="F103" i="10"/>
  <c r="F99" i="10"/>
  <c r="F95" i="10"/>
  <c r="F91" i="10"/>
  <c r="F87" i="10"/>
  <c r="F83" i="10"/>
  <c r="I83" i="10" s="1"/>
  <c r="F79" i="10"/>
  <c r="I79" i="10" s="1"/>
  <c r="F75" i="10"/>
  <c r="I75" i="10" s="1"/>
  <c r="F71" i="10"/>
  <c r="I71" i="10" s="1"/>
  <c r="F67" i="10"/>
  <c r="F63" i="10"/>
  <c r="I63" i="10" s="1"/>
  <c r="F59" i="10"/>
  <c r="I59" i="10" s="1"/>
  <c r="F55" i="10"/>
  <c r="I55" i="10" s="1"/>
  <c r="F51" i="10"/>
  <c r="F47" i="10"/>
  <c r="I47" i="10" s="1"/>
  <c r="F43" i="10"/>
  <c r="F39" i="10"/>
  <c r="I39" i="10" s="1"/>
  <c r="F35" i="10"/>
  <c r="I35" i="10" s="1"/>
  <c r="F31" i="10"/>
  <c r="F27" i="10"/>
  <c r="I27" i="10" s="1"/>
  <c r="F23" i="10"/>
  <c r="I23" i="10" s="1"/>
  <c r="F19" i="10"/>
  <c r="I19" i="10" s="1"/>
  <c r="F15" i="10"/>
  <c r="F11" i="10"/>
  <c r="F7" i="10"/>
  <c r="I7" i="10" s="1"/>
  <c r="F3" i="10"/>
  <c r="F204" i="10"/>
  <c r="I204" i="10" s="1"/>
  <c r="F200" i="10"/>
  <c r="F196" i="10"/>
  <c r="I196" i="10" s="1"/>
  <c r="F192" i="10"/>
  <c r="I192" i="10" s="1"/>
  <c r="F188" i="10"/>
  <c r="F185" i="10"/>
  <c r="F181" i="10"/>
  <c r="I181" i="10" s="1"/>
  <c r="F177" i="10"/>
  <c r="I177" i="10" s="1"/>
  <c r="F173" i="10"/>
  <c r="F169" i="10"/>
  <c r="I169" i="10" s="1"/>
  <c r="F165" i="10"/>
  <c r="I165" i="10" s="1"/>
  <c r="F161" i="10"/>
  <c r="I161" i="10" s="1"/>
  <c r="F157" i="10"/>
  <c r="I157" i="10" s="1"/>
  <c r="F153" i="10"/>
  <c r="F149" i="10"/>
  <c r="I149" i="10" s="1"/>
  <c r="F145" i="10"/>
  <c r="I145" i="10" s="1"/>
  <c r="F141" i="10"/>
  <c r="F135" i="10"/>
  <c r="I135" i="10" s="1"/>
  <c r="I3" i="10" l="1"/>
  <c r="G141" i="10"/>
  <c r="G153" i="10"/>
  <c r="G185" i="10"/>
  <c r="G200" i="10"/>
  <c r="G11" i="10"/>
  <c r="G43" i="10"/>
  <c r="G91" i="10"/>
  <c r="G142" i="10"/>
  <c r="G158" i="10"/>
  <c r="G174" i="10"/>
  <c r="G20" i="10"/>
  <c r="G36" i="10"/>
  <c r="G68" i="10"/>
  <c r="G100" i="10"/>
  <c r="G194" i="10"/>
  <c r="G57" i="10"/>
  <c r="G73" i="10"/>
  <c r="G89" i="10"/>
  <c r="G94" i="10"/>
  <c r="G180" i="10"/>
  <c r="G195" i="10"/>
  <c r="G10" i="10"/>
  <c r="G42" i="10"/>
  <c r="G58" i="10"/>
  <c r="G74" i="10"/>
  <c r="G90" i="10"/>
  <c r="G173" i="10"/>
  <c r="G15" i="10"/>
  <c r="G31" i="10"/>
  <c r="G127" i="10"/>
  <c r="G178" i="10"/>
  <c r="G193" i="10"/>
  <c r="G13" i="10"/>
  <c r="G29" i="10"/>
  <c r="G77" i="10"/>
  <c r="G125" i="10"/>
  <c r="G152" i="10"/>
  <c r="G199" i="10"/>
  <c r="G14" i="10"/>
  <c r="G62" i="10"/>
  <c r="G78" i="10"/>
  <c r="G98" i="10"/>
  <c r="G95" i="10"/>
  <c r="G51" i="10"/>
  <c r="G67" i="10"/>
  <c r="G99" i="10"/>
  <c r="G131" i="10"/>
  <c r="G44" i="10"/>
  <c r="G76" i="10"/>
  <c r="G92" i="10"/>
  <c r="G139" i="10"/>
  <c r="G155" i="10"/>
  <c r="G17" i="10"/>
  <c r="G33" i="10"/>
  <c r="G49" i="10"/>
  <c r="G97" i="10"/>
  <c r="G113" i="10"/>
  <c r="G129" i="10"/>
  <c r="G156" i="10"/>
  <c r="G203" i="10"/>
  <c r="G50" i="10"/>
  <c r="G66" i="10"/>
  <c r="G188" i="10"/>
  <c r="G87" i="10"/>
  <c r="G103" i="10"/>
  <c r="G137" i="10"/>
  <c r="G154" i="10"/>
  <c r="G170" i="10"/>
  <c r="G186" i="10"/>
  <c r="G201" i="10"/>
  <c r="G16" i="10"/>
  <c r="G96" i="10"/>
  <c r="G143" i="10"/>
  <c r="G159" i="10"/>
  <c r="G175" i="10"/>
  <c r="G190" i="10"/>
  <c r="G5" i="10"/>
  <c r="G21" i="10"/>
  <c r="G53" i="10"/>
  <c r="G69" i="10"/>
  <c r="G101" i="10"/>
  <c r="G118" i="10"/>
  <c r="G160" i="10"/>
  <c r="G54" i="10"/>
  <c r="G70" i="10"/>
  <c r="G169" i="10"/>
  <c r="G27" i="10"/>
  <c r="G59" i="10"/>
  <c r="G75" i="10"/>
  <c r="G107" i="10"/>
  <c r="G123" i="10"/>
  <c r="G189" i="10"/>
  <c r="G4" i="10"/>
  <c r="G52" i="10"/>
  <c r="G84" i="10"/>
  <c r="G116" i="10"/>
  <c r="G132" i="10"/>
  <c r="G147" i="10"/>
  <c r="G163" i="10"/>
  <c r="G179" i="10"/>
  <c r="G9" i="10"/>
  <c r="G25" i="10"/>
  <c r="G41" i="10"/>
  <c r="G105" i="10"/>
  <c r="G121" i="10"/>
  <c r="G126" i="10"/>
  <c r="G148" i="10"/>
  <c r="G164" i="10"/>
  <c r="G26" i="10"/>
  <c r="G122" i="10"/>
  <c r="G135" i="10"/>
  <c r="G157" i="10"/>
  <c r="G204" i="10"/>
  <c r="G47" i="10"/>
  <c r="G63" i="10"/>
  <c r="G79" i="10"/>
  <c r="G111" i="10"/>
  <c r="G146" i="10"/>
  <c r="G162" i="10"/>
  <c r="G8" i="10"/>
  <c r="G24" i="10"/>
  <c r="G40" i="10"/>
  <c r="G56" i="10"/>
  <c r="G72" i="10"/>
  <c r="G88" i="10"/>
  <c r="G104" i="10"/>
  <c r="G120" i="10"/>
  <c r="G136" i="10"/>
  <c r="G151" i="10"/>
  <c r="G167" i="10"/>
  <c r="G183" i="10"/>
  <c r="G198" i="10"/>
  <c r="G45" i="10"/>
  <c r="G61" i="10"/>
  <c r="G93" i="10"/>
  <c r="G109" i="10"/>
  <c r="G102" i="10"/>
  <c r="G134" i="10"/>
  <c r="G168" i="10"/>
  <c r="G184" i="10"/>
  <c r="G30" i="10"/>
  <c r="G46" i="10"/>
  <c r="G130" i="10"/>
  <c r="G145" i="10"/>
  <c r="G161" i="10"/>
  <c r="G177" i="10"/>
  <c r="G192" i="10"/>
  <c r="G3" i="10"/>
  <c r="G19" i="10"/>
  <c r="G35" i="10"/>
  <c r="G83" i="10"/>
  <c r="G115" i="10"/>
  <c r="G150" i="10"/>
  <c r="G166" i="10"/>
  <c r="G182" i="10"/>
  <c r="G197" i="10"/>
  <c r="G12" i="10"/>
  <c r="G28" i="10"/>
  <c r="G60" i="10"/>
  <c r="G108" i="10"/>
  <c r="G124" i="10"/>
  <c r="G171" i="10"/>
  <c r="G187" i="10"/>
  <c r="G202" i="10"/>
  <c r="G65" i="10"/>
  <c r="G81" i="10"/>
  <c r="G110" i="10"/>
  <c r="G140" i="10"/>
  <c r="G172" i="10"/>
  <c r="G18" i="10"/>
  <c r="G34" i="10"/>
  <c r="G82" i="10"/>
  <c r="G106" i="10"/>
  <c r="G138" i="10"/>
  <c r="G149" i="10"/>
  <c r="G165" i="10"/>
  <c r="G181" i="10"/>
  <c r="G196" i="10"/>
  <c r="G7" i="10"/>
  <c r="G23" i="10"/>
  <c r="G39" i="10"/>
  <c r="G55" i="10"/>
  <c r="G71" i="10"/>
  <c r="G119" i="10"/>
  <c r="G32" i="10"/>
  <c r="G48" i="10"/>
  <c r="G64" i="10"/>
  <c r="G80" i="10"/>
  <c r="G112" i="10"/>
  <c r="G128" i="10"/>
  <c r="G37" i="10"/>
  <c r="G85" i="10"/>
  <c r="G117" i="10"/>
  <c r="G133" i="10"/>
  <c r="G144" i="10"/>
  <c r="G176" i="10"/>
  <c r="G191" i="10"/>
  <c r="G6" i="10"/>
  <c r="G22" i="10"/>
  <c r="G38" i="10"/>
  <c r="G86" i="10"/>
  <c r="G114" i="10"/>
  <c r="H135" i="10"/>
  <c r="H169" i="10"/>
  <c r="H27" i="10"/>
  <c r="H59" i="10"/>
  <c r="H75" i="10"/>
  <c r="H107" i="10"/>
  <c r="H123" i="10"/>
  <c r="H189" i="10"/>
  <c r="H4" i="10"/>
  <c r="H52" i="10"/>
  <c r="H84" i="10"/>
  <c r="H116" i="10"/>
  <c r="H132" i="10"/>
  <c r="H147" i="10"/>
  <c r="H163" i="10"/>
  <c r="H179" i="10"/>
  <c r="H9" i="10"/>
  <c r="H25" i="10"/>
  <c r="H41" i="10"/>
  <c r="H105" i="10"/>
  <c r="H121" i="10"/>
  <c r="H126" i="10"/>
  <c r="H148" i="10"/>
  <c r="H164" i="10"/>
  <c r="H26" i="10"/>
  <c r="H122" i="10"/>
  <c r="H157" i="10"/>
  <c r="H204" i="10"/>
  <c r="H47" i="10"/>
  <c r="H63" i="10"/>
  <c r="H79" i="10"/>
  <c r="H111" i="10"/>
  <c r="H146" i="10"/>
  <c r="H162" i="10"/>
  <c r="H8" i="10"/>
  <c r="H24" i="10"/>
  <c r="H40" i="10"/>
  <c r="H56" i="10"/>
  <c r="H72" i="10"/>
  <c r="H88" i="10"/>
  <c r="H104" i="10"/>
  <c r="H120" i="10"/>
  <c r="H136" i="10"/>
  <c r="H151" i="10"/>
  <c r="H167" i="10"/>
  <c r="H183" i="10"/>
  <c r="H198" i="10"/>
  <c r="H45" i="10"/>
  <c r="H61" i="10"/>
  <c r="H93" i="10"/>
  <c r="H109" i="10"/>
  <c r="H102" i="10"/>
  <c r="H134" i="10"/>
  <c r="H168" i="10"/>
  <c r="H184" i="10"/>
  <c r="H30" i="10"/>
  <c r="H46" i="10"/>
  <c r="H130" i="10"/>
  <c r="H145" i="10"/>
  <c r="H161" i="10"/>
  <c r="H177" i="10"/>
  <c r="H192" i="10"/>
  <c r="H3" i="10"/>
  <c r="H19" i="10"/>
  <c r="H35" i="10"/>
  <c r="H83" i="10"/>
  <c r="H115" i="10"/>
  <c r="H150" i="10"/>
  <c r="H166" i="10"/>
  <c r="H182" i="10"/>
  <c r="H197" i="10"/>
  <c r="H12" i="10"/>
  <c r="H28" i="10"/>
  <c r="H60" i="10"/>
  <c r="H108" i="10"/>
  <c r="H124" i="10"/>
  <c r="H171" i="10"/>
  <c r="H187" i="10"/>
  <c r="H202" i="10"/>
  <c r="H65" i="10"/>
  <c r="H81" i="10"/>
  <c r="H110" i="10"/>
  <c r="H140" i="10"/>
  <c r="H172" i="10"/>
  <c r="H18" i="10"/>
  <c r="H34" i="10"/>
  <c r="H82" i="10"/>
  <c r="H106" i="10"/>
  <c r="H138" i="10"/>
  <c r="H149" i="10"/>
  <c r="H165" i="10"/>
  <c r="H181" i="10"/>
  <c r="H196" i="10"/>
  <c r="H7" i="10"/>
  <c r="H23" i="10"/>
  <c r="H39" i="10"/>
  <c r="H55" i="10"/>
  <c r="H71" i="10"/>
  <c r="H119" i="10"/>
  <c r="H32" i="10"/>
  <c r="H48" i="10"/>
  <c r="H64" i="10"/>
  <c r="H80" i="10"/>
  <c r="H112" i="10"/>
  <c r="H128" i="10"/>
  <c r="H37" i="10"/>
  <c r="H85" i="10"/>
  <c r="H117" i="10"/>
  <c r="H133" i="10"/>
  <c r="H144" i="10"/>
  <c r="H176" i="10"/>
  <c r="H191" i="10"/>
  <c r="H6" i="10"/>
  <c r="H22" i="10"/>
  <c r="H38" i="10"/>
  <c r="H86" i="10"/>
  <c r="H114" i="10"/>
  <c r="F18" i="11"/>
  <c r="I33" i="11"/>
  <c r="F9" i="8"/>
  <c r="D11" i="8"/>
  <c r="H70" i="10" l="1"/>
  <c r="H160" i="10"/>
  <c r="H101" i="10"/>
  <c r="H53" i="10"/>
  <c r="H5" i="10"/>
  <c r="I5" i="10" s="1"/>
  <c r="H143" i="10"/>
  <c r="H186" i="10"/>
  <c r="H66" i="10"/>
  <c r="H113" i="10"/>
  <c r="H17" i="10"/>
  <c r="H139" i="10"/>
  <c r="H67" i="10"/>
  <c r="H62" i="10"/>
  <c r="H125" i="10"/>
  <c r="H127" i="10"/>
  <c r="H42" i="10"/>
  <c r="H195" i="10"/>
  <c r="H94" i="10"/>
  <c r="H68" i="10"/>
  <c r="H20" i="10"/>
  <c r="H91" i="10"/>
  <c r="H11" i="10"/>
  <c r="H54" i="10"/>
  <c r="H190" i="10"/>
  <c r="H96" i="10"/>
  <c r="H170" i="10"/>
  <c r="H50" i="10"/>
  <c r="H97" i="10"/>
  <c r="H92" i="10"/>
  <c r="H44" i="10"/>
  <c r="H99" i="10"/>
  <c r="H51" i="10"/>
  <c r="H14" i="10"/>
  <c r="H77" i="10"/>
  <c r="H90" i="10"/>
  <c r="H180" i="10"/>
  <c r="H89" i="10"/>
  <c r="H100" i="10"/>
  <c r="H174" i="10"/>
  <c r="H43" i="10"/>
  <c r="H200" i="10"/>
  <c r="H153" i="10"/>
  <c r="H175" i="10"/>
  <c r="H16" i="10"/>
  <c r="H154" i="10"/>
  <c r="H103" i="10"/>
  <c r="H203" i="10"/>
  <c r="H156" i="10"/>
  <c r="H49" i="10"/>
  <c r="H76" i="10"/>
  <c r="H131" i="10"/>
  <c r="H98" i="10"/>
  <c r="H199" i="10"/>
  <c r="H29" i="10"/>
  <c r="H193" i="10"/>
  <c r="H31" i="10"/>
  <c r="H188" i="10"/>
  <c r="H141" i="10"/>
  <c r="H74" i="10"/>
  <c r="H73" i="10"/>
  <c r="H194" i="10"/>
  <c r="H158" i="10"/>
  <c r="H185" i="10"/>
  <c r="H118" i="10"/>
  <c r="H69" i="10"/>
  <c r="H21" i="10"/>
  <c r="H159" i="10"/>
  <c r="H201" i="10"/>
  <c r="H137" i="10"/>
  <c r="H87" i="10"/>
  <c r="H129" i="10"/>
  <c r="H33" i="10"/>
  <c r="H155" i="10"/>
  <c r="H78" i="10"/>
  <c r="H152" i="10"/>
  <c r="H13" i="10"/>
  <c r="H178" i="10"/>
  <c r="H95" i="10"/>
  <c r="H15" i="10"/>
  <c r="H173" i="10"/>
  <c r="H58" i="10"/>
  <c r="H10" i="10"/>
  <c r="H57" i="10"/>
  <c r="H36" i="10"/>
  <c r="H142" i="10"/>
  <c r="H206" i="10"/>
  <c r="H205" i="10"/>
  <c r="I34" i="11"/>
  <c r="J4" i="17"/>
  <c r="J23" i="17"/>
  <c r="J19" i="17"/>
  <c r="J15" i="17"/>
  <c r="J11" i="17"/>
  <c r="J7" i="17"/>
  <c r="J27" i="17"/>
  <c r="J28" i="17"/>
  <c r="J24" i="17"/>
  <c r="J20" i="17"/>
  <c r="J16" i="17"/>
  <c r="J12" i="17"/>
  <c r="J8" i="17"/>
  <c r="J39" i="17"/>
  <c r="J31" i="17"/>
  <c r="J35" i="17"/>
  <c r="J40" i="17"/>
  <c r="J36" i="17"/>
  <c r="J32" i="17"/>
  <c r="J42" i="17"/>
  <c r="J38" i="17"/>
  <c r="J34" i="17"/>
  <c r="J30" i="17"/>
  <c r="J26" i="17"/>
  <c r="J22" i="17"/>
  <c r="J18" i="17"/>
  <c r="J14" i="17"/>
  <c r="J10" i="17"/>
  <c r="J6" i="17"/>
  <c r="J41" i="17"/>
  <c r="J37" i="17"/>
  <c r="J33" i="17"/>
  <c r="J29" i="17"/>
  <c r="J25" i="17"/>
  <c r="J21" i="17"/>
  <c r="J17" i="17"/>
  <c r="J13" i="17"/>
  <c r="J9" i="17"/>
  <c r="J5" i="17"/>
  <c r="B10" i="8"/>
  <c r="I10" i="10" l="1"/>
  <c r="I36" i="10"/>
  <c r="I206" i="10"/>
  <c r="I205" i="10"/>
  <c r="I142" i="10"/>
  <c r="I57" i="10"/>
  <c r="I15" i="10"/>
  <c r="I152" i="10"/>
  <c r="I129" i="10"/>
  <c r="I201" i="10"/>
  <c r="I118" i="10"/>
  <c r="I73" i="10"/>
  <c r="I31" i="10"/>
  <c r="I98" i="10"/>
  <c r="I156" i="10"/>
  <c r="I16" i="10"/>
  <c r="I43" i="10"/>
  <c r="I180" i="10"/>
  <c r="I51" i="10"/>
  <c r="I97" i="10"/>
  <c r="I190" i="10"/>
  <c r="I20" i="10"/>
  <c r="I42" i="10"/>
  <c r="I67" i="10"/>
  <c r="I66" i="10"/>
  <c r="I53" i="10"/>
  <c r="I95" i="10"/>
  <c r="I78" i="10"/>
  <c r="I159" i="10"/>
  <c r="I185" i="10"/>
  <c r="I74" i="10"/>
  <c r="I193" i="10"/>
  <c r="I131" i="10"/>
  <c r="I203" i="10"/>
  <c r="I175" i="10"/>
  <c r="I174" i="10"/>
  <c r="I90" i="10"/>
  <c r="I99" i="10"/>
  <c r="I50" i="10"/>
  <c r="I54" i="10"/>
  <c r="I68" i="10"/>
  <c r="I127" i="10"/>
  <c r="I139" i="10"/>
  <c r="I186" i="10"/>
  <c r="I101" i="10"/>
  <c r="I58" i="10"/>
  <c r="I178" i="10"/>
  <c r="I155" i="10"/>
  <c r="I87" i="10"/>
  <c r="I21" i="10"/>
  <c r="I158" i="10"/>
  <c r="I141" i="10"/>
  <c r="I29" i="10"/>
  <c r="I76" i="10"/>
  <c r="I103" i="10"/>
  <c r="I153" i="10"/>
  <c r="I100" i="10"/>
  <c r="I77" i="10"/>
  <c r="I44" i="10"/>
  <c r="I170" i="10"/>
  <c r="I11" i="10"/>
  <c r="I94" i="10"/>
  <c r="I125" i="10"/>
  <c r="I17" i="10"/>
  <c r="I143" i="10"/>
  <c r="I160" i="10"/>
  <c r="I173" i="10"/>
  <c r="I13" i="10"/>
  <c r="I33" i="10"/>
  <c r="I137" i="10"/>
  <c r="I69" i="10"/>
  <c r="I194" i="10"/>
  <c r="I188" i="10"/>
  <c r="I199" i="10"/>
  <c r="I49" i="10"/>
  <c r="I154" i="10"/>
  <c r="I200" i="10"/>
  <c r="I89" i="10"/>
  <c r="I14" i="10"/>
  <c r="I92" i="10"/>
  <c r="I96" i="10"/>
  <c r="I91" i="10"/>
  <c r="I195" i="10"/>
  <c r="I62" i="10"/>
  <c r="I113" i="10"/>
  <c r="I70" i="10"/>
  <c r="I35" i="11"/>
  <c r="I36" i="11" l="1"/>
  <c r="E2" i="15"/>
  <c r="E6" i="15"/>
  <c r="E10" i="15"/>
  <c r="E14" i="15"/>
  <c r="E18" i="15"/>
  <c r="E22" i="15"/>
  <c r="E26" i="15"/>
  <c r="E30" i="15"/>
  <c r="E34" i="15"/>
  <c r="E38" i="15"/>
  <c r="E42" i="15"/>
  <c r="E46" i="15"/>
  <c r="E50" i="15"/>
  <c r="E54" i="15"/>
  <c r="E58" i="15"/>
  <c r="E62" i="15"/>
  <c r="E66" i="15"/>
  <c r="E70" i="15"/>
  <c r="E74" i="15"/>
  <c r="E78" i="15"/>
  <c r="E82" i="15"/>
  <c r="E86" i="15"/>
  <c r="E90" i="15"/>
  <c r="E94" i="15"/>
  <c r="E98" i="15"/>
  <c r="E102" i="15"/>
  <c r="E106" i="15"/>
  <c r="E110" i="15"/>
  <c r="E114" i="15"/>
  <c r="E118" i="15"/>
  <c r="E122" i="15"/>
  <c r="E126" i="15"/>
  <c r="E130" i="15"/>
  <c r="E134" i="15"/>
  <c r="E138" i="15"/>
  <c r="E142" i="15"/>
  <c r="E146" i="15"/>
  <c r="E150" i="15"/>
  <c r="E154" i="15"/>
  <c r="E158" i="15"/>
  <c r="E162" i="15"/>
  <c r="E166" i="15"/>
  <c r="E170" i="15"/>
  <c r="E174" i="15"/>
  <c r="E178" i="15"/>
  <c r="E182" i="15"/>
  <c r="E186" i="15"/>
  <c r="E190" i="15"/>
  <c r="E194" i="15"/>
  <c r="E198" i="15"/>
  <c r="E202" i="15"/>
  <c r="E206" i="15"/>
  <c r="E210" i="15"/>
  <c r="E214" i="15"/>
  <c r="E218" i="15"/>
  <c r="E222" i="15"/>
  <c r="E226" i="15"/>
  <c r="E230" i="15"/>
  <c r="E234" i="15"/>
  <c r="E238" i="15"/>
  <c r="E242" i="15"/>
  <c r="E246" i="15"/>
  <c r="E250" i="15"/>
  <c r="E254" i="15"/>
  <c r="E258" i="15"/>
  <c r="E262" i="15"/>
  <c r="E266" i="15"/>
  <c r="E270" i="15"/>
  <c r="E274" i="15"/>
  <c r="E278" i="15"/>
  <c r="E282" i="15"/>
  <c r="E286" i="15"/>
  <c r="E290" i="15"/>
  <c r="E294" i="15"/>
  <c r="E298" i="15"/>
  <c r="E302" i="15"/>
  <c r="E306" i="15"/>
  <c r="E310" i="15"/>
  <c r="E314" i="15"/>
  <c r="E318" i="15"/>
  <c r="E322" i="15"/>
  <c r="E326" i="15"/>
  <c r="E330" i="15"/>
  <c r="E334" i="15"/>
  <c r="E338" i="15"/>
  <c r="E3" i="15"/>
  <c r="E7" i="15"/>
  <c r="E11" i="15"/>
  <c r="E15" i="15"/>
  <c r="E19" i="15"/>
  <c r="E23" i="15"/>
  <c r="E27" i="15"/>
  <c r="E31" i="15"/>
  <c r="E35" i="15"/>
  <c r="E39" i="15"/>
  <c r="E43" i="15"/>
  <c r="E47" i="15"/>
  <c r="E51" i="15"/>
  <c r="E55" i="15"/>
  <c r="E59" i="15"/>
  <c r="E63" i="15"/>
  <c r="E67" i="15"/>
  <c r="E71" i="15"/>
  <c r="E75" i="15"/>
  <c r="E79" i="15"/>
  <c r="E83" i="15"/>
  <c r="E87" i="15"/>
  <c r="E91" i="15"/>
  <c r="E95" i="15"/>
  <c r="E99" i="15"/>
  <c r="E103" i="15"/>
  <c r="E107" i="15"/>
  <c r="E111" i="15"/>
  <c r="E115" i="15"/>
  <c r="E119" i="15"/>
  <c r="E123" i="15"/>
  <c r="E127" i="15"/>
  <c r="E131" i="15"/>
  <c r="E135" i="15"/>
  <c r="E139" i="15"/>
  <c r="E143" i="15"/>
  <c r="E147" i="15"/>
  <c r="E151" i="15"/>
  <c r="E155" i="15"/>
  <c r="E159" i="15"/>
  <c r="E163" i="15"/>
  <c r="E167" i="15"/>
  <c r="E171" i="15"/>
  <c r="E175" i="15"/>
  <c r="E179" i="15"/>
  <c r="E183" i="15"/>
  <c r="E187" i="15"/>
  <c r="E191" i="15"/>
  <c r="E195" i="15"/>
  <c r="E199" i="15"/>
  <c r="E203" i="15"/>
  <c r="E207" i="15"/>
  <c r="E211" i="15"/>
  <c r="E215" i="15"/>
  <c r="E219" i="15"/>
  <c r="E223" i="15"/>
  <c r="E227" i="15"/>
  <c r="E231" i="15"/>
  <c r="E235" i="15"/>
  <c r="E239" i="15"/>
  <c r="E243" i="15"/>
  <c r="E247" i="15"/>
  <c r="E251" i="15"/>
  <c r="E255" i="15"/>
  <c r="E259" i="15"/>
  <c r="E263" i="15"/>
  <c r="E267" i="15"/>
  <c r="E271" i="15"/>
  <c r="E275" i="15"/>
  <c r="E279" i="15"/>
  <c r="E283" i="15"/>
  <c r="E287" i="15"/>
  <c r="E291" i="15"/>
  <c r="E295" i="15"/>
  <c r="E299" i="15"/>
  <c r="E303" i="15"/>
  <c r="E307" i="15"/>
  <c r="E311" i="15"/>
  <c r="E315" i="15"/>
  <c r="E319" i="15"/>
  <c r="E323" i="15"/>
  <c r="E327" i="15"/>
  <c r="E331" i="15"/>
  <c r="E335" i="15"/>
  <c r="E339" i="15"/>
  <c r="E4" i="15"/>
  <c r="E8" i="15"/>
  <c r="E12" i="15"/>
  <c r="E16" i="15"/>
  <c r="E20" i="15"/>
  <c r="E24" i="15"/>
  <c r="E28" i="15"/>
  <c r="E32" i="15"/>
  <c r="E36" i="15"/>
  <c r="E40" i="15"/>
  <c r="E44" i="15"/>
  <c r="E48" i="15"/>
  <c r="E52" i="15"/>
  <c r="E56" i="15"/>
  <c r="E60" i="15"/>
  <c r="E64" i="15"/>
  <c r="E68" i="15"/>
  <c r="E72" i="15"/>
  <c r="E76" i="15"/>
  <c r="E80" i="15"/>
  <c r="E84" i="15"/>
  <c r="E88" i="15"/>
  <c r="E92" i="15"/>
  <c r="E96" i="15"/>
  <c r="E100" i="15"/>
  <c r="E104" i="15"/>
  <c r="E108" i="15"/>
  <c r="E112" i="15"/>
  <c r="E116" i="15"/>
  <c r="E120" i="15"/>
  <c r="E124" i="15"/>
  <c r="E128" i="15"/>
  <c r="E132" i="15"/>
  <c r="E136" i="15"/>
  <c r="E140" i="15"/>
  <c r="E144" i="15"/>
  <c r="E148" i="15"/>
  <c r="E152" i="15"/>
  <c r="E156" i="15"/>
  <c r="E160" i="15"/>
  <c r="E164" i="15"/>
  <c r="E168" i="15"/>
  <c r="E172" i="15"/>
  <c r="E176" i="15"/>
  <c r="E180" i="15"/>
  <c r="E184" i="15"/>
  <c r="E188" i="15"/>
  <c r="E192" i="15"/>
  <c r="E196" i="15"/>
  <c r="E200" i="15"/>
  <c r="E204" i="15"/>
  <c r="E208" i="15"/>
  <c r="E212" i="15"/>
  <c r="E216" i="15"/>
  <c r="E220" i="15"/>
  <c r="E224" i="15"/>
  <c r="E228" i="15"/>
  <c r="E232" i="15"/>
  <c r="E236" i="15"/>
  <c r="E240" i="15"/>
  <c r="E244" i="15"/>
  <c r="E248" i="15"/>
  <c r="E252" i="15"/>
  <c r="E256" i="15"/>
  <c r="E260" i="15"/>
  <c r="E264" i="15"/>
  <c r="E268" i="15"/>
  <c r="E272" i="15"/>
  <c r="E276" i="15"/>
  <c r="E280" i="15"/>
  <c r="E284" i="15"/>
  <c r="E288" i="15"/>
  <c r="E292" i="15"/>
  <c r="E296" i="15"/>
  <c r="E300" i="15"/>
  <c r="E304" i="15"/>
  <c r="E308" i="15"/>
  <c r="E312" i="15"/>
  <c r="E316" i="15"/>
  <c r="E320" i="15"/>
  <c r="E324" i="15"/>
  <c r="E328" i="15"/>
  <c r="E332" i="15"/>
  <c r="E336" i="15"/>
  <c r="E5" i="15"/>
  <c r="E21" i="15"/>
  <c r="E37" i="15"/>
  <c r="E53" i="15"/>
  <c r="E69" i="15"/>
  <c r="E85" i="15"/>
  <c r="E101" i="15"/>
  <c r="E117" i="15"/>
  <c r="E133" i="15"/>
  <c r="E149" i="15"/>
  <c r="E165" i="15"/>
  <c r="E181" i="15"/>
  <c r="E197" i="15"/>
  <c r="E213" i="15"/>
  <c r="E229" i="15"/>
  <c r="E245" i="15"/>
  <c r="E261" i="15"/>
  <c r="E277" i="15"/>
  <c r="E293" i="15"/>
  <c r="E309" i="15"/>
  <c r="E325" i="15"/>
  <c r="E340" i="15"/>
  <c r="E344" i="15"/>
  <c r="E348" i="15"/>
  <c r="E352" i="15"/>
  <c r="E356" i="15"/>
  <c r="E360" i="15"/>
  <c r="E364" i="15"/>
  <c r="E368" i="15"/>
  <c r="E372" i="15"/>
  <c r="E376" i="15"/>
  <c r="E380" i="15"/>
  <c r="E384" i="15"/>
  <c r="E388" i="15"/>
  <c r="E392" i="15"/>
  <c r="E396" i="15"/>
  <c r="E400" i="15"/>
  <c r="E404" i="15"/>
  <c r="E408" i="15"/>
  <c r="E412" i="15"/>
  <c r="E416" i="15"/>
  <c r="E420" i="15"/>
  <c r="E424" i="15"/>
  <c r="E428" i="15"/>
  <c r="E432" i="15"/>
  <c r="E436" i="15"/>
  <c r="E440" i="15"/>
  <c r="E444" i="15"/>
  <c r="E448" i="15"/>
  <c r="E452" i="15"/>
  <c r="E456" i="15"/>
  <c r="E460" i="15"/>
  <c r="E464" i="15"/>
  <c r="E468" i="15"/>
  <c r="E472" i="15"/>
  <c r="E476" i="15"/>
  <c r="E480" i="15"/>
  <c r="E484" i="15"/>
  <c r="E488" i="15"/>
  <c r="E492" i="15"/>
  <c r="E496" i="15"/>
  <c r="E500" i="15"/>
  <c r="E504" i="15"/>
  <c r="E508" i="15"/>
  <c r="E512" i="15"/>
  <c r="E516" i="15"/>
  <c r="E520" i="15"/>
  <c r="E524" i="15"/>
  <c r="E528" i="15"/>
  <c r="E532" i="15"/>
  <c r="E536" i="15"/>
  <c r="E540" i="15"/>
  <c r="E544" i="15"/>
  <c r="E548" i="15"/>
  <c r="E552" i="15"/>
  <c r="E556" i="15"/>
  <c r="E560" i="15"/>
  <c r="E564" i="15"/>
  <c r="E568" i="15"/>
  <c r="E572" i="15"/>
  <c r="E576" i="15"/>
  <c r="E580" i="15"/>
  <c r="E9" i="15"/>
  <c r="E25" i="15"/>
  <c r="E41" i="15"/>
  <c r="E57" i="15"/>
  <c r="E73" i="15"/>
  <c r="E89" i="15"/>
  <c r="E105" i="15"/>
  <c r="E121" i="15"/>
  <c r="E137" i="15"/>
  <c r="E153" i="15"/>
  <c r="E169" i="15"/>
  <c r="E185" i="15"/>
  <c r="E201" i="15"/>
  <c r="E217" i="15"/>
  <c r="E233" i="15"/>
  <c r="E249" i="15"/>
  <c r="E265" i="15"/>
  <c r="E281" i="15"/>
  <c r="E297" i="15"/>
  <c r="E313" i="15"/>
  <c r="E329" i="15"/>
  <c r="E341" i="15"/>
  <c r="E345" i="15"/>
  <c r="E349" i="15"/>
  <c r="E353" i="15"/>
  <c r="E357" i="15"/>
  <c r="E361" i="15"/>
  <c r="E365" i="15"/>
  <c r="E369" i="15"/>
  <c r="E373" i="15"/>
  <c r="E377" i="15"/>
  <c r="E381" i="15"/>
  <c r="E385" i="15"/>
  <c r="E389" i="15"/>
  <c r="E393" i="15"/>
  <c r="E397" i="15"/>
  <c r="E401" i="15"/>
  <c r="E405" i="15"/>
  <c r="E409" i="15"/>
  <c r="E413" i="15"/>
  <c r="E417" i="15"/>
  <c r="E421" i="15"/>
  <c r="E425" i="15"/>
  <c r="E429" i="15"/>
  <c r="E433" i="15"/>
  <c r="E437" i="15"/>
  <c r="E441" i="15"/>
  <c r="E445" i="15"/>
  <c r="E449" i="15"/>
  <c r="E453" i="15"/>
  <c r="E457" i="15"/>
  <c r="E461" i="15"/>
  <c r="E465" i="15"/>
  <c r="E469" i="15"/>
  <c r="E473" i="15"/>
  <c r="E477" i="15"/>
  <c r="E481" i="15"/>
  <c r="E485" i="15"/>
  <c r="E489" i="15"/>
  <c r="E493" i="15"/>
  <c r="E497" i="15"/>
  <c r="E501" i="15"/>
  <c r="E505" i="15"/>
  <c r="E509" i="15"/>
  <c r="E513" i="15"/>
  <c r="E517" i="15"/>
  <c r="E521" i="15"/>
  <c r="E525" i="15"/>
  <c r="E529" i="15"/>
  <c r="E533" i="15"/>
  <c r="E537" i="15"/>
  <c r="E541" i="15"/>
  <c r="E545" i="15"/>
  <c r="E549" i="15"/>
  <c r="E553" i="15"/>
  <c r="E557" i="15"/>
  <c r="E561" i="15"/>
  <c r="E565" i="15"/>
  <c r="E569" i="15"/>
  <c r="E573" i="15"/>
  <c r="E577" i="15"/>
  <c r="E581" i="15"/>
  <c r="E585" i="15"/>
  <c r="E589" i="15"/>
  <c r="E593" i="15"/>
  <c r="E13" i="15"/>
  <c r="E29" i="15"/>
  <c r="E45" i="15"/>
  <c r="E61" i="15"/>
  <c r="E77" i="15"/>
  <c r="E93" i="15"/>
  <c r="E109" i="15"/>
  <c r="E125" i="15"/>
  <c r="E141" i="15"/>
  <c r="E157" i="15"/>
  <c r="E173" i="15"/>
  <c r="E189" i="15"/>
  <c r="E205" i="15"/>
  <c r="E221" i="15"/>
  <c r="E237" i="15"/>
  <c r="E253" i="15"/>
  <c r="E269" i="15"/>
  <c r="E285" i="15"/>
  <c r="E301" i="15"/>
  <c r="E317" i="15"/>
  <c r="E333" i="15"/>
  <c r="E342" i="15"/>
  <c r="E346" i="15"/>
  <c r="E350" i="15"/>
  <c r="E354" i="15"/>
  <c r="E358" i="15"/>
  <c r="E362" i="15"/>
  <c r="E366" i="15"/>
  <c r="E370" i="15"/>
  <c r="E374" i="15"/>
  <c r="E378" i="15"/>
  <c r="E382" i="15"/>
  <c r="E386" i="15"/>
  <c r="E390" i="15"/>
  <c r="E394" i="15"/>
  <c r="E398" i="15"/>
  <c r="E402" i="15"/>
  <c r="E406" i="15"/>
  <c r="E410" i="15"/>
  <c r="E414" i="15"/>
  <c r="E418" i="15"/>
  <c r="E422" i="15"/>
  <c r="E426" i="15"/>
  <c r="E430" i="15"/>
  <c r="E434" i="15"/>
  <c r="E438" i="15"/>
  <c r="E442" i="15"/>
  <c r="E446" i="15"/>
  <c r="E450" i="15"/>
  <c r="E454" i="15"/>
  <c r="E458" i="15"/>
  <c r="E462" i="15"/>
  <c r="E466" i="15"/>
  <c r="E470" i="15"/>
  <c r="E474" i="15"/>
  <c r="E478" i="15"/>
  <c r="E482" i="15"/>
  <c r="E486" i="15"/>
  <c r="E490" i="15"/>
  <c r="E494" i="15"/>
  <c r="E498" i="15"/>
  <c r="E502" i="15"/>
  <c r="E506" i="15"/>
  <c r="E510" i="15"/>
  <c r="E514" i="15"/>
  <c r="E518" i="15"/>
  <c r="E522" i="15"/>
  <c r="E526" i="15"/>
  <c r="E530" i="15"/>
  <c r="E534" i="15"/>
  <c r="E538" i="15"/>
  <c r="E542" i="15"/>
  <c r="E546" i="15"/>
  <c r="E550" i="15"/>
  <c r="E554" i="15"/>
  <c r="E558" i="15"/>
  <c r="E562" i="15"/>
  <c r="E566" i="15"/>
  <c r="E570" i="15"/>
  <c r="E574" i="15"/>
  <c r="E578" i="15"/>
  <c r="E582" i="15"/>
  <c r="E586" i="15"/>
  <c r="E590" i="15"/>
  <c r="E594" i="15"/>
  <c r="E17" i="15"/>
  <c r="E81" i="15"/>
  <c r="E145" i="15"/>
  <c r="E209" i="15"/>
  <c r="E273" i="15"/>
  <c r="E337" i="15"/>
  <c r="E355" i="15"/>
  <c r="E371" i="15"/>
  <c r="E387" i="15"/>
  <c r="E403" i="15"/>
  <c r="E419" i="15"/>
  <c r="E435" i="15"/>
  <c r="E451" i="15"/>
  <c r="E467" i="15"/>
  <c r="E483" i="15"/>
  <c r="E499" i="15"/>
  <c r="E515" i="15"/>
  <c r="E531" i="15"/>
  <c r="E547" i="15"/>
  <c r="E563" i="15"/>
  <c r="E579" i="15"/>
  <c r="E588" i="15"/>
  <c r="E596" i="15"/>
  <c r="E600" i="15"/>
  <c r="E604" i="15"/>
  <c r="E608" i="15"/>
  <c r="E612" i="15"/>
  <c r="E616" i="15"/>
  <c r="E620" i="15"/>
  <c r="E624" i="15"/>
  <c r="E628" i="15"/>
  <c r="E632" i="15"/>
  <c r="E636" i="15"/>
  <c r="E640" i="15"/>
  <c r="E644" i="15"/>
  <c r="E648" i="15"/>
  <c r="E652" i="15"/>
  <c r="E656" i="15"/>
  <c r="E660" i="15"/>
  <c r="E664" i="15"/>
  <c r="E668" i="15"/>
  <c r="E672" i="15"/>
  <c r="E676" i="15"/>
  <c r="E680" i="15"/>
  <c r="E684" i="15"/>
  <c r="E688" i="15"/>
  <c r="E692" i="15"/>
  <c r="E696" i="15"/>
  <c r="E700" i="15"/>
  <c r="E704" i="15"/>
  <c r="D2" i="15"/>
  <c r="D6" i="15"/>
  <c r="D10" i="15"/>
  <c r="D14" i="15"/>
  <c r="D18" i="15"/>
  <c r="D22" i="15"/>
  <c r="D26" i="15"/>
  <c r="D30" i="15"/>
  <c r="D34" i="15"/>
  <c r="D38" i="15"/>
  <c r="D42" i="15"/>
  <c r="D46" i="15"/>
  <c r="D50" i="15"/>
  <c r="D54" i="15"/>
  <c r="D58" i="15"/>
  <c r="D62" i="15"/>
  <c r="D66" i="15"/>
  <c r="D70" i="15"/>
  <c r="D74" i="15"/>
  <c r="D78" i="15"/>
  <c r="D82" i="15"/>
  <c r="D86" i="15"/>
  <c r="D90" i="15"/>
  <c r="D94" i="15"/>
  <c r="D98" i="15"/>
  <c r="D102" i="15"/>
  <c r="D106" i="15"/>
  <c r="D110" i="15"/>
  <c r="D114" i="15"/>
  <c r="D118" i="15"/>
  <c r="D122" i="15"/>
  <c r="D126" i="15"/>
  <c r="D130" i="15"/>
  <c r="D134" i="15"/>
  <c r="D138" i="15"/>
  <c r="D142" i="15"/>
  <c r="D146" i="15"/>
  <c r="D150" i="15"/>
  <c r="D154" i="15"/>
  <c r="D158" i="15"/>
  <c r="D162" i="15"/>
  <c r="D166" i="15"/>
  <c r="D170" i="15"/>
  <c r="D174" i="15"/>
  <c r="D178" i="15"/>
  <c r="D182" i="15"/>
  <c r="D186" i="15"/>
  <c r="D190" i="15"/>
  <c r="D194" i="15"/>
  <c r="D198" i="15"/>
  <c r="D202" i="15"/>
  <c r="D206" i="15"/>
  <c r="D210" i="15"/>
  <c r="D214" i="15"/>
  <c r="D218" i="15"/>
  <c r="D222" i="15"/>
  <c r="D226" i="15"/>
  <c r="D230" i="15"/>
  <c r="D234" i="15"/>
  <c r="D238" i="15"/>
  <c r="D242" i="15"/>
  <c r="D246" i="15"/>
  <c r="D250" i="15"/>
  <c r="D254" i="15"/>
  <c r="D258" i="15"/>
  <c r="D262" i="15"/>
  <c r="D266" i="15"/>
  <c r="D270" i="15"/>
  <c r="D274" i="15"/>
  <c r="D278" i="15"/>
  <c r="D282" i="15"/>
  <c r="D286" i="15"/>
  <c r="D290" i="15"/>
  <c r="D294" i="15"/>
  <c r="D298" i="15"/>
  <c r="D302" i="15"/>
  <c r="D306" i="15"/>
  <c r="D310" i="15"/>
  <c r="D314" i="15"/>
  <c r="D318" i="15"/>
  <c r="D322" i="15"/>
  <c r="D326" i="15"/>
  <c r="D330" i="15"/>
  <c r="D334" i="15"/>
  <c r="D338" i="15"/>
  <c r="D342" i="15"/>
  <c r="D346" i="15"/>
  <c r="D350" i="15"/>
  <c r="D354" i="15"/>
  <c r="D358" i="15"/>
  <c r="D362" i="15"/>
  <c r="D366" i="15"/>
  <c r="D370" i="15"/>
  <c r="D374" i="15"/>
  <c r="D378" i="15"/>
  <c r="D382" i="15"/>
  <c r="D386" i="15"/>
  <c r="D390" i="15"/>
  <c r="D394" i="15"/>
  <c r="D398" i="15"/>
  <c r="D402" i="15"/>
  <c r="D406" i="15"/>
  <c r="D410" i="15"/>
  <c r="D414" i="15"/>
  <c r="D418" i="15"/>
  <c r="D422" i="15"/>
  <c r="D426" i="15"/>
  <c r="D430" i="15"/>
  <c r="D434" i="15"/>
  <c r="D438" i="15"/>
  <c r="D442" i="15"/>
  <c r="D446" i="15"/>
  <c r="D450" i="15"/>
  <c r="D454" i="15"/>
  <c r="E33" i="15"/>
  <c r="E97" i="15"/>
  <c r="E161" i="15"/>
  <c r="E225" i="15"/>
  <c r="E289" i="15"/>
  <c r="E343" i="15"/>
  <c r="E359" i="15"/>
  <c r="E375" i="15"/>
  <c r="E391" i="15"/>
  <c r="E407" i="15"/>
  <c r="E423" i="15"/>
  <c r="E439" i="15"/>
  <c r="E455" i="15"/>
  <c r="E471" i="15"/>
  <c r="E487" i="15"/>
  <c r="E503" i="15"/>
  <c r="E519" i="15"/>
  <c r="E535" i="15"/>
  <c r="E551" i="15"/>
  <c r="E567" i="15"/>
  <c r="E583" i="15"/>
  <c r="E591" i="15"/>
  <c r="E597" i="15"/>
  <c r="E601" i="15"/>
  <c r="E605" i="15"/>
  <c r="E609" i="15"/>
  <c r="E613" i="15"/>
  <c r="E617" i="15"/>
  <c r="E621" i="15"/>
  <c r="E625" i="15"/>
  <c r="E629" i="15"/>
  <c r="E633" i="15"/>
  <c r="E637" i="15"/>
  <c r="E641" i="15"/>
  <c r="E645" i="15"/>
  <c r="E649" i="15"/>
  <c r="E653" i="15"/>
  <c r="E657" i="15"/>
  <c r="E661" i="15"/>
  <c r="E665" i="15"/>
  <c r="E669" i="15"/>
  <c r="E673" i="15"/>
  <c r="E677" i="15"/>
  <c r="E681" i="15"/>
  <c r="E685" i="15"/>
  <c r="E689" i="15"/>
  <c r="E693" i="15"/>
  <c r="E697" i="15"/>
  <c r="E701" i="15"/>
  <c r="E705" i="15"/>
  <c r="D3" i="15"/>
  <c r="D7" i="15"/>
  <c r="D11" i="15"/>
  <c r="D15" i="15"/>
  <c r="D19" i="15"/>
  <c r="D23" i="15"/>
  <c r="D27" i="15"/>
  <c r="D31" i="15"/>
  <c r="D35" i="15"/>
  <c r="D39" i="15"/>
  <c r="D43" i="15"/>
  <c r="D47" i="15"/>
  <c r="D51" i="15"/>
  <c r="D55" i="15"/>
  <c r="D59" i="15"/>
  <c r="D63" i="15"/>
  <c r="D67" i="15"/>
  <c r="D71" i="15"/>
  <c r="D75" i="15"/>
  <c r="D79" i="15"/>
  <c r="D83" i="15"/>
  <c r="D87" i="15"/>
  <c r="D91" i="15"/>
  <c r="D95" i="15"/>
  <c r="D99" i="15"/>
  <c r="D103" i="15"/>
  <c r="D107" i="15"/>
  <c r="D111" i="15"/>
  <c r="D115" i="15"/>
  <c r="D119" i="15"/>
  <c r="D123" i="15"/>
  <c r="D127" i="15"/>
  <c r="D131" i="15"/>
  <c r="D135" i="15"/>
  <c r="D139" i="15"/>
  <c r="D143" i="15"/>
  <c r="D147" i="15"/>
  <c r="D151" i="15"/>
  <c r="D155" i="15"/>
  <c r="D159" i="15"/>
  <c r="D163" i="15"/>
  <c r="D167" i="15"/>
  <c r="D171" i="15"/>
  <c r="D175" i="15"/>
  <c r="D179" i="15"/>
  <c r="D183" i="15"/>
  <c r="D187" i="15"/>
  <c r="D191" i="15"/>
  <c r="D195" i="15"/>
  <c r="D199" i="15"/>
  <c r="D203" i="15"/>
  <c r="D207" i="15"/>
  <c r="D211" i="15"/>
  <c r="D215" i="15"/>
  <c r="D219" i="15"/>
  <c r="D223" i="15"/>
  <c r="D227" i="15"/>
  <c r="D231" i="15"/>
  <c r="D235" i="15"/>
  <c r="D239" i="15"/>
  <c r="D243" i="15"/>
  <c r="D247" i="15"/>
  <c r="D251" i="15"/>
  <c r="D255" i="15"/>
  <c r="D259" i="15"/>
  <c r="D263" i="15"/>
  <c r="D267" i="15"/>
  <c r="D271" i="15"/>
  <c r="D275" i="15"/>
  <c r="D279" i="15"/>
  <c r="D283" i="15"/>
  <c r="D287" i="15"/>
  <c r="D291" i="15"/>
  <c r="D295" i="15"/>
  <c r="D299" i="15"/>
  <c r="D303" i="15"/>
  <c r="D307" i="15"/>
  <c r="D311" i="15"/>
  <c r="D315" i="15"/>
  <c r="D319" i="15"/>
  <c r="D323" i="15"/>
  <c r="D327" i="15"/>
  <c r="D331" i="15"/>
  <c r="D335" i="15"/>
  <c r="D339" i="15"/>
  <c r="D343" i="15"/>
  <c r="D347" i="15"/>
  <c r="D351" i="15"/>
  <c r="D355" i="15"/>
  <c r="D359" i="15"/>
  <c r="D363" i="15"/>
  <c r="D367" i="15"/>
  <c r="D371" i="15"/>
  <c r="D375" i="15"/>
  <c r="D379" i="15"/>
  <c r="D383" i="15"/>
  <c r="D387" i="15"/>
  <c r="D391" i="15"/>
  <c r="D395" i="15"/>
  <c r="D399" i="15"/>
  <c r="D403" i="15"/>
  <c r="D407" i="15"/>
  <c r="D411" i="15"/>
  <c r="D415" i="15"/>
  <c r="D419" i="15"/>
  <c r="D423" i="15"/>
  <c r="D427" i="15"/>
  <c r="D431" i="15"/>
  <c r="D435" i="15"/>
  <c r="D439" i="15"/>
  <c r="D443" i="15"/>
  <c r="D447" i="15"/>
  <c r="D451" i="15"/>
  <c r="D455" i="15"/>
  <c r="D459" i="15"/>
  <c r="D463" i="15"/>
  <c r="D467" i="15"/>
  <c r="D471" i="15"/>
  <c r="D475" i="15"/>
  <c r="D479" i="15"/>
  <c r="E49" i="15"/>
  <c r="E113" i="15"/>
  <c r="E177" i="15"/>
  <c r="E241" i="15"/>
  <c r="E305" i="15"/>
  <c r="E347" i="15"/>
  <c r="E363" i="15"/>
  <c r="E379" i="15"/>
  <c r="E395" i="15"/>
  <c r="E411" i="15"/>
  <c r="E427" i="15"/>
  <c r="E443" i="15"/>
  <c r="E459" i="15"/>
  <c r="E475" i="15"/>
  <c r="E491" i="15"/>
  <c r="E507" i="15"/>
  <c r="E523" i="15"/>
  <c r="E539" i="15"/>
  <c r="E555" i="15"/>
  <c r="E571" i="15"/>
  <c r="E584" i="15"/>
  <c r="E592" i="15"/>
  <c r="E598" i="15"/>
  <c r="E602" i="15"/>
  <c r="E606" i="15"/>
  <c r="E610" i="15"/>
  <c r="E614" i="15"/>
  <c r="E618" i="15"/>
  <c r="E622" i="15"/>
  <c r="E626" i="15"/>
  <c r="E630" i="15"/>
  <c r="E634" i="15"/>
  <c r="E638" i="15"/>
  <c r="E642" i="15"/>
  <c r="E646" i="15"/>
  <c r="E650" i="15"/>
  <c r="E654" i="15"/>
  <c r="E658" i="15"/>
  <c r="E662" i="15"/>
  <c r="E666" i="15"/>
  <c r="E670" i="15"/>
  <c r="E674" i="15"/>
  <c r="E678" i="15"/>
  <c r="E682" i="15"/>
  <c r="E686" i="15"/>
  <c r="E690" i="15"/>
  <c r="E694" i="15"/>
  <c r="E698" i="15"/>
  <c r="E702" i="15"/>
  <c r="E706" i="15"/>
  <c r="D4" i="15"/>
  <c r="D8" i="15"/>
  <c r="D12" i="15"/>
  <c r="D16" i="15"/>
  <c r="D20" i="15"/>
  <c r="D24" i="15"/>
  <c r="D28" i="15"/>
  <c r="D32" i="15"/>
  <c r="D36" i="15"/>
  <c r="D40" i="15"/>
  <c r="D44" i="15"/>
  <c r="D48" i="15"/>
  <c r="D52" i="15"/>
  <c r="D56" i="15"/>
  <c r="D60" i="15"/>
  <c r="D64" i="15"/>
  <c r="D68" i="15"/>
  <c r="D72" i="15"/>
  <c r="D76" i="15"/>
  <c r="D80" i="15"/>
  <c r="D84" i="15"/>
  <c r="D88" i="15"/>
  <c r="D92" i="15"/>
  <c r="D96" i="15"/>
  <c r="D100" i="15"/>
  <c r="D104" i="15"/>
  <c r="D108" i="15"/>
  <c r="D112" i="15"/>
  <c r="D116" i="15"/>
  <c r="D120" i="15"/>
  <c r="D124" i="15"/>
  <c r="D128" i="15"/>
  <c r="D132" i="15"/>
  <c r="D136" i="15"/>
  <c r="D140" i="15"/>
  <c r="D144" i="15"/>
  <c r="D148" i="15"/>
  <c r="D152" i="15"/>
  <c r="D156" i="15"/>
  <c r="D160" i="15"/>
  <c r="D164" i="15"/>
  <c r="D168" i="15"/>
  <c r="D172" i="15"/>
  <c r="D176" i="15"/>
  <c r="D180" i="15"/>
  <c r="D184" i="15"/>
  <c r="D188" i="15"/>
  <c r="D192" i="15"/>
  <c r="D196" i="15"/>
  <c r="D200" i="15"/>
  <c r="D204" i="15"/>
  <c r="D208" i="15"/>
  <c r="D212" i="15"/>
  <c r="D216" i="15"/>
  <c r="D220" i="15"/>
  <c r="D224" i="15"/>
  <c r="D228" i="15"/>
  <c r="D232" i="15"/>
  <c r="D236" i="15"/>
  <c r="D240" i="15"/>
  <c r="D244" i="15"/>
  <c r="D248" i="15"/>
  <c r="D252" i="15"/>
  <c r="D256" i="15"/>
  <c r="D260" i="15"/>
  <c r="D264" i="15"/>
  <c r="D268" i="15"/>
  <c r="D272" i="15"/>
  <c r="D276" i="15"/>
  <c r="D280" i="15"/>
  <c r="D284" i="15"/>
  <c r="D288" i="15"/>
  <c r="D292" i="15"/>
  <c r="D296" i="15"/>
  <c r="D300" i="15"/>
  <c r="D304" i="15"/>
  <c r="D308" i="15"/>
  <c r="D312" i="15"/>
  <c r="D316" i="15"/>
  <c r="D320" i="15"/>
  <c r="D324" i="15"/>
  <c r="D328" i="15"/>
  <c r="D332" i="15"/>
  <c r="D336" i="15"/>
  <c r="D340" i="15"/>
  <c r="D344" i="15"/>
  <c r="D348" i="15"/>
  <c r="D352" i="15"/>
  <c r="D356" i="15"/>
  <c r="D360" i="15"/>
  <c r="D364" i="15"/>
  <c r="D368" i="15"/>
  <c r="D372" i="15"/>
  <c r="D376" i="15"/>
  <c r="D380" i="15"/>
  <c r="D384" i="15"/>
  <c r="D388" i="15"/>
  <c r="D392" i="15"/>
  <c r="D396" i="15"/>
  <c r="D400" i="15"/>
  <c r="D404" i="15"/>
  <c r="D408" i="15"/>
  <c r="D412" i="15"/>
  <c r="D416" i="15"/>
  <c r="D420" i="15"/>
  <c r="D424" i="15"/>
  <c r="D428" i="15"/>
  <c r="D432" i="15"/>
  <c r="D436" i="15"/>
  <c r="D440" i="15"/>
  <c r="D444" i="15"/>
  <c r="D448" i="15"/>
  <c r="D452" i="15"/>
  <c r="D456" i="15"/>
  <c r="D460" i="15"/>
  <c r="D464" i="15"/>
  <c r="D468" i="15"/>
  <c r="D472" i="15"/>
  <c r="D476" i="15"/>
  <c r="D480" i="15"/>
  <c r="E65" i="15"/>
  <c r="E321" i="15"/>
  <c r="E399" i="15"/>
  <c r="E463" i="15"/>
  <c r="E527" i="15"/>
  <c r="E587" i="15"/>
  <c r="E607" i="15"/>
  <c r="E623" i="15"/>
  <c r="E639" i="15"/>
  <c r="E655" i="15"/>
  <c r="E671" i="15"/>
  <c r="E687" i="15"/>
  <c r="E703" i="15"/>
  <c r="D13" i="15"/>
  <c r="D29" i="15"/>
  <c r="D45" i="15"/>
  <c r="D61" i="15"/>
  <c r="D77" i="15"/>
  <c r="D93" i="15"/>
  <c r="D109" i="15"/>
  <c r="D125" i="15"/>
  <c r="D141" i="15"/>
  <c r="D157" i="15"/>
  <c r="D173" i="15"/>
  <c r="D189" i="15"/>
  <c r="D205" i="15"/>
  <c r="D221" i="15"/>
  <c r="D237" i="15"/>
  <c r="D253" i="15"/>
  <c r="D269" i="15"/>
  <c r="D285" i="15"/>
  <c r="D301" i="15"/>
  <c r="D317" i="15"/>
  <c r="D333" i="15"/>
  <c r="D349" i="15"/>
  <c r="D365" i="15"/>
  <c r="D381" i="15"/>
  <c r="D397" i="15"/>
  <c r="D413" i="15"/>
  <c r="D429" i="15"/>
  <c r="D445" i="15"/>
  <c r="D458" i="15"/>
  <c r="D466" i="15"/>
  <c r="D474" i="15"/>
  <c r="D482" i="15"/>
  <c r="D486" i="15"/>
  <c r="D490" i="15"/>
  <c r="D494" i="15"/>
  <c r="D498" i="15"/>
  <c r="D502" i="15"/>
  <c r="D506" i="15"/>
  <c r="D510" i="15"/>
  <c r="D514" i="15"/>
  <c r="D518" i="15"/>
  <c r="D522" i="15"/>
  <c r="D526" i="15"/>
  <c r="D530" i="15"/>
  <c r="D534" i="15"/>
  <c r="D538" i="15"/>
  <c r="D542" i="15"/>
  <c r="D546" i="15"/>
  <c r="D550" i="15"/>
  <c r="D554" i="15"/>
  <c r="D558" i="15"/>
  <c r="D562" i="15"/>
  <c r="D566" i="15"/>
  <c r="D570" i="15"/>
  <c r="D574" i="15"/>
  <c r="D578" i="15"/>
  <c r="D582" i="15"/>
  <c r="D586" i="15"/>
  <c r="D590" i="15"/>
  <c r="D594" i="15"/>
  <c r="D598" i="15"/>
  <c r="D602" i="15"/>
  <c r="D606" i="15"/>
  <c r="D610" i="15"/>
  <c r="D614" i="15"/>
  <c r="D618" i="15"/>
  <c r="D622" i="15"/>
  <c r="D626" i="15"/>
  <c r="D630" i="15"/>
  <c r="D634" i="15"/>
  <c r="D638" i="15"/>
  <c r="D642" i="15"/>
  <c r="D646" i="15"/>
  <c r="D650" i="15"/>
  <c r="D654" i="15"/>
  <c r="D658" i="15"/>
  <c r="D662" i="15"/>
  <c r="D666" i="15"/>
  <c r="D670" i="15"/>
  <c r="D674" i="15"/>
  <c r="D678" i="15"/>
  <c r="D682" i="15"/>
  <c r="D686" i="15"/>
  <c r="D690" i="15"/>
  <c r="D694" i="15"/>
  <c r="D698" i="15"/>
  <c r="D702" i="15"/>
  <c r="D706" i="15"/>
  <c r="C4" i="15"/>
  <c r="C8" i="15"/>
  <c r="C12" i="15"/>
  <c r="C16" i="15"/>
  <c r="C20" i="15"/>
  <c r="C24" i="15"/>
  <c r="C28" i="15"/>
  <c r="C32" i="15"/>
  <c r="C36" i="15"/>
  <c r="C40" i="15"/>
  <c r="C44" i="15"/>
  <c r="C48" i="15"/>
  <c r="C52" i="15"/>
  <c r="C56" i="15"/>
  <c r="C60" i="15"/>
  <c r="C64" i="15"/>
  <c r="C68" i="15"/>
  <c r="C72" i="15"/>
  <c r="C76" i="15"/>
  <c r="C80" i="15"/>
  <c r="C84" i="15"/>
  <c r="C88" i="15"/>
  <c r="C92" i="15"/>
  <c r="C96" i="15"/>
  <c r="C100" i="15"/>
  <c r="C104" i="15"/>
  <c r="C108" i="15"/>
  <c r="C112" i="15"/>
  <c r="C116" i="15"/>
  <c r="C120" i="15"/>
  <c r="C124" i="15"/>
  <c r="C128" i="15"/>
  <c r="C132" i="15"/>
  <c r="C136" i="15"/>
  <c r="C140" i="15"/>
  <c r="C144" i="15"/>
  <c r="C148" i="15"/>
  <c r="C152" i="15"/>
  <c r="C156" i="15"/>
  <c r="C160" i="15"/>
  <c r="C164" i="15"/>
  <c r="C168" i="15"/>
  <c r="C172" i="15"/>
  <c r="C176" i="15"/>
  <c r="C180" i="15"/>
  <c r="C184" i="15"/>
  <c r="C188" i="15"/>
  <c r="C192" i="15"/>
  <c r="C196" i="15"/>
  <c r="C200" i="15"/>
  <c r="C204" i="15"/>
  <c r="C208" i="15"/>
  <c r="C212" i="15"/>
  <c r="C216" i="15"/>
  <c r="C220" i="15"/>
  <c r="C224" i="15"/>
  <c r="C228" i="15"/>
  <c r="C232" i="15"/>
  <c r="C236" i="15"/>
  <c r="C240" i="15"/>
  <c r="C244" i="15"/>
  <c r="C248" i="15"/>
  <c r="C252" i="15"/>
  <c r="C256" i="15"/>
  <c r="C260" i="15"/>
  <c r="E129" i="15"/>
  <c r="E351" i="15"/>
  <c r="E415" i="15"/>
  <c r="E479" i="15"/>
  <c r="E543" i="15"/>
  <c r="E595" i="15"/>
  <c r="E611" i="15"/>
  <c r="E627" i="15"/>
  <c r="E643" i="15"/>
  <c r="E659" i="15"/>
  <c r="E675" i="15"/>
  <c r="E691" i="15"/>
  <c r="E707" i="15"/>
  <c r="D17" i="15"/>
  <c r="D33" i="15"/>
  <c r="D49" i="15"/>
  <c r="D65" i="15"/>
  <c r="D81" i="15"/>
  <c r="D97" i="15"/>
  <c r="D113" i="15"/>
  <c r="D129" i="15"/>
  <c r="D145" i="15"/>
  <c r="D161" i="15"/>
  <c r="D177" i="15"/>
  <c r="D193" i="15"/>
  <c r="D209" i="15"/>
  <c r="D225" i="15"/>
  <c r="D241" i="15"/>
  <c r="D257" i="15"/>
  <c r="D273" i="15"/>
  <c r="D289" i="15"/>
  <c r="D305" i="15"/>
  <c r="D321" i="15"/>
  <c r="D337" i="15"/>
  <c r="D353" i="15"/>
  <c r="D369" i="15"/>
  <c r="D385" i="15"/>
  <c r="D401" i="15"/>
  <c r="D417" i="15"/>
  <c r="D433" i="15"/>
  <c r="D449" i="15"/>
  <c r="D461" i="15"/>
  <c r="D469" i="15"/>
  <c r="D477" i="15"/>
  <c r="D483" i="15"/>
  <c r="D487" i="15"/>
  <c r="D491" i="15"/>
  <c r="D495" i="15"/>
  <c r="D499" i="15"/>
  <c r="D503" i="15"/>
  <c r="D507" i="15"/>
  <c r="D511" i="15"/>
  <c r="D515" i="15"/>
  <c r="D519" i="15"/>
  <c r="D523" i="15"/>
  <c r="D527" i="15"/>
  <c r="D531" i="15"/>
  <c r="D535" i="15"/>
  <c r="D539" i="15"/>
  <c r="D543" i="15"/>
  <c r="D547" i="15"/>
  <c r="D551" i="15"/>
  <c r="D555" i="15"/>
  <c r="D559" i="15"/>
  <c r="D563" i="15"/>
  <c r="D567" i="15"/>
  <c r="D571" i="15"/>
  <c r="D575" i="15"/>
  <c r="D579" i="15"/>
  <c r="D583" i="15"/>
  <c r="D587" i="15"/>
  <c r="D591" i="15"/>
  <c r="D595" i="15"/>
  <c r="D599" i="15"/>
  <c r="D603" i="15"/>
  <c r="D607" i="15"/>
  <c r="D611" i="15"/>
  <c r="D615" i="15"/>
  <c r="D619" i="15"/>
  <c r="D623" i="15"/>
  <c r="D627" i="15"/>
  <c r="D631" i="15"/>
  <c r="D635" i="15"/>
  <c r="D639" i="15"/>
  <c r="D643" i="15"/>
  <c r="D647" i="15"/>
  <c r="D651" i="15"/>
  <c r="D655" i="15"/>
  <c r="D659" i="15"/>
  <c r="D663" i="15"/>
  <c r="D667" i="15"/>
  <c r="D671" i="15"/>
  <c r="D675" i="15"/>
  <c r="D679" i="15"/>
  <c r="D683" i="15"/>
  <c r="D687" i="15"/>
  <c r="D691" i="15"/>
  <c r="D695" i="15"/>
  <c r="D699" i="15"/>
  <c r="D703" i="15"/>
  <c r="D707" i="15"/>
  <c r="C5" i="15"/>
  <c r="C9" i="15"/>
  <c r="C13" i="15"/>
  <c r="C17" i="15"/>
  <c r="C21" i="15"/>
  <c r="C25" i="15"/>
  <c r="C29" i="15"/>
  <c r="C33" i="15"/>
  <c r="C37" i="15"/>
  <c r="C41" i="15"/>
  <c r="C45" i="15"/>
  <c r="C49" i="15"/>
  <c r="C53" i="15"/>
  <c r="C57" i="15"/>
  <c r="C61" i="15"/>
  <c r="C65" i="15"/>
  <c r="C69" i="15"/>
  <c r="C73" i="15"/>
  <c r="C77" i="15"/>
  <c r="C81" i="15"/>
  <c r="C85" i="15"/>
  <c r="C89" i="15"/>
  <c r="C93" i="15"/>
  <c r="C97" i="15"/>
  <c r="C101" i="15"/>
  <c r="C105" i="15"/>
  <c r="C109" i="15"/>
  <c r="C113" i="15"/>
  <c r="C117" i="15"/>
  <c r="C121" i="15"/>
  <c r="C125" i="15"/>
  <c r="C129" i="15"/>
  <c r="F129" i="15" s="1"/>
  <c r="C133" i="15"/>
  <c r="C137" i="15"/>
  <c r="C141" i="15"/>
  <c r="C145" i="15"/>
  <c r="C149" i="15"/>
  <c r="C153" i="15"/>
  <c r="C157" i="15"/>
  <c r="C161" i="15"/>
  <c r="C165" i="15"/>
  <c r="C169" i="15"/>
  <c r="C173" i="15"/>
  <c r="C177" i="15"/>
  <c r="C181" i="15"/>
  <c r="C185" i="15"/>
  <c r="C189" i="15"/>
  <c r="C193" i="15"/>
  <c r="C197" i="15"/>
  <c r="C201" i="15"/>
  <c r="C205" i="15"/>
  <c r="C209" i="15"/>
  <c r="C213" i="15"/>
  <c r="C217" i="15"/>
  <c r="C221" i="15"/>
  <c r="C225" i="15"/>
  <c r="C229" i="15"/>
  <c r="C233" i="15"/>
  <c r="C237" i="15"/>
  <c r="C241" i="15"/>
  <c r="C245" i="15"/>
  <c r="C249" i="15"/>
  <c r="C253" i="15"/>
  <c r="C257" i="15"/>
  <c r="C261" i="15"/>
  <c r="C265" i="15"/>
  <c r="C269" i="15"/>
  <c r="C273" i="15"/>
  <c r="C277" i="15"/>
  <c r="C281" i="15"/>
  <c r="E193" i="15"/>
  <c r="E367" i="15"/>
  <c r="E431" i="15"/>
  <c r="E495" i="15"/>
  <c r="E559" i="15"/>
  <c r="E599" i="15"/>
  <c r="E615" i="15"/>
  <c r="E631" i="15"/>
  <c r="E647" i="15"/>
  <c r="E663" i="15"/>
  <c r="E679" i="15"/>
  <c r="E695" i="15"/>
  <c r="D5" i="15"/>
  <c r="D21" i="15"/>
  <c r="D37" i="15"/>
  <c r="D53" i="15"/>
  <c r="D69" i="15"/>
  <c r="D85" i="15"/>
  <c r="D101" i="15"/>
  <c r="D117" i="15"/>
  <c r="D133" i="15"/>
  <c r="D149" i="15"/>
  <c r="D165" i="15"/>
  <c r="D181" i="15"/>
  <c r="D197" i="15"/>
  <c r="D213" i="15"/>
  <c r="D229" i="15"/>
  <c r="D245" i="15"/>
  <c r="D261" i="15"/>
  <c r="D277" i="15"/>
  <c r="D293" i="15"/>
  <c r="D309" i="15"/>
  <c r="D325" i="15"/>
  <c r="D341" i="15"/>
  <c r="D357" i="15"/>
  <c r="D373" i="15"/>
  <c r="D389" i="15"/>
  <c r="D405" i="15"/>
  <c r="D421" i="15"/>
  <c r="D437" i="15"/>
  <c r="D453" i="15"/>
  <c r="D462" i="15"/>
  <c r="D470" i="15"/>
  <c r="D478" i="15"/>
  <c r="D484" i="15"/>
  <c r="D488" i="15"/>
  <c r="D492" i="15"/>
  <c r="D496" i="15"/>
  <c r="D500" i="15"/>
  <c r="D504" i="15"/>
  <c r="D508" i="15"/>
  <c r="D512" i="15"/>
  <c r="D516" i="15"/>
  <c r="D520" i="15"/>
  <c r="D524" i="15"/>
  <c r="D528" i="15"/>
  <c r="D532" i="15"/>
  <c r="D536" i="15"/>
  <c r="D540" i="15"/>
  <c r="D544" i="15"/>
  <c r="D548" i="15"/>
  <c r="D552" i="15"/>
  <c r="D556" i="15"/>
  <c r="D560" i="15"/>
  <c r="D564" i="15"/>
  <c r="D568" i="15"/>
  <c r="D572" i="15"/>
  <c r="D576" i="15"/>
  <c r="D580" i="15"/>
  <c r="D584" i="15"/>
  <c r="D588" i="15"/>
  <c r="D592" i="15"/>
  <c r="D596" i="15"/>
  <c r="D600" i="15"/>
  <c r="D604" i="15"/>
  <c r="D608" i="15"/>
  <c r="D612" i="15"/>
  <c r="D616" i="15"/>
  <c r="D620" i="15"/>
  <c r="D624" i="15"/>
  <c r="D628" i="15"/>
  <c r="D632" i="15"/>
  <c r="D636" i="15"/>
  <c r="D640" i="15"/>
  <c r="D644" i="15"/>
  <c r="D648" i="15"/>
  <c r="D652" i="15"/>
  <c r="D656" i="15"/>
  <c r="D660" i="15"/>
  <c r="D664" i="15"/>
  <c r="D668" i="15"/>
  <c r="D672" i="15"/>
  <c r="D676" i="15"/>
  <c r="D680" i="15"/>
  <c r="D684" i="15"/>
  <c r="D688" i="15"/>
  <c r="D692" i="15"/>
  <c r="D696" i="15"/>
  <c r="D700" i="15"/>
  <c r="D704" i="15"/>
  <c r="C2" i="15"/>
  <c r="C6" i="15"/>
  <c r="C10" i="15"/>
  <c r="C14" i="15"/>
  <c r="C18" i="15"/>
  <c r="C22" i="15"/>
  <c r="C26" i="15"/>
  <c r="C30" i="15"/>
  <c r="C34" i="15"/>
  <c r="C38" i="15"/>
  <c r="C42" i="15"/>
  <c r="C46" i="15"/>
  <c r="C50" i="15"/>
  <c r="C54" i="15"/>
  <c r="C58" i="15"/>
  <c r="C62" i="15"/>
  <c r="C66" i="15"/>
  <c r="C70" i="15"/>
  <c r="C74" i="15"/>
  <c r="C78" i="15"/>
  <c r="C82" i="15"/>
  <c r="C86" i="15"/>
  <c r="C90" i="15"/>
  <c r="C94" i="15"/>
  <c r="C98" i="15"/>
  <c r="C102" i="15"/>
  <c r="C106" i="15"/>
  <c r="C110" i="15"/>
  <c r="C114" i="15"/>
  <c r="C118" i="15"/>
  <c r="C122" i="15"/>
  <c r="C126" i="15"/>
  <c r="C130" i="15"/>
  <c r="C134" i="15"/>
  <c r="C138" i="15"/>
  <c r="C142" i="15"/>
  <c r="C146" i="15"/>
  <c r="C150" i="15"/>
  <c r="C154" i="15"/>
  <c r="C158" i="15"/>
  <c r="C162" i="15"/>
  <c r="C166" i="15"/>
  <c r="C170" i="15"/>
  <c r="C174" i="15"/>
  <c r="C178" i="15"/>
  <c r="C182" i="15"/>
  <c r="C186" i="15"/>
  <c r="C190" i="15"/>
  <c r="C194" i="15"/>
  <c r="C198" i="15"/>
  <c r="C202" i="15"/>
  <c r="C206" i="15"/>
  <c r="C210" i="15"/>
  <c r="C214" i="15"/>
  <c r="C218" i="15"/>
  <c r="C222" i="15"/>
  <c r="C226" i="15"/>
  <c r="C230" i="15"/>
  <c r="C234" i="15"/>
  <c r="C238" i="15"/>
  <c r="C242" i="15"/>
  <c r="C246" i="15"/>
  <c r="C250" i="15"/>
  <c r="C254" i="15"/>
  <c r="C258" i="15"/>
  <c r="C262" i="15"/>
  <c r="C266" i="15"/>
  <c r="C270" i="15"/>
  <c r="C274" i="15"/>
  <c r="C278" i="15"/>
  <c r="E257" i="15"/>
  <c r="E575" i="15"/>
  <c r="E651" i="15"/>
  <c r="D9" i="15"/>
  <c r="D73" i="15"/>
  <c r="D137" i="15"/>
  <c r="D201" i="15"/>
  <c r="D265" i="15"/>
  <c r="D329" i="15"/>
  <c r="D393" i="15"/>
  <c r="D457" i="15"/>
  <c r="D485" i="15"/>
  <c r="D501" i="15"/>
  <c r="D517" i="15"/>
  <c r="D533" i="15"/>
  <c r="D549" i="15"/>
  <c r="D565" i="15"/>
  <c r="D581" i="15"/>
  <c r="D597" i="15"/>
  <c r="D613" i="15"/>
  <c r="D629" i="15"/>
  <c r="D645" i="15"/>
  <c r="D661" i="15"/>
  <c r="D677" i="15"/>
  <c r="D693" i="15"/>
  <c r="C3" i="15"/>
  <c r="C19" i="15"/>
  <c r="C35" i="15"/>
  <c r="C51" i="15"/>
  <c r="C67" i="15"/>
  <c r="C83" i="15"/>
  <c r="C99" i="15"/>
  <c r="C115" i="15"/>
  <c r="C131" i="15"/>
  <c r="C147" i="15"/>
  <c r="C163" i="15"/>
  <c r="C179" i="15"/>
  <c r="C195" i="15"/>
  <c r="C211" i="15"/>
  <c r="C227" i="15"/>
  <c r="C243" i="15"/>
  <c r="C259" i="15"/>
  <c r="C268" i="15"/>
  <c r="C276" i="15"/>
  <c r="C283" i="15"/>
  <c r="C287" i="15"/>
  <c r="C291" i="15"/>
  <c r="C295" i="15"/>
  <c r="C299" i="15"/>
  <c r="C303" i="15"/>
  <c r="C307" i="15"/>
  <c r="C311" i="15"/>
  <c r="C315" i="15"/>
  <c r="C319" i="15"/>
  <c r="C323" i="15"/>
  <c r="C327" i="15"/>
  <c r="C331" i="15"/>
  <c r="C335" i="15"/>
  <c r="C339" i="15"/>
  <c r="C343" i="15"/>
  <c r="C347" i="15"/>
  <c r="C351" i="15"/>
  <c r="C355" i="15"/>
  <c r="C359" i="15"/>
  <c r="C363" i="15"/>
  <c r="C367" i="15"/>
  <c r="C371" i="15"/>
  <c r="C375" i="15"/>
  <c r="C379" i="15"/>
  <c r="C383" i="15"/>
  <c r="C387" i="15"/>
  <c r="C391" i="15"/>
  <c r="C395" i="15"/>
  <c r="C399" i="15"/>
  <c r="C403" i="15"/>
  <c r="C407" i="15"/>
  <c r="C411" i="15"/>
  <c r="C415" i="15"/>
  <c r="C419" i="15"/>
  <c r="C423" i="15"/>
  <c r="C427" i="15"/>
  <c r="C431" i="15"/>
  <c r="E383" i="15"/>
  <c r="E603" i="15"/>
  <c r="E667" i="15"/>
  <c r="D25" i="15"/>
  <c r="D89" i="15"/>
  <c r="D153" i="15"/>
  <c r="D217" i="15"/>
  <c r="D281" i="15"/>
  <c r="D345" i="15"/>
  <c r="D409" i="15"/>
  <c r="D465" i="15"/>
  <c r="D489" i="15"/>
  <c r="D505" i="15"/>
  <c r="D521" i="15"/>
  <c r="D537" i="15"/>
  <c r="D553" i="15"/>
  <c r="D569" i="15"/>
  <c r="D585" i="15"/>
  <c r="D601" i="15"/>
  <c r="D617" i="15"/>
  <c r="D633" i="15"/>
  <c r="D649" i="15"/>
  <c r="D665" i="15"/>
  <c r="D681" i="15"/>
  <c r="D697" i="15"/>
  <c r="C7" i="15"/>
  <c r="C23" i="15"/>
  <c r="C39" i="15"/>
  <c r="C55" i="15"/>
  <c r="C71" i="15"/>
  <c r="C87" i="15"/>
  <c r="C103" i="15"/>
  <c r="C119" i="15"/>
  <c r="C135" i="15"/>
  <c r="C151" i="15"/>
  <c r="C167" i="15"/>
  <c r="C183" i="15"/>
  <c r="C199" i="15"/>
  <c r="C215" i="15"/>
  <c r="C231" i="15"/>
  <c r="C247" i="15"/>
  <c r="C263" i="15"/>
  <c r="C271" i="15"/>
  <c r="C279" i="15"/>
  <c r="C284" i="15"/>
  <c r="C288" i="15"/>
  <c r="C292" i="15"/>
  <c r="C296" i="15"/>
  <c r="C300" i="15"/>
  <c r="C304" i="15"/>
  <c r="C308" i="15"/>
  <c r="C312" i="15"/>
  <c r="C316" i="15"/>
  <c r="C320" i="15"/>
  <c r="C324" i="15"/>
  <c r="C328" i="15"/>
  <c r="C332" i="15"/>
  <c r="C336" i="15"/>
  <c r="C340" i="15"/>
  <c r="C344" i="15"/>
  <c r="C348" i="15"/>
  <c r="C352" i="15"/>
  <c r="C356" i="15"/>
  <c r="C360" i="15"/>
  <c r="E447" i="15"/>
  <c r="E619" i="15"/>
  <c r="E683" i="15"/>
  <c r="D41" i="15"/>
  <c r="D105" i="15"/>
  <c r="D169" i="15"/>
  <c r="D233" i="15"/>
  <c r="D297" i="15"/>
  <c r="D361" i="15"/>
  <c r="D425" i="15"/>
  <c r="D473" i="15"/>
  <c r="D493" i="15"/>
  <c r="D509" i="15"/>
  <c r="D525" i="15"/>
  <c r="D541" i="15"/>
  <c r="D557" i="15"/>
  <c r="D573" i="15"/>
  <c r="D589" i="15"/>
  <c r="D605" i="15"/>
  <c r="D621" i="15"/>
  <c r="D637" i="15"/>
  <c r="D653" i="15"/>
  <c r="D669" i="15"/>
  <c r="D685" i="15"/>
  <c r="D701" i="15"/>
  <c r="C11" i="15"/>
  <c r="C27" i="15"/>
  <c r="C43" i="15"/>
  <c r="C59" i="15"/>
  <c r="C75" i="15"/>
  <c r="C91" i="15"/>
  <c r="C107" i="15"/>
  <c r="C123" i="15"/>
  <c r="C139" i="15"/>
  <c r="C155" i="15"/>
  <c r="C171" i="15"/>
  <c r="C187" i="15"/>
  <c r="C203" i="15"/>
  <c r="C219" i="15"/>
  <c r="C235" i="15"/>
  <c r="C251" i="15"/>
  <c r="C264" i="15"/>
  <c r="C272" i="15"/>
  <c r="F272" i="15" s="1"/>
  <c r="C280" i="15"/>
  <c r="C285" i="15"/>
  <c r="C289" i="15"/>
  <c r="C293" i="15"/>
  <c r="C297" i="15"/>
  <c r="C301" i="15"/>
  <c r="C305" i="15"/>
  <c r="C309" i="15"/>
  <c r="C313" i="15"/>
  <c r="C317" i="15"/>
  <c r="C321" i="15"/>
  <c r="C325" i="15"/>
  <c r="C329" i="15"/>
  <c r="C333" i="15"/>
  <c r="C337" i="15"/>
  <c r="C341" i="15"/>
  <c r="C345" i="15"/>
  <c r="C349" i="15"/>
  <c r="C353" i="15"/>
  <c r="C357" i="15"/>
  <c r="F357" i="15" s="1"/>
  <c r="C361" i="15"/>
  <c r="C365" i="15"/>
  <c r="C369" i="15"/>
  <c r="C373" i="15"/>
  <c r="C377" i="15"/>
  <c r="C381" i="15"/>
  <c r="C385" i="15"/>
  <c r="F385" i="15" s="1"/>
  <c r="C389" i="15"/>
  <c r="C393" i="15"/>
  <c r="F393" i="15" s="1"/>
  <c r="C397" i="15"/>
  <c r="F397" i="15" s="1"/>
  <c r="C401" i="15"/>
  <c r="C405" i="15"/>
  <c r="C409" i="15"/>
  <c r="C413" i="15"/>
  <c r="C417" i="15"/>
  <c r="C421" i="15"/>
  <c r="F421" i="15" s="1"/>
  <c r="C425" i="15"/>
  <c r="C429" i="15"/>
  <c r="C433" i="15"/>
  <c r="E511" i="15"/>
  <c r="E635" i="15"/>
  <c r="E699" i="15"/>
  <c r="D57" i="15"/>
  <c r="D121" i="15"/>
  <c r="D185" i="15"/>
  <c r="D249" i="15"/>
  <c r="D313" i="15"/>
  <c r="D377" i="15"/>
  <c r="D441" i="15"/>
  <c r="D481" i="15"/>
  <c r="D497" i="15"/>
  <c r="D513" i="15"/>
  <c r="D529" i="15"/>
  <c r="D545" i="15"/>
  <c r="D561" i="15"/>
  <c r="D577" i="15"/>
  <c r="D593" i="15"/>
  <c r="D609" i="15"/>
  <c r="D625" i="15"/>
  <c r="D641" i="15"/>
  <c r="D657" i="15"/>
  <c r="D673" i="15"/>
  <c r="D689" i="15"/>
  <c r="D705" i="15"/>
  <c r="C15" i="15"/>
  <c r="C31" i="15"/>
  <c r="C47" i="15"/>
  <c r="C63" i="15"/>
  <c r="C79" i="15"/>
  <c r="C95" i="15"/>
  <c r="C111" i="15"/>
  <c r="C127" i="15"/>
  <c r="C143" i="15"/>
  <c r="C159" i="15"/>
  <c r="C175" i="15"/>
  <c r="C191" i="15"/>
  <c r="C207" i="15"/>
  <c r="C223" i="15"/>
  <c r="C239" i="15"/>
  <c r="C255" i="15"/>
  <c r="C267" i="15"/>
  <c r="C275" i="15"/>
  <c r="C282" i="15"/>
  <c r="C286" i="15"/>
  <c r="C290" i="15"/>
  <c r="C294" i="15"/>
  <c r="C298" i="15"/>
  <c r="C302" i="15"/>
  <c r="C306" i="15"/>
  <c r="C310" i="15"/>
  <c r="C314" i="15"/>
  <c r="C318" i="15"/>
  <c r="C322" i="15"/>
  <c r="C326" i="15"/>
  <c r="C330" i="15"/>
  <c r="C334" i="15"/>
  <c r="C338" i="15"/>
  <c r="C342" i="15"/>
  <c r="C346" i="15"/>
  <c r="C350" i="15"/>
  <c r="C354" i="15"/>
  <c r="C358" i="15"/>
  <c r="C362" i="15"/>
  <c r="C366" i="15"/>
  <c r="C370" i="15"/>
  <c r="C374" i="15"/>
  <c r="C378" i="15"/>
  <c r="C382" i="15"/>
  <c r="C386" i="15"/>
  <c r="C390" i="15"/>
  <c r="C394" i="15"/>
  <c r="C398" i="15"/>
  <c r="C402" i="15"/>
  <c r="C406" i="15"/>
  <c r="C410" i="15"/>
  <c r="C414" i="15"/>
  <c r="C418" i="15"/>
  <c r="C422" i="15"/>
  <c r="C426" i="15"/>
  <c r="C430" i="15"/>
  <c r="C434" i="15"/>
  <c r="C438" i="15"/>
  <c r="C442" i="15"/>
  <c r="C446" i="15"/>
  <c r="C364" i="15"/>
  <c r="C380" i="15"/>
  <c r="C396" i="15"/>
  <c r="C412" i="15"/>
  <c r="C428" i="15"/>
  <c r="C437" i="15"/>
  <c r="C443" i="15"/>
  <c r="C448" i="15"/>
  <c r="C452" i="15"/>
  <c r="C456" i="15"/>
  <c r="C460" i="15"/>
  <c r="C464" i="15"/>
  <c r="C468" i="15"/>
  <c r="C472" i="15"/>
  <c r="C476" i="15"/>
  <c r="C480" i="15"/>
  <c r="C484" i="15"/>
  <c r="C488" i="15"/>
  <c r="C492" i="15"/>
  <c r="C496" i="15"/>
  <c r="C500" i="15"/>
  <c r="C504" i="15"/>
  <c r="C508" i="15"/>
  <c r="C512" i="15"/>
  <c r="C516" i="15"/>
  <c r="C520" i="15"/>
  <c r="C524" i="15"/>
  <c r="C528" i="15"/>
  <c r="C532" i="15"/>
  <c r="C536" i="15"/>
  <c r="C540" i="15"/>
  <c r="C544" i="15"/>
  <c r="C548" i="15"/>
  <c r="C552" i="15"/>
  <c r="C556" i="15"/>
  <c r="C560" i="15"/>
  <c r="C564" i="15"/>
  <c r="C568" i="15"/>
  <c r="C572" i="15"/>
  <c r="C576" i="15"/>
  <c r="C580" i="15"/>
  <c r="C584" i="15"/>
  <c r="C588" i="15"/>
  <c r="C592" i="15"/>
  <c r="C596" i="15"/>
  <c r="C600" i="15"/>
  <c r="C604" i="15"/>
  <c r="C608" i="15"/>
  <c r="C612" i="15"/>
  <c r="C616" i="15"/>
  <c r="C620" i="15"/>
  <c r="C624" i="15"/>
  <c r="C628" i="15"/>
  <c r="C632" i="15"/>
  <c r="C636" i="15"/>
  <c r="C640" i="15"/>
  <c r="C644" i="15"/>
  <c r="C648" i="15"/>
  <c r="C652" i="15"/>
  <c r="C656" i="15"/>
  <c r="C660" i="15"/>
  <c r="C664" i="15"/>
  <c r="C668" i="15"/>
  <c r="C672" i="15"/>
  <c r="C676" i="15"/>
  <c r="C680" i="15"/>
  <c r="C684" i="15"/>
  <c r="C688" i="15"/>
  <c r="C692" i="15"/>
  <c r="C696" i="15"/>
  <c r="C700" i="15"/>
  <c r="C704" i="15"/>
  <c r="C701" i="15"/>
  <c r="C705" i="15"/>
  <c r="C392" i="15"/>
  <c r="C441" i="15"/>
  <c r="C451" i="15"/>
  <c r="C463" i="15"/>
  <c r="C475" i="15"/>
  <c r="C487" i="15"/>
  <c r="C499" i="15"/>
  <c r="C511" i="15"/>
  <c r="C519" i="15"/>
  <c r="C527" i="15"/>
  <c r="C539" i="15"/>
  <c r="C551" i="15"/>
  <c r="C563" i="15"/>
  <c r="C575" i="15"/>
  <c r="C587" i="15"/>
  <c r="C599" i="15"/>
  <c r="C611" i="15"/>
  <c r="C623" i="15"/>
  <c r="C635" i="15"/>
  <c r="F635" i="15" s="1"/>
  <c r="C647" i="15"/>
  <c r="C659" i="15"/>
  <c r="C667" i="15"/>
  <c r="C679" i="15"/>
  <c r="C687" i="15"/>
  <c r="C699" i="15"/>
  <c r="C368" i="15"/>
  <c r="C384" i="15"/>
  <c r="C400" i="15"/>
  <c r="C416" i="15"/>
  <c r="C432" i="15"/>
  <c r="C439" i="15"/>
  <c r="C444" i="15"/>
  <c r="C449" i="15"/>
  <c r="F449" i="15" s="1"/>
  <c r="C453" i="15"/>
  <c r="C457" i="15"/>
  <c r="C461" i="15"/>
  <c r="C465" i="15"/>
  <c r="C469" i="15"/>
  <c r="C473" i="15"/>
  <c r="C477" i="15"/>
  <c r="F477" i="15" s="1"/>
  <c r="C481" i="15"/>
  <c r="C485" i="15"/>
  <c r="C489" i="15"/>
  <c r="F489" i="15" s="1"/>
  <c r="C493" i="15"/>
  <c r="C497" i="15"/>
  <c r="F497" i="15" s="1"/>
  <c r="C501" i="15"/>
  <c r="F501" i="15" s="1"/>
  <c r="C505" i="15"/>
  <c r="C509" i="15"/>
  <c r="F509" i="15" s="1"/>
  <c r="C513" i="15"/>
  <c r="C517" i="15"/>
  <c r="C521" i="15"/>
  <c r="C525" i="15"/>
  <c r="C529" i="15"/>
  <c r="C533" i="15"/>
  <c r="C537" i="15"/>
  <c r="C541" i="15"/>
  <c r="C545" i="15"/>
  <c r="C549" i="15"/>
  <c r="C553" i="15"/>
  <c r="F553" i="15" s="1"/>
  <c r="C557" i="15"/>
  <c r="C561" i="15"/>
  <c r="F561" i="15" s="1"/>
  <c r="C565" i="15"/>
  <c r="F565" i="15" s="1"/>
  <c r="C569" i="15"/>
  <c r="C573" i="15"/>
  <c r="F573" i="15" s="1"/>
  <c r="C577" i="15"/>
  <c r="C581" i="15"/>
  <c r="C585" i="15"/>
  <c r="C589" i="15"/>
  <c r="C593" i="15"/>
  <c r="C597" i="15"/>
  <c r="C601" i="15"/>
  <c r="C605" i="15"/>
  <c r="C609" i="15"/>
  <c r="C613" i="15"/>
  <c r="C617" i="15"/>
  <c r="C621" i="15"/>
  <c r="C625" i="15"/>
  <c r="C629" i="15"/>
  <c r="C633" i="15"/>
  <c r="C637" i="15"/>
  <c r="C641" i="15"/>
  <c r="C645" i="15"/>
  <c r="C649" i="15"/>
  <c r="C653" i="15"/>
  <c r="C657" i="15"/>
  <c r="C661" i="15"/>
  <c r="C665" i="15"/>
  <c r="C669" i="15"/>
  <c r="C673" i="15"/>
  <c r="C677" i="15"/>
  <c r="C681" i="15"/>
  <c r="C685" i="15"/>
  <c r="C689" i="15"/>
  <c r="C693" i="15"/>
  <c r="C697" i="15"/>
  <c r="C706" i="15"/>
  <c r="C408" i="15"/>
  <c r="C436" i="15"/>
  <c r="C455" i="15"/>
  <c r="C467" i="15"/>
  <c r="C479" i="15"/>
  <c r="C491" i="15"/>
  <c r="C503" i="15"/>
  <c r="C515" i="15"/>
  <c r="C531" i="15"/>
  <c r="C543" i="15"/>
  <c r="C555" i="15"/>
  <c r="F555" i="15" s="1"/>
  <c r="C567" i="15"/>
  <c r="C579" i="15"/>
  <c r="C591" i="15"/>
  <c r="C603" i="15"/>
  <c r="C615" i="15"/>
  <c r="C627" i="15"/>
  <c r="C639" i="15"/>
  <c r="C651" i="15"/>
  <c r="C663" i="15"/>
  <c r="C675" i="15"/>
  <c r="C695" i="15"/>
  <c r="C707" i="15"/>
  <c r="C372" i="15"/>
  <c r="C388" i="15"/>
  <c r="C404" i="15"/>
  <c r="C420" i="15"/>
  <c r="C435" i="15"/>
  <c r="C440" i="15"/>
  <c r="C445" i="15"/>
  <c r="C450" i="15"/>
  <c r="C454" i="15"/>
  <c r="C458" i="15"/>
  <c r="C462" i="15"/>
  <c r="C466" i="15"/>
  <c r="C470" i="15"/>
  <c r="C474" i="15"/>
  <c r="C478" i="15"/>
  <c r="C482" i="15"/>
  <c r="C486" i="15"/>
  <c r="C490" i="15"/>
  <c r="C494" i="15"/>
  <c r="C498" i="15"/>
  <c r="C502" i="15"/>
  <c r="C506" i="15"/>
  <c r="C510" i="15"/>
  <c r="C514" i="15"/>
  <c r="C518" i="15"/>
  <c r="C522" i="15"/>
  <c r="C526" i="15"/>
  <c r="C530" i="15"/>
  <c r="C534" i="15"/>
  <c r="C538" i="15"/>
  <c r="C542" i="15"/>
  <c r="C546" i="15"/>
  <c r="C550" i="15"/>
  <c r="C554" i="15"/>
  <c r="C558" i="15"/>
  <c r="C562" i="15"/>
  <c r="C566" i="15"/>
  <c r="C570" i="15"/>
  <c r="C574" i="15"/>
  <c r="C578" i="15"/>
  <c r="C582" i="15"/>
  <c r="C586" i="15"/>
  <c r="C590" i="15"/>
  <c r="C594" i="15"/>
  <c r="C598" i="15"/>
  <c r="C602" i="15"/>
  <c r="C606" i="15"/>
  <c r="C610" i="15"/>
  <c r="C614" i="15"/>
  <c r="C618" i="15"/>
  <c r="C622" i="15"/>
  <c r="C626" i="15"/>
  <c r="C630" i="15"/>
  <c r="C634" i="15"/>
  <c r="C638" i="15"/>
  <c r="C642" i="15"/>
  <c r="C646" i="15"/>
  <c r="C650" i="15"/>
  <c r="C654" i="15"/>
  <c r="C658" i="15"/>
  <c r="C662" i="15"/>
  <c r="C666" i="15"/>
  <c r="C670" i="15"/>
  <c r="C674" i="15"/>
  <c r="C678" i="15"/>
  <c r="C682" i="15"/>
  <c r="C686" i="15"/>
  <c r="C690" i="15"/>
  <c r="C694" i="15"/>
  <c r="C698" i="15"/>
  <c r="C702" i="15"/>
  <c r="C376" i="15"/>
  <c r="C424" i="15"/>
  <c r="F424" i="15" s="1"/>
  <c r="C447" i="15"/>
  <c r="C459" i="15"/>
  <c r="C471" i="15"/>
  <c r="C483" i="15"/>
  <c r="C495" i="15"/>
  <c r="C507" i="15"/>
  <c r="C523" i="15"/>
  <c r="C535" i="15"/>
  <c r="C547" i="15"/>
  <c r="F547" i="15" s="1"/>
  <c r="C559" i="15"/>
  <c r="C571" i="15"/>
  <c r="C583" i="15"/>
  <c r="C595" i="15"/>
  <c r="C607" i="15"/>
  <c r="C619" i="15"/>
  <c r="C631" i="15"/>
  <c r="C643" i="15"/>
  <c r="F643" i="15" s="1"/>
  <c r="C655" i="15"/>
  <c r="C671" i="15"/>
  <c r="C683" i="15"/>
  <c r="C691" i="15"/>
  <c r="C703" i="15"/>
  <c r="J8" i="11" a="1"/>
  <c r="J8" i="11" s="1"/>
  <c r="J6" i="11"/>
  <c r="J5" i="11"/>
  <c r="J4" i="11"/>
  <c r="N7" i="17"/>
  <c r="N11" i="17"/>
  <c r="N15" i="17"/>
  <c r="N19" i="17"/>
  <c r="N23" i="17"/>
  <c r="N27" i="17"/>
  <c r="N31" i="17"/>
  <c r="N35" i="17"/>
  <c r="N39" i="17"/>
  <c r="M4" i="17"/>
  <c r="M8" i="17"/>
  <c r="M12" i="17"/>
  <c r="M16" i="17"/>
  <c r="M20" i="17"/>
  <c r="M24" i="17"/>
  <c r="M28" i="17"/>
  <c r="M32" i="17"/>
  <c r="M36" i="17"/>
  <c r="M40" i="17"/>
  <c r="L5" i="17"/>
  <c r="L9" i="17"/>
  <c r="L13" i="17"/>
  <c r="L17" i="17"/>
  <c r="L21" i="17"/>
  <c r="L25" i="17"/>
  <c r="L29" i="17"/>
  <c r="L33" i="17"/>
  <c r="L37" i="17"/>
  <c r="L41" i="17"/>
  <c r="N6" i="17"/>
  <c r="N14" i="17"/>
  <c r="N26" i="17"/>
  <c r="N38" i="17"/>
  <c r="M11" i="17"/>
  <c r="M23" i="17"/>
  <c r="M35" i="17"/>
  <c r="L8" i="17"/>
  <c r="L20" i="17"/>
  <c r="L32" i="17"/>
  <c r="N4" i="17"/>
  <c r="N8" i="17"/>
  <c r="N12" i="17"/>
  <c r="N16" i="17"/>
  <c r="N20" i="17"/>
  <c r="N24" i="17"/>
  <c r="N28" i="17"/>
  <c r="N32" i="17"/>
  <c r="N36" i="17"/>
  <c r="N40" i="17"/>
  <c r="M5" i="17"/>
  <c r="M9" i="17"/>
  <c r="M13" i="17"/>
  <c r="M17" i="17"/>
  <c r="M21" i="17"/>
  <c r="M25" i="17"/>
  <c r="M29" i="17"/>
  <c r="M33" i="17"/>
  <c r="M37" i="17"/>
  <c r="M41" i="17"/>
  <c r="L6" i="17"/>
  <c r="L10" i="17"/>
  <c r="L14" i="17"/>
  <c r="L18" i="17"/>
  <c r="L22" i="17"/>
  <c r="L26" i="17"/>
  <c r="L30" i="17"/>
  <c r="L34" i="17"/>
  <c r="L38" i="17"/>
  <c r="L42" i="17"/>
  <c r="N18" i="17"/>
  <c r="N30" i="17"/>
  <c r="N42" i="17"/>
  <c r="M15" i="17"/>
  <c r="M27" i="17"/>
  <c r="M39" i="17"/>
  <c r="L12" i="17"/>
  <c r="L24" i="17"/>
  <c r="L36" i="17"/>
  <c r="N5" i="17"/>
  <c r="N9" i="17"/>
  <c r="N13" i="17"/>
  <c r="N17" i="17"/>
  <c r="N21" i="17"/>
  <c r="N25" i="17"/>
  <c r="N29" i="17"/>
  <c r="N33" i="17"/>
  <c r="N37" i="17"/>
  <c r="N41" i="17"/>
  <c r="M6" i="17"/>
  <c r="M10" i="17"/>
  <c r="M14" i="17"/>
  <c r="M18" i="17"/>
  <c r="M22" i="17"/>
  <c r="M26" i="17"/>
  <c r="M30" i="17"/>
  <c r="M34" i="17"/>
  <c r="M38" i="17"/>
  <c r="M42" i="17"/>
  <c r="L7" i="17"/>
  <c r="L11" i="17"/>
  <c r="L15" i="17"/>
  <c r="L19" i="17"/>
  <c r="L23" i="17"/>
  <c r="L27" i="17"/>
  <c r="L31" i="17"/>
  <c r="L35" i="17"/>
  <c r="L39" i="17"/>
  <c r="N10" i="17"/>
  <c r="N22" i="17"/>
  <c r="N34" i="17"/>
  <c r="M7" i="17"/>
  <c r="M19" i="17"/>
  <c r="M31" i="17"/>
  <c r="L4" i="17"/>
  <c r="L16" i="17"/>
  <c r="L28" i="17"/>
  <c r="L40" i="17"/>
  <c r="M98" i="10"/>
  <c r="M169" i="10"/>
  <c r="P169" i="10" s="1"/>
  <c r="M137" i="10"/>
  <c r="M109" i="10"/>
  <c r="P109" i="10" s="1"/>
  <c r="M105" i="10"/>
  <c r="P105" i="10" s="1"/>
  <c r="M97" i="10"/>
  <c r="M89" i="10"/>
  <c r="M158" i="10"/>
  <c r="M130" i="10"/>
  <c r="P130" i="10" s="1"/>
  <c r="M153" i="10"/>
  <c r="M101" i="10"/>
  <c r="M88" i="10"/>
  <c r="P88" i="10" s="1"/>
  <c r="M201" i="10"/>
  <c r="M199" i="10"/>
  <c r="M172" i="10"/>
  <c r="P172" i="10" s="1"/>
  <c r="M152" i="10"/>
  <c r="P152" i="10" s="1"/>
  <c r="M144" i="10"/>
  <c r="P144" i="10" s="1"/>
  <c r="M202" i="10"/>
  <c r="P202" i="10" s="1"/>
  <c r="M198" i="10"/>
  <c r="P198" i="10" s="1"/>
  <c r="M194" i="10"/>
  <c r="M190" i="10"/>
  <c r="P190" i="10" s="1"/>
  <c r="M187" i="10"/>
  <c r="P187" i="10" s="1"/>
  <c r="M183" i="10"/>
  <c r="P183" i="10" s="1"/>
  <c r="M179" i="10"/>
  <c r="P179" i="10" s="1"/>
  <c r="M116" i="10"/>
  <c r="P116" i="10" s="1"/>
  <c r="M104" i="10"/>
  <c r="P104" i="10" s="1"/>
  <c r="M122" i="10"/>
  <c r="P122" i="10" s="1"/>
  <c r="M121" i="10"/>
  <c r="P121" i="10" s="1"/>
  <c r="M93" i="10"/>
  <c r="P93" i="10" s="1"/>
  <c r="M180" i="10"/>
  <c r="M197" i="10"/>
  <c r="P197" i="10" s="1"/>
  <c r="M168" i="10"/>
  <c r="P168" i="10" s="1"/>
  <c r="M160" i="10"/>
  <c r="M136" i="10"/>
  <c r="P136" i="10" s="1"/>
  <c r="M132" i="10"/>
  <c r="P132" i="10" s="1"/>
  <c r="M124" i="10"/>
  <c r="P124" i="10" s="1"/>
  <c r="M120" i="10"/>
  <c r="P120" i="10" s="1"/>
  <c r="M112" i="10"/>
  <c r="P112" i="10" s="1"/>
  <c r="M100" i="10"/>
  <c r="M96" i="10"/>
  <c r="M189" i="10"/>
  <c r="P189" i="10" s="1"/>
  <c r="M182" i="10"/>
  <c r="P182" i="10" s="1"/>
  <c r="M174" i="10"/>
  <c r="M150" i="10"/>
  <c r="P150" i="10" s="1"/>
  <c r="M146" i="10"/>
  <c r="P146" i="10" s="1"/>
  <c r="M138" i="10"/>
  <c r="P138" i="10" s="1"/>
  <c r="M134" i="10"/>
  <c r="P134" i="10" s="1"/>
  <c r="M118" i="10"/>
  <c r="M110" i="10"/>
  <c r="P110" i="10" s="1"/>
  <c r="M106" i="10"/>
  <c r="P106" i="10" s="1"/>
  <c r="M94" i="10"/>
  <c r="P94" i="10" s="1"/>
  <c r="M90" i="10"/>
  <c r="M166" i="10"/>
  <c r="P166" i="10" s="1"/>
  <c r="M204" i="10"/>
  <c r="P204" i="10" s="1"/>
  <c r="M200" i="10"/>
  <c r="M196" i="10"/>
  <c r="P196" i="10" s="1"/>
  <c r="M188" i="10"/>
  <c r="M185" i="10"/>
  <c r="M181" i="10"/>
  <c r="P181" i="10" s="1"/>
  <c r="M193" i="10"/>
  <c r="M186" i="10"/>
  <c r="M178" i="10"/>
  <c r="M170" i="10"/>
  <c r="M164" i="10"/>
  <c r="P164" i="10" s="1"/>
  <c r="M156" i="10"/>
  <c r="M142" i="10"/>
  <c r="P142" i="10" s="1"/>
  <c r="M128" i="10"/>
  <c r="P128" i="10" s="1"/>
  <c r="M114" i="10"/>
  <c r="P114" i="10" s="1"/>
  <c r="M108" i="10"/>
  <c r="P108" i="10" s="1"/>
  <c r="M102" i="10"/>
  <c r="P102" i="10" s="1"/>
  <c r="M92" i="10"/>
  <c r="P92" i="10" s="1"/>
  <c r="M191" i="10"/>
  <c r="P191" i="10" s="1"/>
  <c r="M184" i="10"/>
  <c r="P184" i="10" s="1"/>
  <c r="M176" i="10"/>
  <c r="P176" i="10" s="1"/>
  <c r="M162" i="10"/>
  <c r="P162" i="10" s="1"/>
  <c r="M154" i="10"/>
  <c r="M148" i="10"/>
  <c r="P148" i="10" s="1"/>
  <c r="M140" i="10"/>
  <c r="P140" i="10" s="1"/>
  <c r="M126" i="10"/>
  <c r="P126" i="10" s="1"/>
  <c r="M203" i="10"/>
  <c r="M195" i="10"/>
  <c r="M165" i="10"/>
  <c r="P165" i="10" s="1"/>
  <c r="M149" i="10"/>
  <c r="P149" i="10" s="1"/>
  <c r="M133" i="10"/>
  <c r="P133" i="10" s="1"/>
  <c r="M117" i="10"/>
  <c r="P117" i="10" s="1"/>
  <c r="M113" i="10"/>
  <c r="M192" i="10"/>
  <c r="P192" i="10" s="1"/>
  <c r="M173" i="10"/>
  <c r="M157" i="10"/>
  <c r="P157" i="10" s="1"/>
  <c r="M141" i="10"/>
  <c r="P141" i="10" s="1"/>
  <c r="M125" i="10"/>
  <c r="M177" i="10"/>
  <c r="P177" i="10" s="1"/>
  <c r="M161" i="10"/>
  <c r="P161" i="10" s="1"/>
  <c r="M145" i="10"/>
  <c r="P145" i="10" s="1"/>
  <c r="M129" i="10"/>
  <c r="M175" i="10"/>
  <c r="M171" i="10"/>
  <c r="P171" i="10" s="1"/>
  <c r="M167" i="10"/>
  <c r="P167" i="10" s="1"/>
  <c r="M163" i="10"/>
  <c r="P163" i="10" s="1"/>
  <c r="M159" i="10"/>
  <c r="M155" i="10"/>
  <c r="P155" i="10" s="1"/>
  <c r="M151" i="10"/>
  <c r="P151" i="10" s="1"/>
  <c r="M147" i="10"/>
  <c r="P147" i="10" s="1"/>
  <c r="M143" i="10"/>
  <c r="P143" i="10" s="1"/>
  <c r="M139" i="10"/>
  <c r="M135" i="10"/>
  <c r="P135" i="10" s="1"/>
  <c r="M131" i="10"/>
  <c r="M127" i="10"/>
  <c r="M123" i="10"/>
  <c r="P123" i="10" s="1"/>
  <c r="M119" i="10"/>
  <c r="P119" i="10" s="1"/>
  <c r="M115" i="10"/>
  <c r="P115" i="10" s="1"/>
  <c r="M111" i="10"/>
  <c r="P111" i="10" s="1"/>
  <c r="M107" i="10"/>
  <c r="P107" i="10" s="1"/>
  <c r="M103" i="10"/>
  <c r="M99" i="10"/>
  <c r="P99" i="10" s="1"/>
  <c r="M95" i="10"/>
  <c r="M91" i="10"/>
  <c r="G555" i="15" l="1"/>
  <c r="G553" i="15"/>
  <c r="G489" i="15"/>
  <c r="G635" i="15"/>
  <c r="G393" i="15"/>
  <c r="G565" i="15"/>
  <c r="G501" i="15"/>
  <c r="G421" i="15"/>
  <c r="G357" i="15"/>
  <c r="G272" i="15"/>
  <c r="G643" i="15"/>
  <c r="G547" i="15"/>
  <c r="G561" i="15"/>
  <c r="G497" i="15"/>
  <c r="G449" i="15"/>
  <c r="G385" i="15"/>
  <c r="G129" i="15"/>
  <c r="G424" i="15"/>
  <c r="G573" i="15"/>
  <c r="G509" i="15"/>
  <c r="G477" i="15"/>
  <c r="G397" i="15"/>
  <c r="N99" i="10"/>
  <c r="O99" i="10"/>
  <c r="N115" i="10"/>
  <c r="O115" i="10"/>
  <c r="N131" i="10"/>
  <c r="N147" i="10"/>
  <c r="O147" i="10"/>
  <c r="N163" i="10"/>
  <c r="O163" i="10"/>
  <c r="N129" i="10"/>
  <c r="N125" i="10"/>
  <c r="N192" i="10"/>
  <c r="O192" i="10"/>
  <c r="N149" i="10"/>
  <c r="O149" i="10"/>
  <c r="N126" i="10"/>
  <c r="O126" i="10"/>
  <c r="N162" i="10"/>
  <c r="O162" i="10"/>
  <c r="N92" i="10"/>
  <c r="O92" i="10"/>
  <c r="N128" i="10"/>
  <c r="O128" i="10"/>
  <c r="N170" i="10"/>
  <c r="N181" i="10"/>
  <c r="O181" i="10"/>
  <c r="N200" i="10"/>
  <c r="N94" i="10"/>
  <c r="O94" i="10"/>
  <c r="N134" i="10"/>
  <c r="O134" i="10"/>
  <c r="N174" i="10"/>
  <c r="N100" i="10"/>
  <c r="N132" i="10"/>
  <c r="O132" i="10"/>
  <c r="N197" i="10"/>
  <c r="O197" i="10"/>
  <c r="N179" i="10"/>
  <c r="O179" i="10"/>
  <c r="N194" i="10"/>
  <c r="N152" i="10"/>
  <c r="O152" i="10"/>
  <c r="N88" i="10"/>
  <c r="O88" i="10"/>
  <c r="N158" i="10"/>
  <c r="N109" i="10"/>
  <c r="O109" i="10"/>
  <c r="N103" i="10"/>
  <c r="N119" i="10"/>
  <c r="O119" i="10"/>
  <c r="N135" i="10"/>
  <c r="O135" i="10"/>
  <c r="N151" i="10"/>
  <c r="O151" i="10"/>
  <c r="N167" i="10"/>
  <c r="O167" i="10"/>
  <c r="N145" i="10"/>
  <c r="O145" i="10"/>
  <c r="N141" i="10"/>
  <c r="O141" i="10"/>
  <c r="N113" i="10"/>
  <c r="N165" i="10"/>
  <c r="O165" i="10"/>
  <c r="N140" i="10"/>
  <c r="O140" i="10"/>
  <c r="N176" i="10"/>
  <c r="O176" i="10"/>
  <c r="N102" i="10"/>
  <c r="O102" i="10"/>
  <c r="N142" i="10"/>
  <c r="O142" i="10"/>
  <c r="N178" i="10"/>
  <c r="N185" i="10"/>
  <c r="N204" i="10"/>
  <c r="O204" i="10"/>
  <c r="N106" i="10"/>
  <c r="O106" i="10"/>
  <c r="N138" i="10"/>
  <c r="O138" i="10"/>
  <c r="N182" i="10"/>
  <c r="O182" i="10"/>
  <c r="N112" i="10"/>
  <c r="O112" i="10"/>
  <c r="N136" i="10"/>
  <c r="O136" i="10"/>
  <c r="N180" i="10"/>
  <c r="N122" i="10"/>
  <c r="O122" i="10"/>
  <c r="N183" i="10"/>
  <c r="O183" i="10"/>
  <c r="N198" i="10"/>
  <c r="O198" i="10"/>
  <c r="N172" i="10"/>
  <c r="O172" i="10"/>
  <c r="N101" i="10"/>
  <c r="N89" i="10"/>
  <c r="N137" i="10"/>
  <c r="N91" i="10"/>
  <c r="N107" i="10"/>
  <c r="O107" i="10"/>
  <c r="N123" i="10"/>
  <c r="O123" i="10"/>
  <c r="N139" i="10"/>
  <c r="N155" i="10"/>
  <c r="O155" i="10"/>
  <c r="N171" i="10"/>
  <c r="O171" i="10"/>
  <c r="N161" i="10"/>
  <c r="O161" i="10"/>
  <c r="N157" i="10"/>
  <c r="O157" i="10"/>
  <c r="N117" i="10"/>
  <c r="O117" i="10"/>
  <c r="N195" i="10"/>
  <c r="N148" i="10"/>
  <c r="O148" i="10"/>
  <c r="N184" i="10"/>
  <c r="O184" i="10"/>
  <c r="N108" i="10"/>
  <c r="O108" i="10"/>
  <c r="N156" i="10"/>
  <c r="N186" i="10"/>
  <c r="N188" i="10"/>
  <c r="N166" i="10"/>
  <c r="O166" i="10"/>
  <c r="N110" i="10"/>
  <c r="O110" i="10"/>
  <c r="N146" i="10"/>
  <c r="O146" i="10"/>
  <c r="N189" i="10"/>
  <c r="O189" i="10"/>
  <c r="N120" i="10"/>
  <c r="O120" i="10"/>
  <c r="N160" i="10"/>
  <c r="N93" i="10"/>
  <c r="O93" i="10"/>
  <c r="N104" i="10"/>
  <c r="O104" i="10"/>
  <c r="N187" i="10"/>
  <c r="O187" i="10"/>
  <c r="N202" i="10"/>
  <c r="O202" i="10"/>
  <c r="N199" i="10"/>
  <c r="N153" i="10"/>
  <c r="N97" i="10"/>
  <c r="N169" i="10"/>
  <c r="O169" i="10"/>
  <c r="N95" i="10"/>
  <c r="N111" i="10"/>
  <c r="O111" i="10"/>
  <c r="N127" i="10"/>
  <c r="N143" i="10"/>
  <c r="O143" i="10"/>
  <c r="N159" i="10"/>
  <c r="N175" i="10"/>
  <c r="N177" i="10"/>
  <c r="O177" i="10"/>
  <c r="N173" i="10"/>
  <c r="N133" i="10"/>
  <c r="O133" i="10"/>
  <c r="N203" i="10"/>
  <c r="N154" i="10"/>
  <c r="N191" i="10"/>
  <c r="O191" i="10"/>
  <c r="N114" i="10"/>
  <c r="O114" i="10"/>
  <c r="N164" i="10"/>
  <c r="O164" i="10"/>
  <c r="N193" i="10"/>
  <c r="N196" i="10"/>
  <c r="O196" i="10"/>
  <c r="N90" i="10"/>
  <c r="N118" i="10"/>
  <c r="N150" i="10"/>
  <c r="O150" i="10"/>
  <c r="N96" i="10"/>
  <c r="N124" i="10"/>
  <c r="O124" i="10"/>
  <c r="N168" i="10"/>
  <c r="O168" i="10"/>
  <c r="N121" i="10"/>
  <c r="O121" i="10"/>
  <c r="N116" i="10"/>
  <c r="O116" i="10"/>
  <c r="N190" i="10"/>
  <c r="O190" i="10"/>
  <c r="N144" i="10"/>
  <c r="O144" i="10"/>
  <c r="N201" i="10"/>
  <c r="N130" i="10"/>
  <c r="O130" i="10"/>
  <c r="N105" i="10"/>
  <c r="O105" i="10"/>
  <c r="N98" i="10"/>
  <c r="F297" i="15"/>
  <c r="F432" i="15"/>
  <c r="F368" i="15"/>
  <c r="F480" i="15"/>
  <c r="F464" i="15"/>
  <c r="F448" i="15"/>
  <c r="F215" i="15"/>
  <c r="F151" i="15"/>
  <c r="F87" i="15"/>
  <c r="F23" i="15"/>
  <c r="F579" i="15"/>
  <c r="F582" i="15"/>
  <c r="F566" i="15"/>
  <c r="F550" i="15"/>
  <c r="F534" i="15"/>
  <c r="F518" i="15"/>
  <c r="F502" i="15"/>
  <c r="F486" i="15"/>
  <c r="R99" i="10"/>
  <c r="R115" i="10"/>
  <c r="R147" i="10"/>
  <c r="R163" i="10"/>
  <c r="R192" i="10"/>
  <c r="R149" i="10"/>
  <c r="R126" i="10"/>
  <c r="R162" i="10"/>
  <c r="R92" i="10"/>
  <c r="R128" i="10"/>
  <c r="R94" i="10"/>
  <c r="R134" i="10"/>
  <c r="R132" i="10"/>
  <c r="R197" i="10"/>
  <c r="R179" i="10"/>
  <c r="R152" i="10"/>
  <c r="R109" i="10"/>
  <c r="R111" i="10"/>
  <c r="R143" i="10"/>
  <c r="R164" i="10"/>
  <c r="R119" i="10"/>
  <c r="R167" i="10"/>
  <c r="R141" i="10"/>
  <c r="R165" i="10"/>
  <c r="R102" i="10"/>
  <c r="R204" i="10"/>
  <c r="R138" i="10"/>
  <c r="R112" i="10"/>
  <c r="R198" i="10"/>
  <c r="R135" i="10"/>
  <c r="R151" i="10"/>
  <c r="R145" i="10"/>
  <c r="R140" i="10"/>
  <c r="R176" i="10"/>
  <c r="R142" i="10"/>
  <c r="R106" i="10"/>
  <c r="R182" i="10"/>
  <c r="R136" i="10"/>
  <c r="R122" i="10"/>
  <c r="R183" i="10"/>
  <c r="R172" i="10"/>
  <c r="R107" i="10"/>
  <c r="R123" i="10"/>
  <c r="R171" i="10"/>
  <c r="R161" i="10"/>
  <c r="R157" i="10"/>
  <c r="R117" i="10"/>
  <c r="R148" i="10"/>
  <c r="R184" i="10"/>
  <c r="R108" i="10"/>
  <c r="R166" i="10"/>
  <c r="R110" i="10"/>
  <c r="R146" i="10"/>
  <c r="R189" i="10"/>
  <c r="R120" i="10"/>
  <c r="R93" i="10"/>
  <c r="R104" i="10"/>
  <c r="R187" i="10"/>
  <c r="R202" i="10"/>
  <c r="R169" i="10"/>
  <c r="R177" i="10"/>
  <c r="R191" i="10"/>
  <c r="R114" i="10"/>
  <c r="R196" i="10"/>
  <c r="R150" i="10"/>
  <c r="R124" i="10"/>
  <c r="R121" i="10"/>
  <c r="R190" i="10"/>
  <c r="R144" i="10"/>
  <c r="R130" i="10"/>
  <c r="R105" i="10"/>
  <c r="F637" i="15"/>
  <c r="F59" i="15"/>
  <c r="I37" i="11"/>
  <c r="F266" i="15"/>
  <c r="F250" i="15"/>
  <c r="F234" i="15"/>
  <c r="F218" i="15"/>
  <c r="F202" i="15"/>
  <c r="F186" i="15"/>
  <c r="F170" i="15"/>
  <c r="F154" i="15"/>
  <c r="F138" i="15"/>
  <c r="F122" i="15"/>
  <c r="F106" i="15"/>
  <c r="F90" i="15"/>
  <c r="F74" i="15"/>
  <c r="F58" i="15"/>
  <c r="F42" i="15"/>
  <c r="F26" i="15"/>
  <c r="F10" i="15"/>
  <c r="F330" i="15"/>
  <c r="F314" i="15"/>
  <c r="F298" i="15"/>
  <c r="F282" i="15"/>
  <c r="F483" i="15"/>
  <c r="F467" i="15"/>
  <c r="F472" i="15"/>
  <c r="F456" i="15"/>
  <c r="F223" i="15"/>
  <c r="F159" i="15"/>
  <c r="F95" i="15"/>
  <c r="F31" i="15"/>
  <c r="F274" i="15"/>
  <c r="F258" i="15"/>
  <c r="F242" i="15"/>
  <c r="F226" i="15"/>
  <c r="F210" i="15"/>
  <c r="F194" i="15"/>
  <c r="F178" i="15"/>
  <c r="F162" i="15"/>
  <c r="F146" i="15"/>
  <c r="I146" i="15" s="1"/>
  <c r="F130" i="15"/>
  <c r="F114" i="15"/>
  <c r="F98" i="15"/>
  <c r="F82" i="15"/>
  <c r="F66" i="15"/>
  <c r="F50" i="15"/>
  <c r="F34" i="15"/>
  <c r="F18" i="15"/>
  <c r="F694" i="15"/>
  <c r="F678" i="15"/>
  <c r="F662" i="15"/>
  <c r="F646" i="15"/>
  <c r="F630" i="15"/>
  <c r="F614" i="15"/>
  <c r="F598" i="15"/>
  <c r="F372" i="15"/>
  <c r="F381" i="15"/>
  <c r="F317" i="15"/>
  <c r="F251" i="15"/>
  <c r="F187" i="15"/>
  <c r="F123" i="15"/>
  <c r="F695" i="15"/>
  <c r="F491" i="15"/>
  <c r="F469" i="15"/>
  <c r="F667" i="15"/>
  <c r="F592" i="15"/>
  <c r="F576" i="15"/>
  <c r="F560" i="15"/>
  <c r="F544" i="15"/>
  <c r="F528" i="15"/>
  <c r="F512" i="15"/>
  <c r="F496" i="15"/>
  <c r="F324" i="15"/>
  <c r="F308" i="15"/>
  <c r="F292" i="15"/>
  <c r="F427" i="15"/>
  <c r="F411" i="15"/>
  <c r="F363" i="15"/>
  <c r="F347" i="15"/>
  <c r="F675" i="15"/>
  <c r="F611" i="15"/>
  <c r="F417" i="15"/>
  <c r="F353" i="15"/>
  <c r="F289" i="15"/>
  <c r="F276" i="15"/>
  <c r="F523" i="15"/>
  <c r="F707" i="15"/>
  <c r="F451" i="15"/>
  <c r="F338" i="15"/>
  <c r="F322" i="15"/>
  <c r="F306" i="15"/>
  <c r="F290" i="15"/>
  <c r="F459" i="15"/>
  <c r="F702" i="15"/>
  <c r="F686" i="15"/>
  <c r="F670" i="15"/>
  <c r="F654" i="15"/>
  <c r="F638" i="15"/>
  <c r="F622" i="15"/>
  <c r="F606" i="15"/>
  <c r="F590" i="15"/>
  <c r="F574" i="15"/>
  <c r="F558" i="15"/>
  <c r="F542" i="15"/>
  <c r="F526" i="15"/>
  <c r="F510" i="15"/>
  <c r="F494" i="15"/>
  <c r="F478" i="15"/>
  <c r="F462" i="15"/>
  <c r="F693" i="15"/>
  <c r="F629" i="15"/>
  <c r="F487" i="15"/>
  <c r="F412" i="15"/>
  <c r="F293" i="15"/>
  <c r="F395" i="15"/>
  <c r="F243" i="15"/>
  <c r="F179" i="15"/>
  <c r="F115" i="15"/>
  <c r="F51" i="15"/>
  <c r="F373" i="15"/>
  <c r="I373" i="15" s="1"/>
  <c r="F309" i="15"/>
  <c r="F454" i="15"/>
  <c r="F435" i="15"/>
  <c r="F706" i="15"/>
  <c r="F444" i="15"/>
  <c r="F437" i="15"/>
  <c r="F438" i="15"/>
  <c r="F422" i="15"/>
  <c r="F406" i="15"/>
  <c r="F390" i="15"/>
  <c r="F374" i="15"/>
  <c r="F358" i="15"/>
  <c r="F342" i="15"/>
  <c r="F326" i="15"/>
  <c r="F310" i="15"/>
  <c r="F294" i="15"/>
  <c r="F275" i="15"/>
  <c r="F333" i="15"/>
  <c r="F247" i="15"/>
  <c r="F183" i="15"/>
  <c r="F119" i="15"/>
  <c r="F55" i="15"/>
  <c r="F269" i="15"/>
  <c r="F205" i="15"/>
  <c r="F141" i="15"/>
  <c r="F77" i="15"/>
  <c r="F13" i="15"/>
  <c r="F690" i="15"/>
  <c r="F674" i="15"/>
  <c r="F658" i="15"/>
  <c r="F642" i="15"/>
  <c r="F626" i="15"/>
  <c r="F610" i="15"/>
  <c r="F594" i="15"/>
  <c r="F578" i="15"/>
  <c r="F562" i="15"/>
  <c r="F546" i="15"/>
  <c r="F530" i="15"/>
  <c r="F514" i="15"/>
  <c r="F498" i="15"/>
  <c r="F482" i="15"/>
  <c r="F466" i="15"/>
  <c r="F450" i="15"/>
  <c r="F455" i="15"/>
  <c r="F681" i="15"/>
  <c r="F617" i="15"/>
  <c r="F439" i="15"/>
  <c r="F539" i="15"/>
  <c r="F499" i="15"/>
  <c r="F428" i="15"/>
  <c r="F364" i="15"/>
  <c r="F434" i="15"/>
  <c r="F418" i="15"/>
  <c r="F402" i="15"/>
  <c r="F386" i="15"/>
  <c r="F370" i="15"/>
  <c r="F354" i="15"/>
  <c r="F279" i="15"/>
  <c r="F231" i="15"/>
  <c r="F167" i="15"/>
  <c r="F103" i="15"/>
  <c r="F39" i="15"/>
  <c r="F259" i="15"/>
  <c r="F195" i="15"/>
  <c r="F131" i="15"/>
  <c r="F67" i="15"/>
  <c r="F563" i="15"/>
  <c r="F475" i="15"/>
  <c r="F476" i="15"/>
  <c r="F460" i="15"/>
  <c r="F396" i="15"/>
  <c r="F263" i="15"/>
  <c r="F199" i="15"/>
  <c r="F135" i="15"/>
  <c r="F71" i="15"/>
  <c r="F7" i="15"/>
  <c r="F423" i="15"/>
  <c r="F391" i="15"/>
  <c r="F375" i="15"/>
  <c r="F359" i="15"/>
  <c r="F327" i="15"/>
  <c r="F311" i="15"/>
  <c r="F295" i="15"/>
  <c r="F227" i="15"/>
  <c r="F163" i="15"/>
  <c r="F99" i="15"/>
  <c r="F35" i="15"/>
  <c r="F278" i="15"/>
  <c r="F262" i="15"/>
  <c r="F246" i="15"/>
  <c r="F230" i="15"/>
  <c r="F214" i="15"/>
  <c r="F198" i="15"/>
  <c r="F182" i="15"/>
  <c r="F166" i="15"/>
  <c r="F150" i="15"/>
  <c r="F134" i="15"/>
  <c r="F118" i="15"/>
  <c r="F102" i="15"/>
  <c r="F86" i="15"/>
  <c r="F70" i="15"/>
  <c r="F54" i="15"/>
  <c r="F38" i="15"/>
  <c r="F22" i="15"/>
  <c r="F6" i="15"/>
  <c r="F685" i="15"/>
  <c r="F621" i="15"/>
  <c r="F557" i="15"/>
  <c r="F493" i="15"/>
  <c r="F645" i="15"/>
  <c r="F581" i="15"/>
  <c r="F517" i="15"/>
  <c r="F631" i="15"/>
  <c r="F583" i="15"/>
  <c r="F535" i="15"/>
  <c r="F400" i="15"/>
  <c r="F687" i="15"/>
  <c r="F463" i="15"/>
  <c r="F384" i="15"/>
  <c r="F595" i="15"/>
  <c r="F416" i="15"/>
  <c r="F659" i="15"/>
  <c r="F519" i="15"/>
  <c r="F352" i="15"/>
  <c r="F336" i="15"/>
  <c r="F320" i="15"/>
  <c r="F304" i="15"/>
  <c r="F288" i="15"/>
  <c r="F593" i="15"/>
  <c r="F529" i="15"/>
  <c r="F65" i="15"/>
  <c r="F515" i="15"/>
  <c r="F653" i="15"/>
  <c r="F589" i="15"/>
  <c r="F525" i="15"/>
  <c r="F696" i="15"/>
  <c r="F680" i="15"/>
  <c r="F664" i="15"/>
  <c r="F648" i="15"/>
  <c r="F632" i="15"/>
  <c r="F616" i="15"/>
  <c r="F600" i="15"/>
  <c r="F584" i="15"/>
  <c r="F568" i="15"/>
  <c r="F552" i="15"/>
  <c r="F536" i="15"/>
  <c r="F520" i="15"/>
  <c r="F504" i="15"/>
  <c r="F488" i="15"/>
  <c r="F380" i="15"/>
  <c r="F413" i="15"/>
  <c r="F349" i="15"/>
  <c r="F285" i="15"/>
  <c r="F348" i="15"/>
  <c r="F332" i="15"/>
  <c r="F316" i="15"/>
  <c r="F300" i="15"/>
  <c r="F284" i="15"/>
  <c r="F419" i="15"/>
  <c r="F403" i="15"/>
  <c r="F387" i="15"/>
  <c r="F371" i="15"/>
  <c r="F355" i="15"/>
  <c r="F339" i="15"/>
  <c r="F323" i="15"/>
  <c r="F307" i="15"/>
  <c r="F291" i="15"/>
  <c r="F268" i="15"/>
  <c r="F211" i="15"/>
  <c r="F147" i="15"/>
  <c r="F83" i="15"/>
  <c r="F19" i="15"/>
  <c r="F221" i="15"/>
  <c r="F157" i="15"/>
  <c r="F93" i="15"/>
  <c r="F29" i="15"/>
  <c r="F677" i="15"/>
  <c r="F613" i="15"/>
  <c r="F549" i="15"/>
  <c r="F485" i="15"/>
  <c r="F405" i="15"/>
  <c r="F341" i="15"/>
  <c r="F441" i="15"/>
  <c r="F245" i="15"/>
  <c r="F181" i="15"/>
  <c r="F117" i="15"/>
  <c r="F53" i="15"/>
  <c r="F671" i="15"/>
  <c r="F571" i="15"/>
  <c r="F471" i="15"/>
  <c r="F376" i="15"/>
  <c r="F420" i="15"/>
  <c r="F587" i="15"/>
  <c r="F468" i="15"/>
  <c r="F452" i="15"/>
  <c r="F267" i="15"/>
  <c r="F207" i="15"/>
  <c r="F143" i="15"/>
  <c r="F79" i="15"/>
  <c r="F15" i="15"/>
  <c r="F280" i="15"/>
  <c r="F235" i="15"/>
  <c r="F171" i="15"/>
  <c r="F107" i="15"/>
  <c r="F43" i="15"/>
  <c r="F360" i="15"/>
  <c r="F344" i="15"/>
  <c r="F328" i="15"/>
  <c r="F312" i="15"/>
  <c r="F296" i="15"/>
  <c r="F415" i="15"/>
  <c r="F399" i="15"/>
  <c r="F367" i="15"/>
  <c r="F335" i="15"/>
  <c r="F319" i="15"/>
  <c r="F303" i="15"/>
  <c r="F287" i="15"/>
  <c r="F270" i="15"/>
  <c r="F254" i="15"/>
  <c r="F238" i="15"/>
  <c r="F222" i="15"/>
  <c r="F206" i="15"/>
  <c r="F190" i="15"/>
  <c r="F174" i="15"/>
  <c r="F158" i="15"/>
  <c r="F142" i="15"/>
  <c r="F126" i="15"/>
  <c r="F110" i="15"/>
  <c r="F94" i="15"/>
  <c r="F78" i="15"/>
  <c r="F62" i="15"/>
  <c r="F46" i="15"/>
  <c r="F30" i="15"/>
  <c r="F14" i="15"/>
  <c r="F703" i="15"/>
  <c r="F655" i="15"/>
  <c r="F607" i="15"/>
  <c r="F559" i="15"/>
  <c r="F507" i="15"/>
  <c r="F445" i="15"/>
  <c r="F404" i="15"/>
  <c r="F639" i="15"/>
  <c r="F591" i="15"/>
  <c r="F543" i="15"/>
  <c r="F436" i="15"/>
  <c r="F661" i="15"/>
  <c r="F597" i="15"/>
  <c r="F533" i="15"/>
  <c r="F453" i="15"/>
  <c r="F623" i="15"/>
  <c r="F575" i="15"/>
  <c r="F527" i="15"/>
  <c r="F704" i="15"/>
  <c r="F688" i="15"/>
  <c r="I688" i="15" s="1"/>
  <c r="F672" i="15"/>
  <c r="F656" i="15"/>
  <c r="F640" i="15"/>
  <c r="F624" i="15"/>
  <c r="F608" i="15"/>
  <c r="F446" i="15"/>
  <c r="F430" i="15"/>
  <c r="F414" i="15"/>
  <c r="F398" i="15"/>
  <c r="F382" i="15"/>
  <c r="F366" i="15"/>
  <c r="F350" i="15"/>
  <c r="F334" i="15"/>
  <c r="F318" i="15"/>
  <c r="F302" i="15"/>
  <c r="F286" i="15"/>
  <c r="F255" i="15"/>
  <c r="F191" i="15"/>
  <c r="F127" i="15"/>
  <c r="F63" i="15"/>
  <c r="F389" i="15"/>
  <c r="F325" i="15"/>
  <c r="F219" i="15"/>
  <c r="F155" i="15"/>
  <c r="F91" i="15"/>
  <c r="F27" i="15"/>
  <c r="F356" i="15"/>
  <c r="F340" i="15"/>
  <c r="F271" i="15"/>
  <c r="F379" i="15"/>
  <c r="F331" i="15"/>
  <c r="F315" i="15"/>
  <c r="F299" i="15"/>
  <c r="F283" i="15"/>
  <c r="F277" i="15"/>
  <c r="F261" i="15"/>
  <c r="F213" i="15"/>
  <c r="F197" i="15"/>
  <c r="F149" i="15"/>
  <c r="F133" i="15"/>
  <c r="F85" i="15"/>
  <c r="F69" i="15"/>
  <c r="F21" i="15"/>
  <c r="F5" i="15"/>
  <c r="F252" i="15"/>
  <c r="F236" i="15"/>
  <c r="F220" i="15"/>
  <c r="F204" i="15"/>
  <c r="F188" i="15"/>
  <c r="F172" i="15"/>
  <c r="F156" i="15"/>
  <c r="F140" i="15"/>
  <c r="F124" i="15"/>
  <c r="F108" i="15"/>
  <c r="F92" i="15"/>
  <c r="F76" i="15"/>
  <c r="F60" i="15"/>
  <c r="F44" i="15"/>
  <c r="F28" i="15"/>
  <c r="F12" i="15"/>
  <c r="F691" i="15"/>
  <c r="F495" i="15"/>
  <c r="F447" i="15"/>
  <c r="F698" i="15"/>
  <c r="F682" i="15"/>
  <c r="F666" i="15"/>
  <c r="F650" i="15"/>
  <c r="F634" i="15"/>
  <c r="F618" i="15"/>
  <c r="F602" i="15"/>
  <c r="F586" i="15"/>
  <c r="F570" i="15"/>
  <c r="F554" i="15"/>
  <c r="F538" i="15"/>
  <c r="F522" i="15"/>
  <c r="F506" i="15"/>
  <c r="F490" i="15"/>
  <c r="F474" i="15"/>
  <c r="F458" i="15"/>
  <c r="F440" i="15"/>
  <c r="F388" i="15"/>
  <c r="F627" i="15"/>
  <c r="F531" i="15"/>
  <c r="F479" i="15"/>
  <c r="F408" i="15"/>
  <c r="F689" i="15"/>
  <c r="F657" i="15"/>
  <c r="F625" i="15"/>
  <c r="F392" i="15"/>
  <c r="F443" i="15"/>
  <c r="F442" i="15"/>
  <c r="F426" i="15"/>
  <c r="F410" i="15"/>
  <c r="F394" i="15"/>
  <c r="F378" i="15"/>
  <c r="F362" i="15"/>
  <c r="F346" i="15"/>
  <c r="F239" i="15"/>
  <c r="F175" i="15"/>
  <c r="F111" i="15"/>
  <c r="F47" i="15"/>
  <c r="F433" i="15"/>
  <c r="F369" i="15"/>
  <c r="F321" i="15"/>
  <c r="F305" i="15"/>
  <c r="F264" i="15"/>
  <c r="F203" i="15"/>
  <c r="F139" i="15"/>
  <c r="F75" i="15"/>
  <c r="F11" i="15"/>
  <c r="F407" i="15"/>
  <c r="F343" i="15"/>
  <c r="F619" i="15"/>
  <c r="F651" i="15"/>
  <c r="F603" i="15"/>
  <c r="F503" i="15"/>
  <c r="F697" i="15"/>
  <c r="F649" i="15"/>
  <c r="F633" i="15"/>
  <c r="F585" i="15"/>
  <c r="F569" i="15"/>
  <c r="F521" i="15"/>
  <c r="F505" i="15"/>
  <c r="F457" i="15"/>
  <c r="F679" i="15"/>
  <c r="F701" i="15"/>
  <c r="F692" i="15"/>
  <c r="F676" i="15"/>
  <c r="F660" i="15"/>
  <c r="F644" i="15"/>
  <c r="F628" i="15"/>
  <c r="F612" i="15"/>
  <c r="F596" i="15"/>
  <c r="F580" i="15"/>
  <c r="F564" i="15"/>
  <c r="F548" i="15"/>
  <c r="F532" i="15"/>
  <c r="F516" i="15"/>
  <c r="F500" i="15"/>
  <c r="F484" i="15"/>
  <c r="F409" i="15"/>
  <c r="F361" i="15"/>
  <c r="F345" i="15"/>
  <c r="F383" i="15"/>
  <c r="F673" i="15"/>
  <c r="F609" i="15"/>
  <c r="F545" i="15"/>
  <c r="F481" i="15"/>
  <c r="F699" i="15"/>
  <c r="F241" i="15"/>
  <c r="F193" i="15"/>
  <c r="F177" i="15"/>
  <c r="F49" i="15"/>
  <c r="F248" i="15"/>
  <c r="F232" i="15"/>
  <c r="F216" i="15"/>
  <c r="F200" i="15"/>
  <c r="F184" i="15"/>
  <c r="F168" i="15"/>
  <c r="F152" i="15"/>
  <c r="F136" i="15"/>
  <c r="F120" i="15"/>
  <c r="F104" i="15"/>
  <c r="F88" i="15"/>
  <c r="F72" i="15"/>
  <c r="F56" i="15"/>
  <c r="F40" i="15"/>
  <c r="F24" i="15"/>
  <c r="F8" i="15"/>
  <c r="F683" i="15"/>
  <c r="F470" i="15"/>
  <c r="F663" i="15"/>
  <c r="F615" i="15"/>
  <c r="F567" i="15"/>
  <c r="F669" i="15"/>
  <c r="F605" i="15"/>
  <c r="F541" i="15"/>
  <c r="F461" i="15"/>
  <c r="F647" i="15"/>
  <c r="F599" i="15"/>
  <c r="F551" i="15"/>
  <c r="F511" i="15"/>
  <c r="F705" i="15"/>
  <c r="F429" i="15"/>
  <c r="F365" i="15"/>
  <c r="F301" i="15"/>
  <c r="F253" i="15"/>
  <c r="F237" i="15"/>
  <c r="F189" i="15"/>
  <c r="F173" i="15"/>
  <c r="F125" i="15"/>
  <c r="F109" i="15"/>
  <c r="F61" i="15"/>
  <c r="F45" i="15"/>
  <c r="F260" i="15"/>
  <c r="F244" i="15"/>
  <c r="F228" i="15"/>
  <c r="F212" i="15"/>
  <c r="F196" i="15"/>
  <c r="F180" i="15"/>
  <c r="F164" i="15"/>
  <c r="F148" i="15"/>
  <c r="F132" i="15"/>
  <c r="F116" i="15"/>
  <c r="F100" i="15"/>
  <c r="F84" i="15"/>
  <c r="F68" i="15"/>
  <c r="F52" i="15"/>
  <c r="F36" i="15"/>
  <c r="F20" i="15"/>
  <c r="F4" i="15"/>
  <c r="F665" i="15"/>
  <c r="F601" i="15"/>
  <c r="F537" i="15"/>
  <c r="F473" i="15"/>
  <c r="F425" i="15"/>
  <c r="F377" i="15"/>
  <c r="F329" i="15"/>
  <c r="F313" i="15"/>
  <c r="F431" i="15"/>
  <c r="F351" i="15"/>
  <c r="F281" i="15"/>
  <c r="F265" i="15"/>
  <c r="F249" i="15"/>
  <c r="F233" i="15"/>
  <c r="F217" i="15"/>
  <c r="F201" i="15"/>
  <c r="F185" i="15"/>
  <c r="F169" i="15"/>
  <c r="F153" i="15"/>
  <c r="F137" i="15"/>
  <c r="F121" i="15"/>
  <c r="F105" i="15"/>
  <c r="F89" i="15"/>
  <c r="F73" i="15"/>
  <c r="F57" i="15"/>
  <c r="F41" i="15"/>
  <c r="F25" i="15"/>
  <c r="F9" i="15"/>
  <c r="F256" i="15"/>
  <c r="F240" i="15"/>
  <c r="F224" i="15"/>
  <c r="F208" i="15"/>
  <c r="F192" i="15"/>
  <c r="F176" i="15"/>
  <c r="F160" i="15"/>
  <c r="F144" i="15"/>
  <c r="F128" i="15"/>
  <c r="F112" i="15"/>
  <c r="F96" i="15"/>
  <c r="F80" i="15"/>
  <c r="F64" i="15"/>
  <c r="F48" i="15"/>
  <c r="F32" i="15"/>
  <c r="F16" i="15"/>
  <c r="F229" i="15"/>
  <c r="F165" i="15"/>
  <c r="F101" i="15"/>
  <c r="F37" i="15"/>
  <c r="F641" i="15"/>
  <c r="F577" i="15"/>
  <c r="F513" i="15"/>
  <c r="F465" i="15"/>
  <c r="F700" i="15"/>
  <c r="F684" i="15"/>
  <c r="F668" i="15"/>
  <c r="F652" i="15"/>
  <c r="F636" i="15"/>
  <c r="F620" i="15"/>
  <c r="F604" i="15"/>
  <c r="F588" i="15"/>
  <c r="F572" i="15"/>
  <c r="F556" i="15"/>
  <c r="F540" i="15"/>
  <c r="F524" i="15"/>
  <c r="F508" i="15"/>
  <c r="F492" i="15"/>
  <c r="F401" i="15"/>
  <c r="F337" i="15"/>
  <c r="F273" i="15"/>
  <c r="F257" i="15"/>
  <c r="F225" i="15"/>
  <c r="F209" i="15"/>
  <c r="F161" i="15"/>
  <c r="F145" i="15"/>
  <c r="F113" i="15"/>
  <c r="F97" i="15"/>
  <c r="F81" i="15"/>
  <c r="F33" i="15"/>
  <c r="F17" i="15"/>
  <c r="Q147" i="10"/>
  <c r="Q133" i="10"/>
  <c r="Q140" i="10"/>
  <c r="Q193" i="10"/>
  <c r="Q90" i="10"/>
  <c r="Q174" i="10"/>
  <c r="Q103" i="10"/>
  <c r="Q167" i="10"/>
  <c r="Q177" i="10"/>
  <c r="Q184" i="10"/>
  <c r="Q128" i="10"/>
  <c r="Q200" i="10"/>
  <c r="Q110" i="10"/>
  <c r="Q96" i="10"/>
  <c r="Q180" i="10"/>
  <c r="Q199" i="10"/>
  <c r="Q91" i="10"/>
  <c r="Q107" i="10"/>
  <c r="Q123" i="10"/>
  <c r="Q139" i="10"/>
  <c r="Q155" i="10"/>
  <c r="Q171" i="10"/>
  <c r="Q129" i="10"/>
  <c r="Q125" i="10"/>
  <c r="Q192" i="10"/>
  <c r="Q203" i="10"/>
  <c r="Q154" i="10"/>
  <c r="Q191" i="10"/>
  <c r="Q102" i="10"/>
  <c r="Q142" i="10"/>
  <c r="Q178" i="10"/>
  <c r="Q188" i="10"/>
  <c r="Q204" i="10"/>
  <c r="Q146" i="10"/>
  <c r="Q182" i="10"/>
  <c r="Q100" i="10"/>
  <c r="Q132" i="10"/>
  <c r="Q168" i="10"/>
  <c r="Q122" i="10"/>
  <c r="Q190" i="10"/>
  <c r="Q172" i="10"/>
  <c r="Q153" i="10"/>
  <c r="Q89" i="10"/>
  <c r="Q105" i="10"/>
  <c r="Q98" i="10"/>
  <c r="Q99" i="10"/>
  <c r="Q163" i="10"/>
  <c r="Q117" i="10"/>
  <c r="Q195" i="10"/>
  <c r="Q164" i="10"/>
  <c r="Q196" i="10"/>
  <c r="Q138" i="10"/>
  <c r="Q119" i="10"/>
  <c r="Q151" i="10"/>
  <c r="Q173" i="10"/>
  <c r="Q92" i="10"/>
  <c r="Q170" i="10"/>
  <c r="Q94" i="10"/>
  <c r="Q112" i="10"/>
  <c r="Q116" i="10"/>
  <c r="Q202" i="10"/>
  <c r="Q95" i="10"/>
  <c r="Q111" i="10"/>
  <c r="Q127" i="10"/>
  <c r="Q143" i="10"/>
  <c r="Q159" i="10"/>
  <c r="Q175" i="10"/>
  <c r="Q145" i="10"/>
  <c r="Q141" i="10"/>
  <c r="Q113" i="10"/>
  <c r="Q126" i="10"/>
  <c r="Q162" i="10"/>
  <c r="Q108" i="10"/>
  <c r="Q156" i="10"/>
  <c r="Q186" i="10"/>
  <c r="Q166" i="10"/>
  <c r="Q118" i="10"/>
  <c r="Q134" i="10"/>
  <c r="Q150" i="10"/>
  <c r="Q120" i="10"/>
  <c r="Q136" i="10"/>
  <c r="Q121" i="10"/>
  <c r="Q104" i="10"/>
  <c r="Q179" i="10"/>
  <c r="Q194" i="10"/>
  <c r="Q144" i="10"/>
  <c r="Q158" i="10"/>
  <c r="Q109" i="10"/>
  <c r="Q137" i="10"/>
  <c r="Q131" i="10"/>
  <c r="Q157" i="10"/>
  <c r="Q165" i="10"/>
  <c r="Q114" i="10"/>
  <c r="Q106" i="10"/>
  <c r="Q189" i="10"/>
  <c r="Q124" i="10"/>
  <c r="Q160" i="10"/>
  <c r="Q197" i="10"/>
  <c r="Q93" i="10"/>
  <c r="Q183" i="10"/>
  <c r="Q198" i="10"/>
  <c r="Q152" i="10"/>
  <c r="Q201" i="10"/>
  <c r="Q101" i="10"/>
  <c r="Q97" i="10"/>
  <c r="Q115" i="10"/>
  <c r="Q161" i="10"/>
  <c r="Q149" i="10"/>
  <c r="Q176" i="10"/>
  <c r="Q181" i="10"/>
  <c r="Q135" i="10"/>
  <c r="Q148" i="10"/>
  <c r="Q185" i="10"/>
  <c r="Q187" i="10"/>
  <c r="Q88" i="10"/>
  <c r="Q130" i="10"/>
  <c r="Q169" i="10"/>
  <c r="O39" i="17"/>
  <c r="O23" i="17"/>
  <c r="R23" i="17" s="1"/>
  <c r="O7" i="17"/>
  <c r="O34" i="17"/>
  <c r="R34" i="17" s="1"/>
  <c r="O18" i="17"/>
  <c r="O32" i="17"/>
  <c r="O33" i="17"/>
  <c r="R33" i="17" s="1"/>
  <c r="O17" i="17"/>
  <c r="O27" i="17"/>
  <c r="O22" i="17"/>
  <c r="R22" i="17" s="1"/>
  <c r="O21" i="17"/>
  <c r="O4" i="17"/>
  <c r="O35" i="17"/>
  <c r="O19" i="17"/>
  <c r="O36" i="17"/>
  <c r="O30" i="17"/>
  <c r="O14" i="17"/>
  <c r="O20" i="17"/>
  <c r="O29" i="17"/>
  <c r="O13" i="17"/>
  <c r="O28" i="17"/>
  <c r="O11" i="17"/>
  <c r="O12" i="17"/>
  <c r="O38" i="17"/>
  <c r="O6" i="17"/>
  <c r="O37" i="17"/>
  <c r="O5" i="17"/>
  <c r="O16" i="17"/>
  <c r="O40" i="17"/>
  <c r="O31" i="17"/>
  <c r="O15" i="17"/>
  <c r="O24" i="17"/>
  <c r="O42" i="17"/>
  <c r="O26" i="17"/>
  <c r="R26" i="17" s="1"/>
  <c r="O10" i="17"/>
  <c r="O8" i="17"/>
  <c r="O41" i="17"/>
  <c r="O25" i="17"/>
  <c r="R25" i="17" s="1"/>
  <c r="O9" i="17"/>
  <c r="J7" i="11"/>
  <c r="E21" i="17"/>
  <c r="E37" i="17"/>
  <c r="E29" i="17"/>
  <c r="E27" i="17"/>
  <c r="E25" i="17"/>
  <c r="E15" i="17"/>
  <c r="E16" i="17"/>
  <c r="E13" i="17"/>
  <c r="E12" i="17"/>
  <c r="E9" i="17"/>
  <c r="E5" i="17"/>
  <c r="G97" i="15" l="1"/>
  <c r="G588" i="15"/>
  <c r="G17" i="15"/>
  <c r="G113" i="15"/>
  <c r="G225" i="15"/>
  <c r="G401" i="15"/>
  <c r="G540" i="15"/>
  <c r="G604" i="15"/>
  <c r="G668" i="15"/>
  <c r="G513" i="15"/>
  <c r="G101" i="15"/>
  <c r="G32" i="15"/>
  <c r="G96" i="15"/>
  <c r="G160" i="15"/>
  <c r="G224" i="15"/>
  <c r="G25" i="15"/>
  <c r="G89" i="15"/>
  <c r="G153" i="15"/>
  <c r="G217" i="15"/>
  <c r="G281" i="15"/>
  <c r="G329" i="15"/>
  <c r="G537" i="15"/>
  <c r="G20" i="15"/>
  <c r="G84" i="15"/>
  <c r="G148" i="15"/>
  <c r="G212" i="15"/>
  <c r="G45" i="15"/>
  <c r="G173" i="15"/>
  <c r="G301" i="15"/>
  <c r="G511" i="15"/>
  <c r="G461" i="15"/>
  <c r="G567" i="15"/>
  <c r="G683" i="15"/>
  <c r="G56" i="15"/>
  <c r="G120" i="15"/>
  <c r="G184" i="15"/>
  <c r="G248" i="15"/>
  <c r="G241" i="15"/>
  <c r="G609" i="15"/>
  <c r="G361" i="15"/>
  <c r="G516" i="15"/>
  <c r="G580" i="15"/>
  <c r="G644" i="15"/>
  <c r="G701" i="15"/>
  <c r="G521" i="15"/>
  <c r="G649" i="15"/>
  <c r="G651" i="15"/>
  <c r="G11" i="15"/>
  <c r="G264" i="15"/>
  <c r="G433" i="15"/>
  <c r="G239" i="15"/>
  <c r="G394" i="15"/>
  <c r="G443" i="15"/>
  <c r="G689" i="15"/>
  <c r="G627" i="15"/>
  <c r="G474" i="15"/>
  <c r="G538" i="15"/>
  <c r="G602" i="15"/>
  <c r="G666" i="15"/>
  <c r="G495" i="15"/>
  <c r="G44" i="15"/>
  <c r="G108" i="15"/>
  <c r="G172" i="15"/>
  <c r="G236" i="15"/>
  <c r="G69" i="15"/>
  <c r="G197" i="15"/>
  <c r="G283" i="15"/>
  <c r="G379" i="15"/>
  <c r="G27" i="15"/>
  <c r="G325" i="15"/>
  <c r="G191" i="15"/>
  <c r="G318" i="15"/>
  <c r="G382" i="15"/>
  <c r="G446" i="15"/>
  <c r="G656" i="15"/>
  <c r="G527" i="15"/>
  <c r="G533" i="15"/>
  <c r="G543" i="15"/>
  <c r="G445" i="15"/>
  <c r="G655" i="15"/>
  <c r="G46" i="15"/>
  <c r="G110" i="15"/>
  <c r="G174" i="15"/>
  <c r="G238" i="15"/>
  <c r="G303" i="15"/>
  <c r="G399" i="15"/>
  <c r="G328" i="15"/>
  <c r="G107" i="15"/>
  <c r="G15" i="15"/>
  <c r="G267" i="15"/>
  <c r="G420" i="15"/>
  <c r="G671" i="15"/>
  <c r="G245" i="15"/>
  <c r="G485" i="15"/>
  <c r="G29" i="15"/>
  <c r="G19" i="15"/>
  <c r="G268" i="15"/>
  <c r="G339" i="15"/>
  <c r="G403" i="15"/>
  <c r="G316" i="15"/>
  <c r="G349" i="15"/>
  <c r="G504" i="15"/>
  <c r="G568" i="15"/>
  <c r="G632" i="15"/>
  <c r="G696" i="15"/>
  <c r="G515" i="15"/>
  <c r="G288" i="15"/>
  <c r="G352" i="15"/>
  <c r="G595" i="15"/>
  <c r="G400" i="15"/>
  <c r="G517" i="15"/>
  <c r="G557" i="15"/>
  <c r="G22" i="15"/>
  <c r="G86" i="15"/>
  <c r="G150" i="15"/>
  <c r="G214" i="15"/>
  <c r="G278" i="15"/>
  <c r="G227" i="15"/>
  <c r="G359" i="15"/>
  <c r="G7" i="15"/>
  <c r="G263" i="15"/>
  <c r="G475" i="15"/>
  <c r="G195" i="15"/>
  <c r="G167" i="15"/>
  <c r="G370" i="15"/>
  <c r="G434" i="15"/>
  <c r="G539" i="15"/>
  <c r="G455" i="15"/>
  <c r="G498" i="15"/>
  <c r="G562" i="15"/>
  <c r="G626" i="15"/>
  <c r="G690" i="15"/>
  <c r="G205" i="15"/>
  <c r="G183" i="15"/>
  <c r="G294" i="15"/>
  <c r="G358" i="15"/>
  <c r="G422" i="15"/>
  <c r="G706" i="15"/>
  <c r="G373" i="15"/>
  <c r="H373" i="15"/>
  <c r="G243" i="15"/>
  <c r="G487" i="15"/>
  <c r="G478" i="15"/>
  <c r="G542" i="15"/>
  <c r="G606" i="15"/>
  <c r="G670" i="15"/>
  <c r="G290" i="15"/>
  <c r="G451" i="15"/>
  <c r="G289" i="15"/>
  <c r="G675" i="15"/>
  <c r="G427" i="15"/>
  <c r="G496" i="15"/>
  <c r="G560" i="15"/>
  <c r="G469" i="15"/>
  <c r="G187" i="15"/>
  <c r="G372" i="15"/>
  <c r="G646" i="15"/>
  <c r="G18" i="15"/>
  <c r="G82" i="15"/>
  <c r="G146" i="15"/>
  <c r="H146" i="15"/>
  <c r="G210" i="15"/>
  <c r="G274" i="15"/>
  <c r="G223" i="15"/>
  <c r="G483" i="15"/>
  <c r="G330" i="15"/>
  <c r="G58" i="15"/>
  <c r="G122" i="15"/>
  <c r="G186" i="15"/>
  <c r="G250" i="15"/>
  <c r="G637" i="15"/>
  <c r="G518" i="15"/>
  <c r="G582" i="15"/>
  <c r="G151" i="15"/>
  <c r="G480" i="15"/>
  <c r="G524" i="15"/>
  <c r="G33" i="15"/>
  <c r="G145" i="15"/>
  <c r="G257" i="15"/>
  <c r="G492" i="15"/>
  <c r="G556" i="15"/>
  <c r="G620" i="15"/>
  <c r="G684" i="15"/>
  <c r="G577" i="15"/>
  <c r="G165" i="15"/>
  <c r="G48" i="15"/>
  <c r="G112" i="15"/>
  <c r="G176" i="15"/>
  <c r="G240" i="15"/>
  <c r="G41" i="15"/>
  <c r="G105" i="15"/>
  <c r="G169" i="15"/>
  <c r="G233" i="15"/>
  <c r="G351" i="15"/>
  <c r="G377" i="15"/>
  <c r="G601" i="15"/>
  <c r="G36" i="15"/>
  <c r="G100" i="15"/>
  <c r="G164" i="15"/>
  <c r="G228" i="15"/>
  <c r="G61" i="15"/>
  <c r="G189" i="15"/>
  <c r="G365" i="15"/>
  <c r="G551" i="15"/>
  <c r="G541" i="15"/>
  <c r="G615" i="15"/>
  <c r="G8" i="15"/>
  <c r="G72" i="15"/>
  <c r="G136" i="15"/>
  <c r="G200" i="15"/>
  <c r="G49" i="15"/>
  <c r="G699" i="15"/>
  <c r="G673" i="15"/>
  <c r="G409" i="15"/>
  <c r="G532" i="15"/>
  <c r="G596" i="15"/>
  <c r="G660" i="15"/>
  <c r="G679" i="15"/>
  <c r="G569" i="15"/>
  <c r="G697" i="15"/>
  <c r="G619" i="15"/>
  <c r="G75" i="15"/>
  <c r="G305" i="15"/>
  <c r="G47" i="15"/>
  <c r="G346" i="15"/>
  <c r="G410" i="15"/>
  <c r="G392" i="15"/>
  <c r="G408" i="15"/>
  <c r="G388" i="15"/>
  <c r="G490" i="15"/>
  <c r="G554" i="15"/>
  <c r="G618" i="15"/>
  <c r="G682" i="15"/>
  <c r="G691" i="15"/>
  <c r="G60" i="15"/>
  <c r="G124" i="15"/>
  <c r="G188" i="15"/>
  <c r="G252" i="15"/>
  <c r="G85" i="15"/>
  <c r="G213" i="15"/>
  <c r="G299" i="15"/>
  <c r="G271" i="15"/>
  <c r="G91" i="15"/>
  <c r="G389" i="15"/>
  <c r="G255" i="15"/>
  <c r="G334" i="15"/>
  <c r="G398" i="15"/>
  <c r="G608" i="15"/>
  <c r="G672" i="15"/>
  <c r="G575" i="15"/>
  <c r="G597" i="15"/>
  <c r="G591" i="15"/>
  <c r="G507" i="15"/>
  <c r="G703" i="15"/>
  <c r="G62" i="15"/>
  <c r="G126" i="15"/>
  <c r="G190" i="15"/>
  <c r="G254" i="15"/>
  <c r="G319" i="15"/>
  <c r="G415" i="15"/>
  <c r="G344" i="15"/>
  <c r="G171" i="15"/>
  <c r="G79" i="15"/>
  <c r="G452" i="15"/>
  <c r="G376" i="15"/>
  <c r="G53" i="15"/>
  <c r="G441" i="15"/>
  <c r="G549" i="15"/>
  <c r="G93" i="15"/>
  <c r="G83" i="15"/>
  <c r="G291" i="15"/>
  <c r="G355" i="15"/>
  <c r="G419" i="15"/>
  <c r="G332" i="15"/>
  <c r="G413" i="15"/>
  <c r="G520" i="15"/>
  <c r="G584" i="15"/>
  <c r="G648" i="15"/>
  <c r="G525" i="15"/>
  <c r="G65" i="15"/>
  <c r="G304" i="15"/>
  <c r="G519" i="15"/>
  <c r="G384" i="15"/>
  <c r="G535" i="15"/>
  <c r="G581" i="15"/>
  <c r="G621" i="15"/>
  <c r="G38" i="15"/>
  <c r="G102" i="15"/>
  <c r="G166" i="15"/>
  <c r="G230" i="15"/>
  <c r="G35" i="15"/>
  <c r="G295" i="15"/>
  <c r="G375" i="15"/>
  <c r="G71" i="15"/>
  <c r="G396" i="15"/>
  <c r="G563" i="15"/>
  <c r="G259" i="15"/>
  <c r="G231" i="15"/>
  <c r="G386" i="15"/>
  <c r="G364" i="15"/>
  <c r="G439" i="15"/>
  <c r="G450" i="15"/>
  <c r="G514" i="15"/>
  <c r="G578" i="15"/>
  <c r="G642" i="15"/>
  <c r="G13" i="15"/>
  <c r="G269" i="15"/>
  <c r="G247" i="15"/>
  <c r="G310" i="15"/>
  <c r="G374" i="15"/>
  <c r="G438" i="15"/>
  <c r="G435" i="15"/>
  <c r="G51" i="15"/>
  <c r="G395" i="15"/>
  <c r="G629" i="15"/>
  <c r="G494" i="15"/>
  <c r="G558" i="15"/>
  <c r="G622" i="15"/>
  <c r="G686" i="15"/>
  <c r="G306" i="15"/>
  <c r="G707" i="15"/>
  <c r="G353" i="15"/>
  <c r="G347" i="15"/>
  <c r="G292" i="15"/>
  <c r="G512" i="15"/>
  <c r="G576" i="15"/>
  <c r="G491" i="15"/>
  <c r="G251" i="15"/>
  <c r="G598" i="15"/>
  <c r="G662" i="15"/>
  <c r="G34" i="15"/>
  <c r="G98" i="15"/>
  <c r="G162" i="15"/>
  <c r="G226" i="15"/>
  <c r="G31" i="15"/>
  <c r="G456" i="15"/>
  <c r="G282" i="15"/>
  <c r="G10" i="15"/>
  <c r="G74" i="15"/>
  <c r="G138" i="15"/>
  <c r="G202" i="15"/>
  <c r="G266" i="15"/>
  <c r="G534" i="15"/>
  <c r="G579" i="15"/>
  <c r="G215" i="15"/>
  <c r="G368" i="15"/>
  <c r="G81" i="15"/>
  <c r="G161" i="15"/>
  <c r="G273" i="15"/>
  <c r="G508" i="15"/>
  <c r="G572" i="15"/>
  <c r="G636" i="15"/>
  <c r="G700" i="15"/>
  <c r="G641" i="15"/>
  <c r="G229" i="15"/>
  <c r="G64" i="15"/>
  <c r="G128" i="15"/>
  <c r="G192" i="15"/>
  <c r="G256" i="15"/>
  <c r="G57" i="15"/>
  <c r="G121" i="15"/>
  <c r="G185" i="15"/>
  <c r="G249" i="15"/>
  <c r="G431" i="15"/>
  <c r="G425" i="15"/>
  <c r="G665" i="15"/>
  <c r="G52" i="15"/>
  <c r="G116" i="15"/>
  <c r="G180" i="15"/>
  <c r="G244" i="15"/>
  <c r="G109" i="15"/>
  <c r="G237" i="15"/>
  <c r="G429" i="15"/>
  <c r="G599" i="15"/>
  <c r="G605" i="15"/>
  <c r="G663" i="15"/>
  <c r="G24" i="15"/>
  <c r="G88" i="15"/>
  <c r="G152" i="15"/>
  <c r="G216" i="15"/>
  <c r="G177" i="15"/>
  <c r="G481" i="15"/>
  <c r="G383" i="15"/>
  <c r="G484" i="15"/>
  <c r="G548" i="15"/>
  <c r="G612" i="15"/>
  <c r="G676" i="15"/>
  <c r="G457" i="15"/>
  <c r="G585" i="15"/>
  <c r="G503" i="15"/>
  <c r="G343" i="15"/>
  <c r="G139" i="15"/>
  <c r="G321" i="15"/>
  <c r="G111" i="15"/>
  <c r="G362" i="15"/>
  <c r="G426" i="15"/>
  <c r="G625" i="15"/>
  <c r="G479" i="15"/>
  <c r="G440" i="15"/>
  <c r="G506" i="15"/>
  <c r="G570" i="15"/>
  <c r="G634" i="15"/>
  <c r="G698" i="15"/>
  <c r="G12" i="15"/>
  <c r="G76" i="15"/>
  <c r="G140" i="15"/>
  <c r="G204" i="15"/>
  <c r="G5" i="15"/>
  <c r="G133" i="15"/>
  <c r="G261" i="15"/>
  <c r="G315" i="15"/>
  <c r="G340" i="15"/>
  <c r="G155" i="15"/>
  <c r="G63" i="15"/>
  <c r="G286" i="15"/>
  <c r="G350" i="15"/>
  <c r="G414" i="15"/>
  <c r="G624" i="15"/>
  <c r="G688" i="15"/>
  <c r="H688" i="15"/>
  <c r="G623" i="15"/>
  <c r="G661" i="15"/>
  <c r="G639" i="15"/>
  <c r="G559" i="15"/>
  <c r="G14" i="15"/>
  <c r="G78" i="15"/>
  <c r="G142" i="15"/>
  <c r="G206" i="15"/>
  <c r="G270" i="15"/>
  <c r="G335" i="15"/>
  <c r="G296" i="15"/>
  <c r="G360" i="15"/>
  <c r="G235" i="15"/>
  <c r="G143" i="15"/>
  <c r="G468" i="15"/>
  <c r="G471" i="15"/>
  <c r="G117" i="15"/>
  <c r="G341" i="15"/>
  <c r="G613" i="15"/>
  <c r="G157" i="15"/>
  <c r="G147" i="15"/>
  <c r="G307" i="15"/>
  <c r="G371" i="15"/>
  <c r="G284" i="15"/>
  <c r="G348" i="15"/>
  <c r="G380" i="15"/>
  <c r="G536" i="15"/>
  <c r="G600" i="15"/>
  <c r="G664" i="15"/>
  <c r="G589" i="15"/>
  <c r="G529" i="15"/>
  <c r="G320" i="15"/>
  <c r="G659" i="15"/>
  <c r="G463" i="15"/>
  <c r="G583" i="15"/>
  <c r="G645" i="15"/>
  <c r="G685" i="15"/>
  <c r="G54" i="15"/>
  <c r="G118" i="15"/>
  <c r="G182" i="15"/>
  <c r="G246" i="15"/>
  <c r="G99" i="15"/>
  <c r="G311" i="15"/>
  <c r="G391" i="15"/>
  <c r="G135" i="15"/>
  <c r="G460" i="15"/>
  <c r="G67" i="15"/>
  <c r="G39" i="15"/>
  <c r="G279" i="15"/>
  <c r="G402" i="15"/>
  <c r="G428" i="15"/>
  <c r="G617" i="15"/>
  <c r="G466" i="15"/>
  <c r="G530" i="15"/>
  <c r="G594" i="15"/>
  <c r="G658" i="15"/>
  <c r="G77" i="15"/>
  <c r="G55" i="15"/>
  <c r="G333" i="15"/>
  <c r="G326" i="15"/>
  <c r="G390" i="15"/>
  <c r="G437" i="15"/>
  <c r="G454" i="15"/>
  <c r="G115" i="15"/>
  <c r="G293" i="15"/>
  <c r="G693" i="15"/>
  <c r="G510" i="15"/>
  <c r="G574" i="15"/>
  <c r="G638" i="15"/>
  <c r="G702" i="15"/>
  <c r="G322" i="15"/>
  <c r="G523" i="15"/>
  <c r="G417" i="15"/>
  <c r="G363" i="15"/>
  <c r="G308" i="15"/>
  <c r="G528" i="15"/>
  <c r="G592" i="15"/>
  <c r="G695" i="15"/>
  <c r="G317" i="15"/>
  <c r="G614" i="15"/>
  <c r="G678" i="15"/>
  <c r="G50" i="15"/>
  <c r="G114" i="15"/>
  <c r="G178" i="15"/>
  <c r="G242" i="15"/>
  <c r="G95" i="15"/>
  <c r="G472" i="15"/>
  <c r="G298" i="15"/>
  <c r="G26" i="15"/>
  <c r="G90" i="15"/>
  <c r="G154" i="15"/>
  <c r="G218" i="15"/>
  <c r="G486" i="15"/>
  <c r="G550" i="15"/>
  <c r="G23" i="15"/>
  <c r="G448" i="15"/>
  <c r="G432" i="15"/>
  <c r="G209" i="15"/>
  <c r="G337" i="15"/>
  <c r="G652" i="15"/>
  <c r="G465" i="15"/>
  <c r="G37" i="15"/>
  <c r="G16" i="15"/>
  <c r="G80" i="15"/>
  <c r="G144" i="15"/>
  <c r="G208" i="15"/>
  <c r="G9" i="15"/>
  <c r="G73" i="15"/>
  <c r="G137" i="15"/>
  <c r="G201" i="15"/>
  <c r="G265" i="15"/>
  <c r="G313" i="15"/>
  <c r="G473" i="15"/>
  <c r="G4" i="15"/>
  <c r="G68" i="15"/>
  <c r="G132" i="15"/>
  <c r="G196" i="15"/>
  <c r="G260" i="15"/>
  <c r="G125" i="15"/>
  <c r="G253" i="15"/>
  <c r="G705" i="15"/>
  <c r="G647" i="15"/>
  <c r="G669" i="15"/>
  <c r="G470" i="15"/>
  <c r="G40" i="15"/>
  <c r="G104" i="15"/>
  <c r="G168" i="15"/>
  <c r="G232" i="15"/>
  <c r="G193" i="15"/>
  <c r="G545" i="15"/>
  <c r="G345" i="15"/>
  <c r="G500" i="15"/>
  <c r="G564" i="15"/>
  <c r="G628" i="15"/>
  <c r="G692" i="15"/>
  <c r="G505" i="15"/>
  <c r="G633" i="15"/>
  <c r="G603" i="15"/>
  <c r="G407" i="15"/>
  <c r="G203" i="15"/>
  <c r="G369" i="15"/>
  <c r="G175" i="15"/>
  <c r="G378" i="15"/>
  <c r="G442" i="15"/>
  <c r="G657" i="15"/>
  <c r="G531" i="15"/>
  <c r="G458" i="15"/>
  <c r="G522" i="15"/>
  <c r="G586" i="15"/>
  <c r="G650" i="15"/>
  <c r="G447" i="15"/>
  <c r="G28" i="15"/>
  <c r="G92" i="15"/>
  <c r="G156" i="15"/>
  <c r="G220" i="15"/>
  <c r="G21" i="15"/>
  <c r="G149" i="15"/>
  <c r="G277" i="15"/>
  <c r="G331" i="15"/>
  <c r="G356" i="15"/>
  <c r="G219" i="15"/>
  <c r="G127" i="15"/>
  <c r="G302" i="15"/>
  <c r="G366" i="15"/>
  <c r="G430" i="15"/>
  <c r="G640" i="15"/>
  <c r="G704" i="15"/>
  <c r="G453" i="15"/>
  <c r="G436" i="15"/>
  <c r="G404" i="15"/>
  <c r="G607" i="15"/>
  <c r="G30" i="15"/>
  <c r="G94" i="15"/>
  <c r="G158" i="15"/>
  <c r="G222" i="15"/>
  <c r="G287" i="15"/>
  <c r="G367" i="15"/>
  <c r="G312" i="15"/>
  <c r="G43" i="15"/>
  <c r="G280" i="15"/>
  <c r="G207" i="15"/>
  <c r="G587" i="15"/>
  <c r="G571" i="15"/>
  <c r="G181" i="15"/>
  <c r="G405" i="15"/>
  <c r="G677" i="15"/>
  <c r="G221" i="15"/>
  <c r="G211" i="15"/>
  <c r="G323" i="15"/>
  <c r="G387" i="15"/>
  <c r="G300" i="15"/>
  <c r="G285" i="15"/>
  <c r="G488" i="15"/>
  <c r="G552" i="15"/>
  <c r="G616" i="15"/>
  <c r="G680" i="15"/>
  <c r="G653" i="15"/>
  <c r="G593" i="15"/>
  <c r="G336" i="15"/>
  <c r="G416" i="15"/>
  <c r="G687" i="15"/>
  <c r="G631" i="15"/>
  <c r="G493" i="15"/>
  <c r="G6" i="15"/>
  <c r="G70" i="15"/>
  <c r="G134" i="15"/>
  <c r="G198" i="15"/>
  <c r="G262" i="15"/>
  <c r="G163" i="15"/>
  <c r="G327" i="15"/>
  <c r="G423" i="15"/>
  <c r="G199" i="15"/>
  <c r="G476" i="15"/>
  <c r="G131" i="15"/>
  <c r="G103" i="15"/>
  <c r="G354" i="15"/>
  <c r="G418" i="15"/>
  <c r="G499" i="15"/>
  <c r="G681" i="15"/>
  <c r="G482" i="15"/>
  <c r="G546" i="15"/>
  <c r="G610" i="15"/>
  <c r="G674" i="15"/>
  <c r="G141" i="15"/>
  <c r="G119" i="15"/>
  <c r="G275" i="15"/>
  <c r="G342" i="15"/>
  <c r="G406" i="15"/>
  <c r="G444" i="15"/>
  <c r="G309" i="15"/>
  <c r="G179" i="15"/>
  <c r="G412" i="15"/>
  <c r="G462" i="15"/>
  <c r="G526" i="15"/>
  <c r="G590" i="15"/>
  <c r="G654" i="15"/>
  <c r="G459" i="15"/>
  <c r="G338" i="15"/>
  <c r="G276" i="15"/>
  <c r="G611" i="15"/>
  <c r="G411" i="15"/>
  <c r="G324" i="15"/>
  <c r="G544" i="15"/>
  <c r="G667" i="15"/>
  <c r="G123" i="15"/>
  <c r="G381" i="15"/>
  <c r="G630" i="15"/>
  <c r="G694" i="15"/>
  <c r="G66" i="15"/>
  <c r="G130" i="15"/>
  <c r="G194" i="15"/>
  <c r="G258" i="15"/>
  <c r="G159" i="15"/>
  <c r="G467" i="15"/>
  <c r="G314" i="15"/>
  <c r="G42" i="15"/>
  <c r="G106" i="15"/>
  <c r="G170" i="15"/>
  <c r="G234" i="15"/>
  <c r="G59" i="15"/>
  <c r="G502" i="15"/>
  <c r="G566" i="15"/>
  <c r="G87" i="15"/>
  <c r="G464" i="15"/>
  <c r="G297" i="15"/>
  <c r="P25" i="17"/>
  <c r="Q25" i="17"/>
  <c r="P26" i="17"/>
  <c r="Q26" i="17"/>
  <c r="P31" i="17"/>
  <c r="P37" i="17"/>
  <c r="P11" i="17"/>
  <c r="P20" i="17"/>
  <c r="P19" i="17"/>
  <c r="P22" i="17"/>
  <c r="Q22" i="17"/>
  <c r="P32" i="17"/>
  <c r="P23" i="17"/>
  <c r="Q23" i="17"/>
  <c r="P41" i="17"/>
  <c r="P42" i="17"/>
  <c r="P40" i="17"/>
  <c r="P6" i="17"/>
  <c r="P28" i="17"/>
  <c r="P14" i="17"/>
  <c r="P35" i="17"/>
  <c r="P27" i="17"/>
  <c r="P18" i="17"/>
  <c r="P39" i="17"/>
  <c r="P8" i="17"/>
  <c r="P24" i="17"/>
  <c r="P16" i="17"/>
  <c r="P38" i="17"/>
  <c r="P13" i="17"/>
  <c r="P30" i="17"/>
  <c r="P4" i="17"/>
  <c r="P17" i="17"/>
  <c r="P34" i="17"/>
  <c r="Q34" i="17"/>
  <c r="P9" i="17"/>
  <c r="P10" i="17"/>
  <c r="P15" i="17"/>
  <c r="P5" i="17"/>
  <c r="P12" i="17"/>
  <c r="P29" i="17"/>
  <c r="P36" i="17"/>
  <c r="P21" i="17"/>
  <c r="P33" i="17"/>
  <c r="Q33" i="17"/>
  <c r="P7" i="17"/>
  <c r="I38" i="11"/>
  <c r="I15" i="17"/>
  <c r="I37" i="17"/>
  <c r="I21" i="17"/>
  <c r="I29" i="17"/>
  <c r="I27" i="17"/>
  <c r="I25" i="17"/>
  <c r="I16" i="17"/>
  <c r="I13" i="17"/>
  <c r="I12" i="17"/>
  <c r="I9" i="17"/>
  <c r="I5" i="17"/>
  <c r="Q37" i="17" l="1"/>
  <c r="Q20" i="17"/>
  <c r="Q14" i="17"/>
  <c r="Q17" i="17"/>
  <c r="Q30" i="17"/>
  <c r="Q9" i="17"/>
  <c r="Q13" i="17"/>
  <c r="Q18" i="17"/>
  <c r="Q5" i="17"/>
  <c r="Q39" i="17"/>
  <c r="Q10" i="17"/>
  <c r="Q15" i="17"/>
  <c r="Q16" i="17"/>
  <c r="Q36" i="17"/>
  <c r="Q8" i="17"/>
  <c r="Q29" i="17"/>
  <c r="Q38" i="17"/>
  <c r="Q28" i="17"/>
  <c r="Q11" i="17"/>
  <c r="Q12" i="17"/>
  <c r="Q32" i="17"/>
  <c r="Q40" i="17"/>
  <c r="Q35" i="17"/>
  <c r="Q7" i="17"/>
  <c r="Q19" i="17"/>
  <c r="Q21" i="17"/>
  <c r="Q4" i="17"/>
  <c r="Q41" i="17"/>
  <c r="Q31" i="17"/>
  <c r="Q24" i="17"/>
  <c r="Q27" i="17"/>
  <c r="R27" i="17" s="1"/>
  <c r="Q6" i="17"/>
  <c r="Q42" i="17"/>
  <c r="I39" i="11"/>
  <c r="S29" i="17"/>
  <c r="S27" i="17"/>
  <c r="S9" i="17"/>
  <c r="S5" i="17"/>
  <c r="S21" i="17"/>
  <c r="S16" i="17"/>
  <c r="S37" i="17"/>
  <c r="S12" i="17"/>
  <c r="S15" i="17"/>
  <c r="S25" i="17"/>
  <c r="S13" i="17"/>
  <c r="E42" i="17"/>
  <c r="E41" i="17"/>
  <c r="E40" i="17"/>
  <c r="E39" i="17"/>
  <c r="E38" i="17"/>
  <c r="E36" i="17"/>
  <c r="E35" i="17"/>
  <c r="E34" i="17"/>
  <c r="E33" i="17"/>
  <c r="E32" i="17"/>
  <c r="E31" i="17"/>
  <c r="E30" i="17"/>
  <c r="E28" i="17"/>
  <c r="E26" i="17"/>
  <c r="E24" i="17"/>
  <c r="E22" i="17"/>
  <c r="E20" i="17"/>
  <c r="E23" i="17"/>
  <c r="E19" i="17"/>
  <c r="E18" i="17"/>
  <c r="E17" i="17"/>
  <c r="E14" i="17"/>
  <c r="E11" i="17"/>
  <c r="E10" i="17"/>
  <c r="E8" i="17"/>
  <c r="E7" i="17"/>
  <c r="E6" i="17"/>
  <c r="E4" i="17"/>
  <c r="R29" i="17" l="1"/>
  <c r="R14" i="17"/>
  <c r="R20" i="17"/>
  <c r="R37" i="17"/>
  <c r="R15" i="17"/>
  <c r="R18" i="17"/>
  <c r="R10" i="17"/>
  <c r="R13" i="17"/>
  <c r="R16" i="17"/>
  <c r="R5" i="17"/>
  <c r="R17" i="17"/>
  <c r="R9" i="17"/>
  <c r="R40" i="17"/>
  <c r="R36" i="17"/>
  <c r="R30" i="17"/>
  <c r="R8" i="17"/>
  <c r="R28" i="17"/>
  <c r="R38" i="17"/>
  <c r="R32" i="17"/>
  <c r="R6" i="17"/>
  <c r="R12" i="17"/>
  <c r="R11" i="17"/>
  <c r="R39" i="17"/>
  <c r="R35" i="17"/>
  <c r="R21" i="17"/>
  <c r="R31" i="17"/>
  <c r="R24" i="17"/>
  <c r="R41" i="17"/>
  <c r="R42" i="17"/>
  <c r="R19" i="17"/>
  <c r="R7" i="17"/>
  <c r="R4" i="17"/>
  <c r="I40" i="11"/>
  <c r="I30" i="17"/>
  <c r="I35" i="17"/>
  <c r="I38" i="17"/>
  <c r="I39" i="17"/>
  <c r="I7" i="17"/>
  <c r="I10" i="17"/>
  <c r="I22" i="17"/>
  <c r="I4" i="17"/>
  <c r="I17" i="17"/>
  <c r="I18" i="17"/>
  <c r="I19" i="17"/>
  <c r="I23" i="17"/>
  <c r="I32" i="17"/>
  <c r="I34" i="17"/>
  <c r="I41" i="17"/>
  <c r="I6" i="17"/>
  <c r="I20" i="17"/>
  <c r="I36" i="17"/>
  <c r="I40" i="17"/>
  <c r="I42" i="17"/>
  <c r="I24" i="17"/>
  <c r="I26" i="17"/>
  <c r="I28" i="17"/>
  <c r="I11" i="17"/>
  <c r="I14" i="17"/>
  <c r="I8" i="17"/>
  <c r="I31" i="17"/>
  <c r="I33" i="17"/>
  <c r="F3" i="15"/>
  <c r="F2" i="15"/>
  <c r="G3" i="15" l="1"/>
  <c r="G2" i="15"/>
  <c r="U11" i="11"/>
  <c r="R9" i="8" s="1"/>
  <c r="T11" i="11"/>
  <c r="K33" i="17"/>
  <c r="K42" i="17"/>
  <c r="K11" i="17"/>
  <c r="K39" i="17"/>
  <c r="K31" i="17"/>
  <c r="K28" i="17"/>
  <c r="K40" i="17"/>
  <c r="K41" i="17"/>
  <c r="K19" i="17"/>
  <c r="K22" i="17"/>
  <c r="K38" i="17"/>
  <c r="K23" i="17"/>
  <c r="K8" i="17"/>
  <c r="K26" i="17"/>
  <c r="K36" i="17"/>
  <c r="K34" i="17"/>
  <c r="K18" i="17"/>
  <c r="K10" i="17"/>
  <c r="K35" i="17"/>
  <c r="K6" i="17"/>
  <c r="K4" i="17"/>
  <c r="K13" i="17"/>
  <c r="K9" i="17"/>
  <c r="K12" i="17"/>
  <c r="K16" i="17"/>
  <c r="K5" i="17"/>
  <c r="K25" i="17"/>
  <c r="K27" i="17"/>
  <c r="K29" i="17"/>
  <c r="K37" i="17"/>
  <c r="K15" i="17"/>
  <c r="K21" i="17"/>
  <c r="K14" i="17"/>
  <c r="K24" i="17"/>
  <c r="K20" i="17"/>
  <c r="K32" i="17"/>
  <c r="K17" i="17"/>
  <c r="K7" i="17"/>
  <c r="K30" i="17"/>
  <c r="U33" i="17"/>
  <c r="U11" i="17"/>
  <c r="U42" i="17"/>
  <c r="U39" i="17"/>
  <c r="U31" i="17"/>
  <c r="U28" i="17"/>
  <c r="U40" i="17"/>
  <c r="U41" i="17"/>
  <c r="U19" i="17"/>
  <c r="U22" i="17"/>
  <c r="U38" i="17"/>
  <c r="U6" i="17"/>
  <c r="U8" i="17"/>
  <c r="U26" i="17"/>
  <c r="U36" i="17"/>
  <c r="U34" i="17"/>
  <c r="U18" i="17"/>
  <c r="U10" i="17"/>
  <c r="U35" i="17"/>
  <c r="U23" i="17"/>
  <c r="S4" i="17"/>
  <c r="U4" i="17"/>
  <c r="U12" i="17"/>
  <c r="U29" i="17"/>
  <c r="U15" i="17"/>
  <c r="U16" i="17"/>
  <c r="U9" i="17"/>
  <c r="U37" i="17"/>
  <c r="U13" i="17"/>
  <c r="U5" i="17"/>
  <c r="U25" i="17"/>
  <c r="U27" i="17"/>
  <c r="U21" i="17"/>
  <c r="U14" i="17"/>
  <c r="U24" i="17"/>
  <c r="U20" i="17"/>
  <c r="U32" i="17"/>
  <c r="U17" i="17"/>
  <c r="U7" i="17"/>
  <c r="U30" i="17"/>
  <c r="S33" i="17"/>
  <c r="T33" i="17" s="1"/>
  <c r="S11" i="17"/>
  <c r="S42" i="17"/>
  <c r="S6" i="17"/>
  <c r="S23" i="17"/>
  <c r="S39" i="17"/>
  <c r="S28" i="17"/>
  <c r="S40" i="17"/>
  <c r="S41" i="17"/>
  <c r="S19" i="17"/>
  <c r="S22" i="17"/>
  <c r="S38" i="17"/>
  <c r="S31" i="17"/>
  <c r="S8" i="17"/>
  <c r="S26" i="17"/>
  <c r="S36" i="17"/>
  <c r="S34" i="17"/>
  <c r="S18" i="17"/>
  <c r="S10" i="17"/>
  <c r="S35" i="17"/>
  <c r="S14" i="17"/>
  <c r="S24" i="17"/>
  <c r="S20" i="17"/>
  <c r="S32" i="17"/>
  <c r="S17" i="17"/>
  <c r="S7" i="17"/>
  <c r="S30" i="17"/>
  <c r="H1863" i="15" l="1"/>
  <c r="M9" i="8"/>
  <c r="H568" i="15"/>
  <c r="H3" i="15"/>
  <c r="H2" i="15"/>
  <c r="I2" i="15" s="1"/>
  <c r="H1862" i="15"/>
  <c r="H1849" i="15"/>
  <c r="H1861" i="15"/>
  <c r="H1859" i="15"/>
  <c r="H1853" i="15"/>
  <c r="H1835" i="15"/>
  <c r="H1829" i="15"/>
  <c r="H1825" i="15"/>
  <c r="H1857" i="15"/>
  <c r="H1833" i="15"/>
  <c r="H1476" i="15"/>
  <c r="H1118" i="15"/>
  <c r="H1385" i="15"/>
  <c r="H1513" i="15"/>
  <c r="H1510" i="15"/>
  <c r="H1677" i="15"/>
  <c r="H1805" i="15"/>
  <c r="H1546" i="15"/>
  <c r="H1686" i="15"/>
  <c r="H1814" i="15"/>
  <c r="H1600" i="15"/>
  <c r="H1727" i="15"/>
  <c r="H1490" i="15"/>
  <c r="H1676" i="15"/>
  <c r="H1218" i="15"/>
  <c r="H808" i="15"/>
  <c r="H936" i="15"/>
  <c r="H725" i="15"/>
  <c r="H853" i="15"/>
  <c r="H981" i="15"/>
  <c r="H770" i="15"/>
  <c r="H898" i="15"/>
  <c r="H1026" i="15"/>
  <c r="H1067" i="15"/>
  <c r="H1195" i="15"/>
  <c r="H795" i="15"/>
  <c r="H1112" i="15"/>
  <c r="H1240" i="15"/>
  <c r="H959" i="15"/>
  <c r="H1153" i="15"/>
  <c r="H1281" i="15"/>
  <c r="H1323" i="15"/>
  <c r="H1451" i="15"/>
  <c r="H1050" i="15"/>
  <c r="H1368" i="15"/>
  <c r="H1496" i="15"/>
  <c r="H1574" i="15"/>
  <c r="H1701" i="15"/>
  <c r="H1122" i="15"/>
  <c r="H1614" i="15"/>
  <c r="H1742" i="15"/>
  <c r="H1358" i="15"/>
  <c r="H1639" i="15"/>
  <c r="H1767" i="15"/>
  <c r="H1768" i="15"/>
  <c r="H1616" i="15"/>
  <c r="H720" i="15"/>
  <c r="H848" i="15"/>
  <c r="H976" i="15"/>
  <c r="H797" i="15"/>
  <c r="H941" i="15"/>
  <c r="H730" i="15"/>
  <c r="H858" i="15"/>
  <c r="H986" i="15"/>
  <c r="H967" i="15"/>
  <c r="H1155" i="15"/>
  <c r="H1283" i="15"/>
  <c r="H1458" i="15"/>
  <c r="H1652" i="15"/>
  <c r="H1826" i="15"/>
  <c r="H1310" i="15"/>
  <c r="H1643" i="15"/>
  <c r="H1803" i="15"/>
  <c r="H1088" i="15"/>
  <c r="H1216" i="15"/>
  <c r="H863" i="15"/>
  <c r="H1286" i="15"/>
  <c r="H1427" i="15"/>
  <c r="H1555" i="15"/>
  <c r="H1344" i="15"/>
  <c r="H1472" i="15"/>
  <c r="H1102" i="15"/>
  <c r="H1381" i="15"/>
  <c r="H1509" i="15"/>
  <c r="H1494" i="15"/>
  <c r="H1689" i="15"/>
  <c r="H1186" i="15"/>
  <c r="H1634" i="15"/>
  <c r="H1442" i="15"/>
  <c r="H1696" i="15"/>
  <c r="H1839" i="15"/>
  <c r="H1113" i="15"/>
  <c r="H1241" i="15"/>
  <c r="H1580" i="15"/>
  <c r="H1410" i="15"/>
  <c r="H1836" i="15"/>
  <c r="H900" i="15"/>
  <c r="H756" i="15"/>
  <c r="H884" i="15"/>
  <c r="H1012" i="15"/>
  <c r="H801" i="15"/>
  <c r="H929" i="15"/>
  <c r="H718" i="15"/>
  <c r="H846" i="15"/>
  <c r="H974" i="15"/>
  <c r="H919" i="15"/>
  <c r="H1143" i="15"/>
  <c r="H1271" i="15"/>
  <c r="H1060" i="15"/>
  <c r="H1188" i="15"/>
  <c r="H751" i="15"/>
  <c r="H1101" i="15"/>
  <c r="H1229" i="15"/>
  <c r="H1174" i="15"/>
  <c r="H1399" i="15"/>
  <c r="H1527" i="15"/>
  <c r="H1316" i="15"/>
  <c r="H1444" i="15"/>
  <c r="H819" i="15"/>
  <c r="H1353" i="15"/>
  <c r="H1481" i="15"/>
  <c r="H1382" i="15"/>
  <c r="H1645" i="15"/>
  <c r="H1845" i="15"/>
  <c r="H1841" i="15"/>
  <c r="H1411" i="15"/>
  <c r="H1539" i="15"/>
  <c r="H1328" i="15"/>
  <c r="H1456" i="15"/>
  <c r="H1011" i="15"/>
  <c r="H1365" i="15"/>
  <c r="H1493" i="15"/>
  <c r="H1430" i="15"/>
  <c r="H1673" i="15"/>
  <c r="H1817" i="15"/>
  <c r="H1618" i="15"/>
  <c r="H1810" i="15"/>
  <c r="H1632" i="15"/>
  <c r="H1847" i="15"/>
  <c r="H1097" i="15"/>
  <c r="H1225" i="15"/>
  <c r="H1698" i="15"/>
  <c r="H1834" i="15"/>
  <c r="H1830" i="15"/>
  <c r="H836" i="15"/>
  <c r="H740" i="15"/>
  <c r="H868" i="15"/>
  <c r="H996" i="15"/>
  <c r="H785" i="15"/>
  <c r="H913" i="15"/>
  <c r="H1041" i="15"/>
  <c r="H830" i="15"/>
  <c r="H958" i="15"/>
  <c r="H855" i="15"/>
  <c r="H1127" i="15"/>
  <c r="H1255" i="15"/>
  <c r="H1035" i="15"/>
  <c r="H1172" i="15"/>
  <c r="H1300" i="15"/>
  <c r="H1085" i="15"/>
  <c r="H1213" i="15"/>
  <c r="H1110" i="15"/>
  <c r="H1383" i="15"/>
  <c r="H1511" i="15"/>
  <c r="H1290" i="15"/>
  <c r="H1428" i="15"/>
  <c r="H1556" i="15"/>
  <c r="H1337" i="15"/>
  <c r="H1465" i="15"/>
  <c r="H1318" i="15"/>
  <c r="H1629" i="15"/>
  <c r="H1757" i="15"/>
  <c r="H1354" i="15"/>
  <c r="H1638" i="15"/>
  <c r="H1766" i="15"/>
  <c r="H1518" i="15"/>
  <c r="H1679" i="15"/>
  <c r="H1807" i="15"/>
  <c r="H1090" i="15"/>
  <c r="H1648" i="15"/>
  <c r="H760" i="15"/>
  <c r="H888" i="15"/>
  <c r="H1016" i="15"/>
  <c r="H805" i="15"/>
  <c r="H933" i="15"/>
  <c r="H722" i="15"/>
  <c r="H850" i="15"/>
  <c r="H978" i="15"/>
  <c r="H935" i="15"/>
  <c r="H1147" i="15"/>
  <c r="H1275" i="15"/>
  <c r="H1064" i="15"/>
  <c r="H1192" i="15"/>
  <c r="H767" i="15"/>
  <c r="H1105" i="15"/>
  <c r="H1233" i="15"/>
  <c r="H1190" i="15"/>
  <c r="H1403" i="15"/>
  <c r="H1531" i="15"/>
  <c r="H1320" i="15"/>
  <c r="H1448" i="15"/>
  <c r="H883" i="15"/>
  <c r="H1449" i="15"/>
  <c r="H1250" i="15"/>
  <c r="H1663" i="15"/>
  <c r="H744" i="15"/>
  <c r="H917" i="15"/>
  <c r="H871" i="15"/>
  <c r="H1176" i="15"/>
  <c r="H1126" i="15"/>
  <c r="H1432" i="15"/>
  <c r="H1334" i="15"/>
  <c r="H1674" i="15"/>
  <c r="H1554" i="15"/>
  <c r="H713" i="15"/>
  <c r="H886" i="15"/>
  <c r="H747" i="15"/>
  <c r="H1141" i="15"/>
  <c r="H867" i="15"/>
  <c r="H1393" i="15"/>
  <c r="H1813" i="15"/>
  <c r="H1623" i="15"/>
  <c r="H1796" i="15"/>
  <c r="H925" i="15"/>
  <c r="H903" i="15"/>
  <c r="H1573" i="15"/>
  <c r="H1787" i="15"/>
  <c r="H1222" i="15"/>
  <c r="H1514" i="15"/>
  <c r="H1703" i="15"/>
  <c r="H784" i="15"/>
  <c r="H1005" i="15"/>
  <c r="H1091" i="15"/>
  <c r="H1860" i="15"/>
  <c r="H955" i="15"/>
  <c r="H1363" i="15"/>
  <c r="H1536" i="15"/>
  <c r="H1625" i="15"/>
  <c r="H1788" i="15"/>
  <c r="H1558" i="15"/>
  <c r="H817" i="15"/>
  <c r="H865" i="15"/>
  <c r="H1038" i="15"/>
  <c r="H1540" i="15"/>
  <c r="H1613" i="15"/>
  <c r="H1750" i="15"/>
  <c r="H1800" i="15"/>
  <c r="H1000" i="15"/>
  <c r="H834" i="15"/>
  <c r="H1259" i="15"/>
  <c r="H1089" i="15"/>
  <c r="H1515" i="15"/>
  <c r="H1341" i="15"/>
  <c r="H1761" i="15"/>
  <c r="H1588" i="15"/>
  <c r="H796" i="15"/>
  <c r="H969" i="15"/>
  <c r="H1055" i="15"/>
  <c r="H1228" i="15"/>
  <c r="H1311" i="15"/>
  <c r="H1484" i="15"/>
  <c r="H1542" i="15"/>
  <c r="H1726" i="15"/>
  <c r="H1704" i="15"/>
  <c r="H960" i="15"/>
  <c r="H842" i="15"/>
  <c r="H1267" i="15"/>
  <c r="H1074" i="15"/>
  <c r="H1200" i="15"/>
  <c r="H1637" i="15"/>
  <c r="H1806" i="15"/>
  <c r="H1708" i="15"/>
  <c r="H1040" i="15"/>
  <c r="H922" i="15"/>
  <c r="H891" i="15"/>
  <c r="H1562" i="15"/>
  <c r="H1280" i="15"/>
  <c r="H1210" i="15"/>
  <c r="H1445" i="15"/>
  <c r="H1530" i="15"/>
  <c r="H1049" i="15"/>
  <c r="H1840" i="15"/>
  <c r="H948" i="15"/>
  <c r="H782" i="15"/>
  <c r="H1207" i="15"/>
  <c r="H1007" i="15"/>
  <c r="H1463" i="15"/>
  <c r="H1246" i="15"/>
  <c r="H1709" i="15"/>
  <c r="H1854" i="15"/>
  <c r="H1412" i="15"/>
  <c r="H1106" i="15"/>
  <c r="H1622" i="15"/>
  <c r="H1791" i="15"/>
  <c r="H872" i="15"/>
  <c r="H1045" i="15"/>
  <c r="H1131" i="15"/>
  <c r="H1304" i="15"/>
  <c r="H1387" i="15"/>
  <c r="H1560" i="15"/>
  <c r="H1633" i="15"/>
  <c r="H1802" i="15"/>
  <c r="H1692" i="15"/>
  <c r="H841" i="15"/>
  <c r="H1014" i="15"/>
  <c r="H1100" i="15"/>
  <c r="H1269" i="15"/>
  <c r="H1356" i="15"/>
  <c r="H1521" i="15"/>
  <c r="H1599" i="15"/>
  <c r="H1751" i="15"/>
  <c r="H832" i="15"/>
  <c r="H714" i="15"/>
  <c r="H1139" i="15"/>
  <c r="H1605" i="15"/>
  <c r="H1072" i="15"/>
  <c r="H1454" i="15"/>
  <c r="H1048" i="15"/>
  <c r="H1498" i="15"/>
  <c r="H1183" i="15"/>
  <c r="H1685" i="15"/>
  <c r="H970" i="15"/>
  <c r="H1362" i="15"/>
  <c r="H794" i="15"/>
  <c r="H1737" i="15"/>
  <c r="H1491" i="15"/>
  <c r="H1769" i="15"/>
  <c r="H1656" i="15"/>
  <c r="H993" i="15"/>
  <c r="H1335" i="15"/>
  <c r="H1380" i="15"/>
  <c r="H1417" i="15"/>
  <c r="H1326" i="15"/>
  <c r="H1804" i="15"/>
  <c r="H757" i="15"/>
  <c r="H930" i="15"/>
  <c r="H923" i="15"/>
  <c r="H1185" i="15"/>
  <c r="H1178" i="15"/>
  <c r="H1437" i="15"/>
  <c r="H1193" i="15"/>
  <c r="H1415" i="15"/>
  <c r="H1460" i="15"/>
  <c r="H1497" i="15"/>
  <c r="H1789" i="15"/>
  <c r="H1798" i="15"/>
  <c r="H963" i="15"/>
  <c r="H792" i="15"/>
  <c r="H837" i="15"/>
  <c r="H882" i="15"/>
  <c r="H1179" i="15"/>
  <c r="H1224" i="15"/>
  <c r="H1265" i="15"/>
  <c r="H803" i="15"/>
  <c r="H1134" i="15"/>
  <c r="H1526" i="15"/>
  <c r="H1595" i="15"/>
  <c r="H1635" i="15"/>
  <c r="H716" i="15"/>
  <c r="H761" i="15"/>
  <c r="H806" i="15"/>
  <c r="H1103" i="15"/>
  <c r="H1148" i="15"/>
  <c r="H1189" i="15"/>
  <c r="H1487" i="15"/>
  <c r="H1532" i="15"/>
  <c r="H771" i="15"/>
  <c r="H1386" i="15"/>
  <c r="H1486" i="15"/>
  <c r="H1581" i="15"/>
  <c r="H880" i="15"/>
  <c r="H973" i="15"/>
  <c r="H1018" i="15"/>
  <c r="H763" i="15"/>
  <c r="H1850" i="15"/>
  <c r="H1426" i="15"/>
  <c r="H991" i="15"/>
  <c r="H1082" i="15"/>
  <c r="H1230" i="15"/>
  <c r="H1585" i="15"/>
  <c r="H1217" i="15"/>
  <c r="H1715" i="15"/>
  <c r="H911" i="15"/>
  <c r="H1266" i="15"/>
  <c r="H1589" i="15"/>
  <c r="H1765" i="15"/>
  <c r="H1620" i="15"/>
  <c r="H711" i="15"/>
  <c r="H1707" i="15"/>
  <c r="H1408" i="15"/>
  <c r="H1746" i="15"/>
  <c r="H1838" i="15"/>
  <c r="H910" i="15"/>
  <c r="H1252" i="15"/>
  <c r="H1293" i="15"/>
  <c r="H1098" i="15"/>
  <c r="H1718" i="15"/>
  <c r="H1672" i="15"/>
  <c r="H968" i="15"/>
  <c r="H802" i="15"/>
  <c r="H1227" i="15"/>
  <c r="H1057" i="15"/>
  <c r="H1483" i="15"/>
  <c r="H1309" i="15"/>
  <c r="H1552" i="15"/>
  <c r="H1641" i="15"/>
  <c r="H1330" i="15"/>
  <c r="H1587" i="15"/>
  <c r="H1856" i="15"/>
  <c r="H945" i="15"/>
  <c r="H990" i="15"/>
  <c r="H1223" i="15"/>
  <c r="H1140" i="15"/>
  <c r="H1053" i="15"/>
  <c r="H787" i="15"/>
  <c r="H1594" i="15"/>
  <c r="H1402" i="15"/>
  <c r="H1660" i="15"/>
  <c r="H781" i="15"/>
  <c r="H1273" i="15"/>
  <c r="H1846" i="15"/>
  <c r="H962" i="15"/>
  <c r="H758" i="15"/>
  <c r="H1150" i="15"/>
  <c r="H1576" i="15"/>
  <c r="H1792" i="15"/>
  <c r="H1027" i="15"/>
  <c r="H843" i="15"/>
  <c r="H1545" i="15"/>
  <c r="H1631" i="15"/>
  <c r="H1642" i="15"/>
  <c r="H854" i="15"/>
  <c r="H1279" i="15"/>
  <c r="H1109" i="15"/>
  <c r="H1535" i="15"/>
  <c r="H1361" i="15"/>
  <c r="H1781" i="15"/>
  <c r="H1592" i="15"/>
  <c r="H1636" i="15"/>
  <c r="H893" i="15"/>
  <c r="H775" i="15"/>
  <c r="H1538" i="15"/>
  <c r="H1755" i="15"/>
  <c r="H1094" i="15"/>
  <c r="H1424" i="15"/>
  <c r="H1298" i="15"/>
  <c r="H1778" i="15"/>
  <c r="H1543" i="15"/>
  <c r="H1054" i="15"/>
  <c r="H1446" i="15"/>
  <c r="H1482" i="15"/>
  <c r="H1584" i="15"/>
  <c r="H1612" i="15"/>
  <c r="H920" i="15"/>
  <c r="H965" i="15"/>
  <c r="H1010" i="15"/>
  <c r="H731" i="15"/>
  <c r="H895" i="15"/>
  <c r="H1307" i="15"/>
  <c r="H1352" i="15"/>
  <c r="H1389" i="15"/>
  <c r="H1809" i="15"/>
  <c r="H1342" i="15"/>
  <c r="H1752" i="15"/>
  <c r="H972" i="15"/>
  <c r="H1017" i="15"/>
  <c r="H759" i="15"/>
  <c r="H1231" i="15"/>
  <c r="H1276" i="15"/>
  <c r="H1359" i="15"/>
  <c r="H1404" i="15"/>
  <c r="H1441" i="15"/>
  <c r="H1733" i="15"/>
  <c r="H1646" i="15"/>
  <c r="H1671" i="15"/>
  <c r="H1744" i="15"/>
  <c r="H1008" i="15"/>
  <c r="H762" i="15"/>
  <c r="H1059" i="15"/>
  <c r="H1664" i="15"/>
  <c r="H1675" i="15"/>
  <c r="H1248" i="15"/>
  <c r="H1459" i="15"/>
  <c r="H1504" i="15"/>
  <c r="H1321" i="15"/>
  <c r="H789" i="15"/>
  <c r="H1303" i="15"/>
  <c r="H924" i="15"/>
  <c r="H1439" i="15"/>
  <c r="H1522" i="15"/>
  <c r="H1627" i="15"/>
  <c r="H1678" i="15"/>
  <c r="H912" i="15"/>
  <c r="H1219" i="15"/>
  <c r="H1152" i="15"/>
  <c r="H1317" i="15"/>
  <c r="H1831" i="15"/>
  <c r="H820" i="15"/>
  <c r="H1079" i="15"/>
  <c r="H1124" i="15"/>
  <c r="H1165" i="15"/>
  <c r="H1582" i="15"/>
  <c r="H1591" i="15"/>
  <c r="H1759" i="15"/>
  <c r="H840" i="15"/>
  <c r="H1013" i="15"/>
  <c r="H1099" i="15"/>
  <c r="H1272" i="15"/>
  <c r="H1355" i="15"/>
  <c r="H1528" i="15"/>
  <c r="H1602" i="15"/>
  <c r="H1770" i="15"/>
  <c r="H1563" i="15"/>
  <c r="H809" i="15"/>
  <c r="H982" i="15"/>
  <c r="H1068" i="15"/>
  <c r="H1237" i="15"/>
  <c r="H1324" i="15"/>
  <c r="H1489" i="15"/>
  <c r="H1567" i="15"/>
  <c r="H1719" i="15"/>
  <c r="H800" i="15"/>
  <c r="H1021" i="15"/>
  <c r="H1107" i="15"/>
  <c r="H1832" i="15"/>
  <c r="H1019" i="15"/>
  <c r="H1379" i="15"/>
  <c r="H1720" i="15"/>
  <c r="H708" i="15"/>
  <c r="H862" i="15"/>
  <c r="H1095" i="15"/>
  <c r="H907" i="15"/>
  <c r="H1268" i="15"/>
  <c r="H1181" i="15"/>
  <c r="H1413" i="15"/>
  <c r="H1541" i="15"/>
  <c r="H1721" i="15"/>
  <c r="H1714" i="15"/>
  <c r="H1824" i="15"/>
  <c r="H1145" i="15"/>
  <c r="H1739" i="15"/>
  <c r="H1668" i="15"/>
  <c r="H1741" i="15"/>
  <c r="H1469" i="15"/>
  <c r="H765" i="15"/>
  <c r="H799" i="15"/>
  <c r="H877" i="15"/>
  <c r="H979" i="15"/>
  <c r="H1177" i="15"/>
  <c r="H737" i="15"/>
  <c r="H1508" i="15"/>
  <c r="H1837" i="15"/>
  <c r="H712" i="15"/>
  <c r="H885" i="15"/>
  <c r="H743" i="15"/>
  <c r="H1144" i="15"/>
  <c r="H851" i="15"/>
  <c r="H1400" i="15"/>
  <c r="H1565" i="15"/>
  <c r="H1811" i="15"/>
  <c r="H1020" i="15"/>
  <c r="H1332" i="15"/>
  <c r="H1369" i="15"/>
  <c r="H1661" i="15"/>
  <c r="H1670" i="15"/>
  <c r="H1711" i="15"/>
  <c r="H1776" i="15"/>
  <c r="H709" i="15"/>
  <c r="H754" i="15"/>
  <c r="H1051" i="15"/>
  <c r="H1096" i="15"/>
  <c r="H1137" i="15"/>
  <c r="H1435" i="15"/>
  <c r="H1480" i="15"/>
  <c r="H1517" i="15"/>
  <c r="H1681" i="15"/>
  <c r="H1722" i="15"/>
  <c r="H1763" i="15"/>
  <c r="H844" i="15"/>
  <c r="H889" i="15"/>
  <c r="H934" i="15"/>
  <c r="H939" i="15"/>
  <c r="H1061" i="15"/>
  <c r="H915" i="15"/>
  <c r="H1194" i="15"/>
  <c r="H1313" i="15"/>
  <c r="H1774" i="15"/>
  <c r="H1799" i="15"/>
  <c r="H752" i="15"/>
  <c r="H829" i="15"/>
  <c r="H890" i="15"/>
  <c r="H1187" i="15"/>
  <c r="H1828" i="15"/>
  <c r="H1438" i="15"/>
  <c r="H1120" i="15"/>
  <c r="H1331" i="15"/>
  <c r="H1376" i="15"/>
  <c r="H1784" i="15"/>
  <c r="H1812" i="15"/>
  <c r="H1377" i="15"/>
  <c r="H780" i="15"/>
  <c r="H1243" i="15"/>
  <c r="H984" i="15"/>
  <c r="H1734" i="15"/>
  <c r="H1524" i="15"/>
  <c r="H1333" i="15"/>
  <c r="H1235" i="15"/>
  <c r="H1694" i="15"/>
  <c r="H1196" i="15"/>
  <c r="H1534" i="15"/>
  <c r="H1204" i="15"/>
  <c r="H1852" i="15"/>
  <c r="H1158" i="15"/>
  <c r="H1710" i="15"/>
  <c r="H953" i="15"/>
  <c r="H1073" i="15"/>
  <c r="H755" i="15"/>
  <c r="H1123" i="15"/>
  <c r="H1583" i="15"/>
  <c r="H1167" i="15"/>
  <c r="H1434" i="15"/>
  <c r="H987" i="15"/>
  <c r="H1606" i="15"/>
  <c r="H1461" i="15"/>
  <c r="H1653" i="15"/>
  <c r="H892" i="15"/>
  <c r="H1801" i="15"/>
  <c r="H909" i="15"/>
  <c r="H1125" i="15"/>
  <c r="H1170" i="15"/>
  <c r="H1081" i="15"/>
  <c r="H735" i="15"/>
  <c r="H749" i="15"/>
  <c r="H1086" i="15"/>
  <c r="H998" i="15"/>
  <c r="H1617" i="15"/>
  <c r="H1115" i="15"/>
  <c r="H1390" i="15"/>
  <c r="H1571" i="15"/>
  <c r="H733" i="15"/>
  <c r="H1245" i="15"/>
  <c r="H926" i="15"/>
  <c r="H1705" i="15"/>
  <c r="H1843" i="15"/>
  <c r="H1783" i="15"/>
  <c r="H1301" i="15"/>
  <c r="H1820" i="15"/>
  <c r="H717" i="15"/>
  <c r="H1232" i="15"/>
  <c r="H1378" i="15"/>
  <c r="H1343" i="15"/>
  <c r="H828" i="15"/>
  <c r="H1547" i="15"/>
  <c r="H1032" i="15"/>
  <c r="H1564" i="15"/>
  <c r="H719" i="15"/>
  <c r="H710" i="15"/>
  <c r="H1667" i="15"/>
  <c r="H1421" i="15"/>
  <c r="H1169" i="15"/>
  <c r="H914" i="15"/>
  <c r="H1740" i="15"/>
  <c r="H1693" i="15"/>
  <c r="H1447" i="15"/>
  <c r="H1191" i="15"/>
  <c r="H932" i="15"/>
  <c r="H845" i="15"/>
  <c r="H1429" i="15"/>
  <c r="H1457" i="15"/>
  <c r="H1665" i="15"/>
  <c r="H1163" i="15"/>
  <c r="H1075" i="15"/>
  <c r="H1650" i="15"/>
  <c r="H1659" i="15"/>
  <c r="H1680" i="15"/>
  <c r="H1471" i="15"/>
  <c r="H956" i="15"/>
  <c r="H1336" i="15"/>
  <c r="H821" i="15"/>
  <c r="H1700" i="15"/>
  <c r="H1257" i="15"/>
  <c r="H1315" i="15"/>
  <c r="H957" i="15"/>
  <c r="H1425" i="15"/>
  <c r="H918" i="15"/>
  <c r="H1462" i="15"/>
  <c r="H999" i="15"/>
  <c r="H1345" i="15"/>
  <c r="H1093" i="15"/>
  <c r="H838" i="15"/>
  <c r="H1795" i="15"/>
  <c r="H1549" i="15"/>
  <c r="H1297" i="15"/>
  <c r="H1042" i="15"/>
  <c r="H1748" i="15"/>
  <c r="H1821" i="15"/>
  <c r="H1205" i="15"/>
  <c r="H879" i="15"/>
  <c r="H750" i="15"/>
  <c r="H995" i="15"/>
  <c r="H779" i="15"/>
  <c r="H721" i="15"/>
  <c r="H1161" i="15"/>
  <c r="H1557" i="15"/>
  <c r="H1264" i="15"/>
  <c r="H1024" i="15"/>
  <c r="H1548" i="15"/>
  <c r="H1033" i="15"/>
  <c r="H1405" i="15"/>
  <c r="H1220" i="15"/>
  <c r="H961" i="15"/>
  <c r="H1214" i="15"/>
  <c r="H975" i="15"/>
  <c r="H774" i="15"/>
  <c r="H1731" i="15"/>
  <c r="H1485" i="15"/>
  <c r="H1034" i="15"/>
  <c r="H1749" i="15"/>
  <c r="H1247" i="15"/>
  <c r="H1610" i="15"/>
  <c r="H1069" i="15"/>
  <c r="H814" i="15"/>
  <c r="H881" i="15"/>
  <c r="H1327" i="15"/>
  <c r="H1071" i="15"/>
  <c r="H812" i="15"/>
  <c r="H1777" i="15"/>
  <c r="H1851" i="15"/>
  <c r="H1815" i="15"/>
  <c r="H1078" i="15"/>
  <c r="H732" i="15"/>
  <c r="H1226" i="15"/>
  <c r="H971" i="15"/>
  <c r="H769" i="15"/>
  <c r="H852" i="15"/>
  <c r="H1009" i="15"/>
  <c r="H1607" i="15"/>
  <c r="H901" i="15"/>
  <c r="H1647" i="15"/>
  <c r="H1666" i="15"/>
  <c r="H764" i="15"/>
  <c r="H1366" i="15"/>
  <c r="H1657" i="15"/>
  <c r="H1735" i="15"/>
  <c r="H1201" i="15"/>
  <c r="H1772" i="15"/>
  <c r="H1251" i="15"/>
  <c r="H1855" i="15"/>
  <c r="H1669" i="15"/>
  <c r="H1288" i="15"/>
  <c r="H1346" i="15"/>
  <c r="H1760" i="15"/>
  <c r="H1388" i="15"/>
  <c r="H931" i="15"/>
  <c r="H1001" i="15"/>
  <c r="H1473" i="15"/>
  <c r="H1314" i="15"/>
  <c r="H824" i="15"/>
  <c r="H1108" i="15"/>
  <c r="H1609" i="15"/>
  <c r="H831" i="15"/>
  <c r="H927" i="15"/>
  <c r="H790" i="15"/>
  <c r="H1773" i="15"/>
  <c r="H1031" i="15"/>
  <c r="H875" i="15"/>
  <c r="H1695" i="15"/>
  <c r="H748" i="15"/>
  <c r="H952" i="15"/>
  <c r="H1261" i="15"/>
  <c r="H1492" i="15"/>
  <c r="H1593" i="15"/>
  <c r="H906" i="15"/>
  <c r="H1058" i="15"/>
  <c r="H1537" i="15"/>
  <c r="H1030" i="15"/>
  <c r="H1728" i="15"/>
  <c r="H1779" i="15"/>
  <c r="H724" i="15"/>
  <c r="H729" i="15"/>
  <c r="H896" i="15"/>
  <c r="H1198" i="15"/>
  <c r="H788" i="15"/>
  <c r="H1794" i="15"/>
  <c r="H826" i="15"/>
  <c r="H1551" i="15"/>
  <c r="H1658" i="15"/>
  <c r="H807" i="15"/>
  <c r="H728" i="15"/>
  <c r="H835" i="15"/>
  <c r="H1162" i="15"/>
  <c r="H1507" i="15"/>
  <c r="H810" i="15"/>
  <c r="H1414" i="15"/>
  <c r="H951" i="15"/>
  <c r="H1729" i="15"/>
  <c r="H1287" i="15"/>
  <c r="H1723" i="15"/>
  <c r="H1762" i="15"/>
  <c r="H1478" i="15"/>
  <c r="H1282" i="15"/>
  <c r="H1682" i="15"/>
  <c r="H1395" i="15"/>
  <c r="H1037" i="15"/>
  <c r="H1505" i="15"/>
  <c r="H742" i="15"/>
  <c r="H1453" i="15"/>
  <c r="H946" i="15"/>
  <c r="H1561" i="15"/>
  <c r="H1596" i="15"/>
  <c r="H1407" i="15"/>
  <c r="H1683" i="15"/>
  <c r="H1523" i="15"/>
  <c r="H1640" i="15"/>
  <c r="H1015" i="15"/>
  <c r="H1499" i="15"/>
  <c r="H1603" i="15"/>
  <c r="H1611" i="15"/>
  <c r="H1154" i="15"/>
  <c r="H1423" i="15"/>
  <c r="H825" i="15"/>
  <c r="H1544" i="15"/>
  <c r="H1029" i="15"/>
  <c r="H1725" i="15"/>
  <c r="H1274" i="15"/>
  <c r="H1822" i="15"/>
  <c r="H815" i="15"/>
  <c r="H1028" i="15"/>
  <c r="H1166" i="15"/>
  <c r="H1171" i="15"/>
  <c r="H1630" i="15"/>
  <c r="H1132" i="15"/>
  <c r="H1823" i="15"/>
  <c r="H1338" i="15"/>
  <c r="H1299" i="15"/>
  <c r="H1758" i="15"/>
  <c r="H1260" i="15"/>
  <c r="H1619" i="15"/>
  <c r="H1121" i="15"/>
  <c r="H1506" i="15"/>
  <c r="H1308" i="15"/>
  <c r="H1052" i="15"/>
  <c r="H793" i="15"/>
  <c r="H1754" i="15"/>
  <c r="H1512" i="15"/>
  <c r="H1256" i="15"/>
  <c r="H997" i="15"/>
  <c r="H1743" i="15"/>
  <c r="H1529" i="15"/>
  <c r="H1277" i="15"/>
  <c r="H1022" i="15"/>
  <c r="H753" i="15"/>
  <c r="H1724" i="15"/>
  <c r="H1520" i="15"/>
  <c r="H950" i="15"/>
  <c r="H1070" i="15"/>
  <c r="H738" i="15"/>
  <c r="H1738" i="15"/>
  <c r="H1525" i="15"/>
  <c r="H1601" i="15"/>
  <c r="H1422" i="15"/>
  <c r="H1039" i="15"/>
  <c r="H1747" i="15"/>
  <c r="H1249" i="15"/>
  <c r="H1712" i="15"/>
  <c r="H768" i="15"/>
  <c r="H1597" i="15"/>
  <c r="H1819" i="15"/>
  <c r="H736" i="15"/>
  <c r="H1130" i="15"/>
  <c r="H745" i="15"/>
  <c r="H1464" i="15"/>
  <c r="H949" i="15"/>
  <c r="H1436" i="15"/>
  <c r="H1180" i="15"/>
  <c r="H921" i="15"/>
  <c r="H1470" i="15"/>
  <c r="H1262" i="15"/>
  <c r="H1023" i="15"/>
  <c r="H786" i="15"/>
  <c r="H1608" i="15"/>
  <c r="H1566" i="15"/>
  <c r="H1816" i="15"/>
  <c r="H1092" i="15"/>
  <c r="H833" i="15"/>
  <c r="H1319" i="15"/>
  <c r="H1063" i="15"/>
  <c r="H804" i="15"/>
  <c r="H1684" i="15"/>
  <c r="H1294" i="15"/>
  <c r="H1502" i="15"/>
  <c r="H1644" i="15"/>
  <c r="H1375" i="15"/>
  <c r="H860" i="15"/>
  <c r="H739" i="15"/>
  <c r="H715" i="15"/>
  <c r="H1044" i="15"/>
  <c r="H1372" i="15"/>
  <c r="H1116" i="15"/>
  <c r="H857" i="15"/>
  <c r="H1818" i="15"/>
  <c r="H723" i="15"/>
  <c r="H861" i="15"/>
  <c r="H1329" i="15"/>
  <c r="H822" i="15"/>
  <c r="H1533" i="15"/>
  <c r="H1156" i="15"/>
  <c r="H897" i="15"/>
  <c r="H1409" i="15"/>
  <c r="H1157" i="15"/>
  <c r="H902" i="15"/>
  <c r="H1624" i="15"/>
  <c r="H1398" i="15"/>
  <c r="H1203" i="15"/>
  <c r="H1662" i="15"/>
  <c r="H1164" i="15"/>
  <c r="H1406" i="15"/>
  <c r="H1367" i="15"/>
  <c r="H1111" i="15"/>
  <c r="H916" i="15"/>
  <c r="H798" i="15"/>
  <c r="H870" i="15"/>
  <c r="H1785" i="15"/>
  <c r="H1206" i="15"/>
  <c r="H734" i="15"/>
  <c r="H1295" i="15"/>
  <c r="H1848" i="15"/>
  <c r="H1699" i="15"/>
  <c r="H1065" i="15"/>
  <c r="H1209" i="15"/>
  <c r="H1572" i="15"/>
  <c r="H954" i="15"/>
  <c r="H1786" i="15"/>
  <c r="H1479" i="15"/>
  <c r="H1159" i="15"/>
  <c r="H864" i="15"/>
  <c r="H1003" i="15"/>
  <c r="H1516" i="15"/>
  <c r="H866" i="15"/>
  <c r="H966" i="15"/>
  <c r="H1339" i="15"/>
  <c r="H1575" i="15"/>
  <c r="H849" i="15"/>
  <c r="H989" i="15"/>
  <c r="H1654" i="15"/>
  <c r="H813" i="15"/>
  <c r="H1501" i="15"/>
  <c r="H777" i="15"/>
  <c r="H1322" i="15"/>
  <c r="H1208" i="15"/>
  <c r="H887" i="15"/>
  <c r="H1467" i="15"/>
  <c r="H1702" i="15"/>
  <c r="H1006" i="15"/>
  <c r="H977" i="15"/>
  <c r="H1475" i="15"/>
  <c r="H1119" i="15"/>
  <c r="H878" i="15"/>
  <c r="H1756" i="15"/>
  <c r="H1077" i="15"/>
  <c r="H791" i="15"/>
  <c r="H811" i="15"/>
  <c r="H1136" i="15"/>
  <c r="H905" i="15"/>
  <c r="H1025" i="15"/>
  <c r="H1440" i="15"/>
  <c r="H1716" i="15"/>
  <c r="H1212" i="15"/>
  <c r="H1325" i="15"/>
  <c r="H818" i="15"/>
  <c r="H1736" i="15"/>
  <c r="H1598" i="15"/>
  <c r="H1858" i="15"/>
  <c r="H1168" i="15"/>
  <c r="H928" i="15"/>
  <c r="H1452" i="15"/>
  <c r="H937" i="15"/>
  <c r="H1238" i="15"/>
  <c r="H983" i="15"/>
  <c r="H1842" i="15"/>
  <c r="H839" i="15"/>
  <c r="H1270" i="15"/>
  <c r="H1745" i="15"/>
  <c r="H1569" i="15"/>
  <c r="H1056" i="15"/>
  <c r="H816" i="15"/>
  <c r="H1340" i="15"/>
  <c r="H908" i="15"/>
  <c r="H1242" i="15"/>
  <c r="H773" i="15"/>
  <c r="H1396" i="15"/>
  <c r="H938" i="15"/>
  <c r="H1151" i="15"/>
  <c r="H1370" i="15"/>
  <c r="H1771" i="15"/>
  <c r="H1797" i="15"/>
  <c r="H1036" i="15"/>
  <c r="H1160" i="15"/>
  <c r="H1477" i="15"/>
  <c r="H1764" i="15"/>
  <c r="H899" i="15"/>
  <c r="H847" i="15"/>
  <c r="H1628" i="15"/>
  <c r="H1371" i="15"/>
  <c r="H856" i="15"/>
  <c r="H1305" i="15"/>
  <c r="H1296" i="15"/>
  <c r="H947" i="15"/>
  <c r="H1076" i="15"/>
  <c r="H1780" i="15"/>
  <c r="H1443" i="15"/>
  <c r="H746" i="15"/>
  <c r="H1553" i="15"/>
  <c r="H1046" i="15"/>
  <c r="H1450" i="15"/>
  <c r="H1397" i="15"/>
  <c r="H874" i="15"/>
  <c r="H1590" i="15"/>
  <c r="H1087" i="15"/>
  <c r="H1793" i="15"/>
  <c r="H1291" i="15"/>
  <c r="H1782" i="15"/>
  <c r="H1391" i="15"/>
  <c r="H1135" i="15"/>
  <c r="H876" i="15"/>
  <c r="H1306" i="15"/>
  <c r="H1114" i="15"/>
  <c r="H859" i="15"/>
  <c r="H741" i="15"/>
  <c r="H1138" i="15"/>
  <c r="H1182" i="15"/>
  <c r="H943" i="15"/>
  <c r="H766" i="15"/>
  <c r="H1827" i="15"/>
  <c r="H1466" i="15"/>
  <c r="H1146" i="15"/>
  <c r="H1570" i="15"/>
  <c r="H1419" i="15"/>
  <c r="H904" i="15"/>
  <c r="H1374" i="15"/>
  <c r="H1360" i="15"/>
  <c r="H1002" i="15"/>
  <c r="H1717" i="15"/>
  <c r="H1215" i="15"/>
  <c r="H1579" i="15"/>
  <c r="H1080" i="15"/>
  <c r="H1568" i="15"/>
  <c r="H1258" i="15"/>
  <c r="H1578" i="15"/>
  <c r="H1474" i="15"/>
  <c r="H1655" i="15"/>
  <c r="H1173" i="15"/>
  <c r="H1688" i="15"/>
  <c r="H1254" i="15"/>
  <c r="H776" i="15"/>
  <c r="H1519" i="15"/>
  <c r="H1263" i="15"/>
  <c r="H1004" i="15"/>
  <c r="H1626" i="15"/>
  <c r="H1384" i="15"/>
  <c r="H1128" i="15"/>
  <c r="H869" i="15"/>
  <c r="H1615" i="15"/>
  <c r="H1844" i="15"/>
  <c r="H1431" i="15"/>
  <c r="H1175" i="15"/>
  <c r="H1401" i="15"/>
  <c r="H1149" i="15"/>
  <c r="H894" i="15"/>
  <c r="H1732" i="15"/>
  <c r="H1730" i="15"/>
  <c r="H1392" i="15"/>
  <c r="H827" i="15"/>
  <c r="H1790" i="15"/>
  <c r="H1292" i="15"/>
  <c r="H1651" i="15"/>
  <c r="H1302" i="15"/>
  <c r="H1047" i="15"/>
  <c r="H1418" i="15"/>
  <c r="H1455" i="15"/>
  <c r="H1199" i="15"/>
  <c r="H940" i="15"/>
  <c r="H1559" i="15"/>
  <c r="H1691" i="15"/>
  <c r="H1808" i="15"/>
  <c r="H1503" i="15"/>
  <c r="H988" i="15"/>
  <c r="H1495" i="15"/>
  <c r="H1239" i="15"/>
  <c r="H980" i="15"/>
  <c r="H1500" i="15"/>
  <c r="H1244" i="15"/>
  <c r="H985" i="15"/>
  <c r="H1604" i="15"/>
  <c r="H1357" i="15"/>
  <c r="H778" i="15"/>
  <c r="H1234" i="15"/>
  <c r="H823" i="15"/>
  <c r="H1697" i="15"/>
  <c r="H1197" i="15"/>
  <c r="H942" i="15"/>
  <c r="H727" i="15"/>
  <c r="H772" i="15"/>
  <c r="H1184" i="15"/>
  <c r="H1062" i="15"/>
  <c r="H1433" i="15"/>
  <c r="H1577" i="15"/>
  <c r="H1117" i="15"/>
  <c r="H944" i="15"/>
  <c r="H1416" i="15"/>
  <c r="H1253" i="15"/>
  <c r="H1775" i="15"/>
  <c r="H726" i="15"/>
  <c r="H1468" i="15"/>
  <c r="H1312" i="15"/>
  <c r="H1084" i="15"/>
  <c r="H1394" i="15"/>
  <c r="H783" i="15"/>
  <c r="H1104" i="15"/>
  <c r="H873" i="15"/>
  <c r="H992" i="15"/>
  <c r="H1373" i="15"/>
  <c r="H1221" i="15"/>
  <c r="H1586" i="15"/>
  <c r="H1083" i="15"/>
  <c r="H1364" i="15"/>
  <c r="H1289" i="15"/>
  <c r="H1202" i="15"/>
  <c r="H1129" i="15"/>
  <c r="H1278" i="15"/>
  <c r="H994" i="15"/>
  <c r="H1488" i="15"/>
  <c r="H1706" i="15"/>
  <c r="H1142" i="15"/>
  <c r="H1713" i="15"/>
  <c r="H1211" i="15"/>
  <c r="H1687" i="15"/>
  <c r="H1236" i="15"/>
  <c r="H1753" i="15"/>
  <c r="H1621" i="15"/>
  <c r="H1133" i="15"/>
  <c r="H1285" i="15"/>
  <c r="H1649" i="15"/>
  <c r="H1550" i="15"/>
  <c r="H1043" i="15"/>
  <c r="H1066" i="15"/>
  <c r="H1690" i="15"/>
  <c r="H1420" i="15"/>
  <c r="H1284" i="15"/>
  <c r="H964" i="15"/>
  <c r="H547" i="15"/>
  <c r="H643" i="15"/>
  <c r="H424" i="15"/>
  <c r="H553" i="15"/>
  <c r="H477" i="15"/>
  <c r="H393" i="15"/>
  <c r="H691" i="15"/>
  <c r="H124" i="15"/>
  <c r="H252" i="15"/>
  <c r="H213" i="15"/>
  <c r="H271" i="15"/>
  <c r="H389" i="15"/>
  <c r="H334" i="15"/>
  <c r="H608" i="15"/>
  <c r="H575" i="15"/>
  <c r="H591" i="15"/>
  <c r="H703" i="15"/>
  <c r="H126" i="15"/>
  <c r="H254" i="15"/>
  <c r="H415" i="15"/>
  <c r="H171" i="15"/>
  <c r="H452" i="15"/>
  <c r="H53" i="15"/>
  <c r="H549" i="15"/>
  <c r="H83" i="15"/>
  <c r="H355" i="15"/>
  <c r="H332" i="15"/>
  <c r="H520" i="15"/>
  <c r="H648" i="15"/>
  <c r="H65" i="15"/>
  <c r="H421" i="15"/>
  <c r="H501" i="15"/>
  <c r="H497" i="15"/>
  <c r="H129" i="15"/>
  <c r="H555" i="15"/>
  <c r="H509" i="15"/>
  <c r="H635" i="15"/>
  <c r="H573" i="15"/>
  <c r="H489" i="15"/>
  <c r="H272" i="15"/>
  <c r="H561" i="15"/>
  <c r="H60" i="15"/>
  <c r="H188" i="15"/>
  <c r="H85" i="15"/>
  <c r="H299" i="15"/>
  <c r="H91" i="15"/>
  <c r="H255" i="15"/>
  <c r="H398" i="15"/>
  <c r="H672" i="15"/>
  <c r="H597" i="15"/>
  <c r="H507" i="15"/>
  <c r="H62" i="15"/>
  <c r="H190" i="15"/>
  <c r="H319" i="15"/>
  <c r="H344" i="15"/>
  <c r="H79" i="15"/>
  <c r="H376" i="15"/>
  <c r="H441" i="15"/>
  <c r="H93" i="15"/>
  <c r="H291" i="15"/>
  <c r="H419" i="15"/>
  <c r="H385" i="15"/>
  <c r="H449" i="15"/>
  <c r="H397" i="15"/>
  <c r="H565" i="15"/>
  <c r="H357" i="15"/>
  <c r="H413" i="15"/>
  <c r="H304" i="15"/>
  <c r="H384" i="15"/>
  <c r="H581" i="15"/>
  <c r="H38" i="15"/>
  <c r="H166" i="15"/>
  <c r="H35" i="15"/>
  <c r="H375" i="15"/>
  <c r="H396" i="15"/>
  <c r="H259" i="15"/>
  <c r="H386" i="15"/>
  <c r="H439" i="15"/>
  <c r="H514" i="15"/>
  <c r="H642" i="15"/>
  <c r="H269" i="15"/>
  <c r="H310" i="15"/>
  <c r="H438" i="15"/>
  <c r="H51" i="15"/>
  <c r="H629" i="15"/>
  <c r="H558" i="15"/>
  <c r="H686" i="15"/>
  <c r="H707" i="15"/>
  <c r="H347" i="15"/>
  <c r="H512" i="15"/>
  <c r="H491" i="15"/>
  <c r="H598" i="15"/>
  <c r="H34" i="15"/>
  <c r="H162" i="15"/>
  <c r="H31" i="15"/>
  <c r="H282" i="15"/>
  <c r="H74" i="15"/>
  <c r="H202" i="15"/>
  <c r="H534" i="15"/>
  <c r="H215" i="15"/>
  <c r="H81" i="15"/>
  <c r="H273" i="15"/>
  <c r="H572" i="15"/>
  <c r="H700" i="15"/>
  <c r="H229" i="15"/>
  <c r="H128" i="15"/>
  <c r="H525" i="15"/>
  <c r="H584" i="15"/>
  <c r="H519" i="15"/>
  <c r="H535" i="15"/>
  <c r="H621" i="15"/>
  <c r="H102" i="15"/>
  <c r="H230" i="15"/>
  <c r="H295" i="15"/>
  <c r="H71" i="15"/>
  <c r="H563" i="15"/>
  <c r="H231" i="15"/>
  <c r="H364" i="15"/>
  <c r="H450" i="15"/>
  <c r="H578" i="15"/>
  <c r="H13" i="15"/>
  <c r="H247" i="15"/>
  <c r="H374" i="15"/>
  <c r="H435" i="15"/>
  <c r="H395" i="15"/>
  <c r="H494" i="15"/>
  <c r="H622" i="15"/>
  <c r="H306" i="15"/>
  <c r="H353" i="15"/>
  <c r="H292" i="15"/>
  <c r="H576" i="15"/>
  <c r="H251" i="15"/>
  <c r="H662" i="15"/>
  <c r="H98" i="15"/>
  <c r="H226" i="15"/>
  <c r="H456" i="15"/>
  <c r="H10" i="15"/>
  <c r="H138" i="15"/>
  <c r="H266" i="15"/>
  <c r="H579" i="15"/>
  <c r="H368" i="15"/>
  <c r="H161" i="15"/>
  <c r="H508" i="15"/>
  <c r="H636" i="15"/>
  <c r="H641" i="15"/>
  <c r="H64" i="15"/>
  <c r="H192" i="15"/>
  <c r="H106" i="15"/>
  <c r="H412" i="15"/>
  <c r="H314" i="15"/>
  <c r="H276" i="15"/>
  <c r="H674" i="15"/>
  <c r="H198" i="15"/>
  <c r="H300" i="15"/>
  <c r="H222" i="15"/>
  <c r="H331" i="15"/>
  <c r="H378" i="15"/>
  <c r="H168" i="15"/>
  <c r="H265" i="15"/>
  <c r="H23" i="15"/>
  <c r="H317" i="15"/>
  <c r="H454" i="15"/>
  <c r="H502" i="15"/>
  <c r="H654" i="15"/>
  <c r="H467" i="15"/>
  <c r="H338" i="15"/>
  <c r="H610" i="15"/>
  <c r="H134" i="15"/>
  <c r="H387" i="15"/>
  <c r="H158" i="15"/>
  <c r="H277" i="15"/>
  <c r="H175" i="15"/>
  <c r="H104" i="15"/>
  <c r="H201" i="15"/>
  <c r="H550" i="15"/>
  <c r="H695" i="15"/>
  <c r="H437" i="15"/>
  <c r="H297" i="15"/>
  <c r="H444" i="15"/>
  <c r="H476" i="15"/>
  <c r="H653" i="15"/>
  <c r="H207" i="15"/>
  <c r="H430" i="15"/>
  <c r="H586" i="15"/>
  <c r="H564" i="15"/>
  <c r="H196" i="15"/>
  <c r="H465" i="15"/>
  <c r="H242" i="15"/>
  <c r="H638" i="15"/>
  <c r="H466" i="15"/>
  <c r="H611" i="15"/>
  <c r="H262" i="15"/>
  <c r="H285" i="15"/>
  <c r="H287" i="15"/>
  <c r="H356" i="15"/>
  <c r="H442" i="15"/>
  <c r="H232" i="15"/>
  <c r="H313" i="15"/>
  <c r="H448" i="15"/>
  <c r="H614" i="15"/>
  <c r="H115" i="15"/>
  <c r="H460" i="15"/>
  <c r="H589" i="15"/>
  <c r="H143" i="15"/>
  <c r="H624" i="15"/>
  <c r="H634" i="15"/>
  <c r="H612" i="15"/>
  <c r="H244" i="15"/>
  <c r="H392" i="15"/>
  <c r="H49" i="15"/>
  <c r="H377" i="15"/>
  <c r="H257" i="15"/>
  <c r="H274" i="15"/>
  <c r="H290" i="15"/>
  <c r="H539" i="15"/>
  <c r="H517" i="15"/>
  <c r="H671" i="15"/>
  <c r="H527" i="15"/>
  <c r="H495" i="15"/>
  <c r="H701" i="15"/>
  <c r="H173" i="15"/>
  <c r="H32" i="15"/>
  <c r="H135" i="15"/>
  <c r="H664" i="15"/>
  <c r="H235" i="15"/>
  <c r="H414" i="15"/>
  <c r="H570" i="15"/>
  <c r="H548" i="15"/>
  <c r="H180" i="15"/>
  <c r="H410" i="15"/>
  <c r="H200" i="15"/>
  <c r="H351" i="15"/>
  <c r="H145" i="15"/>
  <c r="H210" i="15"/>
  <c r="H670" i="15"/>
  <c r="H562" i="15"/>
  <c r="H86" i="15"/>
  <c r="H29" i="15"/>
  <c r="H445" i="15"/>
  <c r="H172" i="15"/>
  <c r="H651" i="15"/>
  <c r="H461" i="15"/>
  <c r="H224" i="15"/>
  <c r="H39" i="15"/>
  <c r="H320" i="15"/>
  <c r="H471" i="15"/>
  <c r="H350" i="15"/>
  <c r="H506" i="15"/>
  <c r="H484" i="15"/>
  <c r="H116" i="15"/>
  <c r="H346" i="15"/>
  <c r="H136" i="15"/>
  <c r="H233" i="15"/>
  <c r="H33" i="15"/>
  <c r="H646" i="15"/>
  <c r="H243" i="15"/>
  <c r="H370" i="15"/>
  <c r="H595" i="15"/>
  <c r="H485" i="15"/>
  <c r="H543" i="15"/>
  <c r="H108" i="15"/>
  <c r="H649" i="15"/>
  <c r="H511" i="15"/>
  <c r="H160" i="15"/>
  <c r="H67" i="15"/>
  <c r="H529" i="15"/>
  <c r="H468" i="15"/>
  <c r="H286" i="15"/>
  <c r="H440" i="15"/>
  <c r="H383" i="15"/>
  <c r="H52" i="15"/>
  <c r="H47" i="15"/>
  <c r="H524" i="15"/>
  <c r="H7" i="15"/>
  <c r="H382" i="15"/>
  <c r="H148" i="15"/>
  <c r="H248" i="15"/>
  <c r="H123" i="15"/>
  <c r="H141" i="15"/>
  <c r="H194" i="15"/>
  <c r="H590" i="15"/>
  <c r="H681" i="15"/>
  <c r="H493" i="15"/>
  <c r="H221" i="15"/>
  <c r="H607" i="15"/>
  <c r="H220" i="15"/>
  <c r="H407" i="15"/>
  <c r="H669" i="15"/>
  <c r="H9" i="15"/>
  <c r="H154" i="15"/>
  <c r="H308" i="15"/>
  <c r="H333" i="15"/>
  <c r="H411" i="15"/>
  <c r="H482" i="15"/>
  <c r="H130" i="15"/>
  <c r="H526" i="15"/>
  <c r="H499" i="15"/>
  <c r="H631" i="15"/>
  <c r="H677" i="15"/>
  <c r="H404" i="15"/>
  <c r="H156" i="15"/>
  <c r="H603" i="15"/>
  <c r="H647" i="15"/>
  <c r="H208" i="15"/>
  <c r="H90" i="15"/>
  <c r="H363" i="15"/>
  <c r="H55" i="15"/>
  <c r="H66" i="15"/>
  <c r="H119" i="15"/>
  <c r="H163" i="15"/>
  <c r="H488" i="15"/>
  <c r="H367" i="15"/>
  <c r="H219" i="15"/>
  <c r="H657" i="15"/>
  <c r="H193" i="15"/>
  <c r="H473" i="15"/>
  <c r="H432" i="15"/>
  <c r="H678" i="15"/>
  <c r="H293" i="15"/>
  <c r="H159" i="15"/>
  <c r="H406" i="15"/>
  <c r="H6" i="15"/>
  <c r="H211" i="15"/>
  <c r="H30" i="15"/>
  <c r="H21" i="15"/>
  <c r="H203" i="15"/>
  <c r="H470" i="15"/>
  <c r="H73" i="15"/>
  <c r="H218" i="15"/>
  <c r="H528" i="15"/>
  <c r="H326" i="15"/>
  <c r="H99" i="15"/>
  <c r="H380" i="15"/>
  <c r="H335" i="15"/>
  <c r="H63" i="15"/>
  <c r="H479" i="15"/>
  <c r="H481" i="15"/>
  <c r="H665" i="15"/>
  <c r="H305" i="15"/>
  <c r="H8" i="15"/>
  <c r="H105" i="15"/>
  <c r="H480" i="15"/>
  <c r="H82" i="15"/>
  <c r="H478" i="15"/>
  <c r="H195" i="15"/>
  <c r="H288" i="15"/>
  <c r="H107" i="15"/>
  <c r="H318" i="15"/>
  <c r="H474" i="15"/>
  <c r="H361" i="15"/>
  <c r="H84" i="15"/>
  <c r="H604" i="15"/>
  <c r="H246" i="15"/>
  <c r="H348" i="15"/>
  <c r="H270" i="15"/>
  <c r="H155" i="15"/>
  <c r="H625" i="15"/>
  <c r="H177" i="15"/>
  <c r="H425" i="15"/>
  <c r="H75" i="15"/>
  <c r="H615" i="15"/>
  <c r="H41" i="15"/>
  <c r="H151" i="15"/>
  <c r="H18" i="15"/>
  <c r="H487" i="15"/>
  <c r="H434" i="15"/>
  <c r="H400" i="15"/>
  <c r="H420" i="15"/>
  <c r="H656" i="15"/>
  <c r="H666" i="15"/>
  <c r="H644" i="15"/>
  <c r="H45" i="15"/>
  <c r="H101" i="15"/>
  <c r="H391" i="15"/>
  <c r="H600" i="15"/>
  <c r="H360" i="15"/>
  <c r="H340" i="15"/>
  <c r="H426" i="15"/>
  <c r="H216" i="15"/>
  <c r="H431" i="15"/>
  <c r="H619" i="15"/>
  <c r="H541" i="15"/>
  <c r="H240" i="15"/>
  <c r="H582" i="15"/>
  <c r="H560" i="15"/>
  <c r="H422" i="15"/>
  <c r="H263" i="15"/>
  <c r="H696" i="15"/>
  <c r="H267" i="15"/>
  <c r="H446" i="15"/>
  <c r="H602" i="15"/>
  <c r="H580" i="15"/>
  <c r="H212" i="15"/>
  <c r="H513" i="15"/>
  <c r="H311" i="15"/>
  <c r="H536" i="15"/>
  <c r="H296" i="15"/>
  <c r="H315" i="15"/>
  <c r="H362" i="15"/>
  <c r="H152" i="15"/>
  <c r="H249" i="15"/>
  <c r="H697" i="15"/>
  <c r="H551" i="15"/>
  <c r="H176" i="15"/>
  <c r="H518" i="15"/>
  <c r="H496" i="15"/>
  <c r="H690" i="15"/>
  <c r="H214" i="15"/>
  <c r="H303" i="15"/>
  <c r="H329" i="15"/>
  <c r="H42" i="15"/>
  <c r="H87" i="15"/>
  <c r="H630" i="15"/>
  <c r="H179" i="15"/>
  <c r="H103" i="15"/>
  <c r="H336" i="15"/>
  <c r="H571" i="15"/>
  <c r="H704" i="15"/>
  <c r="H447" i="15"/>
  <c r="H692" i="15"/>
  <c r="H125" i="15"/>
  <c r="H16" i="15"/>
  <c r="H472" i="15"/>
  <c r="H322" i="15"/>
  <c r="H594" i="15"/>
  <c r="H59" i="15"/>
  <c r="H566" i="15"/>
  <c r="H381" i="15"/>
  <c r="H309" i="15"/>
  <c r="H131" i="15"/>
  <c r="H593" i="15"/>
  <c r="H587" i="15"/>
  <c r="H640" i="15"/>
  <c r="H650" i="15"/>
  <c r="H628" i="15"/>
  <c r="H260" i="15"/>
  <c r="H37" i="15"/>
  <c r="H95" i="15"/>
  <c r="H702" i="15"/>
  <c r="H530" i="15"/>
  <c r="H459" i="15"/>
  <c r="H546" i="15"/>
  <c r="H70" i="15"/>
  <c r="H323" i="15"/>
  <c r="H94" i="15"/>
  <c r="H149" i="15"/>
  <c r="H369" i="15"/>
  <c r="H40" i="15"/>
  <c r="H137" i="15"/>
  <c r="H486" i="15"/>
  <c r="H592" i="15"/>
  <c r="H390" i="15"/>
  <c r="H464" i="15"/>
  <c r="H354" i="15"/>
  <c r="H416" i="15"/>
  <c r="H181" i="15"/>
  <c r="H453" i="15"/>
  <c r="H28" i="15"/>
  <c r="H505" i="15"/>
  <c r="H253" i="15"/>
  <c r="H80" i="15"/>
  <c r="H298" i="15"/>
  <c r="H523" i="15"/>
  <c r="H658" i="15"/>
  <c r="H54" i="15"/>
  <c r="H307" i="15"/>
  <c r="H78" i="15"/>
  <c r="H261" i="15"/>
  <c r="H111" i="15"/>
  <c r="H88" i="15"/>
  <c r="H185" i="15"/>
  <c r="H569" i="15"/>
  <c r="H365" i="15"/>
  <c r="H112" i="15"/>
  <c r="H637" i="15"/>
  <c r="H187" i="15"/>
  <c r="H294" i="15"/>
  <c r="H359" i="15"/>
  <c r="H316" i="15"/>
  <c r="H238" i="15"/>
  <c r="H379" i="15"/>
  <c r="H394" i="15"/>
  <c r="H184" i="15"/>
  <c r="H281" i="15"/>
  <c r="H113" i="15"/>
  <c r="H685" i="15"/>
  <c r="H147" i="15"/>
  <c r="H14" i="15"/>
  <c r="H133" i="15"/>
  <c r="H321" i="15"/>
  <c r="H24" i="15"/>
  <c r="H121" i="15"/>
  <c r="H679" i="15"/>
  <c r="H189" i="15"/>
  <c r="H48" i="15"/>
  <c r="H250" i="15"/>
  <c r="H469" i="15"/>
  <c r="H706" i="15"/>
  <c r="H475" i="15"/>
  <c r="H515" i="15"/>
  <c r="H328" i="15"/>
  <c r="H191" i="15"/>
  <c r="H627" i="15"/>
  <c r="H609" i="15"/>
  <c r="H20" i="15"/>
  <c r="H540" i="15"/>
  <c r="H182" i="15"/>
  <c r="H284" i="15"/>
  <c r="H206" i="15"/>
  <c r="H5" i="15"/>
  <c r="H139" i="15"/>
  <c r="H663" i="15"/>
  <c r="H57" i="15"/>
  <c r="H660" i="15"/>
  <c r="H61" i="15"/>
  <c r="H165" i="15"/>
  <c r="H186" i="15"/>
  <c r="H289" i="15"/>
  <c r="H205" i="15"/>
  <c r="H278" i="15"/>
  <c r="H504" i="15"/>
  <c r="H399" i="15"/>
  <c r="H325" i="15"/>
  <c r="H689" i="15"/>
  <c r="H241" i="15"/>
  <c r="H537" i="15"/>
  <c r="H401" i="15"/>
  <c r="H118" i="15"/>
  <c r="H371" i="15"/>
  <c r="H142" i="15"/>
  <c r="H204" i="15"/>
  <c r="H343" i="15"/>
  <c r="H605" i="15"/>
  <c r="H618" i="15"/>
  <c r="H596" i="15"/>
  <c r="H228" i="15"/>
  <c r="H577" i="15"/>
  <c r="H122" i="15"/>
  <c r="H451" i="15"/>
  <c r="H455" i="15"/>
  <c r="H557" i="15"/>
  <c r="H268" i="15"/>
  <c r="H46" i="15"/>
  <c r="H69" i="15"/>
  <c r="H264" i="15"/>
  <c r="H683" i="15"/>
  <c r="H89" i="15"/>
  <c r="H97" i="15"/>
  <c r="H169" i="15"/>
  <c r="H372" i="15"/>
  <c r="H632" i="15"/>
  <c r="H538" i="15"/>
  <c r="H668" i="15"/>
  <c r="H349" i="15"/>
  <c r="H443" i="15"/>
  <c r="H667" i="15"/>
  <c r="H234" i="15"/>
  <c r="H544" i="15"/>
  <c r="H342" i="15"/>
  <c r="H423" i="15"/>
  <c r="H616" i="15"/>
  <c r="H43" i="15"/>
  <c r="H302" i="15"/>
  <c r="H458" i="15"/>
  <c r="H345" i="15"/>
  <c r="H68" i="15"/>
  <c r="H337" i="15"/>
  <c r="H114" i="15"/>
  <c r="H510" i="15"/>
  <c r="H428" i="15"/>
  <c r="H694" i="15"/>
  <c r="H170" i="15"/>
  <c r="H324" i="15"/>
  <c r="H275" i="15"/>
  <c r="H327" i="15"/>
  <c r="H552" i="15"/>
  <c r="H312" i="15"/>
  <c r="H127" i="15"/>
  <c r="H531" i="15"/>
  <c r="H545" i="15"/>
  <c r="H4" i="15"/>
  <c r="I4" i="15" s="1"/>
  <c r="H209" i="15"/>
  <c r="H50" i="15"/>
  <c r="H693" i="15"/>
  <c r="H402" i="15"/>
  <c r="H462" i="15"/>
  <c r="H418" i="15"/>
  <c r="H687" i="15"/>
  <c r="H405" i="15"/>
  <c r="H436" i="15"/>
  <c r="H92" i="15"/>
  <c r="H633" i="15"/>
  <c r="H705" i="15"/>
  <c r="H144" i="15"/>
  <c r="H26" i="15"/>
  <c r="H417" i="15"/>
  <c r="H77" i="15"/>
  <c r="H258" i="15"/>
  <c r="H199" i="15"/>
  <c r="H680" i="15"/>
  <c r="H280" i="15"/>
  <c r="H366" i="15"/>
  <c r="H522" i="15"/>
  <c r="H500" i="15"/>
  <c r="H132" i="15"/>
  <c r="H652" i="15"/>
  <c r="H178" i="15"/>
  <c r="H574" i="15"/>
  <c r="H617" i="15"/>
  <c r="H463" i="15"/>
  <c r="H341" i="15"/>
  <c r="H661" i="15"/>
  <c r="H140" i="15"/>
  <c r="H503" i="15"/>
  <c r="H599" i="15"/>
  <c r="H554" i="15"/>
  <c r="H532" i="15"/>
  <c r="H164" i="15"/>
  <c r="H684" i="15"/>
  <c r="H58" i="15"/>
  <c r="H427" i="15"/>
  <c r="H626" i="15"/>
  <c r="H150" i="15"/>
  <c r="H19" i="15"/>
  <c r="H655" i="15"/>
  <c r="H236" i="15"/>
  <c r="H11" i="15"/>
  <c r="H567" i="15"/>
  <c r="H25" i="15"/>
  <c r="H279" i="15"/>
  <c r="H659" i="15"/>
  <c r="H117" i="15"/>
  <c r="H623" i="15"/>
  <c r="H76" i="15"/>
  <c r="H585" i="15"/>
  <c r="H429" i="15"/>
  <c r="H490" i="15"/>
  <c r="H409" i="15"/>
  <c r="H100" i="15"/>
  <c r="H620" i="15"/>
  <c r="H330" i="15"/>
  <c r="H675" i="15"/>
  <c r="H183" i="15"/>
  <c r="H227" i="15"/>
  <c r="H403" i="15"/>
  <c r="H174" i="15"/>
  <c r="H283" i="15"/>
  <c r="H239" i="15"/>
  <c r="H120" i="15"/>
  <c r="H217" i="15"/>
  <c r="H17" i="15"/>
  <c r="H645" i="15"/>
  <c r="H157" i="15"/>
  <c r="H559" i="15"/>
  <c r="H12" i="15"/>
  <c r="H457" i="15"/>
  <c r="H237" i="15"/>
  <c r="H388" i="15"/>
  <c r="H673" i="15"/>
  <c r="H36" i="15"/>
  <c r="H556" i="15"/>
  <c r="H483" i="15"/>
  <c r="H606" i="15"/>
  <c r="H498" i="15"/>
  <c r="H22" i="15"/>
  <c r="H339" i="15"/>
  <c r="H110" i="15"/>
  <c r="H197" i="15"/>
  <c r="H433" i="15"/>
  <c r="H56" i="15"/>
  <c r="H153" i="15"/>
  <c r="H588" i="15"/>
  <c r="H583" i="15"/>
  <c r="H613" i="15"/>
  <c r="H639" i="15"/>
  <c r="H698" i="15"/>
  <c r="H676" i="15"/>
  <c r="H109" i="15"/>
  <c r="H408" i="15"/>
  <c r="H699" i="15"/>
  <c r="H601" i="15"/>
  <c r="H492" i="15"/>
  <c r="H223" i="15"/>
  <c r="H542" i="15"/>
  <c r="H167" i="15"/>
  <c r="H352" i="15"/>
  <c r="H245" i="15"/>
  <c r="H533" i="15"/>
  <c r="H44" i="15"/>
  <c r="H521" i="15"/>
  <c r="H301" i="15"/>
  <c r="H96" i="15"/>
  <c r="H72" i="15"/>
  <c r="H358" i="15"/>
  <c r="H15" i="15"/>
  <c r="H516" i="15"/>
  <c r="H27" i="15"/>
  <c r="H225" i="15"/>
  <c r="H1351" i="15"/>
  <c r="H1350" i="15"/>
  <c r="H1349" i="15"/>
  <c r="H1348" i="15"/>
  <c r="H1347" i="15"/>
  <c r="H256" i="15"/>
  <c r="H682" i="15"/>
  <c r="T37" i="17"/>
  <c r="T29" i="17"/>
  <c r="T39" i="17"/>
  <c r="T13" i="17"/>
  <c r="T15" i="17"/>
  <c r="T21" i="17"/>
  <c r="T38" i="17"/>
  <c r="T40" i="17"/>
  <c r="T14" i="17"/>
  <c r="T27" i="17"/>
  <c r="T7" i="17"/>
  <c r="T8" i="17"/>
  <c r="T17" i="17"/>
  <c r="T34" i="17"/>
  <c r="T23" i="17"/>
  <c r="T9" i="17"/>
  <c r="T5" i="17"/>
  <c r="T20" i="17"/>
  <c r="T10" i="17"/>
  <c r="V7" i="17"/>
  <c r="V24" i="17"/>
  <c r="T36" i="17"/>
  <c r="T30" i="17"/>
  <c r="T41" i="17"/>
  <c r="T42" i="17"/>
  <c r="T22" i="17"/>
  <c r="T18" i="17"/>
  <c r="T19" i="17"/>
  <c r="T31" i="17"/>
  <c r="T4" i="17"/>
  <c r="T25" i="17"/>
  <c r="T16" i="17"/>
  <c r="T12" i="17"/>
  <c r="T11" i="17"/>
  <c r="T32" i="17"/>
  <c r="T35" i="17"/>
  <c r="T26" i="17"/>
  <c r="T28" i="17"/>
  <c r="T24" i="17"/>
  <c r="V14" i="17"/>
  <c r="V4" i="17"/>
  <c r="V32" i="17"/>
  <c r="V21" i="17"/>
  <c r="V13" i="17"/>
  <c r="V15" i="17"/>
  <c r="V18" i="17"/>
  <c r="V8" i="17"/>
  <c r="V19" i="17"/>
  <c r="V31" i="17"/>
  <c r="V33" i="17"/>
  <c r="V5" i="17"/>
  <c r="V30" i="17"/>
  <c r="V20" i="17"/>
  <c r="V27" i="17"/>
  <c r="V37" i="17"/>
  <c r="V29" i="17"/>
  <c r="V23" i="17"/>
  <c r="V34" i="17"/>
  <c r="V6" i="17"/>
  <c r="V41" i="17"/>
  <c r="V39" i="17"/>
  <c r="V25" i="17"/>
  <c r="V9" i="17"/>
  <c r="V12" i="17"/>
  <c r="V35" i="17"/>
  <c r="V36" i="17"/>
  <c r="V38" i="17"/>
  <c r="V40" i="17"/>
  <c r="V42" i="17"/>
  <c r="V17" i="17"/>
  <c r="V16" i="17"/>
  <c r="V10" i="17"/>
  <c r="V26" i="17"/>
  <c r="V22" i="17"/>
  <c r="V28" i="17"/>
  <c r="V11" i="17"/>
  <c r="T6" i="17"/>
  <c r="I1863" i="15" l="1"/>
  <c r="I3" i="15"/>
  <c r="I516" i="15"/>
  <c r="I256" i="15"/>
  <c r="I96" i="15"/>
  <c r="I36" i="15"/>
  <c r="I14" i="15"/>
  <c r="I1350" i="15"/>
  <c r="I19" i="15"/>
  <c r="I12" i="15"/>
  <c r="I11" i="15"/>
  <c r="I533" i="15"/>
  <c r="I197" i="15"/>
  <c r="I645" i="15"/>
  <c r="I620" i="15"/>
  <c r="I58" i="15"/>
  <c r="I500" i="15"/>
  <c r="I687" i="15"/>
  <c r="I170" i="15"/>
  <c r="I667" i="15"/>
  <c r="I455" i="15"/>
  <c r="I1348" i="15"/>
  <c r="I358" i="15"/>
  <c r="I352" i="15"/>
  <c r="I109" i="15"/>
  <c r="I613" i="15"/>
  <c r="I56" i="15"/>
  <c r="I339" i="15"/>
  <c r="I483" i="15"/>
  <c r="I388" i="15"/>
  <c r="I559" i="15"/>
  <c r="I217" i="15"/>
  <c r="I174" i="15"/>
  <c r="I675" i="15"/>
  <c r="I409" i="15"/>
  <c r="I76" i="15"/>
  <c r="I279" i="15"/>
  <c r="I236" i="15"/>
  <c r="I626" i="15"/>
  <c r="I164" i="15"/>
  <c r="I503" i="15"/>
  <c r="I463" i="15"/>
  <c r="I652" i="15"/>
  <c r="I366" i="15"/>
  <c r="I258" i="15"/>
  <c r="I144" i="15"/>
  <c r="I436" i="15"/>
  <c r="I462" i="15"/>
  <c r="I209" i="15"/>
  <c r="I127" i="15"/>
  <c r="I275" i="15"/>
  <c r="I428" i="15"/>
  <c r="I68" i="15"/>
  <c r="I43" i="15"/>
  <c r="I544" i="15"/>
  <c r="I349" i="15"/>
  <c r="I372" i="15"/>
  <c r="I683" i="15"/>
  <c r="I268" i="15"/>
  <c r="I122" i="15"/>
  <c r="I618" i="15"/>
  <c r="I142" i="15"/>
  <c r="I537" i="15"/>
  <c r="I399" i="15"/>
  <c r="I289" i="15"/>
  <c r="I660" i="15"/>
  <c r="I5" i="15"/>
  <c r="I540" i="15"/>
  <c r="I191" i="15"/>
  <c r="I706" i="15"/>
  <c r="I189" i="15"/>
  <c r="I321" i="15"/>
  <c r="I685" i="15"/>
  <c r="I394" i="15"/>
  <c r="I359" i="15"/>
  <c r="I112" i="15"/>
  <c r="I88" i="15"/>
  <c r="I307" i="15"/>
  <c r="I298" i="15"/>
  <c r="I28" i="15"/>
  <c r="I354" i="15"/>
  <c r="I486" i="15"/>
  <c r="I149" i="15"/>
  <c r="I546" i="15"/>
  <c r="I95" i="15"/>
  <c r="I650" i="15"/>
  <c r="I131" i="15"/>
  <c r="I59" i="15"/>
  <c r="I16" i="15"/>
  <c r="I704" i="15"/>
  <c r="I179" i="15"/>
  <c r="I329" i="15"/>
  <c r="I496" i="15"/>
  <c r="I697" i="15"/>
  <c r="I315" i="15"/>
  <c r="I513" i="15"/>
  <c r="I446" i="15"/>
  <c r="I422" i="15"/>
  <c r="I541" i="15"/>
  <c r="I426" i="15"/>
  <c r="I391" i="15"/>
  <c r="I666" i="15"/>
  <c r="I434" i="15"/>
  <c r="I41" i="15"/>
  <c r="I177" i="15"/>
  <c r="I348" i="15"/>
  <c r="I361" i="15"/>
  <c r="I288" i="15"/>
  <c r="I480" i="15"/>
  <c r="I665" i="15"/>
  <c r="I335" i="15"/>
  <c r="I528" i="15"/>
  <c r="I203" i="15"/>
  <c r="I6" i="15"/>
  <c r="I678" i="15"/>
  <c r="I657" i="15"/>
  <c r="I163" i="15"/>
  <c r="I363" i="15"/>
  <c r="I603" i="15"/>
  <c r="I631" i="15"/>
  <c r="I482" i="15"/>
  <c r="I154" i="15"/>
  <c r="I220" i="15"/>
  <c r="I681" i="15"/>
  <c r="I123" i="15"/>
  <c r="I7" i="15"/>
  <c r="I383" i="15"/>
  <c r="I529" i="15"/>
  <c r="I649" i="15"/>
  <c r="I595" i="15"/>
  <c r="I33" i="15"/>
  <c r="I116" i="15"/>
  <c r="I471" i="15"/>
  <c r="I461" i="15"/>
  <c r="I29" i="15"/>
  <c r="I210" i="15"/>
  <c r="I410" i="15"/>
  <c r="I414" i="15"/>
  <c r="I32" i="15"/>
  <c r="I527" i="15"/>
  <c r="I290" i="15"/>
  <c r="I49" i="15"/>
  <c r="I634" i="15"/>
  <c r="I460" i="15"/>
  <c r="I313" i="15"/>
  <c r="I287" i="15"/>
  <c r="I466" i="15"/>
  <c r="I196" i="15"/>
  <c r="I207" i="15"/>
  <c r="I297" i="15"/>
  <c r="I201" i="15"/>
  <c r="I158" i="15"/>
  <c r="I338" i="15"/>
  <c r="I454" i="15"/>
  <c r="I168" i="15"/>
  <c r="I300" i="15"/>
  <c r="I314" i="15"/>
  <c r="I64" i="15"/>
  <c r="I161" i="15"/>
  <c r="I138" i="15"/>
  <c r="I98" i="15"/>
  <c r="I292" i="15"/>
  <c r="I494" i="15"/>
  <c r="I247" i="15"/>
  <c r="I364" i="15"/>
  <c r="I295" i="15"/>
  <c r="I535" i="15"/>
  <c r="I128" i="15"/>
  <c r="I273" i="15"/>
  <c r="I202" i="15"/>
  <c r="I162" i="15"/>
  <c r="I512" i="15"/>
  <c r="I558" i="15"/>
  <c r="I310" i="15"/>
  <c r="I439" i="15"/>
  <c r="I375" i="15"/>
  <c r="I581" i="15"/>
  <c r="I357" i="15"/>
  <c r="I385" i="15"/>
  <c r="I441" i="15"/>
  <c r="I319" i="15"/>
  <c r="I597" i="15"/>
  <c r="I91" i="15"/>
  <c r="I60" i="15"/>
  <c r="I573" i="15"/>
  <c r="I129" i="15"/>
  <c r="I65" i="15"/>
  <c r="I355" i="15"/>
  <c r="I452" i="15"/>
  <c r="I126" i="15"/>
  <c r="I608" i="15"/>
  <c r="I213" i="15"/>
  <c r="I393" i="15"/>
  <c r="I643" i="15"/>
  <c r="I1420" i="15"/>
  <c r="I1550" i="15"/>
  <c r="I1621" i="15"/>
  <c r="I1211" i="15"/>
  <c r="I1488" i="15"/>
  <c r="I1202" i="15"/>
  <c r="I1586" i="15"/>
  <c r="I873" i="15"/>
  <c r="I1084" i="15"/>
  <c r="I1775" i="15"/>
  <c r="I1117" i="15"/>
  <c r="I1184" i="15"/>
  <c r="I1197" i="15"/>
  <c r="I778" i="15"/>
  <c r="I1244" i="15"/>
  <c r="I1495" i="15"/>
  <c r="I1691" i="15"/>
  <c r="I1455" i="15"/>
  <c r="I1651" i="15"/>
  <c r="I1392" i="15"/>
  <c r="I1149" i="15"/>
  <c r="I1844" i="15"/>
  <c r="I1384" i="15"/>
  <c r="I1519" i="15"/>
  <c r="I1173" i="15"/>
  <c r="I1258" i="15"/>
  <c r="I1215" i="15"/>
  <c r="I1374" i="15"/>
  <c r="I1146" i="15"/>
  <c r="I943" i="15"/>
  <c r="I859" i="15"/>
  <c r="I1135" i="15"/>
  <c r="I1793" i="15"/>
  <c r="I1397" i="15"/>
  <c r="I746" i="15"/>
  <c r="I947" i="15"/>
  <c r="I1371" i="15"/>
  <c r="I1764" i="15"/>
  <c r="I1797" i="15"/>
  <c r="I938" i="15"/>
  <c r="I908" i="15"/>
  <c r="I1569" i="15"/>
  <c r="I1842" i="15"/>
  <c r="I1452" i="15"/>
  <c r="I1598" i="15"/>
  <c r="I1212" i="15"/>
  <c r="I905" i="15"/>
  <c r="I1077" i="15"/>
  <c r="I1475" i="15"/>
  <c r="I1467" i="15"/>
  <c r="I777" i="15"/>
  <c r="I989" i="15"/>
  <c r="I966" i="15"/>
  <c r="I864" i="15"/>
  <c r="I954" i="15"/>
  <c r="I1699" i="15"/>
  <c r="I1206" i="15"/>
  <c r="I916" i="15"/>
  <c r="I1164" i="15"/>
  <c r="I1624" i="15"/>
  <c r="I897" i="15"/>
  <c r="I1329" i="15"/>
  <c r="I857" i="15"/>
  <c r="I715" i="15"/>
  <c r="I1644" i="15"/>
  <c r="I804" i="15"/>
  <c r="I1092" i="15"/>
  <c r="I786" i="15"/>
  <c r="I921" i="15"/>
  <c r="I1464" i="15"/>
  <c r="I1819" i="15"/>
  <c r="I1249" i="15"/>
  <c r="I1601" i="15"/>
  <c r="I1070" i="15"/>
  <c r="I753" i="15"/>
  <c r="I1743" i="15"/>
  <c r="I1754" i="15"/>
  <c r="I1506" i="15"/>
  <c r="I1758" i="15"/>
  <c r="I1132" i="15"/>
  <c r="I1028" i="15"/>
  <c r="I1725" i="15"/>
  <c r="I1423" i="15"/>
  <c r="I1499" i="15"/>
  <c r="I1683" i="15"/>
  <c r="I946" i="15"/>
  <c r="I1037" i="15"/>
  <c r="I1478" i="15"/>
  <c r="I1729" i="15"/>
  <c r="I1507" i="15"/>
  <c r="I748" i="15"/>
  <c r="I1009" i="15"/>
  <c r="I1214" i="15"/>
  <c r="I934" i="15"/>
  <c r="I1435" i="15"/>
  <c r="I972" i="15"/>
  <c r="I910" i="15"/>
  <c r="I837" i="15"/>
  <c r="I714" i="15"/>
  <c r="I1613" i="15"/>
  <c r="I747" i="15"/>
  <c r="I1192" i="15"/>
  <c r="I935" i="15"/>
  <c r="I1213" i="15"/>
  <c r="I785" i="15"/>
  <c r="I1456" i="15"/>
  <c r="I900" i="15"/>
  <c r="I1494" i="15"/>
  <c r="I967" i="15"/>
  <c r="I1639" i="15"/>
  <c r="I1112" i="15"/>
  <c r="I698" i="15"/>
  <c r="I227" i="15"/>
  <c r="I574" i="15"/>
  <c r="I633" i="15"/>
  <c r="I552" i="15"/>
  <c r="I423" i="15"/>
  <c r="I69" i="15"/>
  <c r="I118" i="15"/>
  <c r="I225" i="15"/>
  <c r="I521" i="15"/>
  <c r="I492" i="15"/>
  <c r="I682" i="15"/>
  <c r="I1349" i="15"/>
  <c r="I27" i="15"/>
  <c r="I72" i="15"/>
  <c r="I44" i="15"/>
  <c r="I167" i="15"/>
  <c r="I601" i="15"/>
  <c r="I676" i="15"/>
  <c r="I583" i="15"/>
  <c r="I433" i="15"/>
  <c r="I22" i="15"/>
  <c r="I556" i="15"/>
  <c r="I237" i="15"/>
  <c r="I157" i="15"/>
  <c r="I120" i="15"/>
  <c r="I403" i="15"/>
  <c r="I330" i="15"/>
  <c r="I490" i="15"/>
  <c r="I623" i="15"/>
  <c r="I25" i="15"/>
  <c r="I655" i="15"/>
  <c r="I427" i="15"/>
  <c r="I532" i="15"/>
  <c r="I140" i="15"/>
  <c r="I617" i="15"/>
  <c r="I132" i="15"/>
  <c r="I280" i="15"/>
  <c r="I77" i="15"/>
  <c r="I705" i="15"/>
  <c r="I405" i="15"/>
  <c r="I402" i="15"/>
  <c r="I312" i="15"/>
  <c r="I324" i="15"/>
  <c r="I510" i="15"/>
  <c r="I345" i="15"/>
  <c r="I616" i="15"/>
  <c r="I234" i="15"/>
  <c r="I668" i="15"/>
  <c r="I169" i="15"/>
  <c r="I264" i="15"/>
  <c r="I557" i="15"/>
  <c r="I577" i="15"/>
  <c r="I605" i="15"/>
  <c r="I371" i="15"/>
  <c r="I241" i="15"/>
  <c r="I504" i="15"/>
  <c r="I186" i="15"/>
  <c r="I57" i="15"/>
  <c r="I206" i="15"/>
  <c r="I20" i="15"/>
  <c r="I328" i="15"/>
  <c r="I469" i="15"/>
  <c r="I679" i="15"/>
  <c r="I133" i="15"/>
  <c r="I113" i="15"/>
  <c r="I379" i="15"/>
  <c r="I294" i="15"/>
  <c r="I365" i="15"/>
  <c r="I111" i="15"/>
  <c r="I54" i="15"/>
  <c r="I80" i="15"/>
  <c r="I453" i="15"/>
  <c r="I464" i="15"/>
  <c r="I137" i="15"/>
  <c r="I94" i="15"/>
  <c r="I459" i="15"/>
  <c r="I37" i="15"/>
  <c r="I640" i="15"/>
  <c r="I309" i="15"/>
  <c r="I594" i="15"/>
  <c r="I125" i="15"/>
  <c r="I571" i="15"/>
  <c r="I630" i="15"/>
  <c r="I303" i="15"/>
  <c r="I518" i="15"/>
  <c r="I249" i="15"/>
  <c r="I296" i="15"/>
  <c r="I212" i="15"/>
  <c r="I267" i="15"/>
  <c r="I560" i="15"/>
  <c r="I619" i="15"/>
  <c r="I340" i="15"/>
  <c r="I101" i="15"/>
  <c r="I656" i="15"/>
  <c r="I487" i="15"/>
  <c r="I615" i="15"/>
  <c r="I625" i="15"/>
  <c r="I246" i="15"/>
  <c r="I474" i="15"/>
  <c r="I195" i="15"/>
  <c r="I105" i="15"/>
  <c r="I481" i="15"/>
  <c r="I380" i="15"/>
  <c r="I218" i="15"/>
  <c r="I21" i="15"/>
  <c r="I406" i="15"/>
  <c r="I432" i="15"/>
  <c r="I219" i="15"/>
  <c r="I119" i="15"/>
  <c r="I90" i="15"/>
  <c r="I156" i="15"/>
  <c r="I499" i="15"/>
  <c r="I411" i="15"/>
  <c r="I9" i="15"/>
  <c r="I607" i="15"/>
  <c r="I590" i="15"/>
  <c r="I248" i="15"/>
  <c r="I524" i="15"/>
  <c r="I440" i="15"/>
  <c r="I67" i="15"/>
  <c r="I108" i="15"/>
  <c r="I370" i="15"/>
  <c r="I233" i="15"/>
  <c r="I484" i="15"/>
  <c r="I320" i="15"/>
  <c r="I651" i="15"/>
  <c r="I86" i="15"/>
  <c r="I145" i="15"/>
  <c r="I180" i="15"/>
  <c r="I235" i="15"/>
  <c r="I173" i="15"/>
  <c r="I671" i="15"/>
  <c r="I274" i="15"/>
  <c r="I392" i="15"/>
  <c r="I624" i="15"/>
  <c r="I115" i="15"/>
  <c r="I232" i="15"/>
  <c r="I285" i="15"/>
  <c r="I638" i="15"/>
  <c r="I564" i="15"/>
  <c r="I653" i="15"/>
  <c r="I437" i="15"/>
  <c r="I104" i="15"/>
  <c r="I387" i="15"/>
  <c r="I467" i="15"/>
  <c r="I317" i="15"/>
  <c r="I378" i="15"/>
  <c r="I198" i="15"/>
  <c r="I412" i="15"/>
  <c r="I641" i="15"/>
  <c r="I368" i="15"/>
  <c r="I10" i="15"/>
  <c r="I662" i="15"/>
  <c r="I353" i="15"/>
  <c r="I395" i="15"/>
  <c r="I13" i="15"/>
  <c r="I231" i="15"/>
  <c r="I230" i="15"/>
  <c r="I519" i="15"/>
  <c r="I229" i="15"/>
  <c r="I81" i="15"/>
  <c r="I74" i="15"/>
  <c r="I34" i="15"/>
  <c r="I347" i="15"/>
  <c r="I629" i="15"/>
  <c r="I269" i="15"/>
  <c r="I386" i="15"/>
  <c r="I35" i="15"/>
  <c r="I384" i="15"/>
  <c r="I565" i="15"/>
  <c r="I419" i="15"/>
  <c r="I376" i="15"/>
  <c r="I190" i="15"/>
  <c r="I672" i="15"/>
  <c r="I299" i="15"/>
  <c r="I561" i="15"/>
  <c r="I635" i="15"/>
  <c r="I497" i="15"/>
  <c r="I648" i="15"/>
  <c r="I83" i="15"/>
  <c r="I171" i="15"/>
  <c r="I703" i="15"/>
  <c r="I334" i="15"/>
  <c r="I252" i="15"/>
  <c r="I477" i="15"/>
  <c r="I547" i="15"/>
  <c r="I1690" i="15"/>
  <c r="I1649" i="15"/>
  <c r="I1753" i="15"/>
  <c r="I1713" i="15"/>
  <c r="I994" i="15"/>
  <c r="I1289" i="15"/>
  <c r="I1221" i="15"/>
  <c r="I1104" i="15"/>
  <c r="I1312" i="15"/>
  <c r="I1253" i="15"/>
  <c r="I1577" i="15"/>
  <c r="I772" i="15"/>
  <c r="I1697" i="15"/>
  <c r="I1357" i="15"/>
  <c r="I1500" i="15"/>
  <c r="I988" i="15"/>
  <c r="I1559" i="15"/>
  <c r="I1418" i="15"/>
  <c r="I1292" i="15"/>
  <c r="I1730" i="15"/>
  <c r="I1401" i="15"/>
  <c r="I1615" i="15"/>
  <c r="I1626" i="15"/>
  <c r="I776" i="15"/>
  <c r="I1655" i="15"/>
  <c r="I1568" i="15"/>
  <c r="I1717" i="15"/>
  <c r="I904" i="15"/>
  <c r="I1466" i="15"/>
  <c r="I1182" i="15"/>
  <c r="I1114" i="15"/>
  <c r="I1391" i="15"/>
  <c r="I1087" i="15"/>
  <c r="I1450" i="15"/>
  <c r="I1443" i="15"/>
  <c r="I1296" i="15"/>
  <c r="I1628" i="15"/>
  <c r="I1477" i="15"/>
  <c r="I1771" i="15"/>
  <c r="I1396" i="15"/>
  <c r="I1340" i="15"/>
  <c r="I1745" i="15"/>
  <c r="I983" i="15"/>
  <c r="I928" i="15"/>
  <c r="I1736" i="15"/>
  <c r="I1716" i="15"/>
  <c r="I1136" i="15"/>
  <c r="I1756" i="15"/>
  <c r="I977" i="15"/>
  <c r="I887" i="15"/>
  <c r="I1501" i="15"/>
  <c r="I849" i="15"/>
  <c r="I866" i="15"/>
  <c r="I1159" i="15"/>
  <c r="I1572" i="15"/>
  <c r="I1848" i="15"/>
  <c r="I1785" i="15"/>
  <c r="I1111" i="15"/>
  <c r="I1662" i="15"/>
  <c r="I902" i="15"/>
  <c r="I1156" i="15"/>
  <c r="I861" i="15"/>
  <c r="I1116" i="15"/>
  <c r="I739" i="15"/>
  <c r="I1502" i="15"/>
  <c r="I1063" i="15"/>
  <c r="I1816" i="15"/>
  <c r="I1023" i="15"/>
  <c r="I1180" i="15"/>
  <c r="I745" i="15"/>
  <c r="I1597" i="15"/>
  <c r="I1747" i="15"/>
  <c r="I1525" i="15"/>
  <c r="I950" i="15"/>
  <c r="I1022" i="15"/>
  <c r="I997" i="15"/>
  <c r="I793" i="15"/>
  <c r="I1121" i="15"/>
  <c r="I1299" i="15"/>
  <c r="I1630" i="15"/>
  <c r="I815" i="15"/>
  <c r="I1029" i="15"/>
  <c r="I1154" i="15"/>
  <c r="I1015" i="15"/>
  <c r="I1407" i="15"/>
  <c r="I1453" i="15"/>
  <c r="I1395" i="15"/>
  <c r="I1762" i="15"/>
  <c r="I951" i="15"/>
  <c r="I1537" i="15"/>
  <c r="I1695" i="15"/>
  <c r="I1343" i="15"/>
  <c r="I953" i="15"/>
  <c r="I1204" i="15"/>
  <c r="I1235" i="15"/>
  <c r="I1144" i="15"/>
  <c r="I1720" i="15"/>
  <c r="I924" i="15"/>
  <c r="I1273" i="15"/>
  <c r="I973" i="15"/>
  <c r="I1417" i="15"/>
  <c r="I1648" i="15"/>
  <c r="I1518" i="15"/>
  <c r="I1618" i="15"/>
  <c r="I1527" i="15"/>
  <c r="I1701" i="15"/>
  <c r="I1153" i="15"/>
  <c r="I542" i="15"/>
  <c r="I588" i="15"/>
  <c r="I457" i="15"/>
  <c r="I429" i="15"/>
  <c r="I567" i="15"/>
  <c r="I568" i="15"/>
  <c r="I661" i="15"/>
  <c r="I417" i="15"/>
  <c r="I545" i="15"/>
  <c r="I458" i="15"/>
  <c r="I97" i="15"/>
  <c r="I343" i="15"/>
  <c r="I278" i="15"/>
  <c r="I663" i="15"/>
  <c r="I609" i="15"/>
  <c r="I250" i="15"/>
  <c r="I121" i="15"/>
  <c r="I281" i="15"/>
  <c r="I238" i="15"/>
  <c r="I187" i="15"/>
  <c r="I569" i="15"/>
  <c r="I261" i="15"/>
  <c r="I658" i="15"/>
  <c r="I253" i="15"/>
  <c r="I181" i="15"/>
  <c r="I390" i="15"/>
  <c r="I40" i="15"/>
  <c r="I323" i="15"/>
  <c r="I530" i="15"/>
  <c r="I260" i="15"/>
  <c r="I587" i="15"/>
  <c r="I381" i="15"/>
  <c r="I322" i="15"/>
  <c r="I692" i="15"/>
  <c r="I336" i="15"/>
  <c r="I87" i="15"/>
  <c r="I214" i="15"/>
  <c r="I176" i="15"/>
  <c r="I152" i="15"/>
  <c r="I536" i="15"/>
  <c r="I580" i="15"/>
  <c r="I696" i="15"/>
  <c r="I582" i="15"/>
  <c r="I431" i="15"/>
  <c r="I360" i="15"/>
  <c r="I45" i="15"/>
  <c r="I420" i="15"/>
  <c r="I18" i="15"/>
  <c r="I75" i="15"/>
  <c r="I155" i="15"/>
  <c r="I604" i="15"/>
  <c r="I318" i="15"/>
  <c r="I478" i="15"/>
  <c r="I8" i="15"/>
  <c r="I479" i="15"/>
  <c r="I99" i="15"/>
  <c r="I73" i="15"/>
  <c r="I30" i="15"/>
  <c r="I159" i="15"/>
  <c r="I473" i="15"/>
  <c r="I367" i="15"/>
  <c r="I66" i="15"/>
  <c r="I208" i="15"/>
  <c r="I404" i="15"/>
  <c r="I526" i="15"/>
  <c r="I333" i="15"/>
  <c r="I669" i="15"/>
  <c r="I221" i="15"/>
  <c r="I194" i="15"/>
  <c r="I148" i="15"/>
  <c r="I47" i="15"/>
  <c r="I286" i="15"/>
  <c r="I160" i="15"/>
  <c r="I543" i="15"/>
  <c r="I243" i="15"/>
  <c r="I136" i="15"/>
  <c r="I506" i="15"/>
  <c r="I39" i="15"/>
  <c r="I172" i="15"/>
  <c r="I562" i="15"/>
  <c r="I351" i="15"/>
  <c r="I548" i="15"/>
  <c r="I664" i="15"/>
  <c r="I701" i="15"/>
  <c r="I517" i="15"/>
  <c r="I257" i="15"/>
  <c r="I244" i="15"/>
  <c r="I143" i="15"/>
  <c r="I614" i="15"/>
  <c r="I442" i="15"/>
  <c r="I262" i="15"/>
  <c r="I242" i="15"/>
  <c r="I586" i="15"/>
  <c r="I476" i="15"/>
  <c r="I695" i="15"/>
  <c r="I175" i="15"/>
  <c r="I134" i="15"/>
  <c r="I654" i="15"/>
  <c r="I23" i="15"/>
  <c r="I331" i="15"/>
  <c r="I674" i="15"/>
  <c r="I106" i="15"/>
  <c r="I636" i="15"/>
  <c r="I579" i="15"/>
  <c r="I456" i="15"/>
  <c r="I251" i="15"/>
  <c r="I306" i="15"/>
  <c r="I435" i="15"/>
  <c r="I578" i="15"/>
  <c r="I563" i="15"/>
  <c r="I102" i="15"/>
  <c r="I584" i="15"/>
  <c r="I700" i="15"/>
  <c r="I215" i="15"/>
  <c r="I282" i="15"/>
  <c r="I598" i="15"/>
  <c r="I707" i="15"/>
  <c r="I51" i="15"/>
  <c r="I642" i="15"/>
  <c r="I259" i="15"/>
  <c r="I166" i="15"/>
  <c r="I304" i="15"/>
  <c r="I397" i="15"/>
  <c r="I291" i="15"/>
  <c r="I79" i="15"/>
  <c r="I62" i="15"/>
  <c r="I398" i="15"/>
  <c r="I85" i="15"/>
  <c r="I272" i="15"/>
  <c r="I509" i="15"/>
  <c r="I501" i="15"/>
  <c r="I520" i="15"/>
  <c r="I549" i="15"/>
  <c r="I415" i="15"/>
  <c r="I591" i="15"/>
  <c r="I389" i="15"/>
  <c r="I124" i="15"/>
  <c r="I553" i="15"/>
  <c r="I964" i="15"/>
  <c r="I1066" i="15"/>
  <c r="I1285" i="15"/>
  <c r="I1236" i="15"/>
  <c r="I1142" i="15"/>
  <c r="I1278" i="15"/>
  <c r="I1364" i="15"/>
  <c r="I1373" i="15"/>
  <c r="I783" i="15"/>
  <c r="I1468" i="15"/>
  <c r="I1416" i="15"/>
  <c r="I1433" i="15"/>
  <c r="I727" i="15"/>
  <c r="I823" i="15"/>
  <c r="I1604" i="15"/>
  <c r="I980" i="15"/>
  <c r="I1503" i="15"/>
  <c r="I940" i="15"/>
  <c r="I1047" i="15"/>
  <c r="I1790" i="15"/>
  <c r="I1732" i="15"/>
  <c r="I1175" i="15"/>
  <c r="I869" i="15"/>
  <c r="I1004" i="15"/>
  <c r="I1254" i="15"/>
  <c r="I1474" i="15"/>
  <c r="I1080" i="15"/>
  <c r="I1002" i="15"/>
  <c r="I1419" i="15"/>
  <c r="I1827" i="15"/>
  <c r="I1138" i="15"/>
  <c r="I1306" i="15"/>
  <c r="I1782" i="15"/>
  <c r="I1590" i="15"/>
  <c r="I1046" i="15"/>
  <c r="I1780" i="15"/>
  <c r="I1305" i="15"/>
  <c r="I847" i="15"/>
  <c r="I1160" i="15"/>
  <c r="I1370" i="15"/>
  <c r="I773" i="15"/>
  <c r="I816" i="15"/>
  <c r="I1270" i="15"/>
  <c r="I1238" i="15"/>
  <c r="I1168" i="15"/>
  <c r="I818" i="15"/>
  <c r="I1440" i="15"/>
  <c r="I811" i="15"/>
  <c r="I878" i="15"/>
  <c r="I1006" i="15"/>
  <c r="I1208" i="15"/>
  <c r="I813" i="15"/>
  <c r="I1575" i="15"/>
  <c r="I1516" i="15"/>
  <c r="I1479" i="15"/>
  <c r="I1209" i="15"/>
  <c r="I1295" i="15"/>
  <c r="I870" i="15"/>
  <c r="I1367" i="15"/>
  <c r="I1203" i="15"/>
  <c r="I1157" i="15"/>
  <c r="I1533" i="15"/>
  <c r="I723" i="15"/>
  <c r="I1372" i="15"/>
  <c r="I860" i="15"/>
  <c r="I1294" i="15"/>
  <c r="I1319" i="15"/>
  <c r="I1566" i="15"/>
  <c r="I1262" i="15"/>
  <c r="I1436" i="15"/>
  <c r="I1130" i="15"/>
  <c r="I768" i="15"/>
  <c r="I1039" i="15"/>
  <c r="I1738" i="15"/>
  <c r="I1520" i="15"/>
  <c r="I1277" i="15"/>
  <c r="I1256" i="15"/>
  <c r="I1052" i="15"/>
  <c r="I1619" i="15"/>
  <c r="I1338" i="15"/>
  <c r="I1171" i="15"/>
  <c r="I1822" i="15"/>
  <c r="I1544" i="15"/>
  <c r="I1611" i="15"/>
  <c r="I1640" i="15"/>
  <c r="I1596" i="15"/>
  <c r="I742" i="15"/>
  <c r="I1682" i="15"/>
  <c r="I1723" i="15"/>
  <c r="I1414" i="15"/>
  <c r="I835" i="15"/>
  <c r="I1551" i="15"/>
  <c r="I1198" i="15"/>
  <c r="I1779" i="15"/>
  <c r="I1058" i="15"/>
  <c r="I1261" i="15"/>
  <c r="I875" i="15"/>
  <c r="I927" i="15"/>
  <c r="I824" i="15"/>
  <c r="I931" i="15"/>
  <c r="I1288" i="15"/>
  <c r="I1772" i="15"/>
  <c r="I1366" i="15"/>
  <c r="I901" i="15"/>
  <c r="I769" i="15"/>
  <c r="I1078" i="15"/>
  <c r="I812" i="15"/>
  <c r="I814" i="15"/>
  <c r="I1749" i="15"/>
  <c r="I774" i="15"/>
  <c r="I1220" i="15"/>
  <c r="I1024" i="15"/>
  <c r="I721" i="15"/>
  <c r="I879" i="15"/>
  <c r="I1042" i="15"/>
  <c r="I838" i="15"/>
  <c r="I1462" i="15"/>
  <c r="I1315" i="15"/>
  <c r="I1336" i="15"/>
  <c r="I1659" i="15"/>
  <c r="I1665" i="15"/>
  <c r="I932" i="15"/>
  <c r="I1740" i="15"/>
  <c r="I1667" i="15"/>
  <c r="I1032" i="15"/>
  <c r="I1378" i="15"/>
  <c r="I1301" i="15"/>
  <c r="I926" i="15"/>
  <c r="I1390" i="15"/>
  <c r="I1086" i="15"/>
  <c r="I1170" i="15"/>
  <c r="I892" i="15"/>
  <c r="I987" i="15"/>
  <c r="I1123" i="15"/>
  <c r="I1710" i="15"/>
  <c r="I1534" i="15"/>
  <c r="I1333" i="15"/>
  <c r="I1243" i="15"/>
  <c r="I1784" i="15"/>
  <c r="I1438" i="15"/>
  <c r="I829" i="15"/>
  <c r="I1061" i="15"/>
  <c r="I844" i="15"/>
  <c r="I1096" i="15"/>
  <c r="I743" i="15"/>
  <c r="I1508" i="15"/>
  <c r="I1824" i="15"/>
  <c r="I1413" i="15"/>
  <c r="I1755" i="15"/>
  <c r="I1027" i="15"/>
  <c r="I963" i="15"/>
  <c r="I1726" i="15"/>
  <c r="I1016" i="15"/>
  <c r="I1041" i="15"/>
  <c r="I819" i="15"/>
  <c r="I1186" i="15"/>
  <c r="I1768" i="15"/>
  <c r="I699" i="15"/>
  <c r="I498" i="15"/>
  <c r="I239" i="15"/>
  <c r="I117" i="15"/>
  <c r="I554" i="15"/>
  <c r="I680" i="15"/>
  <c r="I693" i="15"/>
  <c r="I114" i="15"/>
  <c r="I538" i="15"/>
  <c r="I228" i="15"/>
  <c r="I689" i="15"/>
  <c r="I165" i="15"/>
  <c r="I284" i="15"/>
  <c r="I515" i="15"/>
  <c r="I1347" i="15"/>
  <c r="I1351" i="15"/>
  <c r="I15" i="15"/>
  <c r="I301" i="15"/>
  <c r="I245" i="15"/>
  <c r="I223" i="15"/>
  <c r="I408" i="15"/>
  <c r="I639" i="15"/>
  <c r="I153" i="15"/>
  <c r="I110" i="15"/>
  <c r="I606" i="15"/>
  <c r="I673" i="15"/>
  <c r="I17" i="15"/>
  <c r="I283" i="15"/>
  <c r="I183" i="15"/>
  <c r="I100" i="15"/>
  <c r="I585" i="15"/>
  <c r="I659" i="15"/>
  <c r="I150" i="15"/>
  <c r="I684" i="15"/>
  <c r="I599" i="15"/>
  <c r="I341" i="15"/>
  <c r="I178" i="15"/>
  <c r="I522" i="15"/>
  <c r="I199" i="15"/>
  <c r="I26" i="15"/>
  <c r="I92" i="15"/>
  <c r="I418" i="15"/>
  <c r="I50" i="15"/>
  <c r="I531" i="15"/>
  <c r="I327" i="15"/>
  <c r="I694" i="15"/>
  <c r="I337" i="15"/>
  <c r="I302" i="15"/>
  <c r="I342" i="15"/>
  <c r="I443" i="15"/>
  <c r="I632" i="15"/>
  <c r="I89" i="15"/>
  <c r="I46" i="15"/>
  <c r="I451" i="15"/>
  <c r="I596" i="15"/>
  <c r="I204" i="15"/>
  <c r="I401" i="15"/>
  <c r="I325" i="15"/>
  <c r="I205" i="15"/>
  <c r="I61" i="15"/>
  <c r="I139" i="15"/>
  <c r="I182" i="15"/>
  <c r="I627" i="15"/>
  <c r="I475" i="15"/>
  <c r="I48" i="15"/>
  <c r="I24" i="15"/>
  <c r="I147" i="15"/>
  <c r="I184" i="15"/>
  <c r="I316" i="15"/>
  <c r="I637" i="15"/>
  <c r="I185" i="15"/>
  <c r="I78" i="15"/>
  <c r="I523" i="15"/>
  <c r="I505" i="15"/>
  <c r="I416" i="15"/>
  <c r="I592" i="15"/>
  <c r="I369" i="15"/>
  <c r="I70" i="15"/>
  <c r="I702" i="15"/>
  <c r="I628" i="15"/>
  <c r="I593" i="15"/>
  <c r="I566" i="15"/>
  <c r="I472" i="15"/>
  <c r="I447" i="15"/>
  <c r="I103" i="15"/>
  <c r="I42" i="15"/>
  <c r="I690" i="15"/>
  <c r="I551" i="15"/>
  <c r="I362" i="15"/>
  <c r="I311" i="15"/>
  <c r="I602" i="15"/>
  <c r="I263" i="15"/>
  <c r="I240" i="15"/>
  <c r="I216" i="15"/>
  <c r="I600" i="15"/>
  <c r="I644" i="15"/>
  <c r="I400" i="15"/>
  <c r="I151" i="15"/>
  <c r="I425" i="15"/>
  <c r="I270" i="15"/>
  <c r="I84" i="15"/>
  <c r="I107" i="15"/>
  <c r="I82" i="15"/>
  <c r="I305" i="15"/>
  <c r="I63" i="15"/>
  <c r="I326" i="15"/>
  <c r="I470" i="15"/>
  <c r="I211" i="15"/>
  <c r="I293" i="15"/>
  <c r="I193" i="15"/>
  <c r="I488" i="15"/>
  <c r="I55" i="15"/>
  <c r="I647" i="15"/>
  <c r="I677" i="15"/>
  <c r="I130" i="15"/>
  <c r="I308" i="15"/>
  <c r="I407" i="15"/>
  <c r="I493" i="15"/>
  <c r="I141" i="15"/>
  <c r="I382" i="15"/>
  <c r="I52" i="15"/>
  <c r="I468" i="15"/>
  <c r="I511" i="15"/>
  <c r="I485" i="15"/>
  <c r="I646" i="15"/>
  <c r="I346" i="15"/>
  <c r="I350" i="15"/>
  <c r="I224" i="15"/>
  <c r="I445" i="15"/>
  <c r="I670" i="15"/>
  <c r="I200" i="15"/>
  <c r="I570" i="15"/>
  <c r="I135" i="15"/>
  <c r="I495" i="15"/>
  <c r="I539" i="15"/>
  <c r="I377" i="15"/>
  <c r="I612" i="15"/>
  <c r="I589" i="15"/>
  <c r="I448" i="15"/>
  <c r="I356" i="15"/>
  <c r="I611" i="15"/>
  <c r="I465" i="15"/>
  <c r="I430" i="15"/>
  <c r="I444" i="15"/>
  <c r="I550" i="15"/>
  <c r="I277" i="15"/>
  <c r="I610" i="15"/>
  <c r="I502" i="15"/>
  <c r="I265" i="15"/>
  <c r="I222" i="15"/>
  <c r="I276" i="15"/>
  <c r="I192" i="15"/>
  <c r="I508" i="15"/>
  <c r="I266" i="15"/>
  <c r="I226" i="15"/>
  <c r="I576" i="15"/>
  <c r="I622" i="15"/>
  <c r="I374" i="15"/>
  <c r="I450" i="15"/>
  <c r="I71" i="15"/>
  <c r="I621" i="15"/>
  <c r="I525" i="15"/>
  <c r="I572" i="15"/>
  <c r="I534" i="15"/>
  <c r="I31" i="15"/>
  <c r="I491" i="15"/>
  <c r="I686" i="15"/>
  <c r="I438" i="15"/>
  <c r="I514" i="15"/>
  <c r="I396" i="15"/>
  <c r="I38" i="15"/>
  <c r="I413" i="15"/>
  <c r="I449" i="15"/>
  <c r="I93" i="15"/>
  <c r="I344" i="15"/>
  <c r="I507" i="15"/>
  <c r="I255" i="15"/>
  <c r="I188" i="15"/>
  <c r="I489" i="15"/>
  <c r="I555" i="15"/>
  <c r="I421" i="15"/>
  <c r="I332" i="15"/>
  <c r="I53" i="15"/>
  <c r="I254" i="15"/>
  <c r="I575" i="15"/>
  <c r="I271" i="15"/>
  <c r="I691" i="15"/>
  <c r="I424" i="15"/>
  <c r="I1284" i="15"/>
  <c r="I1043" i="15"/>
  <c r="I1133" i="15"/>
  <c r="I1687" i="15"/>
  <c r="I1706" i="15"/>
  <c r="I1129" i="15"/>
  <c r="I1083" i="15"/>
  <c r="I992" i="15"/>
  <c r="I1394" i="15"/>
  <c r="I726" i="15"/>
  <c r="I944" i="15"/>
  <c r="I1062" i="15"/>
  <c r="I942" i="15"/>
  <c r="I1234" i="15"/>
  <c r="I985" i="15"/>
  <c r="I1239" i="15"/>
  <c r="I1808" i="15"/>
  <c r="I1199" i="15"/>
  <c r="I1302" i="15"/>
  <c r="I827" i="15"/>
  <c r="I894" i="15"/>
  <c r="I1431" i="15"/>
  <c r="I1128" i="15"/>
  <c r="I1263" i="15"/>
  <c r="I1688" i="15"/>
  <c r="I1578" i="15"/>
  <c r="I1579" i="15"/>
  <c r="I1360" i="15"/>
  <c r="I1570" i="15"/>
  <c r="I766" i="15"/>
  <c r="I741" i="15"/>
  <c r="I876" i="15"/>
  <c r="I1291" i="15"/>
  <c r="I874" i="15"/>
  <c r="I1553" i="15"/>
  <c r="I1076" i="15"/>
  <c r="I856" i="15"/>
  <c r="I899" i="15"/>
  <c r="I1036" i="15"/>
  <c r="I1151" i="15"/>
  <c r="I1242" i="15"/>
  <c r="I1056" i="15"/>
  <c r="I839" i="15"/>
  <c r="I937" i="15"/>
  <c r="I1858" i="15"/>
  <c r="I1325" i="15"/>
  <c r="I1025" i="15"/>
  <c r="I791" i="15"/>
  <c r="I1119" i="15"/>
  <c r="I1702" i="15"/>
  <c r="I1322" i="15"/>
  <c r="I1654" i="15"/>
  <c r="I1339" i="15"/>
  <c r="I1003" i="15"/>
  <c r="I1786" i="15"/>
  <c r="I1065" i="15"/>
  <c r="I734" i="15"/>
  <c r="I798" i="15"/>
  <c r="I1406" i="15"/>
  <c r="I1398" i="15"/>
  <c r="I1409" i="15"/>
  <c r="I822" i="15"/>
  <c r="I1818" i="15"/>
  <c r="I1044" i="15"/>
  <c r="I1375" i="15"/>
  <c r="I1684" i="15"/>
  <c r="I833" i="15"/>
  <c r="I1608" i="15"/>
  <c r="I1470" i="15"/>
  <c r="I949" i="15"/>
  <c r="I736" i="15"/>
  <c r="I1712" i="15"/>
  <c r="I1422" i="15"/>
  <c r="I738" i="15"/>
  <c r="I1724" i="15"/>
  <c r="I1529" i="15"/>
  <c r="I1512" i="15"/>
  <c r="I1308" i="15"/>
  <c r="I1260" i="15"/>
  <c r="I1823" i="15"/>
  <c r="I1166" i="15"/>
  <c r="I1274" i="15"/>
  <c r="I825" i="15"/>
  <c r="I1603" i="15"/>
  <c r="I1523" i="15"/>
  <c r="I1561" i="15"/>
  <c r="I1505" i="15"/>
  <c r="I1282" i="15"/>
  <c r="I1287" i="15"/>
  <c r="I1728" i="15"/>
  <c r="I971" i="15"/>
  <c r="I1093" i="15"/>
  <c r="I1547" i="15"/>
  <c r="I1376" i="15"/>
  <c r="I1051" i="15"/>
  <c r="I1522" i="15"/>
  <c r="I762" i="15"/>
  <c r="I1592" i="15"/>
  <c r="I945" i="15"/>
  <c r="I763" i="15"/>
  <c r="I882" i="15"/>
  <c r="I1802" i="15"/>
  <c r="I1304" i="15"/>
  <c r="I1542" i="15"/>
  <c r="I1573" i="15"/>
  <c r="I744" i="15"/>
  <c r="I1188" i="15"/>
  <c r="I730" i="15"/>
  <c r="I1614" i="15"/>
  <c r="I1546" i="15"/>
  <c r="I810" i="15"/>
  <c r="I728" i="15"/>
  <c r="I826" i="15"/>
  <c r="I896" i="15"/>
  <c r="I906" i="15"/>
  <c r="I952" i="15"/>
  <c r="I1031" i="15"/>
  <c r="I831" i="15"/>
  <c r="I1314" i="15"/>
  <c r="I1388" i="15"/>
  <c r="I1669" i="15"/>
  <c r="I1201" i="15"/>
  <c r="I764" i="15"/>
  <c r="I1607" i="15"/>
  <c r="I1815" i="15"/>
  <c r="I1071" i="15"/>
  <c r="I1069" i="15"/>
  <c r="I1034" i="15"/>
  <c r="I975" i="15"/>
  <c r="I1405" i="15"/>
  <c r="I1264" i="15"/>
  <c r="I779" i="15"/>
  <c r="I1205" i="15"/>
  <c r="I1297" i="15"/>
  <c r="I918" i="15"/>
  <c r="I1257" i="15"/>
  <c r="I956" i="15"/>
  <c r="I1650" i="15"/>
  <c r="I1457" i="15"/>
  <c r="I1191" i="15"/>
  <c r="I914" i="15"/>
  <c r="I710" i="15"/>
  <c r="I1232" i="15"/>
  <c r="I1783" i="15"/>
  <c r="I1245" i="15"/>
  <c r="I1115" i="15"/>
  <c r="I749" i="15"/>
  <c r="I1125" i="15"/>
  <c r="I1653" i="15"/>
  <c r="I1434" i="15"/>
  <c r="I755" i="15"/>
  <c r="I1158" i="15"/>
  <c r="I1196" i="15"/>
  <c r="I1524" i="15"/>
  <c r="I780" i="15"/>
  <c r="I1828" i="15"/>
  <c r="I752" i="15"/>
  <c r="I1313" i="15"/>
  <c r="I939" i="15"/>
  <c r="I1763" i="15"/>
  <c r="I1480" i="15"/>
  <c r="I1711" i="15"/>
  <c r="I1332" i="15"/>
  <c r="I1400" i="15"/>
  <c r="I885" i="15"/>
  <c r="I737" i="15"/>
  <c r="I799" i="15"/>
  <c r="I1668" i="15"/>
  <c r="I1714" i="15"/>
  <c r="I1181" i="15"/>
  <c r="I862" i="15"/>
  <c r="I1019" i="15"/>
  <c r="I800" i="15"/>
  <c r="I1324" i="15"/>
  <c r="I809" i="15"/>
  <c r="I1528" i="15"/>
  <c r="I1013" i="15"/>
  <c r="I1582" i="15"/>
  <c r="I820" i="15"/>
  <c r="I1219" i="15"/>
  <c r="I789" i="15"/>
  <c r="I1248" i="15"/>
  <c r="I1646" i="15"/>
  <c r="I1359" i="15"/>
  <c r="I1017" i="15"/>
  <c r="I1809" i="15"/>
  <c r="I895" i="15"/>
  <c r="I920" i="15"/>
  <c r="I1446" i="15"/>
  <c r="I1298" i="15"/>
  <c r="I1538" i="15"/>
  <c r="I1109" i="15"/>
  <c r="I1631" i="15"/>
  <c r="I1792" i="15"/>
  <c r="I962" i="15"/>
  <c r="I1660" i="15"/>
  <c r="I1053" i="15"/>
  <c r="I1641" i="15"/>
  <c r="I1057" i="15"/>
  <c r="I1672" i="15"/>
  <c r="I1252" i="15"/>
  <c r="I1408" i="15"/>
  <c r="I1765" i="15"/>
  <c r="I1715" i="15"/>
  <c r="I1082" i="15"/>
  <c r="I1581" i="15"/>
  <c r="I1532" i="15"/>
  <c r="I1103" i="15"/>
  <c r="I1635" i="15"/>
  <c r="I803" i="15"/>
  <c r="I1798" i="15"/>
  <c r="I1415" i="15"/>
  <c r="I1185" i="15"/>
  <c r="I1804" i="15"/>
  <c r="I1335" i="15"/>
  <c r="I1491" i="15"/>
  <c r="I970" i="15"/>
  <c r="I1048" i="15"/>
  <c r="I1139" i="15"/>
  <c r="I1599" i="15"/>
  <c r="I1100" i="15"/>
  <c r="I1791" i="15"/>
  <c r="I1854" i="15"/>
  <c r="I1007" i="15"/>
  <c r="I1840" i="15"/>
  <c r="I1210" i="15"/>
  <c r="I922" i="15"/>
  <c r="I1637" i="15"/>
  <c r="I842" i="15"/>
  <c r="I1055" i="15"/>
  <c r="I1761" i="15"/>
  <c r="I1259" i="15"/>
  <c r="I1750" i="15"/>
  <c r="I865" i="15"/>
  <c r="I1625" i="15"/>
  <c r="I1860" i="15"/>
  <c r="I1703" i="15"/>
  <c r="I1623" i="15"/>
  <c r="I1141" i="15"/>
  <c r="I1554" i="15"/>
  <c r="I1126" i="15"/>
  <c r="I883" i="15"/>
  <c r="I1403" i="15"/>
  <c r="I767" i="15"/>
  <c r="I1147" i="15"/>
  <c r="I722" i="15"/>
  <c r="I888" i="15"/>
  <c r="I1807" i="15"/>
  <c r="I1638" i="15"/>
  <c r="I1318" i="15"/>
  <c r="I1428" i="15"/>
  <c r="I1110" i="15"/>
  <c r="I1172" i="15"/>
  <c r="I855" i="15"/>
  <c r="I913" i="15"/>
  <c r="I740" i="15"/>
  <c r="I1698" i="15"/>
  <c r="I1632" i="15"/>
  <c r="I1673" i="15"/>
  <c r="I1011" i="15"/>
  <c r="I1411" i="15"/>
  <c r="I1382" i="15"/>
  <c r="I1444" i="15"/>
  <c r="I1174" i="15"/>
  <c r="I919" i="15"/>
  <c r="I929" i="15"/>
  <c r="I756" i="15"/>
  <c r="I1580" i="15"/>
  <c r="I1696" i="15"/>
  <c r="I1689" i="15"/>
  <c r="I1102" i="15"/>
  <c r="I1427" i="15"/>
  <c r="I1088" i="15"/>
  <c r="I1826" i="15"/>
  <c r="I1155" i="15"/>
  <c r="I848" i="15"/>
  <c r="I1767" i="15"/>
  <c r="I1496" i="15"/>
  <c r="I1323" i="15"/>
  <c r="I1240" i="15"/>
  <c r="I1067" i="15"/>
  <c r="I981" i="15"/>
  <c r="I808" i="15"/>
  <c r="I1727" i="15"/>
  <c r="I1513" i="15"/>
  <c r="I1833" i="15"/>
  <c r="I1835" i="15"/>
  <c r="I1849" i="15"/>
  <c r="I807" i="15"/>
  <c r="I1794" i="15"/>
  <c r="I729" i="15"/>
  <c r="I1030" i="15"/>
  <c r="I1593" i="15"/>
  <c r="I1773" i="15"/>
  <c r="I1609" i="15"/>
  <c r="I1473" i="15"/>
  <c r="I1760" i="15"/>
  <c r="I1855" i="15"/>
  <c r="I1735" i="15"/>
  <c r="I1666" i="15"/>
  <c r="I1226" i="15"/>
  <c r="I1851" i="15"/>
  <c r="I1327" i="15"/>
  <c r="I1610" i="15"/>
  <c r="I1485" i="15"/>
  <c r="I1033" i="15"/>
  <c r="I1557" i="15"/>
  <c r="I995" i="15"/>
  <c r="I1821" i="15"/>
  <c r="I1549" i="15"/>
  <c r="I1345" i="15"/>
  <c r="I1425" i="15"/>
  <c r="I1700" i="15"/>
  <c r="I1471" i="15"/>
  <c r="I1075" i="15"/>
  <c r="I1429" i="15"/>
  <c r="I1447" i="15"/>
  <c r="I1169" i="15"/>
  <c r="I719" i="15"/>
  <c r="I828" i="15"/>
  <c r="I717" i="15"/>
  <c r="I1843" i="15"/>
  <c r="I733" i="15"/>
  <c r="I1617" i="15"/>
  <c r="I735" i="15"/>
  <c r="I909" i="15"/>
  <c r="I1461" i="15"/>
  <c r="I1167" i="15"/>
  <c r="I1073" i="15"/>
  <c r="I1852" i="15"/>
  <c r="I1694" i="15"/>
  <c r="I1734" i="15"/>
  <c r="I1377" i="15"/>
  <c r="I1331" i="15"/>
  <c r="I1187" i="15"/>
  <c r="I1799" i="15"/>
  <c r="I1194" i="15"/>
  <c r="I1722" i="15"/>
  <c r="I754" i="15"/>
  <c r="I1670" i="15"/>
  <c r="I1020" i="15"/>
  <c r="I851" i="15"/>
  <c r="I712" i="15"/>
  <c r="I1177" i="15"/>
  <c r="I765" i="15"/>
  <c r="I1739" i="15"/>
  <c r="I1721" i="15"/>
  <c r="I1268" i="15"/>
  <c r="I708" i="15"/>
  <c r="I1832" i="15"/>
  <c r="I1719" i="15"/>
  <c r="I1237" i="15"/>
  <c r="I1563" i="15"/>
  <c r="I1355" i="15"/>
  <c r="I840" i="15"/>
  <c r="I1165" i="15"/>
  <c r="I1831" i="15"/>
  <c r="I912" i="15"/>
  <c r="I1439" i="15"/>
  <c r="I1321" i="15"/>
  <c r="I1675" i="15"/>
  <c r="I1008" i="15"/>
  <c r="I1733" i="15"/>
  <c r="I1276" i="15"/>
  <c r="I1389" i="15"/>
  <c r="I731" i="15"/>
  <c r="I1612" i="15"/>
  <c r="I1054" i="15"/>
  <c r="I1424" i="15"/>
  <c r="I775" i="15"/>
  <c r="I1781" i="15"/>
  <c r="I1279" i="15"/>
  <c r="I1545" i="15"/>
  <c r="I1576" i="15"/>
  <c r="I1846" i="15"/>
  <c r="I1402" i="15"/>
  <c r="I1140" i="15"/>
  <c r="I1856" i="15"/>
  <c r="I1552" i="15"/>
  <c r="I1227" i="15"/>
  <c r="I1718" i="15"/>
  <c r="I1707" i="15"/>
  <c r="I1589" i="15"/>
  <c r="I1217" i="15"/>
  <c r="I991" i="15"/>
  <c r="I1018" i="15"/>
  <c r="I1486" i="15"/>
  <c r="I1487" i="15"/>
  <c r="I806" i="15"/>
  <c r="I1595" i="15"/>
  <c r="I1265" i="15"/>
  <c r="I1789" i="15"/>
  <c r="I1193" i="15"/>
  <c r="I923" i="15"/>
  <c r="I1326" i="15"/>
  <c r="I993" i="15"/>
  <c r="I1737" i="15"/>
  <c r="I1685" i="15"/>
  <c r="I1454" i="15"/>
  <c r="I1521" i="15"/>
  <c r="I1014" i="15"/>
  <c r="I1633" i="15"/>
  <c r="I1131" i="15"/>
  <c r="I1622" i="15"/>
  <c r="I1709" i="15"/>
  <c r="I1207" i="15"/>
  <c r="I1049" i="15"/>
  <c r="I1280" i="15"/>
  <c r="I1040" i="15"/>
  <c r="I1200" i="15"/>
  <c r="I960" i="15"/>
  <c r="I1484" i="15"/>
  <c r="I969" i="15"/>
  <c r="I1341" i="15"/>
  <c r="I834" i="15"/>
  <c r="I817" i="15"/>
  <c r="I1536" i="15"/>
  <c r="I1091" i="15"/>
  <c r="I1514" i="15"/>
  <c r="I903" i="15"/>
  <c r="I1813" i="15"/>
  <c r="I1674" i="15"/>
  <c r="I1176" i="15"/>
  <c r="I1663" i="15"/>
  <c r="I1448" i="15"/>
  <c r="I1190" i="15"/>
  <c r="I933" i="15"/>
  <c r="I760" i="15"/>
  <c r="I1679" i="15"/>
  <c r="I1354" i="15"/>
  <c r="I1465" i="15"/>
  <c r="I1290" i="15"/>
  <c r="I1035" i="15"/>
  <c r="I958" i="15"/>
  <c r="I836" i="15"/>
  <c r="I1225" i="15"/>
  <c r="I1810" i="15"/>
  <c r="I1430" i="15"/>
  <c r="I1841" i="15"/>
  <c r="I1481" i="15"/>
  <c r="I1316" i="15"/>
  <c r="I1229" i="15"/>
  <c r="I1060" i="15"/>
  <c r="I974" i="15"/>
  <c r="I801" i="15"/>
  <c r="I1241" i="15"/>
  <c r="I1442" i="15"/>
  <c r="I1472" i="15"/>
  <c r="I1286" i="15"/>
  <c r="I1803" i="15"/>
  <c r="I1652" i="15"/>
  <c r="I941" i="15"/>
  <c r="I720" i="15"/>
  <c r="I1122" i="15"/>
  <c r="I1368" i="15"/>
  <c r="I1281" i="15"/>
  <c r="I1026" i="15"/>
  <c r="I853" i="15"/>
  <c r="I1218" i="15"/>
  <c r="I1600" i="15"/>
  <c r="I1805" i="15"/>
  <c r="I1385" i="15"/>
  <c r="I1857" i="15"/>
  <c r="I1853" i="15"/>
  <c r="I1862" i="15"/>
  <c r="I1162" i="15"/>
  <c r="I1658" i="15"/>
  <c r="I788" i="15"/>
  <c r="I724" i="15"/>
  <c r="I1492" i="15"/>
  <c r="I790" i="15"/>
  <c r="I1108" i="15"/>
  <c r="I1001" i="15"/>
  <c r="I1346" i="15"/>
  <c r="I1251" i="15"/>
  <c r="I1657" i="15"/>
  <c r="I1647" i="15"/>
  <c r="I852" i="15"/>
  <c r="I732" i="15"/>
  <c r="I1777" i="15"/>
  <c r="I881" i="15"/>
  <c r="I1247" i="15"/>
  <c r="I1731" i="15"/>
  <c r="I961" i="15"/>
  <c r="I1548" i="15"/>
  <c r="I1161" i="15"/>
  <c r="I750" i="15"/>
  <c r="I1748" i="15"/>
  <c r="I1795" i="15"/>
  <c r="I999" i="15"/>
  <c r="I957" i="15"/>
  <c r="I821" i="15"/>
  <c r="I1680" i="15"/>
  <c r="I1163" i="15"/>
  <c r="I845" i="15"/>
  <c r="I1693" i="15"/>
  <c r="I1421" i="15"/>
  <c r="I1564" i="15"/>
  <c r="I1820" i="15"/>
  <c r="I1705" i="15"/>
  <c r="I1571" i="15"/>
  <c r="I998" i="15"/>
  <c r="I1081" i="15"/>
  <c r="I1801" i="15"/>
  <c r="I1606" i="15"/>
  <c r="I1583" i="15"/>
  <c r="I984" i="15"/>
  <c r="I1812" i="15"/>
  <c r="I1120" i="15"/>
  <c r="I890" i="15"/>
  <c r="I1774" i="15"/>
  <c r="I915" i="15"/>
  <c r="I889" i="15"/>
  <c r="I1681" i="15"/>
  <c r="I1137" i="15"/>
  <c r="I709" i="15"/>
  <c r="I1661" i="15"/>
  <c r="I1811" i="15"/>
  <c r="I1837" i="15"/>
  <c r="I979" i="15"/>
  <c r="I1469" i="15"/>
  <c r="I1145" i="15"/>
  <c r="I1541" i="15"/>
  <c r="I907" i="15"/>
  <c r="I1107" i="15"/>
  <c r="I1567" i="15"/>
  <c r="I1068" i="15"/>
  <c r="I1770" i="15"/>
  <c r="I1272" i="15"/>
  <c r="I1759" i="15"/>
  <c r="I1124" i="15"/>
  <c r="I1317" i="15"/>
  <c r="I1678" i="15"/>
  <c r="I1504" i="15"/>
  <c r="I1664" i="15"/>
  <c r="I1744" i="15"/>
  <c r="I1441" i="15"/>
  <c r="I1231" i="15"/>
  <c r="I1752" i="15"/>
  <c r="I1352" i="15"/>
  <c r="I1010" i="15"/>
  <c r="I1584" i="15"/>
  <c r="I1543" i="15"/>
  <c r="I1094" i="15"/>
  <c r="I893" i="15"/>
  <c r="I1361" i="15"/>
  <c r="I854" i="15"/>
  <c r="I843" i="15"/>
  <c r="I1150" i="15"/>
  <c r="I1594" i="15"/>
  <c r="I1223" i="15"/>
  <c r="I1587" i="15"/>
  <c r="I1309" i="15"/>
  <c r="I802" i="15"/>
  <c r="I1098" i="15"/>
  <c r="I1838" i="15"/>
  <c r="I711" i="15"/>
  <c r="I1266" i="15"/>
  <c r="I1585" i="15"/>
  <c r="I1426" i="15"/>
  <c r="I1386" i="15"/>
  <c r="I1189" i="15"/>
  <c r="I761" i="15"/>
  <c r="I1526" i="15"/>
  <c r="I1224" i="15"/>
  <c r="I792" i="15"/>
  <c r="I1497" i="15"/>
  <c r="I1437" i="15"/>
  <c r="I930" i="15"/>
  <c r="I1656" i="15"/>
  <c r="I794" i="15"/>
  <c r="I1183" i="15"/>
  <c r="I1072" i="15"/>
  <c r="I832" i="15"/>
  <c r="I1356" i="15"/>
  <c r="I841" i="15"/>
  <c r="I1560" i="15"/>
  <c r="I1045" i="15"/>
  <c r="I1106" i="15"/>
  <c r="I1246" i="15"/>
  <c r="I782" i="15"/>
  <c r="I1530" i="15"/>
  <c r="I1562" i="15"/>
  <c r="I1708" i="15"/>
  <c r="I1074" i="15"/>
  <c r="I1704" i="15"/>
  <c r="I1311" i="15"/>
  <c r="I796" i="15"/>
  <c r="I1515" i="15"/>
  <c r="I1000" i="15"/>
  <c r="I1540" i="15"/>
  <c r="I1558" i="15"/>
  <c r="I1363" i="15"/>
  <c r="I1005" i="15"/>
  <c r="I1222" i="15"/>
  <c r="I925" i="15"/>
  <c r="I1393" i="15"/>
  <c r="I886" i="15"/>
  <c r="I1334" i="15"/>
  <c r="I871" i="15"/>
  <c r="I1250" i="15"/>
  <c r="I1320" i="15"/>
  <c r="I1233" i="15"/>
  <c r="I1064" i="15"/>
  <c r="I978" i="15"/>
  <c r="I805" i="15"/>
  <c r="I1757" i="15"/>
  <c r="I1337" i="15"/>
  <c r="I1511" i="15"/>
  <c r="I1085" i="15"/>
  <c r="I1255" i="15"/>
  <c r="I830" i="15"/>
  <c r="I996" i="15"/>
  <c r="I1830" i="15"/>
  <c r="I1097" i="15"/>
  <c r="I1493" i="15"/>
  <c r="I1328" i="15"/>
  <c r="I1845" i="15"/>
  <c r="I1353" i="15"/>
  <c r="I1101" i="15"/>
  <c r="I1271" i="15"/>
  <c r="I846" i="15"/>
  <c r="I1012" i="15"/>
  <c r="I1836" i="15"/>
  <c r="I1113" i="15"/>
  <c r="I1634" i="15"/>
  <c r="I1509" i="15"/>
  <c r="I1344" i="15"/>
  <c r="I863" i="15"/>
  <c r="I1643" i="15"/>
  <c r="I1458" i="15"/>
  <c r="I986" i="15"/>
  <c r="I797" i="15"/>
  <c r="I1616" i="15"/>
  <c r="I1358" i="15"/>
  <c r="I1050" i="15"/>
  <c r="I795" i="15"/>
  <c r="I898" i="15"/>
  <c r="I725" i="15"/>
  <c r="I1676" i="15"/>
  <c r="I1814" i="15"/>
  <c r="I1677" i="15"/>
  <c r="I1118" i="15"/>
  <c r="I1825" i="15"/>
  <c r="I1859" i="15"/>
  <c r="I1517" i="15"/>
  <c r="I1776" i="15"/>
  <c r="I1369" i="15"/>
  <c r="I1565" i="15"/>
  <c r="I877" i="15"/>
  <c r="I1741" i="15"/>
  <c r="I1095" i="15"/>
  <c r="I1379" i="15"/>
  <c r="I1021" i="15"/>
  <c r="I1489" i="15"/>
  <c r="I982" i="15"/>
  <c r="I1602" i="15"/>
  <c r="I1099" i="15"/>
  <c r="I1591" i="15"/>
  <c r="I1079" i="15"/>
  <c r="I1152" i="15"/>
  <c r="I1627" i="15"/>
  <c r="I1303" i="15"/>
  <c r="I1459" i="15"/>
  <c r="I1059" i="15"/>
  <c r="I1671" i="15"/>
  <c r="I1404" i="15"/>
  <c r="I759" i="15"/>
  <c r="I1342" i="15"/>
  <c r="I1307" i="15"/>
  <c r="I965" i="15"/>
  <c r="I1482" i="15"/>
  <c r="I1778" i="15"/>
  <c r="I1636" i="15"/>
  <c r="I1535" i="15"/>
  <c r="I1642" i="15"/>
  <c r="I758" i="15"/>
  <c r="I781" i="15"/>
  <c r="I787" i="15"/>
  <c r="I990" i="15"/>
  <c r="I1330" i="15"/>
  <c r="I1483" i="15"/>
  <c r="I968" i="15"/>
  <c r="I1293" i="15"/>
  <c r="I1746" i="15"/>
  <c r="I1620" i="15"/>
  <c r="I911" i="15"/>
  <c r="I1230" i="15"/>
  <c r="I1850" i="15"/>
  <c r="I880" i="15"/>
  <c r="I771" i="15"/>
  <c r="I1148" i="15"/>
  <c r="I716" i="15"/>
  <c r="I1134" i="15"/>
  <c r="I1179" i="15"/>
  <c r="I1460" i="15"/>
  <c r="I1178" i="15"/>
  <c r="I757" i="15"/>
  <c r="I1380" i="15"/>
  <c r="I1769" i="15"/>
  <c r="I1362" i="15"/>
  <c r="I1498" i="15"/>
  <c r="I1605" i="15"/>
  <c r="I1751" i="15"/>
  <c r="I1269" i="15"/>
  <c r="I1692" i="15"/>
  <c r="I1387" i="15"/>
  <c r="I872" i="15"/>
  <c r="I1412" i="15"/>
  <c r="I1463" i="15"/>
  <c r="I948" i="15"/>
  <c r="I1445" i="15"/>
  <c r="I891" i="15"/>
  <c r="I1806" i="15"/>
  <c r="I1267" i="15"/>
  <c r="I1228" i="15"/>
  <c r="I1588" i="15"/>
  <c r="I1089" i="15"/>
  <c r="I1800" i="15"/>
  <c r="I1038" i="15"/>
  <c r="I1788" i="15"/>
  <c r="I955" i="15"/>
  <c r="I784" i="15"/>
  <c r="I1787" i="15"/>
  <c r="I1796" i="15"/>
  <c r="I867" i="15"/>
  <c r="I713" i="15"/>
  <c r="I1432" i="15"/>
  <c r="I917" i="15"/>
  <c r="I1449" i="15"/>
  <c r="I1531" i="15"/>
  <c r="I1105" i="15"/>
  <c r="I1275" i="15"/>
  <c r="I850" i="15"/>
  <c r="I1090" i="15"/>
  <c r="I1766" i="15"/>
  <c r="I1629" i="15"/>
  <c r="I1556" i="15"/>
  <c r="I1383" i="15"/>
  <c r="I1300" i="15"/>
  <c r="I1127" i="15"/>
  <c r="I868" i="15"/>
  <c r="I1834" i="15"/>
  <c r="I1847" i="15"/>
  <c r="I1817" i="15"/>
  <c r="I1365" i="15"/>
  <c r="I1539" i="15"/>
  <c r="I1645" i="15"/>
  <c r="I1399" i="15"/>
  <c r="I751" i="15"/>
  <c r="I1143" i="15"/>
  <c r="I718" i="15"/>
  <c r="I884" i="15"/>
  <c r="I1410" i="15"/>
  <c r="I1839" i="15"/>
  <c r="I1381" i="15"/>
  <c r="I1555" i="15"/>
  <c r="I1216" i="15"/>
  <c r="I1310" i="15"/>
  <c r="I1283" i="15"/>
  <c r="I858" i="15"/>
  <c r="I976" i="15"/>
  <c r="I1742" i="15"/>
  <c r="I1574" i="15"/>
  <c r="I1451" i="15"/>
  <c r="I959" i="15"/>
  <c r="I1195" i="15"/>
  <c r="I770" i="15"/>
  <c r="I936" i="15"/>
  <c r="I1490" i="15"/>
  <c r="I1686" i="15"/>
  <c r="I1510" i="15"/>
  <c r="I1476" i="15"/>
  <c r="I1829" i="15"/>
  <c r="I1861" i="15"/>
  <c r="C13" i="11"/>
  <c r="C15" i="11"/>
  <c r="C17" i="11"/>
  <c r="C19" i="11"/>
  <c r="C21" i="11"/>
  <c r="C23" i="11"/>
  <c r="C25" i="11"/>
  <c r="C27" i="11"/>
  <c r="C29" i="11"/>
  <c r="C31" i="11"/>
  <c r="C33" i="11"/>
  <c r="C35" i="11"/>
  <c r="C37" i="11"/>
  <c r="C39" i="11"/>
  <c r="C41" i="11"/>
  <c r="C43" i="11"/>
  <c r="C45" i="11"/>
  <c r="C47" i="11"/>
  <c r="C49" i="11"/>
  <c r="C51" i="11"/>
  <c r="Q14" i="11" l="1"/>
  <c r="X14" i="11" s="1"/>
  <c r="Q18" i="11"/>
  <c r="Q15" i="11"/>
  <c r="Q17" i="11"/>
  <c r="Q16" i="11"/>
  <c r="C52" i="11"/>
  <c r="C32" i="11"/>
  <c r="C18" i="11"/>
  <c r="C14" i="11"/>
  <c r="C42" i="11"/>
  <c r="C38" i="11"/>
  <c r="C24" i="11"/>
  <c r="C50" i="11"/>
  <c r="C46" i="11"/>
  <c r="C48" i="11"/>
  <c r="C34" i="11"/>
  <c r="C30" i="11"/>
  <c r="C16" i="11"/>
  <c r="C40" i="11"/>
  <c r="C26" i="11"/>
  <c r="C22" i="11"/>
  <c r="C44" i="11"/>
  <c r="C36" i="11"/>
  <c r="C28" i="11"/>
  <c r="C20" i="11"/>
  <c r="C12" i="11"/>
  <c r="C3" i="11"/>
  <c r="R14" i="11" l="1"/>
  <c r="K12" i="8" s="1"/>
  <c r="T14" i="11"/>
  <c r="M12" i="8" s="1"/>
  <c r="W14" i="11"/>
  <c r="U14" i="11"/>
  <c r="S14" i="11" s="1"/>
  <c r="V14" i="11"/>
  <c r="Y14" i="11" s="1"/>
  <c r="N12" i="8" s="1"/>
  <c r="V18" i="11"/>
  <c r="U18" i="11"/>
  <c r="L16" i="8" s="1"/>
  <c r="R18" i="11"/>
  <c r="K16" i="8" s="1"/>
  <c r="X18" i="11"/>
  <c r="T18" i="11"/>
  <c r="M16" i="8" s="1"/>
  <c r="W18" i="11"/>
  <c r="U15" i="11"/>
  <c r="L13" i="8" s="1"/>
  <c r="X15" i="11"/>
  <c r="T15" i="11"/>
  <c r="M13" i="8" s="1"/>
  <c r="W15" i="11"/>
  <c r="V15" i="11"/>
  <c r="Y15" i="11" s="1"/>
  <c r="N13" i="8" s="1"/>
  <c r="R15" i="11"/>
  <c r="K13" i="8" s="1"/>
  <c r="R16" i="11"/>
  <c r="K14" i="8" s="1"/>
  <c r="W16" i="11"/>
  <c r="U16" i="11"/>
  <c r="L14" i="8" s="1"/>
  <c r="X16" i="11"/>
  <c r="V16" i="11"/>
  <c r="T16" i="11"/>
  <c r="M14" i="8" s="1"/>
  <c r="R17" i="11"/>
  <c r="K15" i="8" s="1"/>
  <c r="T17" i="11"/>
  <c r="M15" i="8" s="1"/>
  <c r="U17" i="11"/>
  <c r="S17" i="11" s="1"/>
  <c r="W17" i="11"/>
  <c r="V17" i="11"/>
  <c r="X17" i="11"/>
  <c r="C8" i="11"/>
  <c r="C4" i="11"/>
  <c r="C7" i="11"/>
  <c r="C9" i="11"/>
  <c r="C5" i="11"/>
  <c r="C11" i="11"/>
  <c r="C10" i="11"/>
  <c r="C6" i="11"/>
  <c r="M66" i="10"/>
  <c r="P66" i="10" s="1"/>
  <c r="M32" i="10"/>
  <c r="P32" i="10" s="1"/>
  <c r="M63" i="10"/>
  <c r="P63" i="10" s="1"/>
  <c r="M17" i="10"/>
  <c r="M38" i="10"/>
  <c r="P38" i="10" s="1"/>
  <c r="M44" i="10"/>
  <c r="M29" i="10"/>
  <c r="M64" i="10"/>
  <c r="P64" i="10" s="1"/>
  <c r="M49" i="10"/>
  <c r="P49" i="10" s="1"/>
  <c r="M86" i="10"/>
  <c r="P86" i="10" s="1"/>
  <c r="M20" i="10"/>
  <c r="M24" i="10"/>
  <c r="P24" i="10" s="1"/>
  <c r="M81" i="10"/>
  <c r="P81" i="10" s="1"/>
  <c r="M82" i="10"/>
  <c r="P82" i="10" s="1"/>
  <c r="M6" i="10"/>
  <c r="P6" i="10" s="1"/>
  <c r="M14" i="10"/>
  <c r="P14" i="10" s="1"/>
  <c r="M69" i="10"/>
  <c r="M12" i="10"/>
  <c r="P12" i="10" s="1"/>
  <c r="M57" i="10"/>
  <c r="P57" i="10" s="1"/>
  <c r="M9" i="10"/>
  <c r="P9" i="10" s="1"/>
  <c r="M7" i="10"/>
  <c r="P7" i="10" s="1"/>
  <c r="M83" i="10"/>
  <c r="P83" i="10" s="1"/>
  <c r="M50" i="10"/>
  <c r="M73" i="10"/>
  <c r="M65" i="10"/>
  <c r="P65" i="10" s="1"/>
  <c r="M10" i="10"/>
  <c r="M53" i="10"/>
  <c r="M34" i="10"/>
  <c r="P34" i="10" s="1"/>
  <c r="M84" i="10"/>
  <c r="P84" i="10" s="1"/>
  <c r="M85" i="10"/>
  <c r="P85" i="10" s="1"/>
  <c r="M59" i="10"/>
  <c r="P59" i="10" s="1"/>
  <c r="M23" i="10"/>
  <c r="P23" i="10" s="1"/>
  <c r="M54" i="10"/>
  <c r="M11" i="10"/>
  <c r="P11" i="10" s="1"/>
  <c r="M60" i="10"/>
  <c r="P60" i="10" s="1"/>
  <c r="M42" i="10"/>
  <c r="M39" i="10"/>
  <c r="P39" i="10" s="1"/>
  <c r="M80" i="10"/>
  <c r="P80" i="10" s="1"/>
  <c r="M18" i="10"/>
  <c r="P18" i="10" s="1"/>
  <c r="M67" i="10"/>
  <c r="M55" i="10"/>
  <c r="P55" i="10" s="1"/>
  <c r="M79" i="10"/>
  <c r="P79" i="10" s="1"/>
  <c r="M3" i="10"/>
  <c r="P3" i="10" s="1"/>
  <c r="M58" i="10"/>
  <c r="M26" i="10"/>
  <c r="P26" i="10" s="1"/>
  <c r="M48" i="10"/>
  <c r="P48" i="10" s="1"/>
  <c r="M46" i="10"/>
  <c r="P46" i="10" s="1"/>
  <c r="M72" i="10"/>
  <c r="P72" i="10" s="1"/>
  <c r="M36" i="10"/>
  <c r="M78" i="10"/>
  <c r="M52" i="10"/>
  <c r="P52" i="10" s="1"/>
  <c r="M31" i="10"/>
  <c r="M22" i="10"/>
  <c r="P22" i="10" s="1"/>
  <c r="M76" i="10"/>
  <c r="M62" i="10"/>
  <c r="P62" i="10" s="1"/>
  <c r="M37" i="10"/>
  <c r="P37" i="10" s="1"/>
  <c r="M19" i="10"/>
  <c r="P19" i="10" s="1"/>
  <c r="M74" i="10"/>
  <c r="M21" i="10"/>
  <c r="M41" i="10"/>
  <c r="P41" i="10" s="1"/>
  <c r="M68" i="10"/>
  <c r="P68" i="10" s="1"/>
  <c r="M56" i="10"/>
  <c r="P56" i="10" s="1"/>
  <c r="M15" i="10"/>
  <c r="M16" i="10"/>
  <c r="M75" i="10"/>
  <c r="P75" i="10" s="1"/>
  <c r="M77" i="10"/>
  <c r="M71" i="10"/>
  <c r="P71" i="10" s="1"/>
  <c r="M40" i="10"/>
  <c r="P40" i="10" s="1"/>
  <c r="M61" i="10"/>
  <c r="P61" i="10" s="1"/>
  <c r="M45" i="10"/>
  <c r="P45" i="10" s="1"/>
  <c r="M43" i="10"/>
  <c r="P43" i="10" s="1"/>
  <c r="M87" i="10"/>
  <c r="M27" i="10"/>
  <c r="P27" i="10" s="1"/>
  <c r="M13" i="10"/>
  <c r="M28" i="10"/>
  <c r="P28" i="10" s="1"/>
  <c r="M47" i="10"/>
  <c r="P47" i="10" s="1"/>
  <c r="M70" i="10"/>
  <c r="M30" i="10"/>
  <c r="P30" i="10" s="1"/>
  <c r="M33" i="10"/>
  <c r="M35" i="10"/>
  <c r="P35" i="10" s="1"/>
  <c r="M5" i="10"/>
  <c r="M25" i="10"/>
  <c r="P25" i="10" s="1"/>
  <c r="M51" i="10"/>
  <c r="M4" i="10"/>
  <c r="P4" i="10" s="1"/>
  <c r="M8" i="10"/>
  <c r="P8" i="10" s="1"/>
  <c r="AD14" i="11" l="1"/>
  <c r="S12" i="8" s="1"/>
  <c r="Z14" i="11"/>
  <c r="O12" i="8" s="1"/>
  <c r="AA16" i="11"/>
  <c r="P14" i="8" s="1"/>
  <c r="P20" i="11"/>
  <c r="Q20" i="11" s="1"/>
  <c r="K17" i="8" s="1"/>
  <c r="AC14" i="11"/>
  <c r="R12" i="8" s="1"/>
  <c r="AB14" i="11"/>
  <c r="Q12" i="8" s="1"/>
  <c r="L12" i="8"/>
  <c r="L15" i="8"/>
  <c r="AA18" i="11"/>
  <c r="P16" i="8" s="1"/>
  <c r="AA17" i="11"/>
  <c r="P15" i="8" s="1"/>
  <c r="AE14" i="11"/>
  <c r="T12" i="8" s="1"/>
  <c r="AA14" i="11"/>
  <c r="P12" i="8" s="1"/>
  <c r="AC16" i="11"/>
  <c r="R14" i="8" s="1"/>
  <c r="S15" i="11"/>
  <c r="AE17" i="11"/>
  <c r="T15" i="8" s="1"/>
  <c r="AB16" i="11"/>
  <c r="Q14" i="8" s="1"/>
  <c r="S16" i="11"/>
  <c r="Y17" i="11"/>
  <c r="N15" i="8" s="1"/>
  <c r="AB18" i="11"/>
  <c r="Q16" i="8" s="1"/>
  <c r="AD17" i="11"/>
  <c r="S15" i="8" s="1"/>
  <c r="Z17" i="11"/>
  <c r="O15" i="8" s="1"/>
  <c r="AD16" i="11"/>
  <c r="S14" i="8" s="1"/>
  <c r="Z16" i="11"/>
  <c r="O14" i="8" s="1"/>
  <c r="AE16" i="11"/>
  <c r="T14" i="8" s="1"/>
  <c r="AD15" i="11"/>
  <c r="S13" i="8" s="1"/>
  <c r="AA15" i="11"/>
  <c r="P13" i="8" s="1"/>
  <c r="AE15" i="11"/>
  <c r="T13" i="8" s="1"/>
  <c r="AE18" i="11"/>
  <c r="T16" i="8" s="1"/>
  <c r="AC17" i="11"/>
  <c r="R15" i="8" s="1"/>
  <c r="Y16" i="11"/>
  <c r="N14" i="8" s="1"/>
  <c r="AC15" i="11"/>
  <c r="R13" i="8" s="1"/>
  <c r="AD18" i="11"/>
  <c r="S16" i="8" s="1"/>
  <c r="Z18" i="11"/>
  <c r="O16" i="8" s="1"/>
  <c r="AB17" i="11"/>
  <c r="Q15" i="8" s="1"/>
  <c r="Z15" i="11"/>
  <c r="O13" i="8" s="1"/>
  <c r="AB15" i="11"/>
  <c r="Q13" i="8" s="1"/>
  <c r="AC18" i="11"/>
  <c r="R16" i="8" s="1"/>
  <c r="Y18" i="11"/>
  <c r="N16" i="8" s="1"/>
  <c r="S18" i="11"/>
  <c r="O3" i="10"/>
  <c r="N33" i="10"/>
  <c r="N8" i="10"/>
  <c r="O8" i="10"/>
  <c r="N70" i="10"/>
  <c r="N61" i="10"/>
  <c r="O61" i="10"/>
  <c r="N68" i="10"/>
  <c r="O68" i="10"/>
  <c r="N22" i="10"/>
  <c r="O22" i="10"/>
  <c r="N36" i="10"/>
  <c r="N55" i="10"/>
  <c r="O55" i="10"/>
  <c r="N54" i="10"/>
  <c r="N84" i="10"/>
  <c r="O84" i="10"/>
  <c r="N7" i="10"/>
  <c r="O7" i="10"/>
  <c r="N81" i="10"/>
  <c r="O81" i="10"/>
  <c r="N38" i="10"/>
  <c r="O38" i="10"/>
  <c r="N4" i="10"/>
  <c r="O4" i="10"/>
  <c r="N35" i="10"/>
  <c r="O35" i="10"/>
  <c r="N47" i="10"/>
  <c r="O47" i="10"/>
  <c r="N87" i="10"/>
  <c r="N40" i="10"/>
  <c r="O40" i="10"/>
  <c r="N16" i="10"/>
  <c r="N41" i="10"/>
  <c r="O41" i="10"/>
  <c r="N37" i="10"/>
  <c r="O37" i="10"/>
  <c r="N31" i="10"/>
  <c r="N72" i="10"/>
  <c r="O72" i="10"/>
  <c r="N58" i="10"/>
  <c r="N67" i="10"/>
  <c r="N42" i="10"/>
  <c r="N23" i="10"/>
  <c r="O23" i="10"/>
  <c r="N34" i="10"/>
  <c r="O34" i="10"/>
  <c r="N73" i="10"/>
  <c r="N9" i="10"/>
  <c r="O9" i="10"/>
  <c r="N14" i="10"/>
  <c r="O14" i="10"/>
  <c r="N24" i="10"/>
  <c r="O24" i="10"/>
  <c r="N64" i="10"/>
  <c r="O64" i="10"/>
  <c r="N17" i="10"/>
  <c r="N51" i="10"/>
  <c r="N43" i="10"/>
  <c r="O43" i="10"/>
  <c r="N59" i="10"/>
  <c r="O59" i="10"/>
  <c r="N50" i="10"/>
  <c r="N20" i="10"/>
  <c r="N63" i="10"/>
  <c r="O63" i="10"/>
  <c r="N28" i="10"/>
  <c r="O28" i="10"/>
  <c r="N71" i="10"/>
  <c r="O71" i="10"/>
  <c r="N15" i="10"/>
  <c r="N21" i="10"/>
  <c r="N62" i="10"/>
  <c r="O62" i="10"/>
  <c r="N52" i="10"/>
  <c r="O52" i="10"/>
  <c r="N46" i="10"/>
  <c r="O46" i="10"/>
  <c r="N18" i="10"/>
  <c r="O18" i="10"/>
  <c r="N60" i="10"/>
  <c r="O60" i="10"/>
  <c r="N53" i="10"/>
  <c r="N57" i="10"/>
  <c r="O57" i="10"/>
  <c r="N6" i="10"/>
  <c r="O6" i="10"/>
  <c r="N29" i="10"/>
  <c r="N25" i="10"/>
  <c r="O25" i="10"/>
  <c r="N30" i="10"/>
  <c r="O30" i="10"/>
  <c r="N13" i="10"/>
  <c r="N45" i="10"/>
  <c r="O45" i="10"/>
  <c r="N77" i="10"/>
  <c r="N56" i="10"/>
  <c r="O56" i="10"/>
  <c r="N74" i="10"/>
  <c r="N76" i="10"/>
  <c r="N78" i="10"/>
  <c r="N48" i="10"/>
  <c r="O48" i="10"/>
  <c r="N79" i="10"/>
  <c r="O79" i="10"/>
  <c r="N80" i="10"/>
  <c r="O80" i="10"/>
  <c r="N11" i="10"/>
  <c r="O11" i="10"/>
  <c r="N85" i="10"/>
  <c r="O85" i="10"/>
  <c r="N10" i="10"/>
  <c r="N83" i="10"/>
  <c r="O83" i="10"/>
  <c r="N12" i="10"/>
  <c r="O12" i="10"/>
  <c r="N82" i="10"/>
  <c r="O82" i="10"/>
  <c r="N86" i="10"/>
  <c r="O86" i="10"/>
  <c r="N44" i="10"/>
  <c r="N32" i="10"/>
  <c r="O32" i="10"/>
  <c r="N5" i="10"/>
  <c r="N27" i="10"/>
  <c r="O27" i="10"/>
  <c r="N75" i="10"/>
  <c r="O75" i="10"/>
  <c r="N19" i="10"/>
  <c r="O19" i="10"/>
  <c r="N26" i="10"/>
  <c r="O26" i="10"/>
  <c r="N39" i="10"/>
  <c r="O39" i="10"/>
  <c r="N65" i="10"/>
  <c r="O65" i="10"/>
  <c r="N69" i="10"/>
  <c r="N49" i="10"/>
  <c r="O49" i="10"/>
  <c r="N66" i="10"/>
  <c r="O66" i="10"/>
  <c r="R3" i="10"/>
  <c r="N3" i="10"/>
  <c r="R4" i="10"/>
  <c r="R35" i="10"/>
  <c r="R47" i="10"/>
  <c r="R40" i="10"/>
  <c r="R41" i="10"/>
  <c r="R37" i="10"/>
  <c r="R72" i="10"/>
  <c r="R23" i="10"/>
  <c r="R34" i="10"/>
  <c r="R9" i="10"/>
  <c r="R14" i="10"/>
  <c r="R24" i="10"/>
  <c r="R64" i="10"/>
  <c r="R28" i="10"/>
  <c r="R43" i="10"/>
  <c r="R62" i="10"/>
  <c r="R52" i="10"/>
  <c r="R46" i="10"/>
  <c r="R18" i="10"/>
  <c r="R60" i="10"/>
  <c r="R59" i="10"/>
  <c r="R6" i="10"/>
  <c r="R63" i="10"/>
  <c r="R25" i="10"/>
  <c r="R30" i="10"/>
  <c r="R45" i="10"/>
  <c r="R56" i="10"/>
  <c r="R48" i="10"/>
  <c r="R79" i="10"/>
  <c r="R80" i="10"/>
  <c r="R11" i="10"/>
  <c r="R85" i="10"/>
  <c r="R83" i="10"/>
  <c r="R12" i="10"/>
  <c r="R82" i="10"/>
  <c r="R86" i="10"/>
  <c r="R32" i="10"/>
  <c r="R8" i="10"/>
  <c r="R27" i="10"/>
  <c r="R61" i="10"/>
  <c r="R68" i="10"/>
  <c r="R19" i="10"/>
  <c r="R22" i="10"/>
  <c r="R26" i="10"/>
  <c r="R55" i="10"/>
  <c r="R39" i="10"/>
  <c r="R84" i="10"/>
  <c r="R65" i="10"/>
  <c r="R7" i="10"/>
  <c r="R81" i="10"/>
  <c r="R49" i="10"/>
  <c r="R66" i="10"/>
  <c r="K12" i="11"/>
  <c r="Q25" i="10"/>
  <c r="Q30" i="10"/>
  <c r="Q45" i="10"/>
  <c r="Q56" i="10"/>
  <c r="Q74" i="10"/>
  <c r="Q78" i="10"/>
  <c r="Q48" i="10"/>
  <c r="Q79" i="10"/>
  <c r="Q11" i="10"/>
  <c r="Q85" i="10"/>
  <c r="Q10" i="10"/>
  <c r="Q83" i="10"/>
  <c r="Q12" i="10"/>
  <c r="Q82" i="10"/>
  <c r="Q86" i="10"/>
  <c r="Q32" i="10"/>
  <c r="Q8" i="10"/>
  <c r="Q5" i="10"/>
  <c r="Q70" i="10"/>
  <c r="Q27" i="10"/>
  <c r="Q61" i="10"/>
  <c r="Q75" i="10"/>
  <c r="Q68" i="10"/>
  <c r="Q19" i="10"/>
  <c r="Q22" i="10"/>
  <c r="Q36" i="10"/>
  <c r="Q26" i="10"/>
  <c r="Q55" i="10"/>
  <c r="Q39" i="10"/>
  <c r="Q54" i="10"/>
  <c r="Q84" i="10"/>
  <c r="Q65" i="10"/>
  <c r="Q7" i="10"/>
  <c r="Q69" i="10"/>
  <c r="Q81" i="10"/>
  <c r="Q49" i="10"/>
  <c r="Q38" i="10"/>
  <c r="Q66" i="10"/>
  <c r="Q4" i="10"/>
  <c r="Q47" i="10"/>
  <c r="Q40" i="10"/>
  <c r="Q37" i="10"/>
  <c r="Q67" i="10"/>
  <c r="Q64" i="10"/>
  <c r="Q35" i="10"/>
  <c r="Q87" i="10"/>
  <c r="Q16" i="10"/>
  <c r="Q41" i="10"/>
  <c r="Q31" i="10"/>
  <c r="Q72" i="10"/>
  <c r="Q58" i="10"/>
  <c r="R58" i="10" s="1"/>
  <c r="Q42" i="10"/>
  <c r="Q23" i="10"/>
  <c r="Q34" i="10"/>
  <c r="Q73" i="10"/>
  <c r="Q9" i="10"/>
  <c r="Q14" i="10"/>
  <c r="Q24" i="10"/>
  <c r="Q17" i="10"/>
  <c r="Q51" i="10"/>
  <c r="Q33" i="10"/>
  <c r="Q28" i="10"/>
  <c r="Q43" i="10"/>
  <c r="Q71" i="10"/>
  <c r="Q15" i="10"/>
  <c r="Q21" i="10"/>
  <c r="Q62" i="10"/>
  <c r="Q52" i="10"/>
  <c r="Q46" i="10"/>
  <c r="Q3" i="10"/>
  <c r="Q18" i="10"/>
  <c r="Q60" i="10"/>
  <c r="Q59" i="10"/>
  <c r="Q53" i="10"/>
  <c r="Q50" i="10"/>
  <c r="Q57" i="10"/>
  <c r="Q6" i="10"/>
  <c r="Q20" i="10"/>
  <c r="Q29" i="10"/>
  <c r="Q63" i="10"/>
  <c r="Q13" i="10"/>
  <c r="Q77" i="10"/>
  <c r="Q76" i="10"/>
  <c r="Q80" i="10"/>
  <c r="Q44" i="10"/>
  <c r="F3" i="11"/>
  <c r="F4" i="11" s="1"/>
  <c r="F2" i="11" a="1"/>
  <c r="F2" i="11" s="1"/>
  <c r="O5" i="10" l="1"/>
  <c r="O173" i="10"/>
  <c r="R206" i="10"/>
  <c r="R186" i="10"/>
  <c r="O91" i="10"/>
  <c r="P91" i="10" s="1"/>
  <c r="O186" i="10"/>
  <c r="O58" i="10"/>
  <c r="P58" i="10" s="1"/>
  <c r="O206" i="10"/>
  <c r="P206" i="10" s="1"/>
  <c r="R17" i="10"/>
  <c r="R16" i="10"/>
  <c r="R67" i="10"/>
  <c r="R36" i="10"/>
  <c r="R5" i="10"/>
  <c r="O36" i="10"/>
  <c r="R31" i="10"/>
  <c r="R33" i="10"/>
  <c r="R156" i="10"/>
  <c r="R101" i="10"/>
  <c r="R178" i="10"/>
  <c r="R188" i="10"/>
  <c r="R97" i="10"/>
  <c r="R78" i="10"/>
  <c r="O77" i="10"/>
  <c r="O17" i="10"/>
  <c r="O67" i="10"/>
  <c r="O16" i="10"/>
  <c r="O193" i="10"/>
  <c r="O188" i="10"/>
  <c r="O101" i="10"/>
  <c r="O97" i="10"/>
  <c r="O156" i="10"/>
  <c r="O178" i="10"/>
  <c r="O195" i="10"/>
  <c r="O33" i="10"/>
  <c r="P5" i="10"/>
  <c r="O78" i="10"/>
  <c r="O31" i="10"/>
  <c r="R73" i="10"/>
  <c r="O73" i="10"/>
  <c r="R95" i="10"/>
  <c r="R154" i="10"/>
  <c r="R103" i="10"/>
  <c r="R200" i="10"/>
  <c r="O103" i="10"/>
  <c r="O200" i="10"/>
  <c r="O95" i="10"/>
  <c r="O154" i="10"/>
  <c r="O21" i="10"/>
  <c r="R10" i="10"/>
  <c r="O10" i="10"/>
  <c r="P10" i="10" s="1"/>
  <c r="R185" i="10"/>
  <c r="O185" i="10"/>
  <c r="O96" i="10"/>
  <c r="O159" i="10"/>
  <c r="P159" i="10" s="1"/>
  <c r="O194" i="10"/>
  <c r="P194" i="10" s="1"/>
  <c r="R194" i="10"/>
  <c r="R159" i="10"/>
  <c r="R87" i="10"/>
  <c r="O113" i="10"/>
  <c r="O127" i="10"/>
  <c r="O153" i="10"/>
  <c r="O199" i="10"/>
  <c r="O20" i="10"/>
  <c r="O87" i="10"/>
  <c r="O54" i="10"/>
  <c r="R53" i="10"/>
  <c r="R153" i="10"/>
  <c r="R127" i="10"/>
  <c r="R199" i="10"/>
  <c r="R113" i="10"/>
  <c r="R13" i="10"/>
  <c r="O13" i="10"/>
  <c r="P29" i="10" s="1"/>
  <c r="O174" i="10"/>
  <c r="O175" i="10"/>
  <c r="O139" i="10"/>
  <c r="O53" i="10"/>
  <c r="R50" i="10"/>
  <c r="R70" i="10"/>
  <c r="O29" i="10"/>
  <c r="R69" i="10"/>
  <c r="R51" i="10"/>
  <c r="R15" i="10"/>
  <c r="R74" i="10"/>
  <c r="O15" i="10"/>
  <c r="O205" i="10"/>
  <c r="O160" i="10"/>
  <c r="O203" i="10"/>
  <c r="O129" i="10"/>
  <c r="O100" i="10"/>
  <c r="O125" i="10"/>
  <c r="O131" i="10"/>
  <c r="O137" i="10"/>
  <c r="O44" i="10"/>
  <c r="R42" i="10"/>
  <c r="O74" i="10"/>
  <c r="O50" i="10"/>
  <c r="O70" i="10"/>
  <c r="R29" i="10"/>
  <c r="O69" i="10"/>
  <c r="R205" i="10"/>
  <c r="R131" i="10"/>
  <c r="R203" i="10"/>
  <c r="R137" i="10"/>
  <c r="R160" i="10"/>
  <c r="R125" i="10"/>
  <c r="R129" i="10"/>
  <c r="O51" i="10"/>
  <c r="O170" i="10"/>
  <c r="O201" i="10"/>
  <c r="R201" i="10"/>
  <c r="R170" i="10"/>
  <c r="R76" i="10"/>
  <c r="O42" i="10"/>
  <c r="R54" i="10"/>
  <c r="O158" i="10"/>
  <c r="O90" i="10"/>
  <c r="O98" i="10"/>
  <c r="O89" i="10"/>
  <c r="O118" i="10"/>
  <c r="O180" i="10"/>
  <c r="O76" i="10"/>
  <c r="R158" i="10"/>
  <c r="R89" i="10"/>
  <c r="R118" i="10"/>
  <c r="R174" i="10"/>
  <c r="R91" i="10"/>
  <c r="R90" i="10"/>
  <c r="R116" i="10"/>
  <c r="R181" i="10"/>
  <c r="R133" i="10"/>
  <c r="R193" i="10"/>
  <c r="R77" i="10"/>
  <c r="R20" i="10"/>
  <c r="R21" i="10"/>
  <c r="R57" i="10"/>
  <c r="R71" i="10"/>
  <c r="R38" i="10"/>
  <c r="R88" i="10"/>
  <c r="R168" i="10"/>
  <c r="R155" i="10"/>
  <c r="R100" i="10"/>
  <c r="R96" i="10"/>
  <c r="R180" i="10"/>
  <c r="R173" i="10"/>
  <c r="R175" i="10"/>
  <c r="R195" i="10"/>
  <c r="R44" i="10"/>
  <c r="R75" i="10"/>
  <c r="R139" i="10"/>
  <c r="R98" i="10"/>
  <c r="P26" i="11"/>
  <c r="M25" i="11"/>
  <c r="M27" i="11"/>
  <c r="M26" i="11"/>
  <c r="J27" i="11"/>
  <c r="J26" i="11"/>
  <c r="J25" i="11"/>
  <c r="H27" i="11"/>
  <c r="M34" i="8" s="1"/>
  <c r="L25" i="11"/>
  <c r="N27" i="8" s="1"/>
  <c r="H26" i="11"/>
  <c r="M30" i="8" s="1"/>
  <c r="K27" i="11"/>
  <c r="M35" i="8" s="1"/>
  <c r="F5" i="11"/>
  <c r="T22" i="8" s="1"/>
  <c r="I25" i="11"/>
  <c r="N26" i="8" s="1"/>
  <c r="O26" i="11"/>
  <c r="N32" i="8" s="1"/>
  <c r="I27" i="11"/>
  <c r="N34" i="8" s="1"/>
  <c r="K25" i="11"/>
  <c r="M27" i="8" s="1"/>
  <c r="N26" i="11"/>
  <c r="M32" i="8" s="1"/>
  <c r="I26" i="11"/>
  <c r="N30" i="8" s="1"/>
  <c r="L26" i="11"/>
  <c r="N31" i="8" s="1"/>
  <c r="H25" i="11"/>
  <c r="M26" i="8" s="1"/>
  <c r="L27" i="11"/>
  <c r="N35" i="8" s="1"/>
  <c r="K26" i="11"/>
  <c r="M31" i="8" s="1"/>
  <c r="E9" i="8"/>
  <c r="P173" i="10" l="1"/>
  <c r="P186" i="10"/>
  <c r="P21" i="10"/>
  <c r="P13" i="10"/>
  <c r="P31" i="10"/>
  <c r="P195" i="10"/>
  <c r="P67" i="10"/>
  <c r="P78" i="10"/>
  <c r="P17" i="10"/>
  <c r="P156" i="10"/>
  <c r="P77" i="10"/>
  <c r="P33" i="10"/>
  <c r="P16" i="10"/>
  <c r="P170" i="10"/>
  <c r="P97" i="10"/>
  <c r="P101" i="10"/>
  <c r="P20" i="10"/>
  <c r="P178" i="10"/>
  <c r="P193" i="10"/>
  <c r="P36" i="10"/>
  <c r="P188" i="10"/>
  <c r="P118" i="10"/>
  <c r="P89" i="10"/>
  <c r="P54" i="10"/>
  <c r="P154" i="10"/>
  <c r="P73" i="10"/>
  <c r="P95" i="10"/>
  <c r="P200" i="10"/>
  <c r="P175" i="10"/>
  <c r="P103" i="10"/>
  <c r="J33" i="11"/>
  <c r="M33" i="11" s="1"/>
  <c r="J40" i="11"/>
  <c r="J38" i="11"/>
  <c r="J36" i="11"/>
  <c r="J34" i="11"/>
  <c r="J39" i="11"/>
  <c r="J37" i="11"/>
  <c r="J35" i="11"/>
  <c r="P185" i="10"/>
  <c r="P158" i="10"/>
  <c r="P87" i="10"/>
  <c r="P199" i="10"/>
  <c r="P96" i="10"/>
  <c r="P174" i="10"/>
  <c r="P53" i="10"/>
  <c r="P113" i="10"/>
  <c r="P139" i="10"/>
  <c r="P153" i="10"/>
  <c r="P15" i="10"/>
  <c r="P127" i="10"/>
  <c r="P98" i="10"/>
  <c r="P180" i="10"/>
  <c r="P69" i="10"/>
  <c r="P74" i="10"/>
  <c r="P137" i="10"/>
  <c r="P129" i="10"/>
  <c r="P131" i="10"/>
  <c r="P203" i="10"/>
  <c r="P70" i="10"/>
  <c r="P125" i="10"/>
  <c r="P51" i="10"/>
  <c r="P50" i="10"/>
  <c r="P44" i="10"/>
  <c r="P205" i="10"/>
  <c r="P42" i="10"/>
  <c r="P100" i="10"/>
  <c r="P160" i="10"/>
  <c r="P76" i="10"/>
  <c r="P201" i="10"/>
  <c r="P90" i="10"/>
  <c r="L33" i="11" l="1"/>
  <c r="G15" i="11"/>
  <c r="M37" i="11"/>
  <c r="L37" i="11"/>
  <c r="M38" i="11"/>
  <c r="L38" i="11"/>
  <c r="M39" i="11"/>
  <c r="L39" i="11"/>
  <c r="L40" i="11"/>
  <c r="M40" i="11"/>
  <c r="G14" i="11"/>
  <c r="I14" i="11" s="1"/>
  <c r="M34" i="11"/>
  <c r="L34" i="11"/>
  <c r="M35" i="11"/>
  <c r="L35" i="11"/>
  <c r="L36" i="11"/>
  <c r="M36" i="11"/>
  <c r="J15" i="11"/>
  <c r="I15" i="11"/>
  <c r="K15" i="11"/>
  <c r="H15" i="11"/>
  <c r="G17" i="11"/>
  <c r="G18" i="11"/>
  <c r="G16" i="11"/>
  <c r="K14" i="11" l="1"/>
  <c r="J14" i="11"/>
  <c r="H14" i="11"/>
  <c r="L15" i="11"/>
  <c r="M15" i="11" s="1"/>
  <c r="J18" i="11"/>
  <c r="I18" i="11"/>
  <c r="J16" i="11"/>
  <c r="I16" i="11"/>
  <c r="J17" i="11"/>
  <c r="I17" i="11"/>
  <c r="L30" i="11"/>
  <c r="K16" i="11"/>
  <c r="H16" i="11"/>
  <c r="K18" i="11"/>
  <c r="H18" i="11"/>
  <c r="K17" i="11"/>
  <c r="H17" i="11"/>
  <c r="B13" i="8"/>
  <c r="L14" i="11" l="1"/>
  <c r="M14" i="11" s="1"/>
  <c r="B12" i="8"/>
  <c r="L18" i="11"/>
  <c r="M18" i="11" s="1"/>
  <c r="H20" i="11"/>
  <c r="I20" i="11" s="1"/>
  <c r="B17" i="8" s="1"/>
  <c r="B16" i="8"/>
  <c r="L17" i="11"/>
  <c r="M17" i="11" s="1"/>
  <c r="B15" i="8"/>
  <c r="L16" i="11"/>
  <c r="M16" i="11" s="1"/>
  <c r="B14" i="8"/>
  <c r="D12" i="8" l="1"/>
  <c r="E12" i="8" s="1"/>
  <c r="D15" i="8"/>
  <c r="F15" i="8" s="1"/>
  <c r="D16" i="8"/>
  <c r="E16" i="8" s="1"/>
  <c r="D14" i="8"/>
  <c r="H14" i="8" s="1"/>
  <c r="D13" i="8"/>
  <c r="F13" i="8" s="1"/>
  <c r="F12" i="8"/>
  <c r="H15" i="8"/>
  <c r="E15" i="8"/>
  <c r="G15" i="8"/>
  <c r="C15" i="8"/>
  <c r="C12" i="8" l="1"/>
  <c r="G12" i="8"/>
  <c r="H12" i="8"/>
  <c r="F16" i="8"/>
  <c r="E14" i="8"/>
  <c r="C14" i="8"/>
  <c r="H16" i="8"/>
  <c r="G14" i="8"/>
  <c r="F14" i="8"/>
  <c r="C16" i="8"/>
  <c r="E13" i="8"/>
  <c r="H13" i="8"/>
  <c r="G13" i="8"/>
  <c r="C13" i="8"/>
  <c r="G16" i="8"/>
</calcChain>
</file>

<file path=xl/comments1.xml><?xml version="1.0" encoding="utf-8"?>
<comments xmlns="http://schemas.openxmlformats.org/spreadsheetml/2006/main">
  <authors>
    <author>ind zara</author>
  </authors>
  <commentList>
    <comment ref="S7" authorId="0" shapeId="0">
      <text>
        <r>
          <rPr>
            <b/>
            <sz val="9"/>
            <color indexed="81"/>
            <rFont val="Tahoma"/>
            <family val="2"/>
          </rPr>
          <t>ind zara:</t>
        </r>
        <r>
          <rPr>
            <sz val="9"/>
            <color indexed="81"/>
            <rFont val="Tahoma"/>
            <family val="2"/>
          </rPr>
          <t xml:space="preserve">
Total - prioritizes total medal count first, then G, S, B.
Gold - Total medal count is not given importance.</t>
        </r>
      </text>
    </comment>
  </commentList>
</comments>
</file>

<file path=xl/sharedStrings.xml><?xml version="1.0" encoding="utf-8"?>
<sst xmlns="http://schemas.openxmlformats.org/spreadsheetml/2006/main" count="22413" uniqueCount="2866">
  <si>
    <t>Country</t>
  </si>
  <si>
    <t>Int Olympic Committee code</t>
  </si>
  <si>
    <t>Afghanistan</t>
  </si>
  <si>
    <t>AFG</t>
  </si>
  <si>
    <t>Albania</t>
  </si>
  <si>
    <t>ALB</t>
  </si>
  <si>
    <t>Algeria</t>
  </si>
  <si>
    <t>ALG</t>
  </si>
  <si>
    <t>ASA</t>
  </si>
  <si>
    <t>Andorra</t>
  </si>
  <si>
    <t>AND</t>
  </si>
  <si>
    <t>Angola</t>
  </si>
  <si>
    <t>ANG</t>
  </si>
  <si>
    <t>Antigua and Barbuda</t>
  </si>
  <si>
    <t>ANT</t>
  </si>
  <si>
    <t>Argentina</t>
  </si>
  <si>
    <t>ARG</t>
  </si>
  <si>
    <t>Armenia</t>
  </si>
  <si>
    <t>ARM</t>
  </si>
  <si>
    <t>ARU</t>
  </si>
  <si>
    <t>Australia</t>
  </si>
  <si>
    <t>AUS</t>
  </si>
  <si>
    <t>Austria</t>
  </si>
  <si>
    <t>AUT</t>
  </si>
  <si>
    <t>Azerbaijan</t>
  </si>
  <si>
    <t>AZE</t>
  </si>
  <si>
    <t>Bahamas</t>
  </si>
  <si>
    <t>BAH</t>
  </si>
  <si>
    <t>Bahrain</t>
  </si>
  <si>
    <t>BRN</t>
  </si>
  <si>
    <t>Bangladesh</t>
  </si>
  <si>
    <t>BAN</t>
  </si>
  <si>
    <t>Barbados</t>
  </si>
  <si>
    <t>BAR</t>
  </si>
  <si>
    <t>Belarus</t>
  </si>
  <si>
    <t>BLR</t>
  </si>
  <si>
    <t>Belgium</t>
  </si>
  <si>
    <t>BEL</t>
  </si>
  <si>
    <t>Belize</t>
  </si>
  <si>
    <t>BIZ</t>
  </si>
  <si>
    <t>BER</t>
  </si>
  <si>
    <t>Benin</t>
  </si>
  <si>
    <t>BEN</t>
  </si>
  <si>
    <t>Bhutan</t>
  </si>
  <si>
    <t>BHU</t>
  </si>
  <si>
    <t>Bolivia</t>
  </si>
  <si>
    <t>BOL</t>
  </si>
  <si>
    <t>BIH</t>
  </si>
  <si>
    <t>Botswana</t>
  </si>
  <si>
    <t>BOT</t>
  </si>
  <si>
    <t>Brazil</t>
  </si>
  <si>
    <t>BRA</t>
  </si>
  <si>
    <t>IVB</t>
  </si>
  <si>
    <t>Brunei</t>
  </si>
  <si>
    <t>BRU</t>
  </si>
  <si>
    <t>Bulgaria</t>
  </si>
  <si>
    <t>BUL</t>
  </si>
  <si>
    <t>Burkina Faso</t>
  </si>
  <si>
    <t>BUR</t>
  </si>
  <si>
    <t>Burundi</t>
  </si>
  <si>
    <t>BDI</t>
  </si>
  <si>
    <t>Cambodia</t>
  </si>
  <si>
    <t>CAM</t>
  </si>
  <si>
    <t>Cameroon</t>
  </si>
  <si>
    <t>CMR</t>
  </si>
  <si>
    <t>Canada</t>
  </si>
  <si>
    <t>CAN</t>
  </si>
  <si>
    <t>Cape Verde</t>
  </si>
  <si>
    <t>CPV</t>
  </si>
  <si>
    <t>CAY</t>
  </si>
  <si>
    <t>Central African Republic</t>
  </si>
  <si>
    <t>CAF</t>
  </si>
  <si>
    <t>Chad</t>
  </si>
  <si>
    <t>CHA</t>
  </si>
  <si>
    <t>Chile</t>
  </si>
  <si>
    <t>CHI</t>
  </si>
  <si>
    <t>China</t>
  </si>
  <si>
    <t>CHN</t>
  </si>
  <si>
    <t>Colombia</t>
  </si>
  <si>
    <t>COL</t>
  </si>
  <si>
    <t>Comoros</t>
  </si>
  <si>
    <t>COM</t>
  </si>
  <si>
    <t>Congo</t>
  </si>
  <si>
    <t>CGO</t>
  </si>
  <si>
    <t>COD</t>
  </si>
  <si>
    <t>Cook Islands</t>
  </si>
  <si>
    <t>COK</t>
  </si>
  <si>
    <t>Costa Rica</t>
  </si>
  <si>
    <t>CRC</t>
  </si>
  <si>
    <t>Cote d'Ivoire</t>
  </si>
  <si>
    <t>CIV</t>
  </si>
  <si>
    <t>Croatia</t>
  </si>
  <si>
    <t>CRO</t>
  </si>
  <si>
    <t>Cuba</t>
  </si>
  <si>
    <t>CUB</t>
  </si>
  <si>
    <t>Cyprus</t>
  </si>
  <si>
    <t>CYP</t>
  </si>
  <si>
    <t>Czech Republic</t>
  </si>
  <si>
    <t>CZE</t>
  </si>
  <si>
    <t>Denmark</t>
  </si>
  <si>
    <t>DEN</t>
  </si>
  <si>
    <t>Djibouti</t>
  </si>
  <si>
    <t>DJI</t>
  </si>
  <si>
    <t>Dominica</t>
  </si>
  <si>
    <t>DMA</t>
  </si>
  <si>
    <t>Dominican Republic</t>
  </si>
  <si>
    <t>DOM</t>
  </si>
  <si>
    <t>East Timor (Timor-Leste)</t>
  </si>
  <si>
    <t>TLS</t>
  </si>
  <si>
    <t>Ecuador</t>
  </si>
  <si>
    <t>ECU</t>
  </si>
  <si>
    <t>Egypt</t>
  </si>
  <si>
    <t>EGY</t>
  </si>
  <si>
    <t>El Salvador</t>
  </si>
  <si>
    <t>ESA</t>
  </si>
  <si>
    <t>Equatorial Guinea</t>
  </si>
  <si>
    <t>GEQ</t>
  </si>
  <si>
    <t>Eritrea</t>
  </si>
  <si>
    <t>ERI</t>
  </si>
  <si>
    <t>Estonia</t>
  </si>
  <si>
    <t>EST</t>
  </si>
  <si>
    <t>Ethiopia</t>
  </si>
  <si>
    <t>ETH</t>
  </si>
  <si>
    <t>Fiji</t>
  </si>
  <si>
    <t>FIJ</t>
  </si>
  <si>
    <t>Finland</t>
  </si>
  <si>
    <t>FIN</t>
  </si>
  <si>
    <t>France</t>
  </si>
  <si>
    <t>FRA</t>
  </si>
  <si>
    <t>Gabon</t>
  </si>
  <si>
    <t>GAB</t>
  </si>
  <si>
    <t>Gambia</t>
  </si>
  <si>
    <t>GAM</t>
  </si>
  <si>
    <t>Georgia</t>
  </si>
  <si>
    <t>GEO</t>
  </si>
  <si>
    <t>Germany</t>
  </si>
  <si>
    <t>GER</t>
  </si>
  <si>
    <t>Ghana</t>
  </si>
  <si>
    <t>GHA</t>
  </si>
  <si>
    <t>Greece</t>
  </si>
  <si>
    <t>GRE</t>
  </si>
  <si>
    <t>Grenada</t>
  </si>
  <si>
    <t>GRN</t>
  </si>
  <si>
    <t>Guam</t>
  </si>
  <si>
    <t>GUM</t>
  </si>
  <si>
    <t>Guatemala</t>
  </si>
  <si>
    <t>GUA</t>
  </si>
  <si>
    <t>Guinea</t>
  </si>
  <si>
    <t>GUI</t>
  </si>
  <si>
    <t>Guinea-Bissau</t>
  </si>
  <si>
    <t>GBS</t>
  </si>
  <si>
    <t>Guyana</t>
  </si>
  <si>
    <t>GUY</t>
  </si>
  <si>
    <t>Haiti</t>
  </si>
  <si>
    <t>HAI</t>
  </si>
  <si>
    <t>Honduras</t>
  </si>
  <si>
    <t>HON</t>
  </si>
  <si>
    <t>HKG</t>
  </si>
  <si>
    <t>Hungary</t>
  </si>
  <si>
    <t>HUN</t>
  </si>
  <si>
    <t>Iceland</t>
  </si>
  <si>
    <t>ISL</t>
  </si>
  <si>
    <t>India</t>
  </si>
  <si>
    <t>IND</t>
  </si>
  <si>
    <t>Indonesia</t>
  </si>
  <si>
    <t>INA</t>
  </si>
  <si>
    <t>Iran</t>
  </si>
  <si>
    <t>IRI</t>
  </si>
  <si>
    <t>Iraq</t>
  </si>
  <si>
    <t>IRQ</t>
  </si>
  <si>
    <t>Ireland</t>
  </si>
  <si>
    <t>IRL</t>
  </si>
  <si>
    <t>Israel</t>
  </si>
  <si>
    <t>ISR</t>
  </si>
  <si>
    <t>Italy</t>
  </si>
  <si>
    <t>ITA</t>
  </si>
  <si>
    <t>Jamaica</t>
  </si>
  <si>
    <t>JAM</t>
  </si>
  <si>
    <t>Japan</t>
  </si>
  <si>
    <t>JPN</t>
  </si>
  <si>
    <t>Jordan</t>
  </si>
  <si>
    <t>JOR</t>
  </si>
  <si>
    <t>Kazakhstan</t>
  </si>
  <si>
    <t>KAZ</t>
  </si>
  <si>
    <t>Kenya</t>
  </si>
  <si>
    <t>KEN</t>
  </si>
  <si>
    <t>PRK</t>
  </si>
  <si>
    <t>KOR</t>
  </si>
  <si>
    <t>Kuwait</t>
  </si>
  <si>
    <t>KUW</t>
  </si>
  <si>
    <t>Kyrgyzstan</t>
  </si>
  <si>
    <t>KGZ</t>
  </si>
  <si>
    <t>Laos</t>
  </si>
  <si>
    <t>LAO</t>
  </si>
  <si>
    <t>Latvia</t>
  </si>
  <si>
    <t>LAT</t>
  </si>
  <si>
    <t>Lebanon</t>
  </si>
  <si>
    <t>LIB</t>
  </si>
  <si>
    <t>Lesotho</t>
  </si>
  <si>
    <t>LES</t>
  </si>
  <si>
    <t>Liberia</t>
  </si>
  <si>
    <t>LBR</t>
  </si>
  <si>
    <t>Libya</t>
  </si>
  <si>
    <t>LBA</t>
  </si>
  <si>
    <t>Liechtenstein</t>
  </si>
  <si>
    <t>LIE</t>
  </si>
  <si>
    <t>Lithuania</t>
  </si>
  <si>
    <t>LTU</t>
  </si>
  <si>
    <t>Luxembourg</t>
  </si>
  <si>
    <t>LUX</t>
  </si>
  <si>
    <t>Macedonia</t>
  </si>
  <si>
    <t>MKD</t>
  </si>
  <si>
    <t>Madagascar</t>
  </si>
  <si>
    <t>MAD</t>
  </si>
  <si>
    <t>Malawi</t>
  </si>
  <si>
    <t>MAW</t>
  </si>
  <si>
    <t>Malaysia</t>
  </si>
  <si>
    <t>MAS</t>
  </si>
  <si>
    <t>Maldives</t>
  </si>
  <si>
    <t>MDV</t>
  </si>
  <si>
    <t>Mali</t>
  </si>
  <si>
    <t>MLI</t>
  </si>
  <si>
    <t>Malta</t>
  </si>
  <si>
    <t>MLT</t>
  </si>
  <si>
    <t>Mauritania</t>
  </si>
  <si>
    <t>MTN</t>
  </si>
  <si>
    <t>Mauritius</t>
  </si>
  <si>
    <t>MRI</t>
  </si>
  <si>
    <t>Mexico</t>
  </si>
  <si>
    <t>MEX</t>
  </si>
  <si>
    <t>Micronesia</t>
  </si>
  <si>
    <t>FSM</t>
  </si>
  <si>
    <t>Moldova</t>
  </si>
  <si>
    <t>MDA</t>
  </si>
  <si>
    <t>Monaco</t>
  </si>
  <si>
    <t>MON</t>
  </si>
  <si>
    <t>Mongolia</t>
  </si>
  <si>
    <t>MGL</t>
  </si>
  <si>
    <t>Morocco</t>
  </si>
  <si>
    <t>MAR</t>
  </si>
  <si>
    <t>Mozambique</t>
  </si>
  <si>
    <t>MOZ</t>
  </si>
  <si>
    <t>MYA</t>
  </si>
  <si>
    <t>Namibia</t>
  </si>
  <si>
    <t>NAM</t>
  </si>
  <si>
    <t>Nauru</t>
  </si>
  <si>
    <t>NRU</t>
  </si>
  <si>
    <t>Nepal</t>
  </si>
  <si>
    <t>NEP</t>
  </si>
  <si>
    <t>Netherlands</t>
  </si>
  <si>
    <t>NED</t>
  </si>
  <si>
    <t>AHO</t>
  </si>
  <si>
    <t>New Zealand</t>
  </si>
  <si>
    <t>NZL</t>
  </si>
  <si>
    <t>Nicaragua</t>
  </si>
  <si>
    <t>NCA</t>
  </si>
  <si>
    <t>Niger</t>
  </si>
  <si>
    <t>NIG</t>
  </si>
  <si>
    <t>Nigeria</t>
  </si>
  <si>
    <t>NGR</t>
  </si>
  <si>
    <t>Norway</t>
  </si>
  <si>
    <t>NOR</t>
  </si>
  <si>
    <t>Oman</t>
  </si>
  <si>
    <t>OMA</t>
  </si>
  <si>
    <t>Pakistan</t>
  </si>
  <si>
    <t>PAK</t>
  </si>
  <si>
    <t>Palau</t>
  </si>
  <si>
    <t>PLW</t>
  </si>
  <si>
    <t>PLE</t>
  </si>
  <si>
    <t>Panama</t>
  </si>
  <si>
    <t>PAN</t>
  </si>
  <si>
    <t>Papua New Guinea</t>
  </si>
  <si>
    <t>PNG</t>
  </si>
  <si>
    <t>Paraguay</t>
  </si>
  <si>
    <t>PAR</t>
  </si>
  <si>
    <t>Peru</t>
  </si>
  <si>
    <t>PER</t>
  </si>
  <si>
    <t>Philippines</t>
  </si>
  <si>
    <t>PHI</t>
  </si>
  <si>
    <t>Poland</t>
  </si>
  <si>
    <t>POL</t>
  </si>
  <si>
    <t>Portugal</t>
  </si>
  <si>
    <t>POR</t>
  </si>
  <si>
    <t>PUR</t>
  </si>
  <si>
    <t>Qatar</t>
  </si>
  <si>
    <t>QAT</t>
  </si>
  <si>
    <t>Romania</t>
  </si>
  <si>
    <t>RUS</t>
  </si>
  <si>
    <t>Rwanda</t>
  </si>
  <si>
    <t>RWA</t>
  </si>
  <si>
    <t>SKN</t>
  </si>
  <si>
    <t>Saint Lucia</t>
  </si>
  <si>
    <t>LCA</t>
  </si>
  <si>
    <t>VIN</t>
  </si>
  <si>
    <t>Samoa</t>
  </si>
  <si>
    <t>SAM</t>
  </si>
  <si>
    <t>San Marino</t>
  </si>
  <si>
    <t>SMR</t>
  </si>
  <si>
    <t>STP</t>
  </si>
  <si>
    <t>Saudi Arabia</t>
  </si>
  <si>
    <t>KSA</t>
  </si>
  <si>
    <t>Senegal</t>
  </si>
  <si>
    <t>SEN</t>
  </si>
  <si>
    <t>Serbia</t>
  </si>
  <si>
    <t>Seychelles</t>
  </si>
  <si>
    <t>SEY</t>
  </si>
  <si>
    <t>Sierra Leone</t>
  </si>
  <si>
    <t>SLE</t>
  </si>
  <si>
    <t>Singapore</t>
  </si>
  <si>
    <t>SIN</t>
  </si>
  <si>
    <t>Slovakia</t>
  </si>
  <si>
    <t>SVK</t>
  </si>
  <si>
    <t>Slovenia</t>
  </si>
  <si>
    <t>SLO</t>
  </si>
  <si>
    <t>Solomon Islands</t>
  </si>
  <si>
    <t>SOL</t>
  </si>
  <si>
    <t>Somalia</t>
  </si>
  <si>
    <t>SOM</t>
  </si>
  <si>
    <t>South Africa</t>
  </si>
  <si>
    <t>RSA</t>
  </si>
  <si>
    <t>Spain</t>
  </si>
  <si>
    <t>ESP</t>
  </si>
  <si>
    <t>Sri Lanka</t>
  </si>
  <si>
    <t>SRI</t>
  </si>
  <si>
    <t>Sudan</t>
  </si>
  <si>
    <t>SUD</t>
  </si>
  <si>
    <t>Suriname</t>
  </si>
  <si>
    <t>SUR</t>
  </si>
  <si>
    <t>Swaziland</t>
  </si>
  <si>
    <t>SWZ</t>
  </si>
  <si>
    <t>Sweden</t>
  </si>
  <si>
    <t>SWE</t>
  </si>
  <si>
    <t>Switzerland</t>
  </si>
  <si>
    <t>SUI</t>
  </si>
  <si>
    <t>Syria</t>
  </si>
  <si>
    <t>SYR</t>
  </si>
  <si>
    <t>Taiwan</t>
  </si>
  <si>
    <t>TPE</t>
  </si>
  <si>
    <t>Tajikistan</t>
  </si>
  <si>
    <t>TJK</t>
  </si>
  <si>
    <t>Tanzania</t>
  </si>
  <si>
    <t>TAN</t>
  </si>
  <si>
    <t>Thailand</t>
  </si>
  <si>
    <t>THA</t>
  </si>
  <si>
    <t>Togo</t>
  </si>
  <si>
    <t>TOG</t>
  </si>
  <si>
    <t>Tonga</t>
  </si>
  <si>
    <t>TGA</t>
  </si>
  <si>
    <t>Trinidad and Tobago</t>
  </si>
  <si>
    <t>Tunisia</t>
  </si>
  <si>
    <t>TUN</t>
  </si>
  <si>
    <t>Turkey</t>
  </si>
  <si>
    <t>TUR</t>
  </si>
  <si>
    <t>Turkmenistan</t>
  </si>
  <si>
    <t>TKM</t>
  </si>
  <si>
    <t>Uganda</t>
  </si>
  <si>
    <t>UGA</t>
  </si>
  <si>
    <t>Ukraine</t>
  </si>
  <si>
    <t>UKR</t>
  </si>
  <si>
    <t>United Arab Emirates</t>
  </si>
  <si>
    <t>UAE</t>
  </si>
  <si>
    <t>GBR</t>
  </si>
  <si>
    <t>United States</t>
  </si>
  <si>
    <t>USA</t>
  </si>
  <si>
    <t>Uruguay</t>
  </si>
  <si>
    <t>URU</t>
  </si>
  <si>
    <t>Uzbekistan</t>
  </si>
  <si>
    <t>UZB</t>
  </si>
  <si>
    <t>Vanuatu</t>
  </si>
  <si>
    <t>VAN</t>
  </si>
  <si>
    <t>Venezuela</t>
  </si>
  <si>
    <t>VEN</t>
  </si>
  <si>
    <t>Vietnam</t>
  </si>
  <si>
    <t>VIE</t>
  </si>
  <si>
    <t>ISV</t>
  </si>
  <si>
    <t>Yemen</t>
  </si>
  <si>
    <t>YEM</t>
  </si>
  <si>
    <t>Zambia</t>
  </si>
  <si>
    <t>ZAM</t>
  </si>
  <si>
    <t>Zimbabwe</t>
  </si>
  <si>
    <t>ZIM</t>
  </si>
  <si>
    <t>SPORT</t>
  </si>
  <si>
    <t>Gold</t>
  </si>
  <si>
    <t>Silver</t>
  </si>
  <si>
    <t>Bronze</t>
  </si>
  <si>
    <t>Event</t>
  </si>
  <si>
    <t>GENDER</t>
  </si>
  <si>
    <t>Men</t>
  </si>
  <si>
    <t>SPORT TYPE</t>
  </si>
  <si>
    <t>TEAM</t>
  </si>
  <si>
    <t>GOLD</t>
  </si>
  <si>
    <t>Great Britain</t>
  </si>
  <si>
    <t>Puerto Rico</t>
  </si>
  <si>
    <t>Athletics</t>
  </si>
  <si>
    <t>Women</t>
  </si>
  <si>
    <t>Archery</t>
  </si>
  <si>
    <t>Men's Individual</t>
  </si>
  <si>
    <t>Events</t>
  </si>
  <si>
    <t>Badminton</t>
  </si>
  <si>
    <t>Mixed</t>
  </si>
  <si>
    <t>Basketball</t>
  </si>
  <si>
    <t>Boxing</t>
  </si>
  <si>
    <t>TOTAL</t>
  </si>
  <si>
    <t>#</t>
  </si>
  <si>
    <t>Diving</t>
  </si>
  <si>
    <t>Equestrian</t>
  </si>
  <si>
    <t>Fencing</t>
  </si>
  <si>
    <t>Football</t>
  </si>
  <si>
    <t>Handball</t>
  </si>
  <si>
    <t>Judo</t>
  </si>
  <si>
    <t>Modern Pentathlon</t>
  </si>
  <si>
    <t>Rowing</t>
  </si>
  <si>
    <t>Sailing</t>
  </si>
  <si>
    <t>Shooting</t>
  </si>
  <si>
    <t>Swimming</t>
  </si>
  <si>
    <t>Table Tennis</t>
  </si>
  <si>
    <t>Taekwondo</t>
  </si>
  <si>
    <t>Tennis</t>
  </si>
  <si>
    <t>Triathlon</t>
  </si>
  <si>
    <t>Volleyball</t>
  </si>
  <si>
    <t>Water Polo</t>
  </si>
  <si>
    <t>Weightlifting</t>
  </si>
  <si>
    <t>Wrestling</t>
  </si>
  <si>
    <t>Men's Keirin</t>
  </si>
  <si>
    <t>Women's Keirin</t>
  </si>
  <si>
    <t>Men's Omnium</t>
  </si>
  <si>
    <t>Women's Omnium</t>
  </si>
  <si>
    <t>Hong Kong</t>
  </si>
  <si>
    <t>Chinese Taipei</t>
  </si>
  <si>
    <t>Montenegro</t>
  </si>
  <si>
    <t>COUNTRY</t>
  </si>
  <si>
    <t>GOLD MEDALS</t>
  </si>
  <si>
    <t>SILVER MEDALS</t>
  </si>
  <si>
    <t>BRONZE MEDALS</t>
  </si>
  <si>
    <t>RANK</t>
  </si>
  <si>
    <t>ROW</t>
  </si>
  <si>
    <t>EVENT NAME</t>
  </si>
  <si>
    <t># of events</t>
  </si>
  <si>
    <t>ROW NUMBER OF EVENT NAME</t>
  </si>
  <si>
    <t>Winner</t>
  </si>
  <si>
    <t>MEDAL</t>
  </si>
  <si>
    <t>Winning Country</t>
  </si>
  <si>
    <t>ATHLETE</t>
  </si>
  <si>
    <t>SV_GOLD</t>
  </si>
  <si>
    <t>SV_SILVER</t>
  </si>
  <si>
    <t>SV_BRONZE</t>
  </si>
  <si>
    <t>SV_RANK</t>
  </si>
  <si>
    <t>SV_TOTAL</t>
  </si>
  <si>
    <t>RANKING METHOD</t>
  </si>
  <si>
    <t>SV_RANK VALUE</t>
  </si>
  <si>
    <t>American Samoa</t>
  </si>
  <si>
    <t>Aruba</t>
  </si>
  <si>
    <t>FLAG</t>
  </si>
  <si>
    <t>MEDALS</t>
  </si>
  <si>
    <t>Bermuda</t>
  </si>
  <si>
    <t>Cayman Islands</t>
  </si>
  <si>
    <t>Netherlands Antilles</t>
  </si>
  <si>
    <t>Event Name row</t>
  </si>
  <si>
    <t>Event Type</t>
  </si>
  <si>
    <t>EVENT TYPE</t>
  </si>
  <si>
    <t>Medals</t>
  </si>
  <si>
    <t>Athletes with medals</t>
  </si>
  <si>
    <t>BLNK FLAG</t>
  </si>
  <si>
    <t>Artistic Gymnastics</t>
  </si>
  <si>
    <t>Beach Volleyball</t>
  </si>
  <si>
    <t>Canoe Slalom</t>
  </si>
  <si>
    <t>Canoe Sprint</t>
  </si>
  <si>
    <t>Cycling BMX</t>
  </si>
  <si>
    <t>Cycling Mountain Bike</t>
  </si>
  <si>
    <t>Cycling Road</t>
  </si>
  <si>
    <t>Cycling Track</t>
  </si>
  <si>
    <t>Marathon Swimming</t>
  </si>
  <si>
    <t>Rhythmic Gymnastics</t>
  </si>
  <si>
    <t>Rugby Sevens</t>
  </si>
  <si>
    <t>Trampoline Gymnastics</t>
  </si>
  <si>
    <t>Golf</t>
  </si>
  <si>
    <t>Women's Individual</t>
  </si>
  <si>
    <t>Men's Team</t>
  </si>
  <si>
    <t>Women's Team</t>
  </si>
  <si>
    <t>Gold - Athlete</t>
  </si>
  <si>
    <t>Gold - Country</t>
  </si>
  <si>
    <t>Silver - Athlete</t>
  </si>
  <si>
    <t>Silver - Country</t>
  </si>
  <si>
    <t>Bronze - Athlete</t>
  </si>
  <si>
    <t>Bronze - Country</t>
  </si>
  <si>
    <t>Men's Individual All-Around</t>
  </si>
  <si>
    <t>Men's Floor Exercise</t>
  </si>
  <si>
    <t>Men's Pommel Horse</t>
  </si>
  <si>
    <t>Men's Rings</t>
  </si>
  <si>
    <t>Men's Vault</t>
  </si>
  <si>
    <t>Men's Parallel Bars</t>
  </si>
  <si>
    <t>Men's Horizontal Bar</t>
  </si>
  <si>
    <t>Women's Individual All-Around</t>
  </si>
  <si>
    <t>Women's Vault</t>
  </si>
  <si>
    <t>Women's Uneven Bars</t>
  </si>
  <si>
    <t>Women's Balance Beam</t>
  </si>
  <si>
    <t>Women's Floor Exercise</t>
  </si>
  <si>
    <t>Men's 100m</t>
  </si>
  <si>
    <t>Men's 200m</t>
  </si>
  <si>
    <t>Men's 400m</t>
  </si>
  <si>
    <t>Men's 800m</t>
  </si>
  <si>
    <t>Men's 1500m</t>
  </si>
  <si>
    <t>Men's 5000m</t>
  </si>
  <si>
    <t>Men's 10,000m</t>
  </si>
  <si>
    <t>Men's Marathon</t>
  </si>
  <si>
    <t>Men's 3000m Steeplechase</t>
  </si>
  <si>
    <t>Men's 110m Hurdles</t>
  </si>
  <si>
    <t>Men's 400m Hurdles</t>
  </si>
  <si>
    <t>Men's High Jump</t>
  </si>
  <si>
    <t>Men's Pole Vault</t>
  </si>
  <si>
    <t>Men's Long Jump</t>
  </si>
  <si>
    <t>Men's Triple Jump</t>
  </si>
  <si>
    <t>Men's Shot Put</t>
  </si>
  <si>
    <t>Men's Discus Throw</t>
  </si>
  <si>
    <t>Men's Hammer Throw</t>
  </si>
  <si>
    <t>Men's Javelin Throw</t>
  </si>
  <si>
    <t>TTO</t>
  </si>
  <si>
    <t>Men's Decathlon</t>
  </si>
  <si>
    <t>Men's 20km Walk</t>
  </si>
  <si>
    <t>Men's 50km Walk</t>
  </si>
  <si>
    <t>Men's 4 x 100m Relay</t>
  </si>
  <si>
    <t>Men's 4 x 400m Relay</t>
  </si>
  <si>
    <t>Women's 100m</t>
  </si>
  <si>
    <t>Women's 200m</t>
  </si>
  <si>
    <t>Women's 400m</t>
  </si>
  <si>
    <t>Women's 800m</t>
  </si>
  <si>
    <t>Women's 1500m</t>
  </si>
  <si>
    <t>Women's 5000m</t>
  </si>
  <si>
    <t>Women's 10,000m</t>
  </si>
  <si>
    <t>Women's Marathon</t>
  </si>
  <si>
    <t>Women's 3000m Steeplechase</t>
  </si>
  <si>
    <t>Women's 100m Hurdles</t>
  </si>
  <si>
    <t>Women's 400m Hurdles</t>
  </si>
  <si>
    <t>Women's High Jump</t>
  </si>
  <si>
    <t>Women's Pole Vault</t>
  </si>
  <si>
    <t>Women's Long Jump</t>
  </si>
  <si>
    <t>SRB</t>
  </si>
  <si>
    <t>Women's Triple Jump</t>
  </si>
  <si>
    <t>Women's Shot Put</t>
  </si>
  <si>
    <t>Women's Discus Throw</t>
  </si>
  <si>
    <t>Women's Hammer Throw</t>
  </si>
  <si>
    <t>Women's Javelin Throw</t>
  </si>
  <si>
    <t>Women's Heptathlon</t>
  </si>
  <si>
    <t>Women's 20km Walk</t>
  </si>
  <si>
    <t>Women's 4 x 100m Relay</t>
  </si>
  <si>
    <t>Women's 4 x 400m Relay</t>
  </si>
  <si>
    <t>Men's Singles</t>
  </si>
  <si>
    <t>Women's Singles</t>
  </si>
  <si>
    <t>Men's Doubles</t>
  </si>
  <si>
    <t>Women's Doubles</t>
  </si>
  <si>
    <t>Mixed Doubles</t>
  </si>
  <si>
    <t>EATON Ashton</t>
  </si>
  <si>
    <t>MAYER Kevin</t>
  </si>
  <si>
    <t>WARNER Damian</t>
  </si>
  <si>
    <t>THIAM Nafissatou</t>
  </si>
  <si>
    <t>ENNIS-HILL Jessica</t>
  </si>
  <si>
    <t>THEISEN EATON Brianne</t>
  </si>
  <si>
    <t>Men's Light Fly (46-49kg)</t>
  </si>
  <si>
    <t>Men's Fly (52kg)</t>
  </si>
  <si>
    <t>Men's Bantam (56kg)</t>
  </si>
  <si>
    <t>Men's Light (60kg)</t>
  </si>
  <si>
    <t>Men's Light Welter (64kg)</t>
  </si>
  <si>
    <t>Men's Welter (69kg)</t>
  </si>
  <si>
    <t>Men's Middle (75kg)</t>
  </si>
  <si>
    <t>Men's Light Heavy (81kg)</t>
  </si>
  <si>
    <t>Men's Heavy (91kg)</t>
  </si>
  <si>
    <t>Men's Super Heavy (+91kg)</t>
  </si>
  <si>
    <t>Women's Fly (48-51kg)</t>
  </si>
  <si>
    <t>Women's Light (57-60kg)</t>
  </si>
  <si>
    <t>Women's Middle (69-75kg)</t>
  </si>
  <si>
    <t>ARGILAGOS Joahnys</t>
  </si>
  <si>
    <t>FINOL Yoel Segundo</t>
  </si>
  <si>
    <t>NIKITIN Vladimir</t>
  </si>
  <si>
    <t>ALVAREZ Lazaro Jorge</t>
  </si>
  <si>
    <t>DUNAYTSEV Vitaly</t>
  </si>
  <si>
    <t>RODRIGUEZ Misael Uziel</t>
  </si>
  <si>
    <t>BUATSI Joshua</t>
  </si>
  <si>
    <t>SAVON Erislandy</t>
  </si>
  <si>
    <t>HRGOVIC Filip</t>
  </si>
  <si>
    <t>REN Cancan</t>
  </si>
  <si>
    <t>POTKONEN Mira</t>
  </si>
  <si>
    <t>LI Qian</t>
  </si>
  <si>
    <t>Canoe Single (C1) Men</t>
  </si>
  <si>
    <t>Kayak (K1) Women</t>
  </si>
  <si>
    <t>Canoe Double (C2) Men</t>
  </si>
  <si>
    <t>Kayak (K1) Men</t>
  </si>
  <si>
    <t>Men's Kayak Single 200m</t>
  </si>
  <si>
    <t>Men's Kayak Single 1000m</t>
  </si>
  <si>
    <t>Men's Kayak Double 200m</t>
  </si>
  <si>
    <t>Men's Kayak Double 1000m</t>
  </si>
  <si>
    <t>Men's Kayak Four 1000m</t>
  </si>
  <si>
    <t>Men's Canoe Single 200m</t>
  </si>
  <si>
    <t>Men's Canoe Single 1000m</t>
  </si>
  <si>
    <t>Men's Canoe Double 1000m</t>
  </si>
  <si>
    <t>Women's Kayak Single 200m</t>
  </si>
  <si>
    <t>Women's Kayak Single 500m</t>
  </si>
  <si>
    <t>Women's Kayak Double 500m</t>
  </si>
  <si>
    <t>Women's Kayak Four 500m</t>
  </si>
  <si>
    <t>GARGAUD CHANUT Denis</t>
  </si>
  <si>
    <t>BENUS Matej</t>
  </si>
  <si>
    <t>HANEDA Takuya</t>
  </si>
  <si>
    <t>Skantar/Skantar</t>
  </si>
  <si>
    <t>Florence/Hounslow</t>
  </si>
  <si>
    <t>Matthieu/Gauthier</t>
  </si>
  <si>
    <t>Men's Cross-country</t>
  </si>
  <si>
    <t>Women's Cross-country</t>
  </si>
  <si>
    <t>Men's Road Race</t>
  </si>
  <si>
    <t>Men's Individual Time Trial</t>
  </si>
  <si>
    <t>Women's Road Race</t>
  </si>
  <si>
    <t>Women's Individual Time Trial</t>
  </si>
  <si>
    <t>Men's Sprint</t>
  </si>
  <si>
    <t>Women's Sprint</t>
  </si>
  <si>
    <t>Men's Team Sprint</t>
  </si>
  <si>
    <t>Women's Team Sprint</t>
  </si>
  <si>
    <t>Men's Team Pursuit</t>
  </si>
  <si>
    <t>Women's Team Pursuit</t>
  </si>
  <si>
    <t>RAUHE Ronald</t>
  </si>
  <si>
    <t>CRAVIOTTO Saul</t>
  </si>
  <si>
    <t>Men's 3m Springboard</t>
  </si>
  <si>
    <t>Women's 3m Springboard</t>
  </si>
  <si>
    <t>Men's 10m Platform</t>
  </si>
  <si>
    <t>Women's 10m Platform</t>
  </si>
  <si>
    <t>Men's Synchronised 3m Springboard</t>
  </si>
  <si>
    <t>Women's Synchronised 3m Springboard</t>
  </si>
  <si>
    <t>Men's Synchronised 10m Platform</t>
  </si>
  <si>
    <t>Women's Synchronised 10m Platform</t>
  </si>
  <si>
    <t>Eventing Individual</t>
  </si>
  <si>
    <t>Eventing Team</t>
  </si>
  <si>
    <t>Dressage Individual</t>
  </si>
  <si>
    <t>Dressage Team</t>
  </si>
  <si>
    <t>Jumping Individual</t>
  </si>
  <si>
    <t>Jumping Team</t>
  </si>
  <si>
    <t>Men's Foil Individual</t>
  </si>
  <si>
    <t>Women's Foil Individual</t>
  </si>
  <si>
    <t>Men's Épée Individual</t>
  </si>
  <si>
    <t>Women's Épée Individual</t>
  </si>
  <si>
    <t>Men's Sabre Individual</t>
  </si>
  <si>
    <t>Women's Sabre Individual</t>
  </si>
  <si>
    <t>Men's Foil Team</t>
  </si>
  <si>
    <t>Men's Épée Team</t>
  </si>
  <si>
    <t>Women's Épée Team</t>
  </si>
  <si>
    <t>ROU</t>
  </si>
  <si>
    <t>Women's Sabre Team</t>
  </si>
  <si>
    <t>Men's Individual Stroke Play</t>
  </si>
  <si>
    <t>Women's Individual Stroke Play</t>
  </si>
  <si>
    <t>Hockey</t>
  </si>
  <si>
    <t>Women -48 kg</t>
  </si>
  <si>
    <t>Women -52 kg</t>
  </si>
  <si>
    <t>KOS</t>
  </si>
  <si>
    <t>Women -57 kg</t>
  </si>
  <si>
    <t>Women -63 kg</t>
  </si>
  <si>
    <t>Women -70 kg</t>
  </si>
  <si>
    <t>Women -78 kg</t>
  </si>
  <si>
    <t>Women +78 kg</t>
  </si>
  <si>
    <t>Men -60 kg</t>
  </si>
  <si>
    <t>Men -66 kg</t>
  </si>
  <si>
    <t>Men -73 kg</t>
  </si>
  <si>
    <t>Men -81 kg</t>
  </si>
  <si>
    <t>Men -90 kg</t>
  </si>
  <si>
    <t>Men -100 kg</t>
  </si>
  <si>
    <t>Men +100 kg</t>
  </si>
  <si>
    <t>RINER Teddy</t>
  </si>
  <si>
    <t>HARASAWA Hisayoshi</t>
  </si>
  <si>
    <t>SILVA Rafael</t>
  </si>
  <si>
    <t>SASSON Or</t>
  </si>
  <si>
    <t>Bronze - Country - 2</t>
  </si>
  <si>
    <t>Bronze - Athlete - 2</t>
  </si>
  <si>
    <t>KONDO Ami</t>
  </si>
  <si>
    <t>KUZIUTINA Natalia</t>
  </si>
  <si>
    <t>MONTEIRO Telma</t>
  </si>
  <si>
    <t>VAN EMDEN Anicka</t>
  </si>
  <si>
    <t>VARGAS KOCH Laura</t>
  </si>
  <si>
    <t>VELENSEK Anamari</t>
  </si>
  <si>
    <t>YAMABE Kanae</t>
  </si>
  <si>
    <t>UROZBOEV Diyorbek</t>
  </si>
  <si>
    <t>EBINUMA Masashi</t>
  </si>
  <si>
    <t>SHAVDATUASHVILI Lasha</t>
  </si>
  <si>
    <t>TOMA Sergiu</t>
  </si>
  <si>
    <t>CHENG Xunzhao</t>
  </si>
  <si>
    <t>MARET Cyrille</t>
  </si>
  <si>
    <t>Women's 10km</t>
  </si>
  <si>
    <t>Men's 10km</t>
  </si>
  <si>
    <t>Individual All-Around</t>
  </si>
  <si>
    <t>Group All-Around</t>
  </si>
  <si>
    <t>Women's Pair</t>
  </si>
  <si>
    <t>Men's Pair</t>
  </si>
  <si>
    <t>Women's Double Sculls</t>
  </si>
  <si>
    <t>Men's Double Sculls</t>
  </si>
  <si>
    <t>Men's Four</t>
  </si>
  <si>
    <t>Women's Single Sculls</t>
  </si>
  <si>
    <t>Men's Single Sculls</t>
  </si>
  <si>
    <t>Lightweight Women's Double Sculls</t>
  </si>
  <si>
    <t>Lightweight Men's Double Sculls</t>
  </si>
  <si>
    <t>Lightweight Men's Four</t>
  </si>
  <si>
    <t>Women's Quadruple Sculls</t>
  </si>
  <si>
    <t>Men's Quadruple Sculls</t>
  </si>
  <si>
    <t>Women's Eight</t>
  </si>
  <si>
    <t>Men's Eight</t>
  </si>
  <si>
    <t>RS:X Men</t>
  </si>
  <si>
    <t>RS:X Women</t>
  </si>
  <si>
    <t>Laser Men</t>
  </si>
  <si>
    <t>Laser Radial Women</t>
  </si>
  <si>
    <t>Finn Men</t>
  </si>
  <si>
    <t>470 Men</t>
  </si>
  <si>
    <t>470 Women</t>
  </si>
  <si>
    <t>49er Men</t>
  </si>
  <si>
    <t>49er FX Women</t>
  </si>
  <si>
    <t>Nacra 17 Mixed</t>
  </si>
  <si>
    <t>50m Rifle 3 Positions Men</t>
  </si>
  <si>
    <t>50m Rifle Prone Men</t>
  </si>
  <si>
    <t>10m Air Rifle Men</t>
  </si>
  <si>
    <t>50m Pistol Men</t>
  </si>
  <si>
    <t>25m Rapid Fire Pistol Men</t>
  </si>
  <si>
    <t>10m Air Pistol Men</t>
  </si>
  <si>
    <t>Trap Men</t>
  </si>
  <si>
    <t>Double Trap Men</t>
  </si>
  <si>
    <t>IOA</t>
  </si>
  <si>
    <t>Skeet Men</t>
  </si>
  <si>
    <t>50m Rifle 3 Positions Women</t>
  </si>
  <si>
    <t>10m Air Rifle Women</t>
  </si>
  <si>
    <t>25m Pistol Women</t>
  </si>
  <si>
    <t>10m Air Pistol Women</t>
  </si>
  <si>
    <t>Trap Women</t>
  </si>
  <si>
    <t>Skeet Women</t>
  </si>
  <si>
    <t>Women's 50m Freestyle</t>
  </si>
  <si>
    <t>Women's 100m Freestyle</t>
  </si>
  <si>
    <t>CAN USA</t>
  </si>
  <si>
    <t>Women's 200m Freestyle</t>
  </si>
  <si>
    <t>Women's 400m Freestyle</t>
  </si>
  <si>
    <t>Women's 800m Freestyle</t>
  </si>
  <si>
    <t>Women's 100m Backstroke</t>
  </si>
  <si>
    <t>CAN CHN</t>
  </si>
  <si>
    <t>Women's 200m Backstroke</t>
  </si>
  <si>
    <t>Women's 100m Breaststroke</t>
  </si>
  <si>
    <t>Women's 200m Breaststroke</t>
  </si>
  <si>
    <t>Women's 100m Butterfly</t>
  </si>
  <si>
    <t>Women's 200m Butterfly</t>
  </si>
  <si>
    <t>Women's 200m Individual Medley</t>
  </si>
  <si>
    <t>Women's 400m Individual Medley</t>
  </si>
  <si>
    <t>Women's 4 x 100m Freestyle Relay</t>
  </si>
  <si>
    <t>Women's 4 x 200m Freestyle Relay</t>
  </si>
  <si>
    <t>Women's 4 x 100m Medley Relay</t>
  </si>
  <si>
    <t>Men's 50m Freestyle</t>
  </si>
  <si>
    <t>Men's 100m Freestyle</t>
  </si>
  <si>
    <t>Men's 200m Freestyle</t>
  </si>
  <si>
    <t>Men's 400m Freestyle</t>
  </si>
  <si>
    <t>Men's 1500m Freestyle</t>
  </si>
  <si>
    <t>Men's 100m Backstroke</t>
  </si>
  <si>
    <t>Men's 200m Backstroke</t>
  </si>
  <si>
    <t>Men's 100m Breaststroke</t>
  </si>
  <si>
    <t>Men's 200m Breaststroke</t>
  </si>
  <si>
    <t>Men's 100m Butterfly</t>
  </si>
  <si>
    <t>HUN RSA USA</t>
  </si>
  <si>
    <t>Men's 200m Butterfly</t>
  </si>
  <si>
    <t>Men's 200m Individual Medley</t>
  </si>
  <si>
    <t>Men's 400m Individual Medley</t>
  </si>
  <si>
    <t>Men's 4 x 100m Freestyle Relay</t>
  </si>
  <si>
    <t>Men's 4 x 200m Freestyle Relay</t>
  </si>
  <si>
    <t>Men's 4 x 100m Medley Relay</t>
  </si>
  <si>
    <t>Synchronised Swimming</t>
  </si>
  <si>
    <t>Duets</t>
  </si>
  <si>
    <t>Teams</t>
  </si>
  <si>
    <t>Men -58kg</t>
  </si>
  <si>
    <t>Men -68kg</t>
  </si>
  <si>
    <t>Men -80kg</t>
  </si>
  <si>
    <t>Men +80kg</t>
  </si>
  <si>
    <t>Women -49kg</t>
  </si>
  <si>
    <t>Women -57kg</t>
  </si>
  <si>
    <t>Women -67kg</t>
  </si>
  <si>
    <t>Women +67kg</t>
  </si>
  <si>
    <t>KIM Taehun</t>
  </si>
  <si>
    <t>GONZALEZ BONILLA Joel</t>
  </si>
  <si>
    <t>BEIGI HARCHEGANI Milad</t>
  </si>
  <si>
    <t>SIQUEIRA Maicon</t>
  </si>
  <si>
    <t>WONGPATTANAKIT Panipak</t>
  </si>
  <si>
    <t>WAHBA Hedaya</t>
  </si>
  <si>
    <t>TATAR Nur</t>
  </si>
  <si>
    <t>WALKDEN Bianca</t>
  </si>
  <si>
    <t>Men's 56kg</t>
  </si>
  <si>
    <t>Men's 62kg</t>
  </si>
  <si>
    <t>Men's 69kg</t>
  </si>
  <si>
    <t>Men's 77kg</t>
  </si>
  <si>
    <t>Men's 85kg</t>
  </si>
  <si>
    <t>Men's 94kg</t>
  </si>
  <si>
    <t>Men's 105kg</t>
  </si>
  <si>
    <t>Men's +105kg</t>
  </si>
  <si>
    <t>Women's 48kg</t>
  </si>
  <si>
    <t>Women's 53kg</t>
  </si>
  <si>
    <t>Women's 58kg</t>
  </si>
  <si>
    <t>Women's 63kg</t>
  </si>
  <si>
    <t>Women's 69kg</t>
  </si>
  <si>
    <t>Women's 75kg</t>
  </si>
  <si>
    <t>Women's +75kg</t>
  </si>
  <si>
    <t>Men's Greco-Roman 59 kg</t>
  </si>
  <si>
    <t>Men's Greco-Roman 66 kg</t>
  </si>
  <si>
    <t>Men's Greco-Roman 75 kg</t>
  </si>
  <si>
    <t>Men's Greco-Roman 85 kg</t>
  </si>
  <si>
    <t>Men's Greco-Roman 98 kg</t>
  </si>
  <si>
    <t>Men's Greco-Roman 130 kg</t>
  </si>
  <si>
    <t>Men's Freestyle 57 kg</t>
  </si>
  <si>
    <t>Men's Freestyle 65 kg</t>
  </si>
  <si>
    <t>Men's Freestyle 74 kg</t>
  </si>
  <si>
    <t>Men's Freestyle 86 kg</t>
  </si>
  <si>
    <t>Men's Freestyle 97 kg</t>
  </si>
  <si>
    <t>Men's Freestyle 125 kg</t>
  </si>
  <si>
    <t>Women's Freestyle 48 kg</t>
  </si>
  <si>
    <t>Women's Freestyle 53 kg</t>
  </si>
  <si>
    <t>Women's Freestyle 58 kg</t>
  </si>
  <si>
    <t>Women's Freestyle 63 kg</t>
  </si>
  <si>
    <t>Women's Freestyle 69 kg</t>
  </si>
  <si>
    <t>Women's Freestyle 75 kg</t>
  </si>
  <si>
    <t>LOPEZ NUNEZ Mijain</t>
  </si>
  <si>
    <t>KAYAALP Riza</t>
  </si>
  <si>
    <t>SHARIATI Sabah</t>
  </si>
  <si>
    <t>SEMENOV Sergey</t>
  </si>
  <si>
    <t>HIGUCHI Rei</t>
  </si>
  <si>
    <t>ALIYEV Haji</t>
  </si>
  <si>
    <t>RAHIMI Hassan Sabzali</t>
  </si>
  <si>
    <t>KHINCHEGASHVILI Vladimer</t>
  </si>
  <si>
    <t>YAZDANICHARATI Hassan Aliazam</t>
  </si>
  <si>
    <t>GEDUEV Aniuar</t>
  </si>
  <si>
    <t>HASANOV Jabrayil</t>
  </si>
  <si>
    <t>DEMIRTAS Soner</t>
  </si>
  <si>
    <t>BERGE Stig-Andre</t>
  </si>
  <si>
    <t>TASMURADOV Elmurat</t>
  </si>
  <si>
    <t>BOLKVADZE Shmagi</t>
  </si>
  <si>
    <t>CHUNAYEV Rasul</t>
  </si>
  <si>
    <t>ABDVALI Saeid Morad</t>
  </si>
  <si>
    <t>KIM Hyeonwoo</t>
  </si>
  <si>
    <t>KUDLA Denis Maksymilian</t>
  </si>
  <si>
    <t>HAMZATAU Javid</t>
  </si>
  <si>
    <t>ILDEM Cenk</t>
  </si>
  <si>
    <t>REZAEI Ghasem Gholamreza</t>
  </si>
  <si>
    <t>SADULAEV Abdulrashid</t>
  </si>
  <si>
    <t>YASAR Selim</t>
  </si>
  <si>
    <t>SHARIFOV Sharif</t>
  </si>
  <si>
    <t>COX J'den Michael Tbory</t>
  </si>
  <si>
    <t>SAIDAU Ibrahim</t>
  </si>
  <si>
    <t>PETRIASHVILI Geno</t>
  </si>
  <si>
    <t>TOSAKA Eri</t>
  </si>
  <si>
    <t>STADNIK Mariya</t>
  </si>
  <si>
    <t>SUN Yanan</t>
  </si>
  <si>
    <t>YANKOVA Elitsa Atanasova</t>
  </si>
  <si>
    <t>MAROULIS Helen Louise</t>
  </si>
  <si>
    <t>YOSHIDA Saori</t>
  </si>
  <si>
    <t>SINISHIN Natalya</t>
  </si>
  <si>
    <t>MATTSSON Sofia Magdalena</t>
  </si>
  <si>
    <t>ICHO Kaori</t>
  </si>
  <si>
    <t>KOBLOVA ZHOLOBOVA Valeriia</t>
  </si>
  <si>
    <t>AMRI Marwa</t>
  </si>
  <si>
    <t>MALIK Sakshi</t>
  </si>
  <si>
    <t>KAWAI Risako</t>
  </si>
  <si>
    <t>MAMASHUK Maryia</t>
  </si>
  <si>
    <t>LARIONOVA Yekaterina</t>
  </si>
  <si>
    <t>MICHALIK Monika Ewa</t>
  </si>
  <si>
    <t>DOSHO Sara</t>
  </si>
  <si>
    <t>VOROBEVA Natalia</t>
  </si>
  <si>
    <t>SYZDYKOVA Elmira</t>
  </si>
  <si>
    <t>FRANSSON Anna Jenny</t>
  </si>
  <si>
    <t>WIEBE Erica Elizabeth</t>
  </si>
  <si>
    <t>MANYUROVA Guzel</t>
  </si>
  <si>
    <t>ZHANG Fengliu</t>
  </si>
  <si>
    <t>BUKINA Ekaterina</t>
  </si>
  <si>
    <t>SHO</t>
  </si>
  <si>
    <t>SILVER</t>
  </si>
  <si>
    <t>BRONZE</t>
  </si>
  <si>
    <t>HOANG Xuan Vinh</t>
  </si>
  <si>
    <t>WU Felipe Almeida</t>
  </si>
  <si>
    <t>PANG Wei</t>
  </si>
  <si>
    <t>KORAKAKI Anna</t>
  </si>
  <si>
    <t>KARSCH Monika</t>
  </si>
  <si>
    <t>DIETHELM GERBER Heidi</t>
  </si>
  <si>
    <t>ZHANG Mengxue</t>
  </si>
  <si>
    <t>BATSARASHKINA Vitalina</t>
  </si>
  <si>
    <t>Gold - Athlete - 2</t>
  </si>
  <si>
    <t>MANUEL Simone</t>
  </si>
  <si>
    <t>OLEKSIAK Penny</t>
  </si>
  <si>
    <t>Gold - Country - 2</t>
  </si>
  <si>
    <t>Silver - Athlete - 2</t>
  </si>
  <si>
    <t>Silver - Country - 2</t>
  </si>
  <si>
    <t>Silver - Country - 3</t>
  </si>
  <si>
    <t>Silver - Athlete - 3</t>
  </si>
  <si>
    <t>CSEH Laszlo</t>
  </si>
  <si>
    <t>FU Yuanhui</t>
  </si>
  <si>
    <t>MASSE Kylie</t>
  </si>
  <si>
    <t>VIEW SELECTOR</t>
  </si>
  <si>
    <t>Metric</t>
  </si>
  <si>
    <t>Gold Medals</t>
  </si>
  <si>
    <t>Silver Medals</t>
  </si>
  <si>
    <t>Bronze Medals</t>
  </si>
  <si>
    <t>Total Medals</t>
  </si>
  <si>
    <t>I_CV_CNTRY</t>
  </si>
  <si>
    <t>OLYMPIC VIEW</t>
  </si>
  <si>
    <t>MNE</t>
  </si>
  <si>
    <t>I_SV_SPORT_LOGO</t>
  </si>
  <si>
    <t>SPORT ABBR</t>
  </si>
  <si>
    <t>ARC</t>
  </si>
  <si>
    <t>ART</t>
  </si>
  <si>
    <t>ATH</t>
  </si>
  <si>
    <t>BAD</t>
  </si>
  <si>
    <t>BAS</t>
  </si>
  <si>
    <t>BEA</t>
  </si>
  <si>
    <t>BOX</t>
  </si>
  <si>
    <t>CSL</t>
  </si>
  <si>
    <t>CSP</t>
  </si>
  <si>
    <t>CBM</t>
  </si>
  <si>
    <t>CMB</t>
  </si>
  <si>
    <t>CTR</t>
  </si>
  <si>
    <t>DIV</t>
  </si>
  <si>
    <t>EQU</t>
  </si>
  <si>
    <t>FEN</t>
  </si>
  <si>
    <t>FOO</t>
  </si>
  <si>
    <t>GOL</t>
  </si>
  <si>
    <t>HAN</t>
  </si>
  <si>
    <t>HOC</t>
  </si>
  <si>
    <t>JUD</t>
  </si>
  <si>
    <t>MSW</t>
  </si>
  <si>
    <t>MPE</t>
  </si>
  <si>
    <t>RHG</t>
  </si>
  <si>
    <t>RUG</t>
  </si>
  <si>
    <t>SAI</t>
  </si>
  <si>
    <t>SWI</t>
  </si>
  <si>
    <t>SSW</t>
  </si>
  <si>
    <t>TBT</t>
  </si>
  <si>
    <t>TAE</t>
  </si>
  <si>
    <t>TEN</t>
  </si>
  <si>
    <t>TRG</t>
  </si>
  <si>
    <t>VOL</t>
  </si>
  <si>
    <t>WPO</t>
  </si>
  <si>
    <t>WEI</t>
  </si>
  <si>
    <t>WRE</t>
  </si>
  <si>
    <t>CRD</t>
  </si>
  <si>
    <t>TON</t>
  </si>
  <si>
    <t>KIPCHOGE Eliud</t>
  </si>
  <si>
    <t>LILESA Feyisa</t>
  </si>
  <si>
    <t>RUPP Galen</t>
  </si>
  <si>
    <t>ZOIROV Shakhobidin</t>
  </si>
  <si>
    <t>ALOIAN Misha</t>
  </si>
  <si>
    <t>GAIBNAZAROV Fazliddin</t>
  </si>
  <si>
    <t>SOTOMAYOR COLLAZO Lorenzo</t>
  </si>
  <si>
    <t>YOKA Tony Victor James</t>
  </si>
  <si>
    <t>JOYCE Joe</t>
  </si>
  <si>
    <t>SHIELDS Claressa Maria</t>
  </si>
  <si>
    <t>FONTIJN Nouchka</t>
  </si>
  <si>
    <t>SCHURTER Nino</t>
  </si>
  <si>
    <t>KULHAVY Jaroslav</t>
  </si>
  <si>
    <t>COLOMA NICOLAS Carlos</t>
  </si>
  <si>
    <t>Laugher / Mears</t>
  </si>
  <si>
    <t>Dorman / Hixon</t>
  </si>
  <si>
    <t>Cao / Qin</t>
  </si>
  <si>
    <t>Wu / Shi</t>
  </si>
  <si>
    <t>Cagnotto / Dallape'</t>
  </si>
  <si>
    <t>Keeney / Smith</t>
  </si>
  <si>
    <t>Lin / Chen</t>
  </si>
  <si>
    <t>Boudia / Johnson</t>
  </si>
  <si>
    <t>Daley / Goodfellow</t>
  </si>
  <si>
    <t>Liu / Chena</t>
  </si>
  <si>
    <t>Cheong / Pamg</t>
  </si>
  <si>
    <t>Benfeito / Filion</t>
  </si>
  <si>
    <t>RAMONOV Soslan</t>
  </si>
  <si>
    <t>ASGAROV Toghrul</t>
  </si>
  <si>
    <t>CHAMIZO MARQUEZ Frank</t>
  </si>
  <si>
    <t>NAVRUZOV Ikhtiyor</t>
  </si>
  <si>
    <t>SNYDER Kyle Frederick</t>
  </si>
  <si>
    <t>GOZIUMOV Khetag</t>
  </si>
  <si>
    <t>SARITOV Albert</t>
  </si>
  <si>
    <t>IBRAGIMOV Magomed Idrisovitch</t>
  </si>
  <si>
    <t>LOGO</t>
  </si>
  <si>
    <t>Rank Value</t>
  </si>
  <si>
    <t>Rank</t>
  </si>
  <si>
    <t>COUNTRY VIEW</t>
  </si>
  <si>
    <t>SPORT VIEW</t>
  </si>
  <si>
    <t>SCROLL</t>
  </si>
  <si>
    <t>Selected</t>
  </si>
  <si>
    <t># of records</t>
  </si>
  <si>
    <t>Footnote</t>
  </si>
  <si>
    <t>ABBR</t>
  </si>
  <si>
    <t>COUNTRY ABBR</t>
  </si>
  <si>
    <t>TOP ATHLETES</t>
  </si>
  <si>
    <t>EVENT results table</t>
  </si>
  <si>
    <t>1 - C</t>
  </si>
  <si>
    <t>1 - Ath</t>
  </si>
  <si>
    <t>2 - C</t>
  </si>
  <si>
    <t>2 -Ath</t>
  </si>
  <si>
    <t xml:space="preserve">3 -C </t>
  </si>
  <si>
    <t>3 - Ath</t>
  </si>
  <si>
    <t>1 - Flag</t>
  </si>
  <si>
    <t>2 - Flag</t>
  </si>
  <si>
    <t>3 - Flag</t>
  </si>
  <si>
    <t>CHART</t>
  </si>
  <si>
    <t>Value</t>
  </si>
  <si>
    <t>CV - Gold</t>
  </si>
  <si>
    <t>CV - Silver</t>
  </si>
  <si>
    <t>CV - Bronze</t>
  </si>
  <si>
    <t>CV - Total</t>
  </si>
  <si>
    <t>CV - Rank Value</t>
  </si>
  <si>
    <t>CV - Rank</t>
  </si>
  <si>
    <t>CV - Domination - Total</t>
  </si>
  <si>
    <t>CV - Domination - Rank</t>
  </si>
  <si>
    <t>OV - Domination - Total</t>
  </si>
  <si>
    <t>OV - Domination - Rank</t>
  </si>
  <si>
    <t>RANK VALUE</t>
  </si>
  <si>
    <t>EVENT RESULTS</t>
  </si>
  <si>
    <t>SELECT EVENT</t>
  </si>
  <si>
    <t>RIO, BRAZIL</t>
  </si>
  <si>
    <t>August 5th to 21st, 2016</t>
  </si>
  <si>
    <t>SV_ADJ_RANK</t>
  </si>
  <si>
    <t>Record Number</t>
  </si>
  <si>
    <t>rank</t>
  </si>
  <si>
    <t>row #</t>
  </si>
  <si>
    <t>ADJ_RANK</t>
  </si>
  <si>
    <t>KIM Woojin</t>
  </si>
  <si>
    <t>KEE Seungyun</t>
  </si>
  <si>
    <t>KU Bonchan</t>
  </si>
  <si>
    <t>GARRETT Zach</t>
  </si>
  <si>
    <t>KAMINSKI Jake</t>
  </si>
  <si>
    <t>POTTS Alec</t>
  </si>
  <si>
    <t>TYACK Ryan</t>
  </si>
  <si>
    <t>WORTH Taylor</t>
  </si>
  <si>
    <t>CHANG Hyejin</t>
  </si>
  <si>
    <t>CHOI Misun</t>
  </si>
  <si>
    <t>DASHIDORZHIEVA Tuiana</t>
  </si>
  <si>
    <t>PEROVA Ksenia</t>
  </si>
  <si>
    <t>STEPANOVA Inna</t>
  </si>
  <si>
    <t>LE Chien-Ying</t>
  </si>
  <si>
    <t>LIN Shih-Chia</t>
  </si>
  <si>
    <t>TAN Ya-Ting</t>
  </si>
  <si>
    <t>Kiribati</t>
  </si>
  <si>
    <t>KIR</t>
  </si>
  <si>
    <t>Kosovo</t>
  </si>
  <si>
    <t>Marshall Islands</t>
  </si>
  <si>
    <t>MHL</t>
  </si>
  <si>
    <t>South Sudan</t>
  </si>
  <si>
    <t>SSD</t>
  </si>
  <si>
    <t>Tuvalu</t>
  </si>
  <si>
    <t>TUV</t>
  </si>
  <si>
    <t>ROT</t>
  </si>
  <si>
    <t>Refugee Olympic Team</t>
  </si>
  <si>
    <t>CV - Adj - Rank</t>
  </si>
  <si>
    <t>this is pointed to by flags</t>
  </si>
  <si>
    <t>ADJ RANK</t>
  </si>
  <si>
    <t>Athlete</t>
  </si>
  <si>
    <t>medals</t>
  </si>
  <si>
    <t>Flag Name</t>
  </si>
  <si>
    <t>SIL</t>
  </si>
  <si>
    <t>BRO</t>
  </si>
  <si>
    <t>To create a drop down of event names for the chosen Sport</t>
  </si>
  <si>
    <t>Sport/Country</t>
  </si>
  <si>
    <t>Row #</t>
  </si>
  <si>
    <t>2016 OLYMPICS</t>
  </si>
  <si>
    <t>BLNKW</t>
  </si>
  <si>
    <t>I_OLY_LOGO</t>
  </si>
  <si>
    <t>OFFSET</t>
  </si>
  <si>
    <t>Flags</t>
  </si>
  <si>
    <t>https://graphicriver.net/item/254-flags-of-the-world/180180</t>
  </si>
  <si>
    <t>POWELL Asafa</t>
  </si>
  <si>
    <t>BLAKE Yohan</t>
  </si>
  <si>
    <t>ASHMEADE Nickel</t>
  </si>
  <si>
    <t>BOLT Usain</t>
  </si>
  <si>
    <t>YAMAGATA Ryota</t>
  </si>
  <si>
    <t>IIZUKA Shota</t>
  </si>
  <si>
    <t>KIRYU Yoshihide</t>
  </si>
  <si>
    <t>CAMBRIDGE Aska</t>
  </si>
  <si>
    <t>HAYNES Akeem</t>
  </si>
  <si>
    <t>BROWN Aaron</t>
  </si>
  <si>
    <t>RODNEY Brendon</t>
  </si>
  <si>
    <t>DE GRASSE Andre</t>
  </si>
  <si>
    <t>HALL Arman</t>
  </si>
  <si>
    <t>MCQUAY Tony</t>
  </si>
  <si>
    <t>ROBERTS Gil</t>
  </si>
  <si>
    <t>MERRITT Lashawn</t>
  </si>
  <si>
    <t>MATTHEWS Peter</t>
  </si>
  <si>
    <t>ALLEN Nathon</t>
  </si>
  <si>
    <t>DUNKLEY Fitzroy</t>
  </si>
  <si>
    <t>FRANCIS Javon</t>
  </si>
  <si>
    <t>RUSSELL Alonzo</t>
  </si>
  <si>
    <t>MATHIEU Michael</t>
  </si>
  <si>
    <t>GARDINER Steven</t>
  </si>
  <si>
    <t>BROWN Chris</t>
  </si>
  <si>
    <t>MINZIE Jevaughn</t>
  </si>
  <si>
    <t>AJOMALE Mobolade</t>
  </si>
  <si>
    <t>CLEMONS Kyle</t>
  </si>
  <si>
    <t>VERBURG David</t>
  </si>
  <si>
    <t>MCDONALD Rusheen</t>
  </si>
  <si>
    <t>NEWBOLD Stephen</t>
  </si>
  <si>
    <t>UCHIMURA Kohei</t>
  </si>
  <si>
    <t>WHITLOCK Max</t>
  </si>
  <si>
    <t>PETROUNIAS Eleftherios</t>
  </si>
  <si>
    <t>RI Se Gwang</t>
  </si>
  <si>
    <t>VERNIAIEV Oleg</t>
  </si>
  <si>
    <t>HAMBUECHEN Fabian</t>
  </si>
  <si>
    <t>BILES Simone</t>
  </si>
  <si>
    <t>MUSTAFINA Aliya</t>
  </si>
  <si>
    <t>WEVERS Sanne</t>
  </si>
  <si>
    <t>VAN NIEKERK Wayde</t>
  </si>
  <si>
    <t>RUDISHA David Lekuta</t>
  </si>
  <si>
    <t>CENTROWITZ Matthew</t>
  </si>
  <si>
    <t>FARAH Mohamed</t>
  </si>
  <si>
    <t>KIPRUTO Conseslus</t>
  </si>
  <si>
    <t>MCLEOD Omar</t>
  </si>
  <si>
    <t>CLEMENT Kerron</t>
  </si>
  <si>
    <t>DROUIN Derek</t>
  </si>
  <si>
    <t>DA SILVA Thiago Braz</t>
  </si>
  <si>
    <t>HENDERSON Jeff</t>
  </si>
  <si>
    <t>TAYLOR Christian</t>
  </si>
  <si>
    <t>CROUSER Ryan</t>
  </si>
  <si>
    <t>HARTING Christoph</t>
  </si>
  <si>
    <t>NAZAROV Dilshod</t>
  </si>
  <si>
    <t>ROHLER Thomas</t>
  </si>
  <si>
    <t>WANG Zhen</t>
  </si>
  <si>
    <t>TOTH Matej</t>
  </si>
  <si>
    <t>THOMPSON Elaine</t>
  </si>
  <si>
    <t>MILLER Shaunae</t>
  </si>
  <si>
    <t>SEMENYA Caster</t>
  </si>
  <si>
    <t>KIPYEGON Faith Chepngetich</t>
  </si>
  <si>
    <t>CHERUIYOT Vivian Jepkemoi</t>
  </si>
  <si>
    <t>AYANA Almaz</t>
  </si>
  <si>
    <t>SUMGONG Jemima Jelagat</t>
  </si>
  <si>
    <t>JEBET Ruth</t>
  </si>
  <si>
    <t>ROLLINS Brianna</t>
  </si>
  <si>
    <t>MUHAMMAD Dalilah</t>
  </si>
  <si>
    <t>BEITIA Ruth</t>
  </si>
  <si>
    <t>STEFANIDI Ekaterini</t>
  </si>
  <si>
    <t>BARTOLETTA Tianna</t>
  </si>
  <si>
    <t>IBARGUEN Caterine</t>
  </si>
  <si>
    <t>CARTER Michelle</t>
  </si>
  <si>
    <t>PERKOVIC Sandra</t>
  </si>
  <si>
    <t>WLODARCZYK Anita</t>
  </si>
  <si>
    <t>KOLAK Sara</t>
  </si>
  <si>
    <t>LIU Hong</t>
  </si>
  <si>
    <t>CHEN Long</t>
  </si>
  <si>
    <t>MARIN Carolina</t>
  </si>
  <si>
    <t>DUSMATOV Hasanboy</t>
  </si>
  <si>
    <t>RAMIREZ Robeisy</t>
  </si>
  <si>
    <t>CONCEICAO Robson</t>
  </si>
  <si>
    <t>YELEUSSINOV Daniyar</t>
  </si>
  <si>
    <t>LOPEZ Arlen</t>
  </si>
  <si>
    <t>LA CRUZ Julio Cesar</t>
  </si>
  <si>
    <t>TISHCHENKO Evgeny</t>
  </si>
  <si>
    <t>ADAMS Nicola</t>
  </si>
  <si>
    <t>MOSSELY Estelle</t>
  </si>
  <si>
    <t>CHOURRAUT Maialen</t>
  </si>
  <si>
    <t>CLARKE Joseph</t>
  </si>
  <si>
    <t>HEATH Liam</t>
  </si>
  <si>
    <t>WALZ Marcus</t>
  </si>
  <si>
    <t>CHEBAN Iurii</t>
  </si>
  <si>
    <t>BRENDEL Sebastian</t>
  </si>
  <si>
    <t>CARRINGTON Lisa</t>
  </si>
  <si>
    <t>KOZAK Danuta</t>
  </si>
  <si>
    <t>FIELDS Connor</t>
  </si>
  <si>
    <t>PAJON Mariana</t>
  </si>
  <si>
    <t>RISSVEDS Jenny</t>
  </si>
  <si>
    <t>VAN AVERMAET Greg</t>
  </si>
  <si>
    <t>CANCELLARA Fabian</t>
  </si>
  <si>
    <t>VAN DER BREGGEN Anna</t>
  </si>
  <si>
    <t>ARMSTRONG Kristin</t>
  </si>
  <si>
    <t>KENNY Jason</t>
  </si>
  <si>
    <t>VOGEL Kristina</t>
  </si>
  <si>
    <t>LIGTLEE Elis</t>
  </si>
  <si>
    <t>VIVIANI Elia</t>
  </si>
  <si>
    <t>TROTT Laura</t>
  </si>
  <si>
    <t>CAO Yuan</t>
  </si>
  <si>
    <t>SHI Tingmao</t>
  </si>
  <si>
    <t>CHEN Aisen</t>
  </si>
  <si>
    <t>REN Qian</t>
  </si>
  <si>
    <t>JUNG Michael</t>
  </si>
  <si>
    <t>DUJARDIN Charlotte</t>
  </si>
  <si>
    <t>SKELTON Nick</t>
  </si>
  <si>
    <t>GAROZZO Daniele</t>
  </si>
  <si>
    <t>DERIGLAZOVA Inna</t>
  </si>
  <si>
    <t>PARK Sangyoung</t>
  </si>
  <si>
    <t>SZASZ Emese</t>
  </si>
  <si>
    <t>SZILAGYI Aron</t>
  </si>
  <si>
    <t>EGORIAN Yana</t>
  </si>
  <si>
    <t>ROSE Justin</t>
  </si>
  <si>
    <t>PARK Inbee</t>
  </si>
  <si>
    <t>PARETO Paula</t>
  </si>
  <si>
    <t>KELMENDI Majlinda</t>
  </si>
  <si>
    <t>SILVA Rafaela</t>
  </si>
  <si>
    <t>TRSTENJAK Tina</t>
  </si>
  <si>
    <t>TACHIMOTO Haruka</t>
  </si>
  <si>
    <t>HARRISON Kayla</t>
  </si>
  <si>
    <t>ANDEOL Emilie</t>
  </si>
  <si>
    <t>MUDRANOV Beslan</t>
  </si>
  <si>
    <t>BASILE Fabio</t>
  </si>
  <si>
    <t>ONO Shohei</t>
  </si>
  <si>
    <t>KHALMURZAEV Khasan</t>
  </si>
  <si>
    <t>BAKER Mashu</t>
  </si>
  <si>
    <t>KRPALEK Lukas</t>
  </si>
  <si>
    <t>VAN ROUWENDAAL Sharon</t>
  </si>
  <si>
    <t>WEERTMAN Ferry</t>
  </si>
  <si>
    <t>LESUN Alexander</t>
  </si>
  <si>
    <t>ESPOSITO Chloe</t>
  </si>
  <si>
    <t>MAMUN Margarita</t>
  </si>
  <si>
    <t>BRENNAN Kimberley</t>
  </si>
  <si>
    <t>DRYSDALE Mahe</t>
  </si>
  <si>
    <t>VAN RIJSSELBERGHE Dorian</t>
  </si>
  <si>
    <t>PICON Charline</t>
  </si>
  <si>
    <t>BURTON Tom</t>
  </si>
  <si>
    <t>BOUWMEESTER Marit</t>
  </si>
  <si>
    <t>SCOTT Giles</t>
  </si>
  <si>
    <t>CAMPRIANI Niccolo</t>
  </si>
  <si>
    <t>JUNGHAENEL Henri</t>
  </si>
  <si>
    <t>JIN Jongoh</t>
  </si>
  <si>
    <t>REITZ Christian</t>
  </si>
  <si>
    <t>GLASNOVIC Josip</t>
  </si>
  <si>
    <t>ALDEEHANI Fehaid</t>
  </si>
  <si>
    <t>ROSSETTI Gabriele</t>
  </si>
  <si>
    <t>ENGLEDER Barbara</t>
  </si>
  <si>
    <t>THRASHER Virginia</t>
  </si>
  <si>
    <t>SKINNER Catherine</t>
  </si>
  <si>
    <t>BACOSI Diana</t>
  </si>
  <si>
    <t>BLUME Pernille</t>
  </si>
  <si>
    <t>OLEKSIAK Penny MANUEL Simone</t>
  </si>
  <si>
    <t>LEDECKY Katie</t>
  </si>
  <si>
    <t>HOSSZU Katinka</t>
  </si>
  <si>
    <t>DIRADO Madeline</t>
  </si>
  <si>
    <t>KING Lilly</t>
  </si>
  <si>
    <t>KANETO Rie</t>
  </si>
  <si>
    <t>SJOSTROM Sarah</t>
  </si>
  <si>
    <t>BELMONTE GARCIA Mireia</t>
  </si>
  <si>
    <t>ERVIN Anthony</t>
  </si>
  <si>
    <t>CHALMERS Kyle</t>
  </si>
  <si>
    <t>SUN Yang</t>
  </si>
  <si>
    <t>HORTON Mack</t>
  </si>
  <si>
    <t>PALTRINIERI Gregorio</t>
  </si>
  <si>
    <t>MURPHY Ryan</t>
  </si>
  <si>
    <t>PEATY Adam</t>
  </si>
  <si>
    <t>BALANDIN Dmitriy</t>
  </si>
  <si>
    <t>SCHOOLING Joseph</t>
  </si>
  <si>
    <t>PHELPS Michael</t>
  </si>
  <si>
    <t>HAGINO Kosuke</t>
  </si>
  <si>
    <t>DING Ning</t>
  </si>
  <si>
    <t>MA Long</t>
  </si>
  <si>
    <t>ZHAO Shuai</t>
  </si>
  <si>
    <t>ABUGHAUSH Ahmad</t>
  </si>
  <si>
    <t>CISSE Cheick Sallah Junior</t>
  </si>
  <si>
    <t>ISAEV Radik</t>
  </si>
  <si>
    <t>KIM Sohui</t>
  </si>
  <si>
    <t>JONES Jade</t>
  </si>
  <si>
    <t>OH Hyeri</t>
  </si>
  <si>
    <t>ZHENG Shuyin</t>
  </si>
  <si>
    <t>MURRAY Andy</t>
  </si>
  <si>
    <t>PUIG Monica</t>
  </si>
  <si>
    <t>HANCHAROU Uladzislau</t>
  </si>
  <si>
    <t>MACLENNAN Rosannagh</t>
  </si>
  <si>
    <t>BROWNLEE Alistair</t>
  </si>
  <si>
    <t>JORGENSEN Gwen</t>
  </si>
  <si>
    <t>LONG Qingquan</t>
  </si>
  <si>
    <t>FIGUEROA MOSQUERA Oscar Albeiro</t>
  </si>
  <si>
    <t>SHI Zhiyong</t>
  </si>
  <si>
    <t>RAHIMOV Nijat</t>
  </si>
  <si>
    <t>ROSTAMI Kianoush</t>
  </si>
  <si>
    <t>MORADI Sohrab</t>
  </si>
  <si>
    <t>NURUDINOV Ruslan</t>
  </si>
  <si>
    <t>TALAKHADZE Lasha</t>
  </si>
  <si>
    <t>TANASAN Sopita</t>
  </si>
  <si>
    <t>HSU Shu-Ching</t>
  </si>
  <si>
    <t>SRISURAT Sukanya</t>
  </si>
  <si>
    <t>DENG Wei</t>
  </si>
  <si>
    <t>XIANG Yanmei</t>
  </si>
  <si>
    <t>RIM Jong Sim</t>
  </si>
  <si>
    <t>MENG Suping</t>
  </si>
  <si>
    <t>BORRERO MOLINA Ismael</t>
  </si>
  <si>
    <t>STEFANEK Davor</t>
  </si>
  <si>
    <t>VLASOV Roman</t>
  </si>
  <si>
    <t>CHAKVETADZE Davit</t>
  </si>
  <si>
    <t>ALEKSANYAN Artur</t>
  </si>
  <si>
    <t>AKGUL Taha</t>
  </si>
  <si>
    <t>VALLADONT Jean-Charles</t>
  </si>
  <si>
    <t>UNRUH Lisa</t>
  </si>
  <si>
    <t>HYPOLITO Diego</t>
  </si>
  <si>
    <t>SMITH Louis</t>
  </si>
  <si>
    <t>ZANETTI Arthur</t>
  </si>
  <si>
    <t>ABLIAZIN Denis</t>
  </si>
  <si>
    <t>LEYVA Danell</t>
  </si>
  <si>
    <t>RAISMAN Alexandra</t>
  </si>
  <si>
    <t>PASEKA Maria</t>
  </si>
  <si>
    <t>KOCIAN Madison</t>
  </si>
  <si>
    <t>HERNANDEZ Lauren</t>
  </si>
  <si>
    <t>GATLIN Justin</t>
  </si>
  <si>
    <t>JAMES Kirani</t>
  </si>
  <si>
    <t>MAKHLOUFI Taoufik</t>
  </si>
  <si>
    <t>CHELIMO Paul Kipkemoi</t>
  </si>
  <si>
    <t>TANUI Paul Kipngetich</t>
  </si>
  <si>
    <t>JAGER Evan</t>
  </si>
  <si>
    <t>ORTEGA Orlando</t>
  </si>
  <si>
    <t>TUMUTI Boniface Mucheru</t>
  </si>
  <si>
    <t>BARSHIM Mutaz Essa</t>
  </si>
  <si>
    <t>LAVILLENIE Renaud</t>
  </si>
  <si>
    <t>MANYONGA Luvo</t>
  </si>
  <si>
    <t>CLAYE Will</t>
  </si>
  <si>
    <t>KOVACS Joe</t>
  </si>
  <si>
    <t>MALACHOWSKI Piotr</t>
  </si>
  <si>
    <t>TSIKHAN Ivan</t>
  </si>
  <si>
    <t>YEGO Julius</t>
  </si>
  <si>
    <t>CAI Zelin</t>
  </si>
  <si>
    <t>TALLENT Jared</t>
  </si>
  <si>
    <t>BOWIE Tori</t>
  </si>
  <si>
    <t>SCHIPPERS Dafne</t>
  </si>
  <si>
    <t>FELIX Allyson</t>
  </si>
  <si>
    <t>NIYONSABA Francine</t>
  </si>
  <si>
    <t>DIBABA Genzebe</t>
  </si>
  <si>
    <t>OBIRI Hellen Onsando</t>
  </si>
  <si>
    <t>KIRWA Eunice Jepkirui</t>
  </si>
  <si>
    <t>JEPKEMOI Hyvin Kiyeng</t>
  </si>
  <si>
    <t>ALI Nia</t>
  </si>
  <si>
    <t>PETERSEN Sara Slott</t>
  </si>
  <si>
    <t>DEMIREVA Mirela</t>
  </si>
  <si>
    <t>MORRIS Sandi</t>
  </si>
  <si>
    <t>REESE Brittney</t>
  </si>
  <si>
    <t>ROJAS Yulimar</t>
  </si>
  <si>
    <t>ADAMS Valerie</t>
  </si>
  <si>
    <t>ROBERT-MICHON Melina</t>
  </si>
  <si>
    <t>ZHANG Wenxiu</t>
  </si>
  <si>
    <t>VILJOEN Sunette</t>
  </si>
  <si>
    <t>GONZALEZ Maria Guadalupe</t>
  </si>
  <si>
    <t>LEE Chong Wei</t>
  </si>
  <si>
    <t>PUSARLA V. Sindhu</t>
  </si>
  <si>
    <t>MARTINEZ Yurberjen Herney</t>
  </si>
  <si>
    <t>STEVENSON Shakur</t>
  </si>
  <si>
    <t>OUMIHA Sofiane</t>
  </si>
  <si>
    <t>GIYASOV Shakhram</t>
  </si>
  <si>
    <t>MELIKUZIEV Bektemir</t>
  </si>
  <si>
    <t>NIYAZYMBETOV Adilbek</t>
  </si>
  <si>
    <t>LEVIT Vassiliy</t>
  </si>
  <si>
    <t>OURAHMOUNE Sarah</t>
  </si>
  <si>
    <t>YIN Junhua</t>
  </si>
  <si>
    <t>JONES Luuka</t>
  </si>
  <si>
    <t>KAUZER Peter</t>
  </si>
  <si>
    <t>BEAUMONT Maxime</t>
  </si>
  <si>
    <t>DOSTAL Josef</t>
  </si>
  <si>
    <t>DEMYANENKO Valentin</t>
  </si>
  <si>
    <t>QUEIROZ DOS SANTOS Isaquias</t>
  </si>
  <si>
    <t>WALCZYKIEWICZ Marta</t>
  </si>
  <si>
    <t>JORGENSEN Emma</t>
  </si>
  <si>
    <t>VAN GORKOM Jelle</t>
  </si>
  <si>
    <t>POST Alise</t>
  </si>
  <si>
    <t>WLOSZCZOWSKA Maja</t>
  </si>
  <si>
    <t>FUGLSANG Jakob</t>
  </si>
  <si>
    <t>DUMOULIN Tom</t>
  </si>
  <si>
    <t>JOHANSSON Emma</t>
  </si>
  <si>
    <t>ZABELINSKAYA Olga</t>
  </si>
  <si>
    <t>SKINNER Callum</t>
  </si>
  <si>
    <t>JAMES Rebecca</t>
  </si>
  <si>
    <t>BUCHLI Matthijs</t>
  </si>
  <si>
    <t>CAVENDISH Mark</t>
  </si>
  <si>
    <t>HAMMER Sarah</t>
  </si>
  <si>
    <t>LAUGHER Jack</t>
  </si>
  <si>
    <t>HE Zi</t>
  </si>
  <si>
    <t>SANCHEZ German</t>
  </si>
  <si>
    <t>SI Yajie</t>
  </si>
  <si>
    <t>NICOLAS Astier</t>
  </si>
  <si>
    <t>WERTH Isabell</t>
  </si>
  <si>
    <t>FREDRICSON Peder</t>
  </si>
  <si>
    <t>MASSIALAS Alexander</t>
  </si>
  <si>
    <t>DI FRANCISCA Elisa</t>
  </si>
  <si>
    <t>IMRE Geza</t>
  </si>
  <si>
    <t>FIAMINGO Rossella</t>
  </si>
  <si>
    <t>HOMER Daryl</t>
  </si>
  <si>
    <t>VELIKAYA Sofya</t>
  </si>
  <si>
    <t>STENSON Henrik</t>
  </si>
  <si>
    <t>KO Lydia</t>
  </si>
  <si>
    <t>JEONG Bokyeong</t>
  </si>
  <si>
    <t>GIUFFRIDA Odette</t>
  </si>
  <si>
    <t>DORJSUREN Sumiya</t>
  </si>
  <si>
    <t>AGBEGNENOU Clarisse</t>
  </si>
  <si>
    <t>ALVEAR Yuri</t>
  </si>
  <si>
    <t>TCHEUMEO Audrey</t>
  </si>
  <si>
    <t>ORTIZ Idalys</t>
  </si>
  <si>
    <t>SMETOV Yeldos</t>
  </si>
  <si>
    <t>AN Baul</t>
  </si>
  <si>
    <t>ORUJOV Rustam</t>
  </si>
  <si>
    <t>STEVENS Travis</t>
  </si>
  <si>
    <t>LIPARTELIANI Varlam</t>
  </si>
  <si>
    <t>GASIMOV Elmar</t>
  </si>
  <si>
    <t>BRUNI Rachele</t>
  </si>
  <si>
    <t>GIANNIOTIS Spiros</t>
  </si>
  <si>
    <t>TYMOSHCHENKO Pavlo</t>
  </si>
  <si>
    <t>CLOUVEL Elodie</t>
  </si>
  <si>
    <t>KUDRYAVTSEVA Yana</t>
  </si>
  <si>
    <t>STONE Genevra</t>
  </si>
  <si>
    <t>MARTIN Damir</t>
  </si>
  <si>
    <t>DEMPSEY Nick</t>
  </si>
  <si>
    <t>CHEN Peina</t>
  </si>
  <si>
    <t>STIPANOVIC Tonci</t>
  </si>
  <si>
    <t>MURPHY Annalise</t>
  </si>
  <si>
    <t>ZBOGAR Vasilij</t>
  </si>
  <si>
    <t>KAMENSKIY Sergey</t>
  </si>
  <si>
    <t>KIM Jonghyun</t>
  </si>
  <si>
    <t>KULISH Serhiy</t>
  </si>
  <si>
    <t>QUIQUAMPOIX Jean</t>
  </si>
  <si>
    <t>PELLIELO Giovanni</t>
  </si>
  <si>
    <t>INNOCENTI Marco</t>
  </si>
  <si>
    <t>SVENSSON Marcus</t>
  </si>
  <si>
    <t>ZHANG Binbin</t>
  </si>
  <si>
    <t>DU Li</t>
  </si>
  <si>
    <t>ROONEY Natalie</t>
  </si>
  <si>
    <t>CAINERO Chiara</t>
  </si>
  <si>
    <t>CARLIN Jazz</t>
  </si>
  <si>
    <t>BAKER Kathleen</t>
  </si>
  <si>
    <t>EFIMOVA Yulia</t>
  </si>
  <si>
    <t>GROVES Madeline</t>
  </si>
  <si>
    <t>O'CONNOR Siobhan-Marie</t>
  </si>
  <si>
    <t>MANAUDOU Florent</t>
  </si>
  <si>
    <t>TIMMERS Pieter</t>
  </si>
  <si>
    <t>LE CLOS Chad Guy Bertrand</t>
  </si>
  <si>
    <t>JAEGER Connor</t>
  </si>
  <si>
    <t>XU Jiayu</t>
  </si>
  <si>
    <t>LARKIN Mitchell</t>
  </si>
  <si>
    <t>VAN DER BURGH Cameron</t>
  </si>
  <si>
    <t>PRENOT Josh</t>
  </si>
  <si>
    <t>CSEH Laszlo LE CLOS Chad Guy Bertrand PHELPS Michael</t>
  </si>
  <si>
    <t>SAKAI Masato</t>
  </si>
  <si>
    <t>KALISZ Chase</t>
  </si>
  <si>
    <t>LI Xiaoxia</t>
  </si>
  <si>
    <t>ZHANG Jike</t>
  </si>
  <si>
    <t>HANPRAB Tawin</t>
  </si>
  <si>
    <t>DENISENKO Alexey</t>
  </si>
  <si>
    <t>MUHAMMAD Lutalo</t>
  </si>
  <si>
    <t>ISSOUFOU ALFAGA Abdoulrazak</t>
  </si>
  <si>
    <t>BOGDANOVIC Tijana</t>
  </si>
  <si>
    <t>CALVO GOMEZ Eva</t>
  </si>
  <si>
    <t>NIARE Haby</t>
  </si>
  <si>
    <t>ESPINOZA ESPINOZA Maria del Rosario</t>
  </si>
  <si>
    <t>DEL POTRO Juan Martin</t>
  </si>
  <si>
    <t>KERBER Angelique</t>
  </si>
  <si>
    <t>DONG Dong</t>
  </si>
  <si>
    <t>PAGE Bryony</t>
  </si>
  <si>
    <t>BROWNLEE Jonathan</t>
  </si>
  <si>
    <t>SPIRIG HUG Nicola</t>
  </si>
  <si>
    <t>OM Yun Chol</t>
  </si>
  <si>
    <t>IRAWAN Eko Yuli</t>
  </si>
  <si>
    <t>ISMAYILOV Daniyar</t>
  </si>
  <si>
    <t>LYU Xiaojun</t>
  </si>
  <si>
    <t>TIAN Tao</t>
  </si>
  <si>
    <t>STRALTSOU Vadzim</t>
  </si>
  <si>
    <t>MARTIROSYAN Simon</t>
  </si>
  <si>
    <t>MINASYAN Gor</t>
  </si>
  <si>
    <t>AGUSTIANI Sri Wahyuni</t>
  </si>
  <si>
    <t>DIAZ Hidilyn</t>
  </si>
  <si>
    <t>SIRIKAEW Pimsiri</t>
  </si>
  <si>
    <t>CHOE Hyo Sim</t>
  </si>
  <si>
    <t>ZHAPPARKUL Zhazira</t>
  </si>
  <si>
    <t>NAUMAVA Darya</t>
  </si>
  <si>
    <t>KIM Kuk Hyang</t>
  </si>
  <si>
    <t>OTA Shinobu</t>
  </si>
  <si>
    <t>ARUTYUNYAN Migran</t>
  </si>
  <si>
    <t>MADSEN Mark Overgaard</t>
  </si>
  <si>
    <t>BELENIUK Zhan</t>
  </si>
  <si>
    <t>LUGO CABRERA Yasmany Daniel</t>
  </si>
  <si>
    <t>GHASEMI Komeil Nemat</t>
  </si>
  <si>
    <t>ELLISON Brady</t>
  </si>
  <si>
    <t>KI Bobae</t>
  </si>
  <si>
    <t>MARIANO Arthur</t>
  </si>
  <si>
    <t>NADDOUR Alexander</t>
  </si>
  <si>
    <t>SHIRAI Kenzo</t>
  </si>
  <si>
    <t>BELYAVSKIY David</t>
  </si>
  <si>
    <t>WILSON Nile</t>
  </si>
  <si>
    <t>STEINGRUBER Giulia</t>
  </si>
  <si>
    <t>SCHEDER Sophie</t>
  </si>
  <si>
    <t>TINKLER Amy</t>
  </si>
  <si>
    <t>LEMAITRE Christophe</t>
  </si>
  <si>
    <t>MURPHY Clayton</t>
  </si>
  <si>
    <t>WILLIS Nicholas</t>
  </si>
  <si>
    <t>GEBRHIWET Hagos</t>
  </si>
  <si>
    <t>TOLA Tamirat</t>
  </si>
  <si>
    <t>MEKHISSI Mahiedine</t>
  </si>
  <si>
    <t>BASCOU Dimitri</t>
  </si>
  <si>
    <t>COPELLO Yasmani</t>
  </si>
  <si>
    <t>BONDARENKO Bohdan</t>
  </si>
  <si>
    <t>KENDRICKS Sam</t>
  </si>
  <si>
    <t>RUTHERFORD Greg</t>
  </si>
  <si>
    <t>DONG Bin</t>
  </si>
  <si>
    <t>WALSH Tomas</t>
  </si>
  <si>
    <t>JASINSKI Daniel</t>
  </si>
  <si>
    <t>NOWICKI Wojciech</t>
  </si>
  <si>
    <t>WALCOTT Keshorn</t>
  </si>
  <si>
    <t>BIRD-SMITH Dane</t>
  </si>
  <si>
    <t>ARAI Hirooki</t>
  </si>
  <si>
    <t>FRASER-PRYCE Shelly-Ann</t>
  </si>
  <si>
    <t>JACKSON Shericka</t>
  </si>
  <si>
    <t>WAMBUI Margaret Nyairera</t>
  </si>
  <si>
    <t>SIMPSON Jennifer</t>
  </si>
  <si>
    <t>DIBABA Tirunesh</t>
  </si>
  <si>
    <t>DIBABA Mare</t>
  </si>
  <si>
    <t>COBURN Emma</t>
  </si>
  <si>
    <t>CASTLIN Kristi</t>
  </si>
  <si>
    <t>SPENCER Ashley</t>
  </si>
  <si>
    <t>VLASIC Blanka</t>
  </si>
  <si>
    <t>MCCARTNEY Eliza</t>
  </si>
  <si>
    <t>SPANOVIC Ivana</t>
  </si>
  <si>
    <t>RYPAKOVA Olga</t>
  </si>
  <si>
    <t>MARTON Anita</t>
  </si>
  <si>
    <t>CABALLERO Denia</t>
  </si>
  <si>
    <t>HITCHON Sophie</t>
  </si>
  <si>
    <t>SPOTAKOVA Barbora</t>
  </si>
  <si>
    <t>LU Xiuzhi</t>
  </si>
  <si>
    <t>AXELSEN Viktor</t>
  </si>
  <si>
    <t>OKUHARA Nozomi</t>
  </si>
  <si>
    <t>CISSOKHO Souleymane</t>
  </si>
  <si>
    <t>FOX Jessica</t>
  </si>
  <si>
    <t>PRSKAVEC Jiri</t>
  </si>
  <si>
    <t>ANOSHKIN Roman</t>
  </si>
  <si>
    <t>TARNOVSCHI Serghei</t>
  </si>
  <si>
    <t>OSIPENKO-RODOMSKA Inna</t>
  </si>
  <si>
    <t>RAMIREZ YEPES Carlos Alberto</t>
  </si>
  <si>
    <t>HERNANDEZ Stefany</t>
  </si>
  <si>
    <t>PENDREL Catharine</t>
  </si>
  <si>
    <t>MAJKA Rafal</t>
  </si>
  <si>
    <t>FROOME Christopher</t>
  </si>
  <si>
    <t>LONGO BORGHINI Elisa</t>
  </si>
  <si>
    <t>DMITRIEV Denis</t>
  </si>
  <si>
    <t>MARCHANT Katy</t>
  </si>
  <si>
    <t>AWANG Azizulhasni</t>
  </si>
  <si>
    <t>MEARES Anna</t>
  </si>
  <si>
    <t>HANSEN Lasse Norman</t>
  </si>
  <si>
    <t>D'HOORE Jolien</t>
  </si>
  <si>
    <t>HAUSDING Patrick</t>
  </si>
  <si>
    <t>CAGNOTTO Tania</t>
  </si>
  <si>
    <t>BOUDIA David</t>
  </si>
  <si>
    <t>BENFEITO Meaghan</t>
  </si>
  <si>
    <t>DUTTON Phillip</t>
  </si>
  <si>
    <t>BRORING-SPREHE Kristina</t>
  </si>
  <si>
    <t>LAMAZE Eric</t>
  </si>
  <si>
    <t>SAFIN Timur</t>
  </si>
  <si>
    <t>BOUBAKRI Ines</t>
  </si>
  <si>
    <t>GRUMIER Gauthier</t>
  </si>
  <si>
    <t>SUN Yiwen</t>
  </si>
  <si>
    <t>KIM Junghwan</t>
  </si>
  <si>
    <t>KHARLAN Olga</t>
  </si>
  <si>
    <t>KUCHAR Matt</t>
  </si>
  <si>
    <t>FENG Shanshan</t>
  </si>
  <si>
    <t>OKIMOTO Poliana</t>
  </si>
  <si>
    <t>OLIVIER Marc-Antoine</t>
  </si>
  <si>
    <t>HERNANDEZ USCANGA Ismael Marcelo</t>
  </si>
  <si>
    <t>NOWACKA Oktawia</t>
  </si>
  <si>
    <t>RIZATDINOVA Ganna</t>
  </si>
  <si>
    <t>DUAN Jingli</t>
  </si>
  <si>
    <t>SYNEK Ondrej</t>
  </si>
  <si>
    <t>LE COQ Pierre</t>
  </si>
  <si>
    <t>ELFUTINA Stefaniya</t>
  </si>
  <si>
    <t>MEECH Sam</t>
  </si>
  <si>
    <t>RINDOM Anne-Marie</t>
  </si>
  <si>
    <t>PAINE Caleb</t>
  </si>
  <si>
    <t>RAYNAUD Alexis</t>
  </si>
  <si>
    <t>GRIGORYAN Kirill</t>
  </si>
  <si>
    <t>MASLENNIKOV Vladimir</t>
  </si>
  <si>
    <t>KIM Song Guk</t>
  </si>
  <si>
    <t>LI Yuehong</t>
  </si>
  <si>
    <t>LING Edward</t>
  </si>
  <si>
    <t>SCOTT Steven</t>
  </si>
  <si>
    <t>ALRASHIDI Abdullah</t>
  </si>
  <si>
    <t>YI Siling</t>
  </si>
  <si>
    <t>COGDELL Corey</t>
  </si>
  <si>
    <t>RHODE Kimberly</t>
  </si>
  <si>
    <t>HERASIMENIA Aliaksandra</t>
  </si>
  <si>
    <t>MCKEON Emma</t>
  </si>
  <si>
    <t>SMITH Leah</t>
  </si>
  <si>
    <t>KAPAS Boglarka</t>
  </si>
  <si>
    <t>CALDWELL Hilary</t>
  </si>
  <si>
    <t>MEILI Catherine</t>
  </si>
  <si>
    <t>SHI Jinglin</t>
  </si>
  <si>
    <t>VOLLMER Dana</t>
  </si>
  <si>
    <t>HOSHI Natsumi</t>
  </si>
  <si>
    <t>ADRIAN Nathan</t>
  </si>
  <si>
    <t>DWYER Conor</t>
  </si>
  <si>
    <t>DETTI Gabriele</t>
  </si>
  <si>
    <t>PLUMMER David</t>
  </si>
  <si>
    <t>RYLOV Evgeny</t>
  </si>
  <si>
    <t>MILLER Cody</t>
  </si>
  <si>
    <t>CHUPKOV Anton</t>
  </si>
  <si>
    <t>KENDERESI Tamas</t>
  </si>
  <si>
    <t>WANG Shun</t>
  </si>
  <si>
    <t>SETO Daiya</t>
  </si>
  <si>
    <t>KIM Song I</t>
  </si>
  <si>
    <t>MIZUTANI Jun</t>
  </si>
  <si>
    <t>NISHIKORI Kei</t>
  </si>
  <si>
    <t>KVITOVA Petra</t>
  </si>
  <si>
    <t>GAO Lei</t>
  </si>
  <si>
    <t>LI Dan</t>
  </si>
  <si>
    <t>SCHOEMAN Henri</t>
  </si>
  <si>
    <t>HOLLAND Vicky</t>
  </si>
  <si>
    <t>KRUAITHONG Sinphet</t>
  </si>
  <si>
    <t>KHARKI Farkhad</t>
  </si>
  <si>
    <t>MOSQUERA LOZANO Luis Javier</t>
  </si>
  <si>
    <t>MAHMOUD Mohamed</t>
  </si>
  <si>
    <t>SINCRAIAN Gabriel</t>
  </si>
  <si>
    <t>DIDZBALIS Aurimas</t>
  </si>
  <si>
    <t>ZAICHIKOV Alexandr</t>
  </si>
  <si>
    <t>TURMANIDZE Irakli</t>
  </si>
  <si>
    <t>MIYAKE Hiromi</t>
  </si>
  <si>
    <t>YOON Jin Hee</t>
  </si>
  <si>
    <t>KUO Hsing-Chun</t>
  </si>
  <si>
    <t>GORICHEVA Karina</t>
  </si>
  <si>
    <t>AHMED Sara</t>
  </si>
  <si>
    <t>VALENTIN PEREZ Lidia</t>
  </si>
  <si>
    <t>ROBLES Sarah Elizabeth</t>
  </si>
  <si>
    <t>HERNANDEZ Nico Miguel</t>
  </si>
  <si>
    <t>HU Jianguan</t>
  </si>
  <si>
    <t>AKHMADALIEV Murodjon</t>
  </si>
  <si>
    <t>DORJNYAMBUU Otgondalai</t>
  </si>
  <si>
    <t>HARUTYUNYAN Artem</t>
  </si>
  <si>
    <t>Diop RABII Mohammed</t>
  </si>
  <si>
    <t>SHAKHSUVARLY Kamran</t>
  </si>
  <si>
    <t>BAUDERLIQUE Mathieu Albert Daniel</t>
  </si>
  <si>
    <t>TULAGANOV Rustam</t>
  </si>
  <si>
    <t>DYCHKO Ivan</t>
  </si>
  <si>
    <t>VALENCIA VICTORIA Ingrit Lorena</t>
  </si>
  <si>
    <t>BELIAKOVA Anastasiia</t>
  </si>
  <si>
    <t>SHAKIMOVA Dariga</t>
  </si>
  <si>
    <t>GALBADRAKH Otgontsetseg</t>
  </si>
  <si>
    <t>NAKAMURA Misato</t>
  </si>
  <si>
    <t>MATSUMOTO Kaori</t>
  </si>
  <si>
    <t>GERBI Yarden</t>
  </si>
  <si>
    <t>CONWAY Sally</t>
  </si>
  <si>
    <t>AGUIAR Mayra</t>
  </si>
  <si>
    <t>YU Song</t>
  </si>
  <si>
    <t>TAKATO Naohisa</t>
  </si>
  <si>
    <t>SOBIROV Rishod</t>
  </si>
  <si>
    <t>VAN TICHELT Dirk</t>
  </si>
  <si>
    <t>NAGASE Takanori</t>
  </si>
  <si>
    <t>GWAK Donghan</t>
  </si>
  <si>
    <t>HAGA Ryunosuke</t>
  </si>
  <si>
    <t>PIE Luisito</t>
  </si>
  <si>
    <t>LEE Daehoon</t>
  </si>
  <si>
    <t>OUESLATI Oussama</t>
  </si>
  <si>
    <t>CHA Dongmin</t>
  </si>
  <si>
    <t>ABAKAROVA Patimat</t>
  </si>
  <si>
    <t>ALIZADEH ZENOORIN Kimia</t>
  </si>
  <si>
    <t>GBAGBI Ruth Marie Christelle</t>
  </si>
  <si>
    <t>GALLOWAY Jackie</t>
  </si>
  <si>
    <t xml:space="preserve"> LE CLOS Chad Guy Bertrand</t>
  </si>
  <si>
    <t>BAILEY-COLE Kemar</t>
  </si>
  <si>
    <t>GARDNER English</t>
  </si>
  <si>
    <t>AKINOSUN Morolake</t>
  </si>
  <si>
    <t>FACEY Simone</t>
  </si>
  <si>
    <t>FORBES Sashalee</t>
  </si>
  <si>
    <t>WILLIAMS Christania</t>
  </si>
  <si>
    <t>CAMPBELL-BROWN Veronica</t>
  </si>
  <si>
    <t>PHILIP Asha</t>
  </si>
  <si>
    <t>HENRY Desiree</t>
  </si>
  <si>
    <t>ASHER-SMITH Dina</t>
  </si>
  <si>
    <t>NEITA Daryll</t>
  </si>
  <si>
    <t>OKOLO Courtney</t>
  </si>
  <si>
    <t>HASTINGS Natasha</t>
  </si>
  <si>
    <t>FRANCIS Phyllis</t>
  </si>
  <si>
    <t>ELLIS-WATSON Taylor</t>
  </si>
  <si>
    <t>MCCORORY Francena</t>
  </si>
  <si>
    <t>DAY Christine</t>
  </si>
  <si>
    <t>GORDON Chrisann</t>
  </si>
  <si>
    <t>MCPHERSON Stephenie Ann</t>
  </si>
  <si>
    <t>MCLAUGHLIN-WHILBY Anneisha</t>
  </si>
  <si>
    <t>WILLIAMS-MILLS Novlene</t>
  </si>
  <si>
    <t>DOYLE Eilidh</t>
  </si>
  <si>
    <t>ONUORA Anyika</t>
  </si>
  <si>
    <t>DIAMOND Emily</t>
  </si>
  <si>
    <t>OHURUOGU Christine</t>
  </si>
  <si>
    <t>MASSEY Kelly</t>
  </si>
  <si>
    <t>KATO Ryohei</t>
  </si>
  <si>
    <t>TANAKA Yusuke</t>
  </si>
  <si>
    <t>YAMAMURO Koj</t>
  </si>
  <si>
    <t>STRETOVICH Ivan</t>
  </si>
  <si>
    <t>KUKSENKOV Nikolai</t>
  </si>
  <si>
    <t>NAGORNYY Nikita</t>
  </si>
  <si>
    <t>DENG Shudi</t>
  </si>
  <si>
    <t>LIN Chaopan</t>
  </si>
  <si>
    <t>LIU Yang</t>
  </si>
  <si>
    <t>YOU Hao</t>
  </si>
  <si>
    <t>ZHANG Chenglong</t>
  </si>
  <si>
    <t>DOUGLAS Gabrielle</t>
  </si>
  <si>
    <t>MELNIKOVA Angelina</t>
  </si>
  <si>
    <t>SPIRIDONOVA Daria</t>
  </si>
  <si>
    <t>TUTKHALIAN Seda</t>
  </si>
  <si>
    <t>FAN Yilin</t>
  </si>
  <si>
    <t>MAO Yi</t>
  </si>
  <si>
    <t>SHANG Chunsong</t>
  </si>
  <si>
    <t>TAN Jiaxin</t>
  </si>
  <si>
    <t>WANG Yan</t>
  </si>
  <si>
    <t>GOH V Shem</t>
  </si>
  <si>
    <t>TAN Wee Kiong</t>
  </si>
  <si>
    <t>FU Haifeng</t>
  </si>
  <si>
    <t>ZHANG Nan</t>
  </si>
  <si>
    <t>ELLIS Marcus</t>
  </si>
  <si>
    <t>LANGRIDGE Chris</t>
  </si>
  <si>
    <t>MATSUTOMO Misaki</t>
  </si>
  <si>
    <t>TAKAHASHI Ayaka</t>
  </si>
  <si>
    <t>PEDERSEN Christinna</t>
  </si>
  <si>
    <t>RYTTER JUHL Kamilla</t>
  </si>
  <si>
    <t>JUNG Kyung Eun</t>
  </si>
  <si>
    <t>SHIN Seung Chan</t>
  </si>
  <si>
    <t>AHMAD Tontowi</t>
  </si>
  <si>
    <t>NATSIR Liliyana</t>
  </si>
  <si>
    <t>CHAN Peng Soon</t>
  </si>
  <si>
    <t>GOH Liu Ying</t>
  </si>
  <si>
    <t>ZHAO Yunlei</t>
  </si>
  <si>
    <t>ANTHONY CARMELO</t>
  </si>
  <si>
    <t>BARNES Harrison</t>
  </si>
  <si>
    <t>BUTLER Jimmy</t>
  </si>
  <si>
    <t>COUSINS DeMarcus</t>
  </si>
  <si>
    <t>DEROZAN Demar</t>
  </si>
  <si>
    <t>DURANT Kevin</t>
  </si>
  <si>
    <t>GEORGE Paul</t>
  </si>
  <si>
    <t>GREEN Draymond</t>
  </si>
  <si>
    <t>JORDAN DeAndre</t>
  </si>
  <si>
    <t>IRVING Kyrie</t>
  </si>
  <si>
    <t>THOMPSON Klay</t>
  </si>
  <si>
    <t>LOWRY Kyle</t>
  </si>
  <si>
    <t>BIRCEVIC STEFAN</t>
  </si>
  <si>
    <t>MARKOVIC Stefan</t>
  </si>
  <si>
    <t>NEDOVIC Nemanja</t>
  </si>
  <si>
    <t>SIMONOVIC Marko</t>
  </si>
  <si>
    <t>STIMAC Vladimir</t>
  </si>
  <si>
    <t>TEODOSIC Milos</t>
  </si>
  <si>
    <t>BOGDANOVIC Bogdan</t>
  </si>
  <si>
    <t>MACVAN Milan</t>
  </si>
  <si>
    <t>KALINIC Nikola</t>
  </si>
  <si>
    <t>JOKIC Nikola</t>
  </si>
  <si>
    <t>RADULJICA Miroslav</t>
  </si>
  <si>
    <t>JOVIC Stefan</t>
  </si>
  <si>
    <t>CALDERON JOSE MANUEL</t>
  </si>
  <si>
    <t>CLAVER Victor</t>
  </si>
  <si>
    <t>FERNANDEZ Rudy</t>
  </si>
  <si>
    <t>GASOL Pau</t>
  </si>
  <si>
    <t>LLULL Sergio</t>
  </si>
  <si>
    <t>MIROTIC Nikola</t>
  </si>
  <si>
    <t>NAVARRO Juan-Carlos</t>
  </si>
  <si>
    <t>REYES Felipe</t>
  </si>
  <si>
    <t>RODRIGUEZ Sergio</t>
  </si>
  <si>
    <t>RUBIO Ricky</t>
  </si>
  <si>
    <t>ABRINES Alex</t>
  </si>
  <si>
    <t>HERNANGOMEZ Willy</t>
  </si>
  <si>
    <t>AUGUSTUS SEIMONE</t>
  </si>
  <si>
    <t>BIRD Sue</t>
  </si>
  <si>
    <t>CATCHINGS Tamika</t>
  </si>
  <si>
    <t>DELLE DONNE Elena</t>
  </si>
  <si>
    <t>FOWLES Sylvia</t>
  </si>
  <si>
    <t>GRINER Brittney</t>
  </si>
  <si>
    <t>MCCOUGHTRY Angel</t>
  </si>
  <si>
    <t>MOORE Maya</t>
  </si>
  <si>
    <t>STEWART Breanna</t>
  </si>
  <si>
    <t>TAURASI Diana</t>
  </si>
  <si>
    <t>WHALEN Lindsay</t>
  </si>
  <si>
    <t>CHARLES Tina</t>
  </si>
  <si>
    <t>CRUZ Anna</t>
  </si>
  <si>
    <t>DOMINGUEZ Silvia</t>
  </si>
  <si>
    <t>GIL Laura</t>
  </si>
  <si>
    <t>NICHOLLS Laura</t>
  </si>
  <si>
    <t>PALAU Laia</t>
  </si>
  <si>
    <t>PASCUA Lucila</t>
  </si>
  <si>
    <t>QUEVEDO Laura</t>
  </si>
  <si>
    <t>RODRIGUEZ Leonor</t>
  </si>
  <si>
    <t>ROMERO Leticia</t>
  </si>
  <si>
    <t>TORRENS Alba</t>
  </si>
  <si>
    <t>XARGAY Marta</t>
  </si>
  <si>
    <t>NDOUR Astou</t>
  </si>
  <si>
    <t>PETROVIC SONJA</t>
  </si>
  <si>
    <t>RADOCAJ Tamara</t>
  </si>
  <si>
    <t>JOVANOVIC Nevena</t>
  </si>
  <si>
    <t>KRNJIC Sara</t>
  </si>
  <si>
    <t>PAGE Danielle</t>
  </si>
  <si>
    <t>CADO Sasa</t>
  </si>
  <si>
    <t>DABOVIC Milica</t>
  </si>
  <si>
    <t>BUTULIJA Dajana</t>
  </si>
  <si>
    <t>DABOVIC Ana</t>
  </si>
  <si>
    <t>STANKOVIC Dragana</t>
  </si>
  <si>
    <t>MILOVANOVIC Jelena</t>
  </si>
  <si>
    <t>CRVENDAKIC Aleksandra</t>
  </si>
  <si>
    <t>CERUTTI Alison</t>
  </si>
  <si>
    <t>OSCAR SCHMIDT Bruno</t>
  </si>
  <si>
    <t>LUPO Daniele</t>
  </si>
  <si>
    <t>NICOLAI Paolo</t>
  </si>
  <si>
    <t>BROUWER Alexander</t>
  </si>
  <si>
    <t>MEEUWSEN Robert</t>
  </si>
  <si>
    <t>WALKENHORST Kira</t>
  </si>
  <si>
    <t>SEIXAS DE FREITAS Barbara</t>
  </si>
  <si>
    <t>BEDNARCZUK Agatha</t>
  </si>
  <si>
    <t>ROSS April</t>
  </si>
  <si>
    <t>WALSH JENNINGS Kerri</t>
  </si>
  <si>
    <t>SKANTAR Ladislav</t>
  </si>
  <si>
    <t>SKANTAR Peter</t>
  </si>
  <si>
    <t>FLORENCE David</t>
  </si>
  <si>
    <t>HOUNSLOW Richard</t>
  </si>
  <si>
    <t>PECHE Matthieu</t>
  </si>
  <si>
    <t>KLAUSS Gauthier</t>
  </si>
  <si>
    <t>TORO Cristian</t>
  </si>
  <si>
    <t>SCHOFIELD Jon</t>
  </si>
  <si>
    <t>LANKAS Aurimas</t>
  </si>
  <si>
    <t>RAMANAUSKAS Edvinas</t>
  </si>
  <si>
    <t>RENDSCHMIDT Max</t>
  </si>
  <si>
    <t>GROSS Marcus</t>
  </si>
  <si>
    <t>TOMICEVIC Marko</t>
  </si>
  <si>
    <t>ZORIC Milenko</t>
  </si>
  <si>
    <t>WALLACE Ken</t>
  </si>
  <si>
    <t>TAME Lachlan</t>
  </si>
  <si>
    <t>LIEBSCHER Tom</t>
  </si>
  <si>
    <t>HOFF Max</t>
  </si>
  <si>
    <t>MYSAK Denis</t>
  </si>
  <si>
    <t>VLCEK Erik</t>
  </si>
  <si>
    <t>TARR Juraj</t>
  </si>
  <si>
    <t>LINKA Tibor</t>
  </si>
  <si>
    <t>HAVEL Daniel</t>
  </si>
  <si>
    <t>TREFIL Lukas</t>
  </si>
  <si>
    <t>STERBA Jan</t>
  </si>
  <si>
    <t>VANDREY Jan</t>
  </si>
  <si>
    <t>DE SOUZA SILVA Erlon</t>
  </si>
  <si>
    <t>IANCHUK Dmytro</t>
  </si>
  <si>
    <t>MISHCHUK Taras</t>
  </si>
  <si>
    <t>SZABO Gabriella</t>
  </si>
  <si>
    <t>WEBER Franziska</t>
  </si>
  <si>
    <t>DIETZE Tina</t>
  </si>
  <si>
    <t>NAJA Karolina</t>
  </si>
  <si>
    <t>MIKOLAJCZYK Beata</t>
  </si>
  <si>
    <t>CSIPES Tamara</t>
  </si>
  <si>
    <t>FAZEKAS-ZUR Krisztina</t>
  </si>
  <si>
    <t>HERING Sabrina</t>
  </si>
  <si>
    <t>KRIEGERSTEIN Steffi</t>
  </si>
  <si>
    <t>MAKHNEVA Marharyta</t>
  </si>
  <si>
    <t>LIAPESHKA Nadzeya</t>
  </si>
  <si>
    <t>KHUDZENKA Volha</t>
  </si>
  <si>
    <t>LITVINCHUK Maryna</t>
  </si>
  <si>
    <t>HINDES Philip</t>
  </si>
  <si>
    <t>DAWKINS Edward</t>
  </si>
  <si>
    <t>MITCHELL Ethan</t>
  </si>
  <si>
    <t>WEBSTER Sam</t>
  </si>
  <si>
    <t>BAUGE Gregory</t>
  </si>
  <si>
    <t>D'ALMEIDA Michael</t>
  </si>
  <si>
    <t>PERVIS Francois</t>
  </si>
  <si>
    <t>GONG Jinjie</t>
  </si>
  <si>
    <t>ZHONG Tianshi</t>
  </si>
  <si>
    <t>SHMELEVA Daria</t>
  </si>
  <si>
    <t>VOINOVA Anastasiia</t>
  </si>
  <si>
    <t>WELTE Miriam</t>
  </si>
  <si>
    <t>BURKE Steven</t>
  </si>
  <si>
    <t>CLANCY Edward</t>
  </si>
  <si>
    <t>DOULL Owain</t>
  </si>
  <si>
    <t>WIGGINS Bradley</t>
  </si>
  <si>
    <t>BOBRIDGE Jack</t>
  </si>
  <si>
    <t>EDMONDSON Alexander</t>
  </si>
  <si>
    <t>HEPBURN Michael</t>
  </si>
  <si>
    <t>WELSFORD Sam</t>
  </si>
  <si>
    <t>SCOTSON Callum</t>
  </si>
  <si>
    <t>LARSEN Niklas</t>
  </si>
  <si>
    <t>MADSEN Frederik von</t>
  </si>
  <si>
    <t>FOLSACH Casper</t>
  </si>
  <si>
    <t>QUAADE Rasmus Christian</t>
  </si>
  <si>
    <t>ARCHIBALD Katie</t>
  </si>
  <si>
    <t>BARKER Elinor</t>
  </si>
  <si>
    <t>ROWSELL-SHAND Joanna</t>
  </si>
  <si>
    <t>CATLIN Kelly</t>
  </si>
  <si>
    <t>DYGERT Chloe</t>
  </si>
  <si>
    <t>VALENTE Jennifer</t>
  </si>
  <si>
    <t>BEVERIDGE Allison</t>
  </si>
  <si>
    <t>GLAESSER Jasmin</t>
  </si>
  <si>
    <t>LAY Kirsti</t>
  </si>
  <si>
    <t>SIMMERLING Georgia</t>
  </si>
  <si>
    <t>BROWN Laura</t>
  </si>
  <si>
    <t>MEARS Chris</t>
  </si>
  <si>
    <t>DORMAN Sam</t>
  </si>
  <si>
    <t>HIXON Mike</t>
  </si>
  <si>
    <t>QIN Kai</t>
  </si>
  <si>
    <t>WU Minxia</t>
  </si>
  <si>
    <t>DALLAPE' Francesca</t>
  </si>
  <si>
    <t>KEENEY Maddison</t>
  </si>
  <si>
    <t>SMITH Anabelle</t>
  </si>
  <si>
    <t>LIN Yue</t>
  </si>
  <si>
    <t>JOHNSON Steele</t>
  </si>
  <si>
    <t>DALEY Thomas</t>
  </si>
  <si>
    <t>GOODFELLOW Daniel</t>
  </si>
  <si>
    <t>LIU Huixia</t>
  </si>
  <si>
    <t>CHEN Ruolin</t>
  </si>
  <si>
    <t>CHEONG Jun Hoong</t>
  </si>
  <si>
    <t>PAMG Pandelela Rinong</t>
  </si>
  <si>
    <t>FILION Roseline</t>
  </si>
  <si>
    <t>VALETTE Thibaut</t>
  </si>
  <si>
    <t>LAGHOUAG Karim</t>
  </si>
  <si>
    <t>LEMOINE Mathieu</t>
  </si>
  <si>
    <t>AUFFARTH Sandra</t>
  </si>
  <si>
    <t>KLIMKE Ingrid</t>
  </si>
  <si>
    <t>KRAJEWSKI Julia</t>
  </si>
  <si>
    <t>BURTON Christopher</t>
  </si>
  <si>
    <t>GRIFFITHS Sam</t>
  </si>
  <si>
    <t>ROSE Shane</t>
  </si>
  <si>
    <t>TINNEY Stuart</t>
  </si>
  <si>
    <t>ROTHENBERGER Sonke</t>
  </si>
  <si>
    <t>SCHNEIDER Dorothee</t>
  </si>
  <si>
    <t>BIGWOOD Fiona</t>
  </si>
  <si>
    <t>HESTER Carl</t>
  </si>
  <si>
    <t>WILTON Spencer</t>
  </si>
  <si>
    <t>BROCK Allison M.</t>
  </si>
  <si>
    <t>GRAVES Laura</t>
  </si>
  <si>
    <t>PERRY-GLASS Kasey</t>
  </si>
  <si>
    <t>PETERS Steffen</t>
  </si>
  <si>
    <t>BOST Roger Yves</t>
  </si>
  <si>
    <t>LEPREVOST Penelope</t>
  </si>
  <si>
    <t>ROZIER Philippe</t>
  </si>
  <si>
    <t>STAUT Kevin</t>
  </si>
  <si>
    <t>DAVIS Lucy</t>
  </si>
  <si>
    <t>FARRINGTON Kent</t>
  </si>
  <si>
    <t>MADDEN Elizabeth</t>
  </si>
  <si>
    <t>WARD McLain</t>
  </si>
  <si>
    <t>AHLMANN Christian</t>
  </si>
  <si>
    <t>BEERBAUM Ludger</t>
  </si>
  <si>
    <t>DEUSSER Daniel</t>
  </si>
  <si>
    <t>MICHAELS-BEERBAUM Meredith</t>
  </si>
  <si>
    <t>AKHMATKHUZIN Artur</t>
  </si>
  <si>
    <t>CHEREMISINOV Alexey</t>
  </si>
  <si>
    <t>CADOT Jeremy</t>
  </si>
  <si>
    <t>le PECHOUX Erwan</t>
  </si>
  <si>
    <t>LEFORT Enzo</t>
  </si>
  <si>
    <t>TONY HELISSEY Jean-Paul</t>
  </si>
  <si>
    <t>CHAMLEY-WATSON Miles</t>
  </si>
  <si>
    <t>IMBODEN Race</t>
  </si>
  <si>
    <t>MEINHARDT Gerek</t>
  </si>
  <si>
    <t>BOREL Yannick</t>
  </si>
  <si>
    <t>JERENT Daniel</t>
  </si>
  <si>
    <t>LUCENAY Jean-Michel</t>
  </si>
  <si>
    <t>FICHERA Marco</t>
  </si>
  <si>
    <t>GAROZZO Enrico</t>
  </si>
  <si>
    <t>PIZZO Paolo</t>
  </si>
  <si>
    <t>SANTARELLI Andrea</t>
  </si>
  <si>
    <t>BOCZKO Gabor</t>
  </si>
  <si>
    <t>REDLI Andras</t>
  </si>
  <si>
    <t>SOMFAI Peter</t>
  </si>
  <si>
    <t>DINU Loredana</t>
  </si>
  <si>
    <t>GHERMAN Simona</t>
  </si>
  <si>
    <t>POP Simona</t>
  </si>
  <si>
    <t>POPESCU Ana Maria</t>
  </si>
  <si>
    <t>HAO Jialu</t>
  </si>
  <si>
    <t>SUN Yujie</t>
  </si>
  <si>
    <t>XU Anqi</t>
  </si>
  <si>
    <t>KOCHNEVA Olga</t>
  </si>
  <si>
    <t>KOLOBOVA Violetta</t>
  </si>
  <si>
    <t>LOGUNOVA Tatiana</t>
  </si>
  <si>
    <t>SHUTOVA Lyubov</t>
  </si>
  <si>
    <t>DYACHENKO Ekaterina</t>
  </si>
  <si>
    <t>GAVRILOVA Yuliya</t>
  </si>
  <si>
    <t>KOMASHCHUK Alina</t>
  </si>
  <si>
    <t>KRAVATSKA Olena</t>
  </si>
  <si>
    <t>VORONINA Olena</t>
  </si>
  <si>
    <t>AKSAMIT Monica</t>
  </si>
  <si>
    <t>MUHAMMAD Ibtihaj</t>
  </si>
  <si>
    <t>WOZNIAK Dagmara</t>
  </si>
  <si>
    <t>ZAGUNIS Mariel</t>
  </si>
  <si>
    <t>WEVERTON</t>
  </si>
  <si>
    <t>ZECA</t>
  </si>
  <si>
    <t>RODRIGO CAIO</t>
  </si>
  <si>
    <t>MARQUINHOS</t>
  </si>
  <si>
    <t>RENATO AUGUSTO</t>
  </si>
  <si>
    <t>DOUGLAS SANTOS</t>
  </si>
  <si>
    <t>LUAN</t>
  </si>
  <si>
    <t>RAFAEL ALCANTARA</t>
  </si>
  <si>
    <t>GABRIEL BARBOSA</t>
  </si>
  <si>
    <t>NEYMAR</t>
  </si>
  <si>
    <t>GABRIEL JESUS</t>
  </si>
  <si>
    <t>WALACE</t>
  </si>
  <si>
    <t>WILLIAM</t>
  </si>
  <si>
    <t>LUAN GARCIA</t>
  </si>
  <si>
    <t>RODRIGO DOURADO</t>
  </si>
  <si>
    <t>THIAGO MAIA</t>
  </si>
  <si>
    <t>FELIPE ANDERSON</t>
  </si>
  <si>
    <t>UILSON</t>
  </si>
  <si>
    <t>HORN Timo</t>
  </si>
  <si>
    <t>TOLJAN Jeremy</t>
  </si>
  <si>
    <t>KLOSTERMANN Lukas</t>
  </si>
  <si>
    <t>GINTER Matthias</t>
  </si>
  <si>
    <t>SUELE Niklas</t>
  </si>
  <si>
    <t>BENDER Sven</t>
  </si>
  <si>
    <t>MEYER Maximilian</t>
  </si>
  <si>
    <t>BENDER Lars</t>
  </si>
  <si>
    <t>SELKE Davie</t>
  </si>
  <si>
    <t>BRANDT Julian</t>
  </si>
  <si>
    <t>HUTH Jannik</t>
  </si>
  <si>
    <t>MAX Philipp</t>
  </si>
  <si>
    <t>BAUER Robert</t>
  </si>
  <si>
    <t>CHRISTIANSEN Max</t>
  </si>
  <si>
    <t>PROEMEL Grischa</t>
  </si>
  <si>
    <t>GNABRY Serge</t>
  </si>
  <si>
    <t>PETERSEN Nils</t>
  </si>
  <si>
    <t>OELSCHLAEGEL Eric</t>
  </si>
  <si>
    <t>AKPEYI Daniel</t>
  </si>
  <si>
    <t>SINCERE Muenfuh</t>
  </si>
  <si>
    <t>MADU Kingsley</t>
  </si>
  <si>
    <t>SHEHU Abdullahi</t>
  </si>
  <si>
    <t>ERIMUYA Saturday</t>
  </si>
  <si>
    <t>EKONG William</t>
  </si>
  <si>
    <t>UMAR Aminu</t>
  </si>
  <si>
    <t>ETEBO Oghenekaro</t>
  </si>
  <si>
    <t>EZEKIEL Imoh</t>
  </si>
  <si>
    <t>MIKEL John Obi</t>
  </si>
  <si>
    <t>AJAYI Oluwafemi</t>
  </si>
  <si>
    <t>SALIU Popoola</t>
  </si>
  <si>
    <t>UMAR Sadiq</t>
  </si>
  <si>
    <t>AZUBUIKE Okechukwu</t>
  </si>
  <si>
    <t>UDO Ndifreke</t>
  </si>
  <si>
    <t>AMUZIE Stanley</t>
  </si>
  <si>
    <t>MUHAMMED Usman</t>
  </si>
  <si>
    <t>DANIEL Emmanuel</t>
  </si>
  <si>
    <t>SCHULT Almuth</t>
  </si>
  <si>
    <t>HENNING Josephine</t>
  </si>
  <si>
    <t>BARTUSIAK Saskia</t>
  </si>
  <si>
    <t>MAIER Leonie</t>
  </si>
  <si>
    <t>KRAHN Annike</t>
  </si>
  <si>
    <t>BEHRINGER Melanie</t>
  </si>
  <si>
    <t>GOESSLING Lena</t>
  </si>
  <si>
    <t>POPP Alexandra</t>
  </si>
  <si>
    <t>MAROZSAN Dzsenifer</t>
  </si>
  <si>
    <t>MITTAG Anja</t>
  </si>
  <si>
    <t>KEMME Tabea</t>
  </si>
  <si>
    <t>DAEBRITZ Sara</t>
  </si>
  <si>
    <t>PETER Babett</t>
  </si>
  <si>
    <t>ISLACKER Mandy</t>
  </si>
  <si>
    <t>LEUPOLZ Melanie</t>
  </si>
  <si>
    <t>KERSCHOWSKI Isabel</t>
  </si>
  <si>
    <t>BENKARTH Laura</t>
  </si>
  <si>
    <t>HUTH Svenja</t>
  </si>
  <si>
    <t>LINDAHL Hedvig</t>
  </si>
  <si>
    <t>ANDERSSON Jonna</t>
  </si>
  <si>
    <t>SEMBRANT Linda</t>
  </si>
  <si>
    <t>BERGLUND Emma</t>
  </si>
  <si>
    <t>FISCHER Nilla</t>
  </si>
  <si>
    <t>ERIKSSON Magdalena</t>
  </si>
  <si>
    <t>DAHLKVIST Lisa</t>
  </si>
  <si>
    <t>SCHELIN Lotta</t>
  </si>
  <si>
    <t>ASLLANI Kosovare</t>
  </si>
  <si>
    <t>JAKOBSSON Sofia</t>
  </si>
  <si>
    <t>BLACKSTENIUS Stina</t>
  </si>
  <si>
    <t>SCHOUGH Olivia</t>
  </si>
  <si>
    <t>APPELQVIST Emilia</t>
  </si>
  <si>
    <t>SAMUELSSON Jessica</t>
  </si>
  <si>
    <t>RUBENSSON Elin</t>
  </si>
  <si>
    <t>SEGER Caroline</t>
  </si>
  <si>
    <t>CARLEN Hilda</t>
  </si>
  <si>
    <t>HAMMARLUND Pauline</t>
  </si>
  <si>
    <t>LABBE Stephanie</t>
  </si>
  <si>
    <t>CHAPMAN Allysha</t>
  </si>
  <si>
    <t>BUCHANAN Kadeisha</t>
  </si>
  <si>
    <t>ZADORSKY Shelina</t>
  </si>
  <si>
    <t>QUINN Rebecca</t>
  </si>
  <si>
    <t>ROSE Deanne</t>
  </si>
  <si>
    <t>WILKINSON Rhian</t>
  </si>
  <si>
    <t>MATHESON Diana</t>
  </si>
  <si>
    <t>BELANGER Josee</t>
  </si>
  <si>
    <t>LAWRENCE Ashley</t>
  </si>
  <si>
    <t>SCOTT Desiree</t>
  </si>
  <si>
    <t>SINCLAIR Christine</t>
  </si>
  <si>
    <t>SCHMIDT Sophie</t>
  </si>
  <si>
    <t>TANCREDI Melissa</t>
  </si>
  <si>
    <t>PRINCE Nichelle</t>
  </si>
  <si>
    <t>BECKIE Janine</t>
  </si>
  <si>
    <t>FLEMING Jessie</t>
  </si>
  <si>
    <t>D ANGELO Sabrina</t>
  </si>
  <si>
    <t>LANDIN JACOBSEN Niklas</t>
  </si>
  <si>
    <t>CHRISTIANSEN Mads</t>
  </si>
  <si>
    <t>MENSAH LARSEN Mads</t>
  </si>
  <si>
    <t>MORTENSEN Casper</t>
  </si>
  <si>
    <t>NODDESBO Jesper</t>
  </si>
  <si>
    <t>GREEN KREJBERG Jannick</t>
  </si>
  <si>
    <t>SVAN Lasse</t>
  </si>
  <si>
    <t>TOFT HANSEN Rene</t>
  </si>
  <si>
    <t>MOLLGAARD JENSEN Henrik</t>
  </si>
  <si>
    <t>SONDERGAARD Kasper</t>
  </si>
  <si>
    <t>TOFT HANSEN Henrik</t>
  </si>
  <si>
    <t>HANSEN Mikkel</t>
  </si>
  <si>
    <t>OLSEN Morten</t>
  </si>
  <si>
    <t>DAMGAARD NIELSEN Michael</t>
  </si>
  <si>
    <t>NYOKAS Olivier</t>
  </si>
  <si>
    <t>NARCISSE Daniel</t>
  </si>
  <si>
    <t>GERARD Vincent</t>
  </si>
  <si>
    <t>KARABATIC Nikola</t>
  </si>
  <si>
    <t>MAHE Kentin</t>
  </si>
  <si>
    <t>GREBILLE Mathieu</t>
  </si>
  <si>
    <t>OMEYER Thierry</t>
  </si>
  <si>
    <t>N'GUESSAN Timothey</t>
  </si>
  <si>
    <t>ABALO Luc</t>
  </si>
  <si>
    <t>SORHAINDO Cedric</t>
  </si>
  <si>
    <t>GUIGOU Michael</t>
  </si>
  <si>
    <t>KARABATIC Luka</t>
  </si>
  <si>
    <t>FABREGAS Ludovic</t>
  </si>
  <si>
    <t>DIPANDA Adrien</t>
  </si>
  <si>
    <t>PORTE Valentin</t>
  </si>
  <si>
    <t>GENSHEIMER Uwe</t>
  </si>
  <si>
    <t>LEMKE Finn</t>
  </si>
  <si>
    <t>WIENCEK Patrick</t>
  </si>
  <si>
    <t>REICHMANN Tobias</t>
  </si>
  <si>
    <t>WIEDE Fabian</t>
  </si>
  <si>
    <t>HEINEVETTER Silvio</t>
  </si>
  <si>
    <t>PEKELER Hendrik</t>
  </si>
  <si>
    <t>WEINHOLD Steffen</t>
  </si>
  <si>
    <t>STROBEL Martin</t>
  </si>
  <si>
    <t>FATH Steffen</t>
  </si>
  <si>
    <t>HAFNER Kai</t>
  </si>
  <si>
    <t>WOLFF Andreas</t>
  </si>
  <si>
    <t>KUHN Julius</t>
  </si>
  <si>
    <t>DISSINGER Christian</t>
  </si>
  <si>
    <t>DRUX Paul</t>
  </si>
  <si>
    <t>SEDOYKINA Anna</t>
  </si>
  <si>
    <t>KUZNETSOVA Polina</t>
  </si>
  <si>
    <t>DMITRIEVA Daria</t>
  </si>
  <si>
    <t>SEN Anna</t>
  </si>
  <si>
    <t>AKOPIAN Olga</t>
  </si>
  <si>
    <t>VYAKHIREVA Anna</t>
  </si>
  <si>
    <t>SUDAKOVA Marina</t>
  </si>
  <si>
    <t>BOBROVNIKOVA Vladlena</t>
  </si>
  <si>
    <t>ZHILINSKAYTE Victoria</t>
  </si>
  <si>
    <t>MARENNIKOVA Ekaterina</t>
  </si>
  <si>
    <t>BLIZNOVA Irina</t>
  </si>
  <si>
    <t>ILINA Ekaterina</t>
  </si>
  <si>
    <t>PETROVA Mayya</t>
  </si>
  <si>
    <t>EROKHINA Tatiana</t>
  </si>
  <si>
    <t>KALININA Viktoriia</t>
  </si>
  <si>
    <t>GLAUSER Laura</t>
  </si>
  <si>
    <t>AYGLON SAURINA Camille</t>
  </si>
  <si>
    <t>PINEAU Allison</t>
  </si>
  <si>
    <t>LANDRE Laurisa</t>
  </si>
  <si>
    <t>ZAADI DEUNA Grace</t>
  </si>
  <si>
    <t>PROUVENSIER Marie</t>
  </si>
  <si>
    <t>LEYNAUD Amandine</t>
  </si>
  <si>
    <t>HOUETTE Manon</t>
  </si>
  <si>
    <t>DEMBELE Siraba</t>
  </si>
  <si>
    <t>BULLEUX Chloe</t>
  </si>
  <si>
    <t>HORACEK Tamara</t>
  </si>
  <si>
    <t>EDWIGE Beatrice</t>
  </si>
  <si>
    <t>NZE-MINKO Estelle</t>
  </si>
  <si>
    <t>NIOMBLA Gnonsiane</t>
  </si>
  <si>
    <t>LACRABERE Alexandra</t>
  </si>
  <si>
    <t>GRIMSBO Kari Aalvik</t>
  </si>
  <si>
    <t>MOLID Mari</t>
  </si>
  <si>
    <t>ARNTZEN Emilie Hegh</t>
  </si>
  <si>
    <t>KRISTIANSEN Veronica</t>
  </si>
  <si>
    <t>ALSTAD Ida</t>
  </si>
  <si>
    <t>LOKE Heidi</t>
  </si>
  <si>
    <t>MORK Nora</t>
  </si>
  <si>
    <t>OFTEDAL Stine Bredal</t>
  </si>
  <si>
    <t>FRAFJORD Marit Malm</t>
  </si>
  <si>
    <t>LUNDE Katrine</t>
  </si>
  <si>
    <t>KOREN Linn-Kristin Riegelhuth</t>
  </si>
  <si>
    <t>KURTOVIC Amanda</t>
  </si>
  <si>
    <t>HERREM Camilla</t>
  </si>
  <si>
    <t>SOLBERG Sanna</t>
  </si>
  <si>
    <t>VIVALDI Juan</t>
  </si>
  <si>
    <t>PEILLAT Gonzalo</t>
  </si>
  <si>
    <t>GILARDI Juan</t>
  </si>
  <si>
    <t>IBARRA Pedro</t>
  </si>
  <si>
    <t>CALLIONI Facundo</t>
  </si>
  <si>
    <t>REY Lucas</t>
  </si>
  <si>
    <t>PAREDES Matias</t>
  </si>
  <si>
    <t>MENINI Joaquin</t>
  </si>
  <si>
    <t>VILA Lucas</t>
  </si>
  <si>
    <t>MASSO Luca</t>
  </si>
  <si>
    <t>ORTIZ Ignacio</t>
  </si>
  <si>
    <t>LOPEZ Juan</t>
  </si>
  <si>
    <t>SALADINO Juan</t>
  </si>
  <si>
    <t>IBARRA Isidoro</t>
  </si>
  <si>
    <t>REY Matias</t>
  </si>
  <si>
    <t>BRUNET Manuel</t>
  </si>
  <si>
    <t>MAZZILLI Agustin</t>
  </si>
  <si>
    <t>ROSSI Lucas</t>
  </si>
  <si>
    <t>van DOREN Arthur</t>
  </si>
  <si>
    <t>DOHMEN John-John</t>
  </si>
  <si>
    <t>Van AUBEL Florent</t>
  </si>
  <si>
    <t>DOCKIER Sebastien</t>
  </si>
  <si>
    <t>CHARLIER Cedric</t>
  </si>
  <si>
    <t>BOCCARD Gauthier</t>
  </si>
  <si>
    <t>STOCKBROEKX Emmanuel</t>
  </si>
  <si>
    <t>BRIELS Thomas</t>
  </si>
  <si>
    <t>DENAYER Felix</t>
  </si>
  <si>
    <t>VANASCH Vincent</t>
  </si>
  <si>
    <t>GOUGNARD Simon</t>
  </si>
  <si>
    <t>LUYPAERT Loick</t>
  </si>
  <si>
    <t>BOON Tom</t>
  </si>
  <si>
    <t>TRUYENS Jerome</t>
  </si>
  <si>
    <t>van STRYDONCK Elliot</t>
  </si>
  <si>
    <t>COSYNS Tanguy</t>
  </si>
  <si>
    <t>JACOBI Nicolas</t>
  </si>
  <si>
    <t>MULLER Mathias</t>
  </si>
  <si>
    <t>BUTT Linus</t>
  </si>
  <si>
    <t>HANER Martin</t>
  </si>
  <si>
    <t>TROMPERTZ Moritz</t>
  </si>
  <si>
    <t>GRAMBUSCH Mats</t>
  </si>
  <si>
    <t>WESLEY Christopher</t>
  </si>
  <si>
    <t>HERZBRUCH Timm</t>
  </si>
  <si>
    <t>HAUKE Tobias</t>
  </si>
  <si>
    <t>GRAMBUSCH Tom</t>
  </si>
  <si>
    <t>RUHR Christopher</t>
  </si>
  <si>
    <t>ZWICKER Martin</t>
  </si>
  <si>
    <t>FURSTE Moritz</t>
  </si>
  <si>
    <t>FUCHS Florian</t>
  </si>
  <si>
    <t>ORUZ Timur</t>
  </si>
  <si>
    <t>WELLEN Niklas</t>
  </si>
  <si>
    <t>HINCH Maddie</t>
  </si>
  <si>
    <t>UNSWORTH Laura</t>
  </si>
  <si>
    <t>CULLEN Crista</t>
  </si>
  <si>
    <t>MACLEOD Hannah</t>
  </si>
  <si>
    <t>TWIGG Georgie</t>
  </si>
  <si>
    <t>RICHARDSON-WALSH Helen</t>
  </si>
  <si>
    <t>TOWNSEND Susannah</t>
  </si>
  <si>
    <t>RICHARDSON-WALSH Kate</t>
  </si>
  <si>
    <t>QUEK Sam</t>
  </si>
  <si>
    <t>DANSON Alex</t>
  </si>
  <si>
    <t>ANSLEY Giselle</t>
  </si>
  <si>
    <t>BRAY Sophie</t>
  </si>
  <si>
    <t>WEBB Hollie</t>
  </si>
  <si>
    <t>McCALLIN Shona</t>
  </si>
  <si>
    <t>OWSLEY Lily</t>
  </si>
  <si>
    <t>WHITE Nicola</t>
  </si>
  <si>
    <t>SOMBROEK Joyce</t>
  </si>
  <si>
    <t>de WAARD Xan</t>
  </si>
  <si>
    <t>van MALE Kitty</t>
  </si>
  <si>
    <t>LEURINK Laurien</t>
  </si>
  <si>
    <t>BOS Willemijn</t>
  </si>
  <si>
    <t>KEETELS Marloes</t>
  </si>
  <si>
    <t>DIRKSE van den HEUVEL Carlien</t>
  </si>
  <si>
    <t xml:space="preserve"> JONKER Kelly</t>
  </si>
  <si>
    <t>VERSCHOOR Maria</t>
  </si>
  <si>
    <t>WELTEN Lidewij</t>
  </si>
  <si>
    <t>van MAASAKKER Caia</t>
  </si>
  <si>
    <t>PAUMEN Maartje</t>
  </si>
  <si>
    <t>van AS Naomi</t>
  </si>
  <si>
    <t>HOOG Ellen</t>
  </si>
  <si>
    <t>van GEFFEN Margot</t>
  </si>
  <si>
    <t>de GOEDE Eva</t>
  </si>
  <si>
    <t>LORENZ Nike</t>
  </si>
  <si>
    <t>ORUZ Selin</t>
  </si>
  <si>
    <t>SCHRODER Anne</t>
  </si>
  <si>
    <t>SCHUTZE Lisa</t>
  </si>
  <si>
    <t>STAPENHORST Charlotte</t>
  </si>
  <si>
    <t>OTTE Katharina</t>
  </si>
  <si>
    <t>MULLER-WIELAND Janne</t>
  </si>
  <si>
    <t>KRUGER Hannah</t>
  </si>
  <si>
    <t>TESCHKE Jana</t>
  </si>
  <si>
    <t>ALTENBURG Lisa</t>
  </si>
  <si>
    <t>HAUKE Franzisca</t>
  </si>
  <si>
    <t>PIEPER Cecile</t>
  </si>
  <si>
    <t>MAVERS Marie</t>
  </si>
  <si>
    <t>SPRINK Annika</t>
  </si>
  <si>
    <t>MULLER Julia</t>
  </si>
  <si>
    <t>OLDHAFER Pia-Sophie</t>
  </si>
  <si>
    <t>REYNOLDS Kristina</t>
  </si>
  <si>
    <t>BIRIUKOVA Vera</t>
  </si>
  <si>
    <t>BLIZNYUK Anastasia</t>
  </si>
  <si>
    <t>MAKSIMOVA Anastasiia</t>
  </si>
  <si>
    <t>TATAREVA Anastasiia</t>
  </si>
  <si>
    <t>TOLKACHEVA Maria</t>
  </si>
  <si>
    <t>AGUILAR Sandra</t>
  </si>
  <si>
    <t>GAVEZOU Artemi</t>
  </si>
  <si>
    <t>LOPEZ Elena</t>
  </si>
  <si>
    <t>MOHEDANO Lourdes</t>
  </si>
  <si>
    <t>QUEREDA Alejandra</t>
  </si>
  <si>
    <t>KAMBEROVA Reneta</t>
  </si>
  <si>
    <t>KAZANOVA Lyubomira</t>
  </si>
  <si>
    <t>MAEVSKA Mihaela</t>
  </si>
  <si>
    <t>NAYDENOVA Tsvetelina</t>
  </si>
  <si>
    <t>TODOROVA Hristiana</t>
  </si>
  <si>
    <t>GLOVER Helen</t>
  </si>
  <si>
    <t>STANNING Heather</t>
  </si>
  <si>
    <t>BEHRENT Genevieve</t>
  </si>
  <si>
    <t>SCOWN Rebecca</t>
  </si>
  <si>
    <t>RASMUSSEN Hedvig</t>
  </si>
  <si>
    <t>ANDERSEN Anne</t>
  </si>
  <si>
    <t>MURRAY Eric</t>
  </si>
  <si>
    <t>BOND Hamish</t>
  </si>
  <si>
    <t>BRITTAIN Lawrence</t>
  </si>
  <si>
    <t>KEELING Shaun</t>
  </si>
  <si>
    <t>ABAGNALE Giovanni</t>
  </si>
  <si>
    <t>DI COSTANZO Marco</t>
  </si>
  <si>
    <t>FULARCZYK-KOZLOWSKA Magdalena</t>
  </si>
  <si>
    <t>MADAJ Natalia</t>
  </si>
  <si>
    <t>THORNLEY Victoria</t>
  </si>
  <si>
    <t>GRAINGER Katherine</t>
  </si>
  <si>
    <t>VISTARTAITE Donata</t>
  </si>
  <si>
    <t>VALCIUKAITE Milda</t>
  </si>
  <si>
    <t>SINKOVIC Martin</t>
  </si>
  <si>
    <t>SINKOVIC Valent</t>
  </si>
  <si>
    <t>GRISKONIS Mindaugas</t>
  </si>
  <si>
    <t>RITTER Saulius</t>
  </si>
  <si>
    <t>BORCH Kjetil</t>
  </si>
  <si>
    <t>TUFTE Olaf</t>
  </si>
  <si>
    <t>GREGORY Alex</t>
  </si>
  <si>
    <t>SBIHI Mohamed</t>
  </si>
  <si>
    <t>NASH George</t>
  </si>
  <si>
    <t>LOULOUDIS Constantine</t>
  </si>
  <si>
    <t>LOCKWOOD William</t>
  </si>
  <si>
    <t>DUNKLEY-SMITH Joshua</t>
  </si>
  <si>
    <t>BOOTH Joshua</t>
  </si>
  <si>
    <t>HILL Alexander</t>
  </si>
  <si>
    <t>MONTRONE Domenico</t>
  </si>
  <si>
    <t>CASTALDO Matteo</t>
  </si>
  <si>
    <t>LODO Matteo</t>
  </si>
  <si>
    <t>VICINO Giuseppe</t>
  </si>
  <si>
    <t>PAULIS Ilse</t>
  </si>
  <si>
    <t>HEAD Maaike</t>
  </si>
  <si>
    <t>JENNERICH Lindsay</t>
  </si>
  <si>
    <t>OBEE Patricia</t>
  </si>
  <si>
    <t>HUANG Wenyi</t>
  </si>
  <si>
    <t>PAN Feihong</t>
  </si>
  <si>
    <t>HOUIN Pierre</t>
  </si>
  <si>
    <t>AZOU Jeremie</t>
  </si>
  <si>
    <t>O'DONOVAN Gary</t>
  </si>
  <si>
    <t>O'DONOVAN Paul</t>
  </si>
  <si>
    <t>BRUN Kristoffer</t>
  </si>
  <si>
    <t>STRANDLI Are</t>
  </si>
  <si>
    <t>TRAMER Lucas</t>
  </si>
  <si>
    <t>SCHUERCH Simon</t>
  </si>
  <si>
    <t>NIEPMANN Simon</t>
  </si>
  <si>
    <t>GYR Mario</t>
  </si>
  <si>
    <t>BARSOE Jacob</t>
  </si>
  <si>
    <t>LARSEN Jacob</t>
  </si>
  <si>
    <t>JOERGENSEN Kasper</t>
  </si>
  <si>
    <t>JOERGENSEN Morten</t>
  </si>
  <si>
    <t>SOLFOROSI Franck</t>
  </si>
  <si>
    <t>BAROUKH Thomas</t>
  </si>
  <si>
    <t>RAINEAU Guillaume</t>
  </si>
  <si>
    <t>COLARD Thibault</t>
  </si>
  <si>
    <t>THIELE Annekatrin</t>
  </si>
  <si>
    <t>BAER Carina</t>
  </si>
  <si>
    <t>LIER Julia</t>
  </si>
  <si>
    <t>SCHMIDLA Lisa</t>
  </si>
  <si>
    <t>ACHTERBERG Chantal</t>
  </si>
  <si>
    <t>BEUKERS Nicole</t>
  </si>
  <si>
    <t>JANSSEN Inge</t>
  </si>
  <si>
    <t>BOUW Carline</t>
  </si>
  <si>
    <t>SPRINGWALD Maria</t>
  </si>
  <si>
    <t>LESZCZYNSKA Joanna</t>
  </si>
  <si>
    <t>KOBUS Agnieszka</t>
  </si>
  <si>
    <t>CIACIUCH Monika</t>
  </si>
  <si>
    <t>WENDE Philipp</t>
  </si>
  <si>
    <t>SCHOOF Lauritz</t>
  </si>
  <si>
    <t>SCHULZE Karl</t>
  </si>
  <si>
    <t>GRUHNE Hans</t>
  </si>
  <si>
    <t>FORSTERLING Karsten</t>
  </si>
  <si>
    <t>BELONOGOFF Alexander</t>
  </si>
  <si>
    <t>GIRDLESTONE Cameron</t>
  </si>
  <si>
    <t>McRAE James</t>
  </si>
  <si>
    <t>JAMSA Andrei</t>
  </si>
  <si>
    <t>RAJA Allar</t>
  </si>
  <si>
    <t>ENDREKSON Tonu</t>
  </si>
  <si>
    <t>TAIMSOO Kaspar</t>
  </si>
  <si>
    <t>REGAN Emily</t>
  </si>
  <si>
    <t>SIMMONDS Kerry</t>
  </si>
  <si>
    <t>POLK Amanda</t>
  </si>
  <si>
    <t>SCHMETTERLING Lauren</t>
  </si>
  <si>
    <t>GOBBO Tessa</t>
  </si>
  <si>
    <t>MUSNICKI Meghan</t>
  </si>
  <si>
    <t>LOGAN Eleanor</t>
  </si>
  <si>
    <t>ELMORE Amanda</t>
  </si>
  <si>
    <t>SNYDER Katelin</t>
  </si>
  <si>
    <t>GREVES Katie</t>
  </si>
  <si>
    <t>WILSON Melanie</t>
  </si>
  <si>
    <t>HOUGHTON Frances</t>
  </si>
  <si>
    <t>SWANN Polly</t>
  </si>
  <si>
    <t>EDDIE Jessica</t>
  </si>
  <si>
    <t>CARNEGIE-BROWN Olivia</t>
  </si>
  <si>
    <t>BENNETT Karen</t>
  </si>
  <si>
    <t>LEE Zoe</t>
  </si>
  <si>
    <t>de TOLEDO Zoe</t>
  </si>
  <si>
    <t>COGIANU Roxana</t>
  </si>
  <si>
    <t>STRUNGARU Ioana</t>
  </si>
  <si>
    <t>PETRILA Mihaela</t>
  </si>
  <si>
    <t>POPA Iuliana</t>
  </si>
  <si>
    <t>BERES Madalina</t>
  </si>
  <si>
    <t>OPREA Laura</t>
  </si>
  <si>
    <t>BOGUS Adelina</t>
  </si>
  <si>
    <t>BOGHIAN Andreea</t>
  </si>
  <si>
    <t>DRUNCEA Daniela</t>
  </si>
  <si>
    <t>DURANT Scott</t>
  </si>
  <si>
    <t>RANSLEY Tom</t>
  </si>
  <si>
    <t>HODGE Andrew T</t>
  </si>
  <si>
    <t>GOTREL Matt</t>
  </si>
  <si>
    <t>REED Pete</t>
  </si>
  <si>
    <t>BENNETT Paul</t>
  </si>
  <si>
    <t>LANGRIDGE Matt</t>
  </si>
  <si>
    <t>SATCH William</t>
  </si>
  <si>
    <t>HILL Phelan</t>
  </si>
  <si>
    <t>MUNSKI Maximilian</t>
  </si>
  <si>
    <t>JAKSCHIK Malte</t>
  </si>
  <si>
    <t>KUFFNER Andreas</t>
  </si>
  <si>
    <t>JOHANNESEN Eric</t>
  </si>
  <si>
    <t>REINELT Maximilian</t>
  </si>
  <si>
    <t>DRAHOTTA Felix</t>
  </si>
  <si>
    <t>SCHMIDT Richard</t>
  </si>
  <si>
    <t>OCIK Hannes</t>
  </si>
  <si>
    <t>SAUER Martin</t>
  </si>
  <si>
    <t>UITTENBOGAARD Dirk</t>
  </si>
  <si>
    <t>MEYLINK Boaz</t>
  </si>
  <si>
    <t>HENDRIKS Kaj</t>
  </si>
  <si>
    <t>ROELL Boudewijn</t>
  </si>
  <si>
    <t>SIEGELAAR Olivier</t>
  </si>
  <si>
    <t>WIETEN Tone</t>
  </si>
  <si>
    <t>VERSLUIS Mechiel</t>
  </si>
  <si>
    <t>LUECKEN Robert</t>
  </si>
  <si>
    <t>WIERSUM Peter</t>
  </si>
  <si>
    <t>DOMOLAILAI Apisai</t>
  </si>
  <si>
    <t>VEREMALUA Jasa</t>
  </si>
  <si>
    <t>KUNATANI Semi</t>
  </si>
  <si>
    <t>MATA Viliame</t>
  </si>
  <si>
    <t>NAKARAWA Leone</t>
  </si>
  <si>
    <t>TALIGA Kitione</t>
  </si>
  <si>
    <t>KOLINISAU Osea</t>
  </si>
  <si>
    <t>TUISOVA Josua</t>
  </si>
  <si>
    <t>TUWAI Jerry</t>
  </si>
  <si>
    <t>VIRIVIRI Samisoni</t>
  </si>
  <si>
    <t>RAWACA Savenaca</t>
  </si>
  <si>
    <t>RAVOUVOU Vatemo</t>
  </si>
  <si>
    <t>DAKUWAQA Ro</t>
  </si>
  <si>
    <t>ROBERTSON Mark</t>
  </si>
  <si>
    <t>McCONNOCHIE Ruaridh</t>
  </si>
  <si>
    <t>BURGESS Phil</t>
  </si>
  <si>
    <t>NORTON Dan</t>
  </si>
  <si>
    <t>RODWELL James</t>
  </si>
  <si>
    <t>MITCHELL Tom</t>
  </si>
  <si>
    <t>BIBBY Dan</t>
  </si>
  <si>
    <t>DAVIES James</t>
  </si>
  <si>
    <t>LINDSAY-HAGUE Oliver</t>
  </si>
  <si>
    <t>CROSS Sam</t>
  </si>
  <si>
    <t>WATSON Marcus</t>
  </si>
  <si>
    <t>BENNETT Mark</t>
  </si>
  <si>
    <t>SAGE Dylan</t>
  </si>
  <si>
    <t>SNYMAN Philip</t>
  </si>
  <si>
    <t>AGABA Tim</t>
  </si>
  <si>
    <t>SMITH Kwagga</t>
  </si>
  <si>
    <t>KOK Werner</t>
  </si>
  <si>
    <t>BROWN Kyle</t>
  </si>
  <si>
    <t>KOLBE Cheslin</t>
  </si>
  <si>
    <t>SPECMAN Rosko</t>
  </si>
  <si>
    <t>GEDULD Justin</t>
  </si>
  <si>
    <t>AFRIKA Cecil</t>
  </si>
  <si>
    <t>SENATLA Seabelo</t>
  </si>
  <si>
    <t>de JONGH Juan</t>
  </si>
  <si>
    <t>HOUGAARD Francois</t>
  </si>
  <si>
    <t>PARRY Shannon</t>
  </si>
  <si>
    <t>WILLIAMS Sharni</t>
  </si>
  <si>
    <t>BECK Nicole</t>
  </si>
  <si>
    <t>ETHERIDGE Gemma</t>
  </si>
  <si>
    <t>TONEGATO Emma</t>
  </si>
  <si>
    <t>PELITE Evania</t>
  </si>
  <si>
    <t>CASLICK Charlotte</t>
  </si>
  <si>
    <t>DALTON Chloe</t>
  </si>
  <si>
    <t>TURNER Amy</t>
  </si>
  <si>
    <t>QUIRK Alicia</t>
  </si>
  <si>
    <t>CHERRY Emilee</t>
  </si>
  <si>
    <t>GREEN Ellia</t>
  </si>
  <si>
    <t>TUI Ruby</t>
  </si>
  <si>
    <t>BAKER Shakira</t>
  </si>
  <si>
    <t>TE TAMAKI Terina</t>
  </si>
  <si>
    <t>WILLIAMS Niall</t>
  </si>
  <si>
    <t>GOSS Sarah</t>
  </si>
  <si>
    <t>BROUGHTON Gayle</t>
  </si>
  <si>
    <t>NATHAN-WONG Tyla</t>
  </si>
  <si>
    <t>BRAZIER Kelly</t>
  </si>
  <si>
    <t>MANUEL Huriana</t>
  </si>
  <si>
    <t>FITZPATRICK Theresa</t>
  </si>
  <si>
    <t>WOODMAN Portia</t>
  </si>
  <si>
    <t>McALISTER Kayla</t>
  </si>
  <si>
    <t>BENN Brittany</t>
  </si>
  <si>
    <t>MOLESCHI Kayla</t>
  </si>
  <si>
    <t>PAQUIN Karen</t>
  </si>
  <si>
    <t>RUSSELL Kelly</t>
  </si>
  <si>
    <t>STEACY Ashley</t>
  </si>
  <si>
    <t>WILLIAMS Charity</t>
  </si>
  <si>
    <t>KISH Jennifer</t>
  </si>
  <si>
    <t>FARELLA Bianca</t>
  </si>
  <si>
    <t>LANDRY Ghislaine</t>
  </si>
  <si>
    <t>DARLING Hannah</t>
  </si>
  <si>
    <t>WATCHAM-ROY Natasha</t>
  </si>
  <si>
    <t>LUKAN Megan</t>
  </si>
  <si>
    <t>FANTELA Sime</t>
  </si>
  <si>
    <t>MARENIC Igor</t>
  </si>
  <si>
    <t>BELCHER Mathew</t>
  </si>
  <si>
    <t>RYAN Will</t>
  </si>
  <si>
    <t>MANTIS Panagiotis</t>
  </si>
  <si>
    <t>KAGIALIS Pavlos</t>
  </si>
  <si>
    <t>MILLS Hannah</t>
  </si>
  <si>
    <t>CLARK Saskia</t>
  </si>
  <si>
    <t>ALEH Jo</t>
  </si>
  <si>
    <t>POWRIE Polly</t>
  </si>
  <si>
    <t>LECOINTRE Camille</t>
  </si>
  <si>
    <t>DEFRANCE Helene</t>
  </si>
  <si>
    <t>BURLING Peter</t>
  </si>
  <si>
    <t>TUKE Blair</t>
  </si>
  <si>
    <t>OUTTERIDGE Nathan</t>
  </si>
  <si>
    <t>JENSEN Iain</t>
  </si>
  <si>
    <t>HEIL Erik</t>
  </si>
  <si>
    <t>PLOESSEL Thomas</t>
  </si>
  <si>
    <t>GRAEL Martine</t>
  </si>
  <si>
    <t>KUNZE Kahena</t>
  </si>
  <si>
    <t>MALONEY Alex</t>
  </si>
  <si>
    <t>MEECH Molly</t>
  </si>
  <si>
    <t>HANSEN Jena</t>
  </si>
  <si>
    <t>SALSKOV-IVERSEN Katja Steen</t>
  </si>
  <si>
    <t>LANGE Santiago</t>
  </si>
  <si>
    <t>CARRANZA SAROLI Cecilia</t>
  </si>
  <si>
    <t>WATERHOUSE Jason</t>
  </si>
  <si>
    <t>DARMANIN Lisa</t>
  </si>
  <si>
    <t>ZAJAC Thomas</t>
  </si>
  <si>
    <t>FRANK Tanja</t>
  </si>
  <si>
    <t>McKEON Emma</t>
  </si>
  <si>
    <t>ELMSLIE Brittany</t>
  </si>
  <si>
    <t>CAMPBELL Bronte</t>
  </si>
  <si>
    <t>CAMPBELL Cate</t>
  </si>
  <si>
    <t>WILSON Madison</t>
  </si>
  <si>
    <t>WEITZEIL Abbey</t>
  </si>
  <si>
    <t>NEAL Lia</t>
  </si>
  <si>
    <t>SCHMITT Allison</t>
  </si>
  <si>
    <t>WEIR Amanda</t>
  </si>
  <si>
    <t>MAINVILLE Sandrine Van</t>
  </si>
  <si>
    <t>LANDEGHEM Chantal</t>
  </si>
  <si>
    <t>RUCK Taylor</t>
  </si>
  <si>
    <t>WILLIAMS Michelle</t>
  </si>
  <si>
    <t>FRANKLIN Missy</t>
  </si>
  <si>
    <t>MARGALIS Melanie</t>
  </si>
  <si>
    <t>RUNGE Cierra</t>
  </si>
  <si>
    <t>NEALE Leah</t>
  </si>
  <si>
    <t>BARRATT Bronte</t>
  </si>
  <si>
    <t>COOK Tamsin</t>
  </si>
  <si>
    <t>ASHWOOD Jessica</t>
  </si>
  <si>
    <t>SAVARD Katerine</t>
  </si>
  <si>
    <t>MACLEAN Brittany</t>
  </si>
  <si>
    <t>GOSS Kennedy</t>
  </si>
  <si>
    <t>OVERHOLT Emily</t>
  </si>
  <si>
    <t>MEILI Katie</t>
  </si>
  <si>
    <t>SMOLIGA Olivia</t>
  </si>
  <si>
    <t>WORRELL Kelsi</t>
  </si>
  <si>
    <t>SEEBOHM Emily</t>
  </si>
  <si>
    <t>McKEOWN Taylor</t>
  </si>
  <si>
    <t>NIELSEN Mie</t>
  </si>
  <si>
    <t>PEDERSEN Rikke Moller</t>
  </si>
  <si>
    <t>OTTESEN Jeanette</t>
  </si>
  <si>
    <t>DRESSEL Caeleb</t>
  </si>
  <si>
    <t>HELD Ryan</t>
  </si>
  <si>
    <t>FEIGEN Jimmy</t>
  </si>
  <si>
    <t>PIERONI Blake</t>
  </si>
  <si>
    <t>METELLA Mehdy</t>
  </si>
  <si>
    <t>GILOT Fabien</t>
  </si>
  <si>
    <t>STRAVIUS Jeremy</t>
  </si>
  <si>
    <t>MEYNARD William</t>
  </si>
  <si>
    <t>MIGNON Clement</t>
  </si>
  <si>
    <t>ROBERTS James</t>
  </si>
  <si>
    <t>MAGNUSSEN James</t>
  </si>
  <si>
    <t>McEVOY Cameron</t>
  </si>
  <si>
    <t>ABOOD Matthew</t>
  </si>
  <si>
    <t>HAAS Townley</t>
  </si>
  <si>
    <t>LOCHTE Ryan</t>
  </si>
  <si>
    <t>BENTZ Gunnar</t>
  </si>
  <si>
    <t>CONGER Jack</t>
  </si>
  <si>
    <t>SMITH Clark</t>
  </si>
  <si>
    <t>MILNE Stephen</t>
  </si>
  <si>
    <t>SCOTT Duncan</t>
  </si>
  <si>
    <t>WALLACE Dan</t>
  </si>
  <si>
    <t>GUY James</t>
  </si>
  <si>
    <t>RENWICK Robbie</t>
  </si>
  <si>
    <t>EHARA Naito</t>
  </si>
  <si>
    <t>KOBORI Yuki</t>
  </si>
  <si>
    <t>MATSUDA Takeshi</t>
  </si>
  <si>
    <t>CORDES Kevin</t>
  </si>
  <si>
    <t>SHIELDS Tom</t>
  </si>
  <si>
    <t>WALKER-HEBBORN Chris</t>
  </si>
  <si>
    <t>PACKARD Jake</t>
  </si>
  <si>
    <t>MORGAN David</t>
  </si>
  <si>
    <t>ISHCHENKO Natalia</t>
  </si>
  <si>
    <t>ROMASHINA Svetlana</t>
  </si>
  <si>
    <t>HUANG Xuechen</t>
  </si>
  <si>
    <t>SUN Wenyan</t>
  </si>
  <si>
    <t>INUI Yukiko</t>
  </si>
  <si>
    <t>MITSUI Risako</t>
  </si>
  <si>
    <t>CHIGIREVA Vlada</t>
  </si>
  <si>
    <t>KOLESNICHENKO Svetlana</t>
  </si>
  <si>
    <t>PATSKEVICH Aleksandra</t>
  </si>
  <si>
    <t>PROKOFYEVA Elena</t>
  </si>
  <si>
    <t>SHISHKINA Alla</t>
  </si>
  <si>
    <t>SHUROCHKINA Mariia</t>
  </si>
  <si>
    <t>TOPILINA Gelena</t>
  </si>
  <si>
    <t>GU Xiao</t>
  </si>
  <si>
    <t>GUO Li</t>
  </si>
  <si>
    <t>LI Xiaolu</t>
  </si>
  <si>
    <t>LIANG Xinping</t>
  </si>
  <si>
    <t>TANG Mengni</t>
  </si>
  <si>
    <t>YIN Chengxin</t>
  </si>
  <si>
    <t>ZENG Zhen</t>
  </si>
  <si>
    <t>HAKOYAMA Aika</t>
  </si>
  <si>
    <t>HAYASHI Aiko</t>
  </si>
  <si>
    <t>MARUMO Kei</t>
  </si>
  <si>
    <t>NAKAMAKI Kanami</t>
  </si>
  <si>
    <t>NAKAMURA Mai</t>
  </si>
  <si>
    <t>OMATA Kano</t>
  </si>
  <si>
    <t>YOSHIDA Kurumi</t>
  </si>
  <si>
    <t>LIU Shiwen</t>
  </si>
  <si>
    <t>HAN Ying</t>
  </si>
  <si>
    <t>SHAN Xiaona</t>
  </si>
  <si>
    <t>SOLJA Petrissa</t>
  </si>
  <si>
    <t>FUKUHARA Ai</t>
  </si>
  <si>
    <t>ISHIKAWA Kasumi</t>
  </si>
  <si>
    <t>ITO Mima</t>
  </si>
  <si>
    <t>XU Xin</t>
  </si>
  <si>
    <t>NIWA Koki</t>
  </si>
  <si>
    <t>YOSHIMURA Maharu</t>
  </si>
  <si>
    <t>BOLL Timo</t>
  </si>
  <si>
    <t>OVTCHAROV Dimitrij</t>
  </si>
  <si>
    <t>STEGER Bastian</t>
  </si>
  <si>
    <t>LOPEZ Marc</t>
  </si>
  <si>
    <t>NADAL Rafael</t>
  </si>
  <si>
    <t>MERGEA Florin</t>
  </si>
  <si>
    <t>TECAU Horia</t>
  </si>
  <si>
    <t>JOHNSON Steve</t>
  </si>
  <si>
    <t>SOCK Jack</t>
  </si>
  <si>
    <t>MAKAROVA Ekaterina</t>
  </si>
  <si>
    <t>VESNINA Elena</t>
  </si>
  <si>
    <t>BACSINSZKY Timea</t>
  </si>
  <si>
    <t>HINGIS Martin</t>
  </si>
  <si>
    <t>SAFAROVA Lucie</t>
  </si>
  <si>
    <t>STRYCOVA Barbora</t>
  </si>
  <si>
    <t>MATTEK-SANDS Bethanie</t>
  </si>
  <si>
    <t>WILLIAMS Venus</t>
  </si>
  <si>
    <t>RAM Rajeev</t>
  </si>
  <si>
    <t>HRADECKA Lucie</t>
  </si>
  <si>
    <t>STEPANEK Radek</t>
  </si>
  <si>
    <t>REZENDE Bruno Mossa</t>
  </si>
  <si>
    <t>CARBONERA Eder</t>
  </si>
  <si>
    <t>de SOUZA Wallace</t>
  </si>
  <si>
    <t>ARJONA William</t>
  </si>
  <si>
    <t>SANTOS Sergio Dutra</t>
  </si>
  <si>
    <t>FONTELES Luiz Felipe Marques</t>
  </si>
  <si>
    <t>de SOUZA Mauricio Luiz</t>
  </si>
  <si>
    <t>de SOUZA Douglas Correia</t>
  </si>
  <si>
    <t>SAATKAMP Lucas</t>
  </si>
  <si>
    <t>GUERRA Evandro M.</t>
  </si>
  <si>
    <t>LUCARELLI Ricardo</t>
  </si>
  <si>
    <t>BORGES ALMEIDA SILVA Mauricio</t>
  </si>
  <si>
    <t>SOTTILE Pasquale</t>
  </si>
  <si>
    <t>VETTORI Luca</t>
  </si>
  <si>
    <t>JUANTORENA Osmany</t>
  </si>
  <si>
    <t>GIANNELLI Simone</t>
  </si>
  <si>
    <t>ROSSINI Salvatore</t>
  </si>
  <si>
    <t>ZAYTSEV Ivan</t>
  </si>
  <si>
    <t>LANZA Filippo</t>
  </si>
  <si>
    <t>BUTI Simone</t>
  </si>
  <si>
    <t>COLACI Massimo</t>
  </si>
  <si>
    <t>PIANO Matteo</t>
  </si>
  <si>
    <t>BIRARELLI Emanuele</t>
  </si>
  <si>
    <t>ANTONOV Oleg</t>
  </si>
  <si>
    <t>ANDERSON Matthew</t>
  </si>
  <si>
    <t>RUSSELL Aaron</t>
  </si>
  <si>
    <t>SANDER Taylor</t>
  </si>
  <si>
    <t>LEE David</t>
  </si>
  <si>
    <t>SHOJI Kawika</t>
  </si>
  <si>
    <t>PRIDDY William Reid</t>
  </si>
  <si>
    <t>TROY Murphy</t>
  </si>
  <si>
    <t>JAESCHKE Thomas</t>
  </si>
  <si>
    <t>CHRISTENSON Micah</t>
  </si>
  <si>
    <t>HOLT Maxwell</t>
  </si>
  <si>
    <t>SMITH David</t>
  </si>
  <si>
    <t>SHOJI Erik</t>
  </si>
  <si>
    <t>YUAN Xinyue</t>
  </si>
  <si>
    <t>ZHU Ting</t>
  </si>
  <si>
    <t>YANG Fangxu</t>
  </si>
  <si>
    <t>GONG Xiangyu</t>
  </si>
  <si>
    <t>WEI Qiuyue</t>
  </si>
  <si>
    <t>ZHANG Changning</t>
  </si>
  <si>
    <t>LIU Xiaotong</t>
  </si>
  <si>
    <t>XU Yunli</t>
  </si>
  <si>
    <t>HUI Ruoqi</t>
  </si>
  <si>
    <t>LIN Li</t>
  </si>
  <si>
    <t>DING Xia</t>
  </si>
  <si>
    <t>YAN Ni</t>
  </si>
  <si>
    <t>BUSA Bianka</t>
  </si>
  <si>
    <t>BRAKOCEVIC Jovana</t>
  </si>
  <si>
    <t>ZIVKOVIC Bojana</t>
  </si>
  <si>
    <t>MALESEVIC Tijana</t>
  </si>
  <si>
    <t>MIHAJLOVIC Brankica</t>
  </si>
  <si>
    <t>OGNJENOVIC Maja</t>
  </si>
  <si>
    <t>VELJKOVIC Stefana</t>
  </si>
  <si>
    <t>NIKOLIC Jelena</t>
  </si>
  <si>
    <t>STEVANOVIC Jovana</t>
  </si>
  <si>
    <t>RASIC Milena</t>
  </si>
  <si>
    <t>POPOVIC Silvija</t>
  </si>
  <si>
    <t>BOSKOVIC Tijana</t>
  </si>
  <si>
    <t>GLASS Alisha</t>
  </si>
  <si>
    <t>BANWARTH Kayla</t>
  </si>
  <si>
    <t>THOMPSON Courtney</t>
  </si>
  <si>
    <t>ADAMS Rachael</t>
  </si>
  <si>
    <t>LLOYD Carli</t>
  </si>
  <si>
    <t>LARSON-BURBACH Jordan</t>
  </si>
  <si>
    <t>MURPHY Kelly</t>
  </si>
  <si>
    <t>DIETZEN Christa Harmotto</t>
  </si>
  <si>
    <t>HILL Kimberly</t>
  </si>
  <si>
    <t>AKINRADEWO Foluke</t>
  </si>
  <si>
    <t>ROBINSON Kelsey</t>
  </si>
  <si>
    <t>LOWE Karsta</t>
  </si>
  <si>
    <t>PIJETLOVIC Gojko</t>
  </si>
  <si>
    <t>MANDIC Dusan</t>
  </si>
  <si>
    <t>GOCIC Zivko</t>
  </si>
  <si>
    <t>RANDELOVIC Sava</t>
  </si>
  <si>
    <t>CUK Milos</t>
  </si>
  <si>
    <t>PIJETLOVIC Dusko</t>
  </si>
  <si>
    <t>NIKIC Slobodan</t>
  </si>
  <si>
    <t>ALEKSIC Milan</t>
  </si>
  <si>
    <t>JAKSIC Nikola</t>
  </si>
  <si>
    <t>FILIPOVIC Filip</t>
  </si>
  <si>
    <t>PRLAINOVIC Andrija</t>
  </si>
  <si>
    <t>MITROVIC Stefan</t>
  </si>
  <si>
    <t>MITROVIC Branislav</t>
  </si>
  <si>
    <t>PAVIC Josip</t>
  </si>
  <si>
    <t>BURIC Damir</t>
  </si>
  <si>
    <t>PETKOVIC Antonio</t>
  </si>
  <si>
    <t>LONCAR Luka</t>
  </si>
  <si>
    <t>JOKOVIC Maro</t>
  </si>
  <si>
    <t>BUKIC Luka</t>
  </si>
  <si>
    <t>MACAN Marko</t>
  </si>
  <si>
    <t>BUSLJE Andro</t>
  </si>
  <si>
    <t>SUKNO Sandro</t>
  </si>
  <si>
    <t>KRAPIC Ivan</t>
  </si>
  <si>
    <t>SETKA Andelo</t>
  </si>
  <si>
    <t>GARCIA GADEA Javier</t>
  </si>
  <si>
    <t>BIJAC Marko</t>
  </si>
  <si>
    <t>TEMPESTI Stefano</t>
  </si>
  <si>
    <t>di FULVIO Francesco</t>
  </si>
  <si>
    <t>GITTO Niccolo'</t>
  </si>
  <si>
    <t>FIGLIOLI Pietro</t>
  </si>
  <si>
    <t>FONDELLI Andrea</t>
  </si>
  <si>
    <t>VELOTTO Alessandro</t>
  </si>
  <si>
    <t>NORA Alessandro</t>
  </si>
  <si>
    <t>GALLO Valentino</t>
  </si>
  <si>
    <t>PRESCIUTTI Christian</t>
  </si>
  <si>
    <t>AICARDI Matteo</t>
  </si>
  <si>
    <t>PRESCIUTTI Nicholas</t>
  </si>
  <si>
    <t>del LUNGO Marco</t>
  </si>
  <si>
    <t>HILL Sami</t>
  </si>
  <si>
    <t>MUSSELMAN Madeline</t>
  </si>
  <si>
    <t>SEIDEMANN Melissa</t>
  </si>
  <si>
    <t>FATTAL Rachel</t>
  </si>
  <si>
    <t>CLARK KK</t>
  </si>
  <si>
    <t>STEFFENS Maggie</t>
  </si>
  <si>
    <t>MATHEWSON Courtney</t>
  </si>
  <si>
    <t>NEUSHUL Kiley</t>
  </si>
  <si>
    <t>FISCHER Aria</t>
  </si>
  <si>
    <t>GILCHRIST Kaleigh</t>
  </si>
  <si>
    <t>FISCHER Makenzie</t>
  </si>
  <si>
    <t>CRAIG Kami</t>
  </si>
  <si>
    <t>JOHNSON Ashleigh</t>
  </si>
  <si>
    <t>GORLERO Giulia</t>
  </si>
  <si>
    <t>TABANI Chiara</t>
  </si>
  <si>
    <t>GARIBOTTI Arianna</t>
  </si>
  <si>
    <t>QUEIROLO Elisa</t>
  </si>
  <si>
    <t>RADICCHI Federica</t>
  </si>
  <si>
    <t>AIELLO Rosaria</t>
  </si>
  <si>
    <t>di MARIO Tania</t>
  </si>
  <si>
    <t>BIANCONI Roberta</t>
  </si>
  <si>
    <t>EMMOLO Giulia</t>
  </si>
  <si>
    <t>POMERI Francesca</t>
  </si>
  <si>
    <t>COTTI Aleksandra</t>
  </si>
  <si>
    <t>FRASSINETTI Teresa</t>
  </si>
  <si>
    <t>TEANI Laura</t>
  </si>
  <si>
    <t>USTYUKHINA Anna</t>
  </si>
  <si>
    <t>GLYZINA Nadezhda</t>
  </si>
  <si>
    <t>PROKOFYEVA Ekaterina</t>
  </si>
  <si>
    <t>KARIMOVA Elvina</t>
  </si>
  <si>
    <t>BORISOVA Maria</t>
  </si>
  <si>
    <t>GORBUNOVA Olga</t>
  </si>
  <si>
    <t>LISUNOVA Ekaterina</t>
  </si>
  <si>
    <t>SIMANOVICH Anastasia</t>
  </si>
  <si>
    <t>TIMOFEEVA Anna</t>
  </si>
  <si>
    <t>SOBOLEVA Evgeniia</t>
  </si>
  <si>
    <t>IVANOVA Evgeniya</t>
  </si>
  <si>
    <t>GRINEVA Anna</t>
  </si>
  <si>
    <t>KARNAUKH Anna</t>
  </si>
  <si>
    <t>EVENT GENDER</t>
  </si>
  <si>
    <t>https://www.rio2016.com/en/water-polo-wp-women-download</t>
  </si>
  <si>
    <t>Virgin Islands, GB</t>
  </si>
  <si>
    <t>Bosnia &amp; Herzegovina</t>
  </si>
  <si>
    <t>Myanmar</t>
  </si>
  <si>
    <t>DR Congo</t>
  </si>
  <si>
    <t>DPR Korea</t>
  </si>
  <si>
    <t>Palestine</t>
  </si>
  <si>
    <t>Russian Federation</t>
  </si>
  <si>
    <t>Saint Kitts &amp; Nevis</t>
  </si>
  <si>
    <t>Saint Vincent &amp; Grenadines</t>
  </si>
  <si>
    <t>Sao Tome &amp; Principe</t>
  </si>
  <si>
    <t>Republic of Korea</t>
  </si>
  <si>
    <t>Virgin Islands, US</t>
  </si>
  <si>
    <t>Dependency - Rank Value</t>
  </si>
  <si>
    <t>Dependency - RANK</t>
  </si>
  <si>
    <t>BODEGAS Michael Alexandre</t>
  </si>
  <si>
    <t>Zhang / Fu</t>
  </si>
  <si>
    <t>Takahashi / Matsutomo</t>
  </si>
  <si>
    <t>Natsir / Ahmad</t>
  </si>
  <si>
    <t>Cerutti / Oscar Schmidt</t>
  </si>
  <si>
    <t>Ludwig / Walkenhorst</t>
  </si>
  <si>
    <t>Craviotto / Toro</t>
  </si>
  <si>
    <t>Gross / Rendschmidt</t>
  </si>
  <si>
    <t>Brendel / Vandrey</t>
  </si>
  <si>
    <t>Kozak / Szabo</t>
  </si>
  <si>
    <t>Gong / Zhong</t>
  </si>
  <si>
    <t>Glover / Stanning</t>
  </si>
  <si>
    <t>Bond / Murray</t>
  </si>
  <si>
    <t>Fularczyk-Kozlowska / Madaj</t>
  </si>
  <si>
    <t>Sinkovic / Sinkovic</t>
  </si>
  <si>
    <t>Head / Paulis</t>
  </si>
  <si>
    <t>Azou / Houin</t>
  </si>
  <si>
    <t>Fantela / Marenic</t>
  </si>
  <si>
    <t>Clark / Mills</t>
  </si>
  <si>
    <t>Burling / Tuke</t>
  </si>
  <si>
    <t>Kunze / Grael</t>
  </si>
  <si>
    <t>Lange / Carranza Saroli</t>
  </si>
  <si>
    <t>Ishchenko / Romashina</t>
  </si>
  <si>
    <t>Lopez / Nadal</t>
  </si>
  <si>
    <t>Makarova / Vesnina</t>
  </si>
  <si>
    <t>Sock / Mattek-Sands</t>
  </si>
  <si>
    <t>Goh / Tan</t>
  </si>
  <si>
    <t>Rytter juhl / Pedersen</t>
  </si>
  <si>
    <t>Chan / Goh</t>
  </si>
  <si>
    <t>Nicolai / Lupo</t>
  </si>
  <si>
    <t>Bednarczuk / Seixas de Freitas</t>
  </si>
  <si>
    <t>Heath / Schofield</t>
  </si>
  <si>
    <t>Tomicevic / Zoric</t>
  </si>
  <si>
    <t>de Souza Silva / Queiroz dos Santos</t>
  </si>
  <si>
    <t>Dietze / Weber</t>
  </si>
  <si>
    <t>Voinova / Shmeleva</t>
  </si>
  <si>
    <t>Behrent / Scown</t>
  </si>
  <si>
    <t>Keeling / Brittain</t>
  </si>
  <si>
    <t>Grainger / Thornley</t>
  </si>
  <si>
    <t>Griskonis / Ritter</t>
  </si>
  <si>
    <t>Jennerich / Obee</t>
  </si>
  <si>
    <t>O'Donovan / O'Donovan</t>
  </si>
  <si>
    <t>Belcher / Ryan</t>
  </si>
  <si>
    <t>Aleh / Powrie</t>
  </si>
  <si>
    <t>Outteridge / Jensen</t>
  </si>
  <si>
    <t>Maloney / Meech</t>
  </si>
  <si>
    <t>Darmanin / Waterhouse</t>
  </si>
  <si>
    <t/>
  </si>
  <si>
    <t>Huang / Sun</t>
  </si>
  <si>
    <t>Mergea / Tecau</t>
  </si>
  <si>
    <t>Bacsinszky / Hingis</t>
  </si>
  <si>
    <t>Williams / Ram</t>
  </si>
  <si>
    <t>Taipei (Cn Taipei)</t>
  </si>
  <si>
    <t>Ellis / Langridge</t>
  </si>
  <si>
    <t>Jung / Shin</t>
  </si>
  <si>
    <t>Zhang / Zhao</t>
  </si>
  <si>
    <t>Meeuwsen / Brouwer</t>
  </si>
  <si>
    <t>Ross / Walsh Jennings</t>
  </si>
  <si>
    <t>Ramanauskas / Lankas</t>
  </si>
  <si>
    <t>Tame / Wallace</t>
  </si>
  <si>
    <t>Ianchuk / Mishchuk</t>
  </si>
  <si>
    <t>Mikolajczyk / Naja</t>
  </si>
  <si>
    <t>Vogel / Welte</t>
  </si>
  <si>
    <t>Andersen / Rasmussen</t>
  </si>
  <si>
    <t>DI COSTANZO / Abagnale</t>
  </si>
  <si>
    <t>Vistartaite / Valciukaite</t>
  </si>
  <si>
    <t>Tufte / Borch</t>
  </si>
  <si>
    <t>Huang / Pan</t>
  </si>
  <si>
    <t>Strandli / Brun</t>
  </si>
  <si>
    <t>Mantis / Kagialis</t>
  </si>
  <si>
    <t>Defrance / Lecointre</t>
  </si>
  <si>
    <t>Heil / Ploessel</t>
  </si>
  <si>
    <t>Salskov-Iversen / Hansen</t>
  </si>
  <si>
    <t>Frank / Zajac</t>
  </si>
  <si>
    <t>Inui / Mitsui</t>
  </si>
  <si>
    <t>Sock / Johnson</t>
  </si>
  <si>
    <t>Safarova / Strycova</t>
  </si>
  <si>
    <t>Hradecka / Stepanek</t>
  </si>
  <si>
    <t>OLY_LOGO above</t>
  </si>
  <si>
    <t>offset not used for now</t>
  </si>
  <si>
    <t>Laura Ludwig</t>
  </si>
  <si>
    <t>Total</t>
  </si>
  <si>
    <t>https://www.rio2016.com/en/schedule-and-results</t>
  </si>
  <si>
    <t>Results Source</t>
  </si>
  <si>
    <t>https://en.wikipedia.org/wiki/Category:2016_Summer_Olympics_events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</si>
</sst>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;\-0;;@"/>
  </numFmts>
  <fonts count="45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color theme="3"/>
      <name val="Calibri"/>
      <family val="2"/>
      <scheme val="minor"/>
    </font>
    <font>
      <b/>
      <sz val="16"/>
      <color theme="0"/>
      <name val="Trebuchet MS"/>
      <family val="2"/>
    </font>
    <font>
      <sz val="11"/>
      <color theme="1"/>
      <name val="Trebuchet MS"/>
      <family val="2"/>
    </font>
    <font>
      <b/>
      <sz val="14"/>
      <color rgb="FFCC0099"/>
      <name val="Trebuchet MS"/>
      <family val="2"/>
    </font>
    <font>
      <b/>
      <sz val="11"/>
      <color theme="1"/>
      <name val="Trebuchet MS"/>
      <family val="2"/>
    </font>
    <font>
      <sz val="18"/>
      <color theme="1"/>
      <name val="Trebuchet MS"/>
      <family val="2"/>
    </font>
    <font>
      <sz val="14"/>
      <color theme="0"/>
      <name val="Trebuchet MS"/>
      <family val="2"/>
    </font>
    <font>
      <b/>
      <sz val="14"/>
      <color theme="1"/>
      <name val="Trebuchet MS"/>
      <family val="2"/>
    </font>
    <font>
      <sz val="12"/>
      <color theme="1"/>
      <name val="Trebuchet MS"/>
      <family val="2"/>
    </font>
    <font>
      <b/>
      <sz val="12"/>
      <color theme="1"/>
      <name val="Trebuchet MS"/>
      <family val="2"/>
    </font>
    <font>
      <b/>
      <sz val="14"/>
      <color theme="0"/>
      <name val="Trebuchet MS"/>
      <family val="2"/>
    </font>
    <font>
      <sz val="12"/>
      <color theme="0"/>
      <name val="Trebuchet MS"/>
      <family val="2"/>
    </font>
    <font>
      <b/>
      <sz val="12"/>
      <color rgb="FFCC0099"/>
      <name val="Trebuchet MS"/>
      <family val="2"/>
    </font>
    <font>
      <i/>
      <sz val="12"/>
      <color theme="1"/>
      <name val="Trebuchet MS"/>
      <family val="2"/>
    </font>
    <font>
      <b/>
      <sz val="9"/>
      <color theme="1"/>
      <name val="Trebuchet MS"/>
      <family val="2"/>
    </font>
    <font>
      <sz val="14"/>
      <color rgb="FF00CC66"/>
      <name val="Trebuchet MS"/>
      <family val="2"/>
    </font>
    <font>
      <b/>
      <sz val="11"/>
      <color rgb="FF00CC66"/>
      <name val="Trebuchet MS"/>
      <family val="2"/>
    </font>
    <font>
      <sz val="11"/>
      <name val="Calibri"/>
      <family val="2"/>
      <scheme val="minor"/>
    </font>
    <font>
      <sz val="11"/>
      <name val="Trebuchet MS"/>
      <family val="2"/>
    </font>
    <font>
      <sz val="18"/>
      <color theme="5"/>
      <name val="Webdings"/>
      <family val="1"/>
      <charset val="2"/>
    </font>
    <font>
      <sz val="16"/>
      <color theme="1"/>
      <name val="Calibri"/>
      <family val="2"/>
      <scheme val="minor"/>
    </font>
    <font>
      <sz val="24"/>
      <color theme="1"/>
      <name val="Trebuchet MS"/>
      <family val="2"/>
    </font>
    <font>
      <sz val="28"/>
      <color theme="1"/>
      <name val="Trebuchet MS"/>
      <family val="2"/>
    </font>
    <font>
      <sz val="11"/>
      <color rgb="FF000000"/>
      <name val="Trebuchet MS"/>
      <family val="2"/>
    </font>
    <font>
      <i/>
      <sz val="11"/>
      <color theme="1"/>
      <name val="Calibri"/>
      <family val="2"/>
      <scheme val="minor"/>
    </font>
    <font>
      <sz val="14"/>
      <color theme="5"/>
      <name val="Webdings"/>
      <family val="1"/>
      <charset val="2"/>
    </font>
    <font>
      <b/>
      <sz val="11"/>
      <color theme="0" tint="-0.249977111117893"/>
      <name val="Trebuchet MS"/>
      <family val="2"/>
    </font>
    <font>
      <sz val="14"/>
      <color theme="1"/>
      <name val="Webdings"/>
      <family val="1"/>
      <charset val="2"/>
    </font>
    <font>
      <sz val="14"/>
      <color theme="0" tint="-4.9989318521683403E-2"/>
      <name val="Trebuchet MS"/>
      <family val="2"/>
    </font>
    <font>
      <b/>
      <sz val="11"/>
      <color rgb="FFCC0099"/>
      <name val="Trebuchet MS"/>
      <family val="2"/>
    </font>
    <font>
      <b/>
      <sz val="12"/>
      <color rgb="FF00B050"/>
      <name val="Trebuchet MS"/>
      <family val="2"/>
    </font>
    <font>
      <b/>
      <sz val="12"/>
      <color rgb="FF00CC66"/>
      <name val="Trebuchet MS"/>
      <family val="2"/>
    </font>
    <font>
      <b/>
      <sz val="14"/>
      <color rgb="FF00CC66"/>
      <name val="Trebuchet MS"/>
      <family val="2"/>
    </font>
    <font>
      <sz val="28"/>
      <color theme="0"/>
      <name val="Trebuchet MS"/>
      <family val="2"/>
    </font>
    <font>
      <u/>
      <sz val="11"/>
      <color theme="10"/>
      <name val="Calibri"/>
      <family val="2"/>
      <scheme val="minor"/>
    </font>
    <font>
      <sz val="9"/>
      <color indexed="81"/>
      <name val="Tahoma"/>
      <family val="2"/>
    </font>
    <font>
      <b/>
      <sz val="9"/>
      <color indexed="81"/>
      <name val="Tahoma"/>
      <family val="2"/>
    </font>
    <font>
      <b/>
      <sz val="14"/>
      <color rgb="FF00B050"/>
      <name val="Trebuchet MS"/>
      <family val="2"/>
    </font>
    <font>
      <sz val="12"/>
      <color rgb="FF00B050"/>
      <name val="Trebuchet MS"/>
      <family val="2"/>
    </font>
    <font>
      <b/>
      <sz val="12"/>
      <color theme="1" tint="0.499984740745262"/>
      <name val="Trebuchet MS"/>
      <family val="2"/>
    </font>
    <font>
      <b/>
      <sz val="11"/>
      <color theme="1" tint="0.499984740745262"/>
      <name val="Trebuchet MS"/>
      <family val="2"/>
    </font>
  </fonts>
  <fills count="14">
    <fill>
      <patternFill patternType="none"/>
    </fill>
    <fill>
      <patternFill patternType="gray125"/>
    </fill>
    <fill>
      <patternFill patternType="solid">
        <fgColor theme="5" tint="0.7999816888943144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rgb="FFFF00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rgb="FF00B050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rgb="FFCC0099"/>
        <bgColor indexed="64"/>
      </patternFill>
    </fill>
    <fill>
      <patternFill patternType="solid">
        <fgColor rgb="FF89FFBE"/>
        <bgColor indexed="64"/>
      </patternFill>
    </fill>
    <fill>
      <patternFill patternType="solid">
        <fgColor theme="2" tint="-9.9978637043366805E-2"/>
        <bgColor indexed="64"/>
      </patternFill>
    </fill>
  </fills>
  <borders count="17">
    <border>
      <left/>
      <right/>
      <top/>
      <bottom/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/>
      <right/>
      <top/>
      <bottom style="thin">
        <color indexed="64"/>
      </bottom>
      <diagonal/>
    </border>
    <border>
      <left style="medium">
        <color indexed="64"/>
      </left>
      <right/>
      <top style="medium">
        <color indexed="64"/>
      </top>
      <bottom/>
      <diagonal/>
    </border>
    <border>
      <left/>
      <right/>
      <top style="medium">
        <color indexed="64"/>
      </top>
      <bottom/>
      <diagonal/>
    </border>
    <border>
      <left/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/>
      <bottom/>
      <diagonal/>
    </border>
    <border>
      <left/>
      <right style="medium">
        <color indexed="64"/>
      </right>
      <top/>
      <bottom/>
      <diagonal/>
    </border>
    <border>
      <left style="medium">
        <color indexed="64"/>
      </left>
      <right/>
      <top/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/>
      <right style="medium">
        <color indexed="64"/>
      </right>
      <top/>
      <bottom style="medium">
        <color indexed="64"/>
      </bottom>
      <diagonal/>
    </border>
    <border>
      <left style="medium">
        <color indexed="64"/>
      </left>
      <right/>
      <top/>
      <bottom style="thin">
        <color indexed="64"/>
      </bottom>
      <diagonal/>
    </border>
    <border>
      <left/>
      <right style="medium">
        <color indexed="64"/>
      </right>
      <top/>
      <bottom style="thin">
        <color indexed="64"/>
      </bottom>
      <diagonal/>
    </border>
    <border>
      <left style="thin">
        <color indexed="64"/>
      </left>
      <right style="medium">
        <color indexed="64"/>
      </right>
      <top/>
      <bottom/>
      <diagonal/>
    </border>
    <border>
      <left/>
      <right style="thin">
        <color indexed="64"/>
      </right>
      <top/>
      <bottom/>
      <diagonal/>
    </border>
  </borders>
  <cellStyleXfs count="3">
    <xf numFmtId="0" fontId="0" fillId="0" borderId="0"/>
    <xf numFmtId="9" fontId="2" fillId="0" borderId="0" applyFont="0" applyFill="0" applyBorder="0" applyAlignment="0" applyProtection="0"/>
    <xf numFmtId="0" fontId="38" fillId="0" borderId="0" applyNumberFormat="0" applyFill="0" applyBorder="0" applyAlignment="0" applyProtection="0"/>
  </cellStyleXfs>
  <cellXfs count="162">
    <xf numFmtId="0" fontId="0" fillId="0" borderId="0" xfId="0"/>
    <xf numFmtId="0" fontId="1" fillId="0" borderId="0" xfId="0" applyFont="1"/>
    <xf numFmtId="0" fontId="0" fillId="2" borderId="0" xfId="0" applyFill="1"/>
    <xf numFmtId="0" fontId="0" fillId="0" borderId="0" xfId="0" applyNumberFormat="1"/>
    <xf numFmtId="0" fontId="0" fillId="0" borderId="0" xfId="0" applyFill="1"/>
    <xf numFmtId="0" fontId="0" fillId="3" borderId="0" xfId="0" applyFill="1"/>
    <xf numFmtId="0" fontId="1" fillId="0" borderId="0" xfId="0" applyFont="1" applyFill="1"/>
    <xf numFmtId="0" fontId="0" fillId="0" borderId="0" xfId="0" applyFill="1" applyAlignment="1">
      <alignment wrapText="1"/>
    </xf>
    <xf numFmtId="47" fontId="0" fillId="0" borderId="0" xfId="0" applyNumberFormat="1" applyFill="1"/>
    <xf numFmtId="47" fontId="0" fillId="0" borderId="0" xfId="0" applyNumberFormat="1" applyFill="1" applyAlignment="1">
      <alignment wrapText="1"/>
    </xf>
    <xf numFmtId="0" fontId="0" fillId="0" borderId="0" xfId="0" applyFont="1" applyFill="1" applyBorder="1"/>
    <xf numFmtId="0" fontId="4" fillId="5" borderId="0" xfId="0" applyFont="1" applyFill="1" applyBorder="1"/>
    <xf numFmtId="0" fontId="0" fillId="5" borderId="0" xfId="0" applyNumberFormat="1" applyFill="1" applyBorder="1"/>
    <xf numFmtId="0" fontId="0" fillId="5" borderId="0" xfId="0" applyFill="1" applyBorder="1"/>
    <xf numFmtId="0" fontId="0" fillId="5" borderId="0" xfId="0" applyFill="1"/>
    <xf numFmtId="0" fontId="0" fillId="5" borderId="0" xfId="0" applyNumberFormat="1" applyFill="1"/>
    <xf numFmtId="0" fontId="4" fillId="5" borderId="0" xfId="0" applyFont="1" applyFill="1"/>
    <xf numFmtId="0" fontId="0" fillId="0" borderId="5" xfId="0" applyBorder="1"/>
    <xf numFmtId="0" fontId="0" fillId="0" borderId="6" xfId="0" applyBorder="1"/>
    <xf numFmtId="0" fontId="0" fillId="0" borderId="7" xfId="0" applyBorder="1"/>
    <xf numFmtId="0" fontId="0" fillId="0" borderId="8" xfId="0" applyBorder="1"/>
    <xf numFmtId="0" fontId="0" fillId="0" borderId="0" xfId="0" applyBorder="1"/>
    <xf numFmtId="0" fontId="0" fillId="7" borderId="0" xfId="0" applyFill="1" applyBorder="1"/>
    <xf numFmtId="0" fontId="0" fillId="0" borderId="9" xfId="0" applyBorder="1"/>
    <xf numFmtId="0" fontId="1" fillId="0" borderId="0" xfId="0" applyFont="1" applyBorder="1"/>
    <xf numFmtId="0" fontId="0" fillId="0" borderId="10" xfId="0" applyBorder="1"/>
    <xf numFmtId="0" fontId="0" fillId="0" borderId="11" xfId="0" applyBorder="1"/>
    <xf numFmtId="0" fontId="0" fillId="0" borderId="12" xfId="0" applyBorder="1"/>
    <xf numFmtId="0" fontId="0" fillId="6" borderId="0" xfId="0" applyFill="1" applyBorder="1"/>
    <xf numFmtId="0" fontId="0" fillId="6" borderId="9" xfId="0" applyFill="1" applyBorder="1"/>
    <xf numFmtId="0" fontId="13" fillId="0" borderId="9" xfId="0" applyFont="1" applyBorder="1" applyAlignment="1">
      <alignment horizontal="center"/>
    </xf>
    <xf numFmtId="9" fontId="0" fillId="5" borderId="0" xfId="1" applyFont="1" applyFill="1"/>
    <xf numFmtId="0" fontId="0" fillId="7" borderId="0" xfId="0" applyFill="1"/>
    <xf numFmtId="0" fontId="0" fillId="3" borderId="8" xfId="0" applyFill="1" applyBorder="1"/>
    <xf numFmtId="9" fontId="0" fillId="0" borderId="9" xfId="1" applyFont="1" applyBorder="1"/>
    <xf numFmtId="9" fontId="0" fillId="0" borderId="12" xfId="1" applyFont="1" applyBorder="1"/>
    <xf numFmtId="0" fontId="0" fillId="3" borderId="6" xfId="0" applyFill="1" applyBorder="1"/>
    <xf numFmtId="0" fontId="24" fillId="0" borderId="0" xfId="0" applyFont="1"/>
    <xf numFmtId="0" fontId="25" fillId="0" borderId="0" xfId="0" applyFont="1" applyAlignment="1">
      <alignment horizontal="center"/>
    </xf>
    <xf numFmtId="0" fontId="26" fillId="0" borderId="0" xfId="0" applyFont="1" applyAlignment="1">
      <alignment horizontal="center"/>
    </xf>
    <xf numFmtId="0" fontId="0" fillId="9" borderId="8" xfId="0" applyFill="1" applyBorder="1"/>
    <xf numFmtId="0" fontId="1" fillId="0" borderId="8" xfId="0" applyFont="1" applyBorder="1"/>
    <xf numFmtId="0" fontId="27" fillId="0" borderId="0" xfId="0" applyFont="1" applyAlignment="1"/>
    <xf numFmtId="0" fontId="27" fillId="0" borderId="0" xfId="0" applyFont="1" applyBorder="1" applyAlignment="1"/>
    <xf numFmtId="0" fontId="28" fillId="0" borderId="9" xfId="0" applyFont="1" applyBorder="1"/>
    <xf numFmtId="0" fontId="0" fillId="0" borderId="0" xfId="0" applyFill="1" applyBorder="1"/>
    <xf numFmtId="0" fontId="0" fillId="8" borderId="0" xfId="0" applyFill="1"/>
    <xf numFmtId="0" fontId="0" fillId="10" borderId="0" xfId="0" applyFill="1"/>
    <xf numFmtId="0" fontId="0" fillId="0" borderId="8" xfId="0" applyFill="1" applyBorder="1"/>
    <xf numFmtId="0" fontId="23" fillId="0" borderId="6" xfId="0" applyFont="1" applyBorder="1"/>
    <xf numFmtId="0" fontId="29" fillId="0" borderId="0" xfId="0" applyFont="1" applyBorder="1"/>
    <xf numFmtId="0" fontId="0" fillId="7" borderId="6" xfId="0" applyFill="1" applyBorder="1"/>
    <xf numFmtId="47" fontId="0" fillId="0" borderId="0" xfId="0" applyNumberFormat="1"/>
    <xf numFmtId="0" fontId="38" fillId="0" borderId="0" xfId="2"/>
    <xf numFmtId="0" fontId="0" fillId="0" borderId="0" xfId="0" applyFill="1" applyAlignment="1">
      <alignment vertical="center"/>
    </xf>
    <xf numFmtId="0" fontId="0" fillId="11" borderId="0" xfId="0" applyFill="1"/>
    <xf numFmtId="0" fontId="4" fillId="11" borderId="0" xfId="0" applyFont="1" applyFill="1"/>
    <xf numFmtId="0" fontId="0" fillId="7" borderId="11" xfId="0" applyFill="1" applyBorder="1"/>
    <xf numFmtId="0" fontId="13" fillId="0" borderId="12" xfId="0" applyFont="1" applyFill="1" applyBorder="1" applyAlignment="1">
      <alignment horizontal="center"/>
    </xf>
    <xf numFmtId="0" fontId="0" fillId="7" borderId="10" xfId="0" applyFill="1" applyBorder="1"/>
    <xf numFmtId="0" fontId="0" fillId="8" borderId="5" xfId="0" applyFill="1" applyBorder="1" applyProtection="1">
      <protection locked="0"/>
    </xf>
    <xf numFmtId="0" fontId="0" fillId="8" borderId="6" xfId="0" applyFill="1" applyBorder="1" applyProtection="1">
      <protection locked="0"/>
    </xf>
    <xf numFmtId="0" fontId="0" fillId="8" borderId="7" xfId="0" applyFill="1" applyBorder="1" applyProtection="1">
      <protection locked="0"/>
    </xf>
    <xf numFmtId="0" fontId="0" fillId="0" borderId="0" xfId="0" applyProtection="1">
      <protection locked="0"/>
    </xf>
    <xf numFmtId="0" fontId="0" fillId="8" borderId="8" xfId="0" applyFill="1" applyBorder="1" applyProtection="1">
      <protection locked="0"/>
    </xf>
    <xf numFmtId="0" fontId="0" fillId="8" borderId="0" xfId="0" applyFill="1" applyBorder="1" applyProtection="1">
      <protection locked="0"/>
    </xf>
    <xf numFmtId="0" fontId="0" fillId="8" borderId="9" xfId="0" applyFill="1" applyBorder="1" applyProtection="1">
      <protection locked="0"/>
    </xf>
    <xf numFmtId="0" fontId="0" fillId="8" borderId="13" xfId="0" applyFill="1" applyBorder="1" applyProtection="1">
      <protection locked="0"/>
    </xf>
    <xf numFmtId="0" fontId="5" fillId="8" borderId="4" xfId="0" applyFont="1" applyFill="1" applyBorder="1" applyAlignment="1" applyProtection="1">
      <protection locked="0"/>
    </xf>
    <xf numFmtId="0" fontId="0" fillId="8" borderId="4" xfId="0" applyFill="1" applyBorder="1" applyProtection="1">
      <protection locked="0"/>
    </xf>
    <xf numFmtId="0" fontId="14" fillId="8" borderId="4" xfId="0" applyFont="1" applyFill="1" applyBorder="1" applyAlignment="1" applyProtection="1">
      <alignment horizontal="right"/>
      <protection locked="0"/>
    </xf>
    <xf numFmtId="0" fontId="32" fillId="8" borderId="4" xfId="0" applyFont="1" applyFill="1" applyBorder="1" applyAlignment="1" applyProtection="1">
      <alignment horizontal="center" vertical="center" shrinkToFit="1"/>
      <protection locked="0"/>
    </xf>
    <xf numFmtId="0" fontId="0" fillId="8" borderId="14" xfId="0" applyFill="1" applyBorder="1" applyProtection="1">
      <protection locked="0"/>
    </xf>
    <xf numFmtId="0" fontId="0" fillId="10" borderId="8" xfId="0" applyFill="1" applyBorder="1" applyProtection="1">
      <protection locked="0"/>
    </xf>
    <xf numFmtId="0" fontId="0" fillId="10" borderId="0" xfId="0" applyFill="1" applyBorder="1" applyProtection="1">
      <protection locked="0"/>
    </xf>
    <xf numFmtId="0" fontId="0" fillId="10" borderId="9" xfId="0" applyFill="1" applyBorder="1" applyProtection="1">
      <protection locked="0"/>
    </xf>
    <xf numFmtId="0" fontId="5" fillId="10" borderId="8" xfId="0" applyFont="1" applyFill="1" applyBorder="1" applyAlignment="1" applyProtection="1">
      <alignment horizontal="center"/>
      <protection locked="0"/>
    </xf>
    <xf numFmtId="0" fontId="36" fillId="10" borderId="0" xfId="0" applyFont="1" applyFill="1" applyBorder="1" applyAlignment="1" applyProtection="1">
      <alignment horizontal="left" vertical="top" indent="1"/>
      <protection locked="0"/>
    </xf>
    <xf numFmtId="0" fontId="6" fillId="10" borderId="0" xfId="0" applyFont="1" applyFill="1" applyBorder="1" applyProtection="1">
      <protection locked="0"/>
    </xf>
    <xf numFmtId="0" fontId="9" fillId="10" borderId="8" xfId="0" applyFont="1" applyFill="1" applyBorder="1" applyAlignment="1" applyProtection="1">
      <alignment horizontal="center" vertical="center" wrapText="1"/>
      <protection locked="0"/>
    </xf>
    <xf numFmtId="0" fontId="10" fillId="10" borderId="0" xfId="0" applyFont="1" applyFill="1" applyBorder="1" applyAlignment="1" applyProtection="1">
      <alignment vertical="center"/>
      <protection locked="0"/>
    </xf>
    <xf numFmtId="0" fontId="8" fillId="10" borderId="0" xfId="0" applyFont="1" applyFill="1" applyBorder="1" applyAlignment="1" applyProtection="1">
      <alignment horizontal="center"/>
      <protection locked="0"/>
    </xf>
    <xf numFmtId="0" fontId="8" fillId="10" borderId="0" xfId="0" applyFont="1" applyFill="1" applyBorder="1" applyAlignment="1" applyProtection="1">
      <alignment horizontal="right"/>
      <protection locked="0"/>
    </xf>
    <xf numFmtId="0" fontId="9" fillId="0" borderId="8" xfId="0" applyFont="1" applyFill="1" applyBorder="1" applyAlignment="1" applyProtection="1">
      <alignment horizontal="center" vertical="center"/>
      <protection locked="0"/>
    </xf>
    <xf numFmtId="0" fontId="6" fillId="0" borderId="0" xfId="0" applyFont="1" applyFill="1" applyBorder="1" applyProtection="1">
      <protection locked="0"/>
    </xf>
    <xf numFmtId="0" fontId="6" fillId="0" borderId="0" xfId="0" applyFont="1" applyFill="1" applyBorder="1" applyAlignment="1" applyProtection="1">
      <alignment horizontal="right"/>
      <protection locked="0"/>
    </xf>
    <xf numFmtId="0" fontId="10" fillId="0" borderId="0" xfId="0" applyFont="1" applyFill="1" applyBorder="1" applyAlignment="1" applyProtection="1">
      <alignment vertical="center"/>
      <protection locked="0"/>
    </xf>
    <xf numFmtId="0" fontId="18" fillId="0" borderId="0" xfId="0" applyFont="1" applyFill="1" applyBorder="1" applyAlignment="1" applyProtection="1">
      <alignment horizontal="right" vertical="center"/>
      <protection locked="0"/>
    </xf>
    <xf numFmtId="0" fontId="0" fillId="0" borderId="9" xfId="0" applyFill="1" applyBorder="1" applyProtection="1">
      <protection locked="0"/>
    </xf>
    <xf numFmtId="0" fontId="6" fillId="0" borderId="8" xfId="0" applyFont="1" applyFill="1" applyBorder="1" applyProtection="1">
      <protection locked="0"/>
    </xf>
    <xf numFmtId="0" fontId="8" fillId="0" borderId="0" xfId="0" applyFont="1" applyFill="1" applyBorder="1" applyAlignment="1" applyProtection="1">
      <alignment horizontal="right"/>
      <protection locked="0"/>
    </xf>
    <xf numFmtId="0" fontId="6" fillId="0" borderId="0" xfId="0" applyFont="1" applyFill="1" applyBorder="1" applyAlignment="1" applyProtection="1">
      <alignment horizontal="right" vertical="top"/>
      <protection locked="0"/>
    </xf>
    <xf numFmtId="0" fontId="12" fillId="0" borderId="0" xfId="0" applyFont="1" applyFill="1" applyBorder="1" applyProtection="1">
      <protection locked="0"/>
    </xf>
    <xf numFmtId="0" fontId="0" fillId="0" borderId="0" xfId="0" applyFill="1" applyProtection="1">
      <protection locked="0"/>
    </xf>
    <xf numFmtId="0" fontId="6" fillId="0" borderId="0" xfId="0" applyFont="1" applyFill="1" applyBorder="1" applyAlignment="1" applyProtection="1">
      <alignment horizontal="left"/>
      <protection locked="0"/>
    </xf>
    <xf numFmtId="0" fontId="1" fillId="0" borderId="0" xfId="0" applyFont="1" applyProtection="1">
      <protection locked="0"/>
    </xf>
    <xf numFmtId="0" fontId="6" fillId="0" borderId="8" xfId="0" applyFont="1" applyBorder="1" applyProtection="1">
      <protection locked="0"/>
    </xf>
    <xf numFmtId="0" fontId="43" fillId="12" borderId="0" xfId="0" applyFont="1" applyFill="1" applyBorder="1" applyAlignment="1" applyProtection="1">
      <alignment vertical="center"/>
      <protection locked="0"/>
    </xf>
    <xf numFmtId="0" fontId="41" fillId="12" borderId="0" xfId="0" applyFont="1" applyFill="1" applyBorder="1" applyAlignment="1" applyProtection="1">
      <alignment vertical="center"/>
      <protection locked="0"/>
    </xf>
    <xf numFmtId="0" fontId="34" fillId="12" borderId="0" xfId="0" applyFont="1" applyFill="1" applyBorder="1" applyProtection="1">
      <protection locked="0"/>
    </xf>
    <xf numFmtId="0" fontId="42" fillId="12" borderId="0" xfId="0" applyFont="1" applyFill="1" applyBorder="1" applyProtection="1">
      <protection locked="0"/>
    </xf>
    <xf numFmtId="0" fontId="6" fillId="0" borderId="0" xfId="0" applyFont="1" applyBorder="1" applyProtection="1">
      <protection locked="0"/>
    </xf>
    <xf numFmtId="0" fontId="0" fillId="0" borderId="9" xfId="0" applyBorder="1" applyProtection="1">
      <protection locked="0"/>
    </xf>
    <xf numFmtId="0" fontId="20" fillId="10" borderId="0" xfId="0" applyFont="1" applyFill="1" applyBorder="1" applyAlignment="1" applyProtection="1">
      <alignment horizontal="left" vertical="center"/>
      <protection locked="0"/>
    </xf>
    <xf numFmtId="0" fontId="20" fillId="10" borderId="0" xfId="0" applyFont="1" applyFill="1" applyBorder="1" applyAlignment="1" applyProtection="1">
      <alignment vertical="center"/>
      <protection locked="0"/>
    </xf>
    <xf numFmtId="0" fontId="20" fillId="10" borderId="0" xfId="0" applyFont="1" applyFill="1" applyBorder="1" applyAlignment="1" applyProtection="1">
      <alignment horizontal="right" vertical="center"/>
      <protection locked="0"/>
    </xf>
    <xf numFmtId="0" fontId="20" fillId="10" borderId="0" xfId="0" applyFont="1" applyFill="1" applyBorder="1" applyAlignment="1" applyProtection="1">
      <alignment horizontal="center" vertical="center"/>
      <protection locked="0"/>
    </xf>
    <xf numFmtId="0" fontId="8" fillId="10" borderId="0" xfId="0" applyFont="1" applyFill="1" applyBorder="1" applyProtection="1">
      <protection locked="0"/>
    </xf>
    <xf numFmtId="0" fontId="30" fillId="10" borderId="0" xfId="0" applyFont="1" applyFill="1" applyBorder="1" applyAlignment="1" applyProtection="1">
      <alignment horizontal="center" vertical="center"/>
      <protection locked="0"/>
    </xf>
    <xf numFmtId="0" fontId="11" fillId="0" borderId="8" xfId="0" applyFont="1" applyBorder="1" applyAlignment="1" applyProtection="1">
      <alignment horizontal="left"/>
      <protection locked="0"/>
    </xf>
    <xf numFmtId="0" fontId="17" fillId="4" borderId="0" xfId="0" applyFont="1" applyFill="1" applyBorder="1" applyProtection="1">
      <protection locked="0"/>
    </xf>
    <xf numFmtId="0" fontId="12" fillId="4" borderId="0" xfId="0" applyFont="1" applyFill="1" applyBorder="1" applyProtection="1">
      <protection locked="0"/>
    </xf>
    <xf numFmtId="0" fontId="12" fillId="0" borderId="0" xfId="0" applyFont="1" applyBorder="1" applyProtection="1">
      <protection locked="0"/>
    </xf>
    <xf numFmtId="0" fontId="0" fillId="0" borderId="0" xfId="0" applyBorder="1" applyProtection="1">
      <protection locked="0"/>
    </xf>
    <xf numFmtId="0" fontId="0" fillId="0" borderId="8" xfId="0" applyBorder="1" applyProtection="1">
      <protection locked="0"/>
    </xf>
    <xf numFmtId="0" fontId="15" fillId="0" borderId="0" xfId="0" applyFont="1" applyFill="1" applyBorder="1" applyProtection="1">
      <protection locked="0"/>
    </xf>
    <xf numFmtId="0" fontId="15" fillId="0" borderId="9" xfId="0" applyFont="1" applyFill="1" applyBorder="1" applyProtection="1">
      <protection locked="0"/>
    </xf>
    <xf numFmtId="0" fontId="7" fillId="0" borderId="9" xfId="0" applyFont="1" applyBorder="1" applyAlignment="1" applyProtection="1">
      <alignment horizontal="right"/>
      <protection locked="0"/>
    </xf>
    <xf numFmtId="0" fontId="7" fillId="0" borderId="9" xfId="0" applyFont="1" applyBorder="1" applyAlignment="1" applyProtection="1">
      <alignment horizontal="right" vertical="center"/>
      <protection locked="0"/>
    </xf>
    <xf numFmtId="0" fontId="3" fillId="10" borderId="0" xfId="0" applyFont="1" applyFill="1" applyBorder="1" applyProtection="1">
      <protection locked="0"/>
    </xf>
    <xf numFmtId="0" fontId="34" fillId="10" borderId="16" xfId="0" applyFont="1" applyFill="1" applyBorder="1" applyAlignment="1" applyProtection="1">
      <alignment horizontal="right" vertical="center"/>
      <protection locked="0"/>
    </xf>
    <xf numFmtId="0" fontId="19" fillId="0" borderId="15" xfId="0" applyFont="1" applyBorder="1" applyAlignment="1" applyProtection="1">
      <alignment vertical="center" wrapText="1"/>
      <protection locked="0"/>
    </xf>
    <xf numFmtId="0" fontId="22" fillId="10" borderId="0" xfId="0" applyFont="1" applyFill="1" applyBorder="1" applyProtection="1">
      <protection locked="0"/>
    </xf>
    <xf numFmtId="0" fontId="21" fillId="10" borderId="0" xfId="0" applyFont="1" applyFill="1" applyBorder="1" applyProtection="1">
      <protection locked="0"/>
    </xf>
    <xf numFmtId="0" fontId="21" fillId="0" borderId="9" xfId="0" applyFont="1" applyFill="1" applyBorder="1" applyProtection="1">
      <protection locked="0"/>
    </xf>
    <xf numFmtId="164" fontId="6" fillId="10" borderId="0" xfId="0" applyNumberFormat="1" applyFont="1" applyFill="1" applyBorder="1" applyAlignment="1" applyProtection="1">
      <alignment vertical="center"/>
      <protection locked="0"/>
    </xf>
    <xf numFmtId="0" fontId="0" fillId="10" borderId="0" xfId="0" applyFill="1" applyProtection="1">
      <protection locked="0"/>
    </xf>
    <xf numFmtId="164" fontId="6" fillId="5" borderId="9" xfId="0" applyNumberFormat="1" applyFont="1" applyFill="1" applyBorder="1" applyAlignment="1" applyProtection="1">
      <alignment vertical="center"/>
      <protection locked="0"/>
    </xf>
    <xf numFmtId="0" fontId="0" fillId="10" borderId="0" xfId="0" applyFill="1" applyBorder="1" applyAlignment="1" applyProtection="1">
      <alignment horizontal="right"/>
      <protection locked="0"/>
    </xf>
    <xf numFmtId="0" fontId="0" fillId="5" borderId="9" xfId="0" applyFill="1" applyBorder="1" applyProtection="1">
      <protection locked="0"/>
    </xf>
    <xf numFmtId="0" fontId="0" fillId="0" borderId="10" xfId="0" applyBorder="1" applyProtection="1">
      <protection locked="0"/>
    </xf>
    <xf numFmtId="0" fontId="0" fillId="0" borderId="11" xfId="0" applyBorder="1" applyProtection="1">
      <protection locked="0"/>
    </xf>
    <xf numFmtId="0" fontId="0" fillId="0" borderId="12" xfId="0" applyBorder="1" applyProtection="1">
      <protection locked="0"/>
    </xf>
    <xf numFmtId="0" fontId="6" fillId="0" borderId="0" xfId="0" applyFont="1" applyProtection="1">
      <protection locked="0"/>
    </xf>
    <xf numFmtId="0" fontId="13" fillId="0" borderId="0" xfId="0" applyFont="1" applyFill="1" applyBorder="1" applyProtection="1"/>
    <xf numFmtId="0" fontId="6" fillId="0" borderId="0" xfId="0" applyFont="1" applyFill="1" applyBorder="1" applyAlignment="1" applyProtection="1">
      <alignment horizontal="left"/>
    </xf>
    <xf numFmtId="0" fontId="43" fillId="12" borderId="0" xfId="0" applyFont="1" applyFill="1" applyBorder="1" applyAlignment="1" applyProtection="1">
      <alignment vertical="center"/>
    </xf>
    <xf numFmtId="0" fontId="20" fillId="10" borderId="0" xfId="0" applyFont="1" applyFill="1" applyBorder="1" applyAlignment="1" applyProtection="1">
      <alignment horizontal="right" vertical="center"/>
    </xf>
    <xf numFmtId="0" fontId="8" fillId="10" borderId="0" xfId="0" applyFont="1" applyFill="1" applyBorder="1" applyAlignment="1" applyProtection="1">
      <alignment horizontal="left" vertical="center"/>
    </xf>
    <xf numFmtId="0" fontId="6" fillId="10" borderId="0" xfId="0" applyFont="1" applyFill="1" applyBorder="1" applyAlignment="1" applyProtection="1">
      <alignment horizontal="right" vertical="center" shrinkToFit="1"/>
    </xf>
    <xf numFmtId="0" fontId="12" fillId="10" borderId="0" xfId="0" applyFont="1" applyFill="1" applyBorder="1" applyAlignment="1" applyProtection="1">
      <alignment horizontal="center" vertical="center"/>
    </xf>
    <xf numFmtId="0" fontId="8" fillId="10" borderId="0" xfId="0" applyFont="1" applyFill="1" applyBorder="1" applyAlignment="1" applyProtection="1">
      <alignment horizontal="center" vertical="center"/>
    </xf>
    <xf numFmtId="0" fontId="31" fillId="10" borderId="0" xfId="0" applyFont="1" applyFill="1" applyBorder="1" applyAlignment="1" applyProtection="1">
      <alignment horizontal="right" vertical="center"/>
    </xf>
    <xf numFmtId="0" fontId="13" fillId="10" borderId="0" xfId="0" applyFont="1" applyFill="1" applyBorder="1" applyAlignment="1" applyProtection="1">
      <alignment horizontal="left" vertical="center"/>
    </xf>
    <xf numFmtId="0" fontId="12" fillId="10" borderId="0" xfId="0" applyFont="1" applyFill="1" applyBorder="1" applyAlignment="1" applyProtection="1">
      <alignment horizontal="left" vertical="center"/>
    </xf>
    <xf numFmtId="0" fontId="17" fillId="4" borderId="0" xfId="0" applyFont="1" applyFill="1" applyBorder="1" applyProtection="1"/>
    <xf numFmtId="0" fontId="35" fillId="10" borderId="0" xfId="0" applyFont="1" applyFill="1" applyBorder="1" applyAlignment="1" applyProtection="1">
      <alignment horizontal="right"/>
    </xf>
    <xf numFmtId="164" fontId="11" fillId="10" borderId="0" xfId="0" applyNumberFormat="1" applyFont="1" applyFill="1" applyBorder="1" applyAlignment="1" applyProtection="1">
      <alignment horizontal="right" vertical="center"/>
    </xf>
    <xf numFmtId="164" fontId="6" fillId="10" borderId="0" xfId="0" applyNumberFormat="1" applyFont="1" applyFill="1" applyBorder="1" applyAlignment="1" applyProtection="1">
      <alignment vertical="center"/>
    </xf>
    <xf numFmtId="0" fontId="0" fillId="13" borderId="0" xfId="0" applyFill="1"/>
    <xf numFmtId="0" fontId="0" fillId="13" borderId="0" xfId="0" applyFill="1" applyBorder="1" applyAlignment="1">
      <alignment horizontal="right"/>
    </xf>
    <xf numFmtId="0" fontId="16" fillId="10" borderId="1" xfId="0" applyFont="1" applyFill="1" applyBorder="1" applyAlignment="1" applyProtection="1">
      <alignment horizontal="center" vertical="center" shrinkToFit="1"/>
      <protection locked="0"/>
    </xf>
    <xf numFmtId="0" fontId="16" fillId="10" borderId="2" xfId="0" applyFont="1" applyFill="1" applyBorder="1" applyAlignment="1" applyProtection="1">
      <alignment horizontal="center" vertical="center" shrinkToFit="1"/>
      <protection locked="0"/>
    </xf>
    <xf numFmtId="0" fontId="16" fillId="10" borderId="3" xfId="0" applyFont="1" applyFill="1" applyBorder="1" applyAlignment="1" applyProtection="1">
      <alignment horizontal="center" vertical="center" shrinkToFit="1"/>
      <protection locked="0"/>
    </xf>
    <xf numFmtId="0" fontId="37" fillId="8" borderId="6" xfId="0" applyFont="1" applyFill="1" applyBorder="1" applyAlignment="1" applyProtection="1">
      <alignment horizontal="center" vertical="center"/>
      <protection locked="0"/>
    </xf>
    <xf numFmtId="0" fontId="37" fillId="8" borderId="0" xfId="0" applyFont="1" applyFill="1" applyBorder="1" applyAlignment="1" applyProtection="1">
      <alignment horizontal="center" vertical="center"/>
      <protection locked="0"/>
    </xf>
    <xf numFmtId="0" fontId="44" fillId="12" borderId="0" xfId="0" applyFont="1" applyFill="1" applyBorder="1" applyAlignment="1" applyProtection="1">
      <alignment horizontal="left" vertical="center" shrinkToFit="1"/>
    </xf>
    <xf numFmtId="0" fontId="32" fillId="8" borderId="4" xfId="0" applyFont="1" applyFill="1" applyBorder="1" applyAlignment="1" applyProtection="1">
      <alignment horizontal="center" vertical="center" shrinkToFit="1"/>
      <protection locked="0"/>
    </xf>
    <xf numFmtId="0" fontId="33" fillId="0" borderId="1" xfId="0" applyFont="1" applyFill="1" applyBorder="1" applyAlignment="1" applyProtection="1">
      <alignment horizontal="center" vertical="center"/>
      <protection locked="0"/>
    </xf>
    <xf numFmtId="0" fontId="33" fillId="0" borderId="3" xfId="0" applyFont="1" applyFill="1" applyBorder="1" applyAlignment="1" applyProtection="1">
      <alignment horizontal="center" vertical="center"/>
      <protection locked="0"/>
    </xf>
    <xf numFmtId="0" fontId="13" fillId="0" borderId="0" xfId="0" applyFont="1" applyFill="1" applyBorder="1" applyAlignment="1" applyProtection="1">
      <alignment horizontal="center"/>
    </xf>
    <xf numFmtId="0" fontId="0" fillId="10" borderId="0" xfId="0" applyFill="1" applyAlignment="1">
      <alignment horizontal="center"/>
    </xf>
  </cellXfs>
  <cellStyles count="3">
    <cellStyle name="Hyperlink" xfId="2" builtinId="8"/>
    <cellStyle name="Normal" xfId="0" builtinId="0"/>
    <cellStyle name="Percent" xfId="1" builtinId="5"/>
  </cellStyles>
  <dxfs count="94"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rgb="FF000000"/>
          <bgColor auto="1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indexed="65"/>
        </patternFill>
      </fill>
      <alignment horizontal="general" vertical="bottom" textRotation="0" wrapText="1" indent="0" justifyLastLine="0" shrinkToFit="0" readingOrder="0"/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indexed="65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ill>
        <patternFill patternType="none">
          <fgColor indexed="64"/>
          <bgColor auto="1"/>
        </patternFill>
      </fill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family val="2"/>
        <scheme val="minor"/>
      </font>
      <fill>
        <patternFill patternType="none">
          <fgColor indexed="64"/>
          <bgColor auto="1"/>
        </patternFill>
      </fill>
    </dxf>
    <dxf>
      <font>
        <b/>
        <i val="0"/>
        <color theme="7" tint="-0.24994659260841701"/>
      </font>
    </dxf>
    <dxf>
      <font>
        <color theme="0" tint="-0.34998626667073579"/>
      </font>
    </dxf>
    <dxf>
      <font>
        <color theme="7"/>
      </font>
      <fill>
        <patternFill patternType="none">
          <bgColor auto="1"/>
        </patternFill>
      </fill>
    </dxf>
    <dxf>
      <font>
        <color theme="5" tint="-0.24994659260841701"/>
      </font>
      <fill>
        <patternFill patternType="none">
          <bgColor auto="1"/>
        </patternFill>
      </fill>
    </dxf>
    <dxf>
      <font>
        <color theme="0" tint="-0.34998626667073579"/>
      </font>
      <fill>
        <patternFill patternType="none">
          <bgColor auto="1"/>
        </patternFill>
      </fill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  <fill>
        <patternFill patternType="solid">
          <fgColor indexed="64"/>
          <bgColor theme="0"/>
        </patternFill>
      </fill>
    </dxf>
    <dxf>
      <fill>
        <patternFill patternType="solid">
          <fgColor indexed="64"/>
          <bgColor theme="0"/>
        </patternFill>
      </fill>
    </dxf>
    <dxf>
      <numFmt numFmtId="0" formatCode="General"/>
      <fill>
        <patternFill patternType="solid">
          <fgColor indexed="64"/>
          <bgColor theme="0"/>
        </patternFill>
      </fill>
    </dxf>
    <dxf>
      <numFmt numFmtId="13" formatCode="0%"/>
      <fill>
        <patternFill patternType="solid">
          <fgColor indexed="64"/>
          <bgColor theme="0"/>
        </patternFill>
      </fill>
    </dxf>
    <dxf>
      <numFmt numFmtId="0" formatCode="General"/>
      <fill>
        <patternFill patternType="solid">
          <fgColor indexed="64"/>
          <bgColor theme="0"/>
        </patternFill>
      </fill>
    </dxf>
    <dxf>
      <numFmt numFmtId="0" formatCode="General"/>
      <fill>
        <patternFill patternType="solid">
          <fgColor indexed="64"/>
          <bgColor theme="0"/>
        </patternFill>
      </fill>
    </dxf>
    <dxf>
      <numFmt numFmtId="0" formatCode="General"/>
      <fill>
        <patternFill patternType="solid">
          <fgColor indexed="64"/>
          <bgColor theme="0"/>
        </patternFill>
      </fill>
    </dxf>
    <dxf>
      <numFmt numFmtId="0" formatCode="General"/>
      <fill>
        <patternFill patternType="solid">
          <fgColor indexed="64"/>
          <bgColor theme="0"/>
        </patternFill>
      </fill>
    </dxf>
    <dxf>
      <numFmt numFmtId="0" formatCode="General"/>
      <fill>
        <patternFill patternType="solid">
          <fgColor indexed="64"/>
          <bgColor theme="0"/>
        </patternFill>
      </fill>
    </dxf>
    <dxf>
      <numFmt numFmtId="0" formatCode="General"/>
      <fill>
        <patternFill patternType="solid">
          <fgColor indexed="64"/>
          <bgColor theme="0"/>
        </patternFill>
      </fill>
    </dxf>
    <dxf>
      <numFmt numFmtId="0" formatCode="General"/>
      <fill>
        <patternFill patternType="solid">
          <fgColor indexed="64"/>
          <bgColor theme="0"/>
        </patternFill>
      </fill>
    </dxf>
    <dxf>
      <numFmt numFmtId="0" formatCode="General"/>
      <fill>
        <patternFill patternType="solid">
          <fgColor indexed="64"/>
          <bgColor theme="0"/>
        </patternFill>
      </fill>
    </dxf>
    <dxf>
      <numFmt numFmtId="0" formatCode="General"/>
      <fill>
        <patternFill patternType="solid">
          <fgColor indexed="64"/>
          <bgColor theme="0"/>
        </patternFill>
      </fill>
    </dxf>
    <dxf>
      <numFmt numFmtId="0" formatCode="General"/>
      <fill>
        <patternFill patternType="solid">
          <fgColor indexed="64"/>
          <bgColor theme="0"/>
        </patternFill>
      </fill>
    </dxf>
    <dxf>
      <numFmt numFmtId="0" formatCode="General"/>
      <fill>
        <patternFill patternType="solid">
          <fgColor indexed="64"/>
          <bgColor theme="0"/>
        </patternFill>
      </fill>
    </dxf>
    <dxf>
      <numFmt numFmtId="0" formatCode="General"/>
      <fill>
        <patternFill patternType="solid">
          <fgColor indexed="64"/>
          <bgColor theme="0"/>
        </patternFill>
      </fill>
    </dxf>
    <dxf>
      <numFmt numFmtId="0" formatCode="General"/>
      <fill>
        <patternFill patternType="solid">
          <fgColor indexed="64"/>
          <bgColor theme="0"/>
        </patternFill>
      </fill>
    </dxf>
    <dxf>
      <numFmt numFmtId="0" formatCode="General"/>
      <fill>
        <patternFill patternType="solid">
          <fgColor indexed="64"/>
          <bgColor theme="0"/>
        </patternFill>
      </fill>
    </dxf>
    <dxf>
      <fill>
        <patternFill patternType="solid">
          <fgColor indexed="64"/>
          <bgColor theme="0"/>
        </patternFill>
      </fill>
    </dxf>
    <dxf>
      <fill>
        <patternFill patternType="solid">
          <fgColor indexed="64"/>
          <bgColor theme="0"/>
        </patternFill>
      </fill>
    </dxf>
    <dxf>
      <fill>
        <patternFill patternType="solid">
          <fgColor indexed="64"/>
          <bgColor theme="0"/>
        </patternFill>
      </fill>
    </dxf>
    <dxf>
      <numFmt numFmtId="0" formatCode="General"/>
      <fill>
        <patternFill patternType="solid">
          <fgColor indexed="64"/>
          <bgColor theme="0"/>
        </patternFill>
      </fill>
    </dxf>
    <dxf>
      <border diagonalUp="0" diagonalDown="0">
        <left style="thin">
          <color indexed="64"/>
        </left>
        <right style="thin">
          <color indexed="64"/>
        </right>
        <top style="thin">
          <color indexed="64"/>
        </top>
        <bottom style="thin">
          <color indexed="64"/>
        </bottom>
      </border>
    </dxf>
    <dxf>
      <fill>
        <patternFill patternType="solid">
          <fgColor indexed="64"/>
          <bgColor theme="0"/>
        </patternFill>
      </fill>
    </dxf>
    <dxf>
      <font>
        <b/>
        <strike val="0"/>
        <outline val="0"/>
        <shadow val="0"/>
        <u val="none"/>
        <vertAlign val="baseline"/>
        <sz val="11"/>
        <color theme="3"/>
        <name val="Calibri"/>
        <family val="2"/>
        <scheme val="minor"/>
      </font>
      <fill>
        <patternFill patternType="solid">
          <fgColor indexed="64"/>
          <bgColor theme="0"/>
        </patternFill>
      </fill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Trebuchet MS"/>
        <family val="2"/>
        <scheme val="none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Trebuchet MS"/>
        <family val="2"/>
        <scheme val="none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Trebuchet MS"/>
        <family val="2"/>
        <scheme val="none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Trebuchet MS"/>
        <family val="2"/>
        <scheme val="none"/>
      </font>
      <alignment horizontal="general" vertical="bottom" textRotation="0" wrapText="0" indent="0" justifyLastLine="0" shrinkToFit="0" readingOrder="0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1"/>
        <color rgb="FF000000"/>
        <name val="Trebuchet MS"/>
        <family val="2"/>
        <scheme val="none"/>
      </font>
      <alignment horizontal="general" vertical="bottom" textRotation="0" wrapText="0" indent="0" justifyLastLine="0" shrinkToFit="0" readingOrder="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font>
        <b/>
        <i val="0"/>
        <color theme="5" tint="-0.24994659260841701"/>
      </font>
    </dxf>
    <dxf>
      <font>
        <b/>
        <i val="0"/>
        <color theme="0" tint="-0.34998626667073579"/>
      </font>
    </dxf>
    <dxf>
      <font>
        <b/>
        <i val="0"/>
        <color theme="7" tint="-0.24994659260841701"/>
      </font>
    </dxf>
    <dxf>
      <border>
        <left/>
        <right/>
        <top/>
        <bottom style="hair">
          <color auto="1"/>
        </bottom>
        <vertical/>
        <horizontal/>
      </border>
    </dxf>
    <dxf>
      <font>
        <color rgb="FF00B050"/>
      </font>
      <fill>
        <patternFill>
          <bgColor rgb="FF00B050"/>
        </patternFill>
      </fill>
    </dxf>
    <dxf>
      <font>
        <color rgb="FF00B050"/>
      </font>
      <fill>
        <patternFill>
          <bgColor rgb="FF00B050"/>
        </patternFill>
      </fill>
    </dxf>
  </dxfs>
  <tableStyles count="0" defaultTableStyle="TableStyleMedium2" defaultPivotStyle="PivotStyleLight16"/>
  <colors>
    <mruColors>
      <color rgb="FF00CC66"/>
      <color rgb="FF89FFBE"/>
      <color rgb="FFCC0099"/>
      <color rgb="FF3BCCFF"/>
      <color rgb="FFFF00FF"/>
      <color rgb="FFFF0066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styles" Target="styles.xml"/><Relationship Id="rId5" Type="http://schemas.openxmlformats.org/officeDocument/2006/relationships/worksheet" Target="worksheets/sheet5.xml"/><Relationship Id="rId10" Type="http://schemas.openxmlformats.org/officeDocument/2006/relationships/theme" Target="theme/theme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3.5531346714728261E-2"/>
          <c:y val="6.0752559480630561E-2"/>
          <c:w val="0.95076880470929603"/>
          <c:h val="0.8780618295238809"/>
        </c:manualLayout>
      </c:layout>
      <c:barChart>
        <c:barDir val="bar"/>
        <c:grouping val="clustered"/>
        <c:varyColors val="0"/>
        <c:ser>
          <c:idx val="1"/>
          <c:order val="0"/>
          <c:spPr>
            <a:solidFill>
              <a:srgbClr val="00CC66"/>
            </a:solidFill>
          </c:spPr>
          <c:invertIfNegative val="0"/>
          <c:dLbls>
            <c:numFmt formatCode="0%" sourceLinked="0"/>
            <c:spPr>
              <a:noFill/>
              <a:ln>
                <a:noFill/>
              </a:ln>
              <a:effectLst/>
            </c:spPr>
            <c:txPr>
              <a:bodyPr wrap="none" lIns="38100" tIns="19050" rIns="38100" bIns="19050" anchor="ctr">
                <a:spAutoFit/>
              </a:bodyPr>
              <a:lstStyle/>
              <a:p>
                <a:pPr>
                  <a:defRPr sz="1200">
                    <a:latin typeface="Trebuchet MS" panose="020B0603020202020204" pitchFamily="34" charset="0"/>
                  </a:defRPr>
                </a:pPr>
                <a:endParaRPr lang="en-US"/>
              </a:p>
            </c:txPr>
            <c:dLblPos val="inEnd"/>
            <c:showLegendKey val="0"/>
            <c:showVal val="1"/>
            <c:showCatName val="1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pPr xmlns:c15="http://schemas.microsoft.com/office/drawing/2012/chart">
                  <a:prstGeom prst="rect">
                    <a:avLst/>
                  </a:prstGeom>
                </c15:spPr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H!$L$33:$L$40</c:f>
              <c:strCache>
                <c:ptCount val="8"/>
                <c:pt idx="0">
                  <c:v>Athletics</c:v>
                </c:pt>
                <c:pt idx="1">
                  <c:v>Swimming</c:v>
                </c:pt>
                <c:pt idx="2">
                  <c:v>Wrestling</c:v>
                </c:pt>
                <c:pt idx="3">
                  <c:v>Judo</c:v>
                </c:pt>
                <c:pt idx="4">
                  <c:v>Boxing</c:v>
                </c:pt>
                <c:pt idx="5">
                  <c:v>Shooting</c:v>
                </c:pt>
                <c:pt idx="6">
                  <c:v>Weightlifting</c:v>
                </c:pt>
                <c:pt idx="7">
                  <c:v>Artistic Gymnastics</c:v>
                </c:pt>
              </c:strCache>
            </c:strRef>
          </c:cat>
          <c:val>
            <c:numRef>
              <c:f>H!$M$33:$M$40</c:f>
              <c:numCache>
                <c:formatCode>0%</c:formatCode>
                <c:ptCount val="8"/>
                <c:pt idx="0">
                  <c:v>0.14476386036960986</c:v>
                </c:pt>
                <c:pt idx="1">
                  <c:v>0.10061601642710473</c:v>
                </c:pt>
                <c:pt idx="2">
                  <c:v>7.3921971252566734E-2</c:v>
                </c:pt>
                <c:pt idx="3">
                  <c:v>5.7494866529774126E-2</c:v>
                </c:pt>
                <c:pt idx="4">
                  <c:v>5.3388090349075976E-2</c:v>
                </c:pt>
                <c:pt idx="5">
                  <c:v>4.6201232032854207E-2</c:v>
                </c:pt>
                <c:pt idx="6">
                  <c:v>4.6201232032854207E-2</c:v>
                </c:pt>
                <c:pt idx="7">
                  <c:v>4.3121149897330596E-2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035-4BC0-8805-83CFED24875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5"/>
        <c:axId val="415478176"/>
        <c:axId val="415481784"/>
      </c:barChart>
      <c:catAx>
        <c:axId val="415478176"/>
        <c:scaling>
          <c:orientation val="maxMin"/>
        </c:scaling>
        <c:delete val="1"/>
        <c:axPos val="l"/>
        <c:numFmt formatCode="General" sourceLinked="1"/>
        <c:majorTickMark val="out"/>
        <c:minorTickMark val="none"/>
        <c:tickLblPos val="nextTo"/>
        <c:crossAx val="415481784"/>
        <c:crosses val="autoZero"/>
        <c:auto val="1"/>
        <c:lblAlgn val="ctr"/>
        <c:lblOffset val="100"/>
        <c:noMultiLvlLbl val="0"/>
      </c:catAx>
      <c:valAx>
        <c:axId val="415481784"/>
        <c:scaling>
          <c:orientation val="minMax"/>
          <c:max val="1"/>
        </c:scaling>
        <c:delete val="0"/>
        <c:axPos val="t"/>
        <c:majorGridlines>
          <c:spPr>
            <a:ln w="9525" cap="flat" cmpd="sng" algn="ctr">
              <a:noFill/>
              <a:round/>
            </a:ln>
            <a:effectLst/>
          </c:spPr>
        </c:majorGridlines>
        <c:numFmt formatCode="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415478176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bg1"/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trlProps/ctrlProp1.xml><?xml version="1.0" encoding="utf-8"?>
<formControlPr xmlns="http://schemas.microsoft.com/office/spreadsheetml/2009/9/main" objectType="Radio" checked="Checked" firstButton="1" fmlaLink="H!$J$2" lockText="1" noThreeD="1"/>
</file>

<file path=xl/ctrlProps/ctrlProp2.xml><?xml version="1.0" encoding="utf-8"?>
<formControlPr xmlns="http://schemas.microsoft.com/office/spreadsheetml/2009/9/main" objectType="Radio" lockText="1" noThreeD="1"/>
</file>

<file path=xl/ctrlProps/ctrlProp3.xml><?xml version="1.0" encoding="utf-8"?>
<formControlPr xmlns="http://schemas.microsoft.com/office/spreadsheetml/2009/9/main" objectType="Radio" lockText="1" noThreeD="1"/>
</file>

<file path=xl/ctrlProps/ctrlProp4.xml><?xml version="1.0" encoding="utf-8"?>
<formControlPr xmlns="http://schemas.microsoft.com/office/spreadsheetml/2009/9/main" objectType="Scroll" dx="22" fmlaLink="H!$F$13" max="100" page="10" val="0"/>
</file>

<file path=xl/ctrlProps/ctrlProp5.xml><?xml version="1.0" encoding="utf-8"?>
<formControlPr xmlns="http://schemas.microsoft.com/office/spreadsheetml/2009/9/main" objectType="Scroll" dx="22" fmlaLink="H!$I$32" max="100" page="10" val="0"/>
</file>

<file path=xl/ctrlProps/ctrlProp6.xml><?xml version="1.0" encoding="utf-8"?>
<formControlPr xmlns="http://schemas.microsoft.com/office/spreadsheetml/2009/9/main" objectType="Scroll" dx="22" fmlaLink="H!$Q$11" max="100" page="10" val="0"/>
</file>

<file path=xl/drawings/_rels/drawing1.xml.rels><?xml version="1.0" encoding="UTF-8" standalone="yes"?>
<Relationships xmlns="http://schemas.openxmlformats.org/package/2006/relationships"><Relationship Id="rId3" Type="http://schemas.openxmlformats.org/officeDocument/2006/relationships/image" Target="../media/image2.png"/><Relationship Id="rId2" Type="http://schemas.openxmlformats.org/officeDocument/2006/relationships/hyperlink" Target="#'2016_RIO_OLYMPICS_DASHBOARD'!A1"/><Relationship Id="rId1" Type="http://schemas.openxmlformats.org/officeDocument/2006/relationships/image" Target="../media/image1.png"/><Relationship Id="rId5" Type="http://schemas.openxmlformats.org/officeDocument/2006/relationships/image" Target="../media/image3.png"/><Relationship Id="rId4" Type="http://schemas.openxmlformats.org/officeDocument/2006/relationships/hyperlink" Target="https://indzara.com/" TargetMode="External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image" Target="../media/image11.emf"/><Relationship Id="rId13" Type="http://schemas.openxmlformats.org/officeDocument/2006/relationships/image" Target="../media/image15.emf"/><Relationship Id="rId3" Type="http://schemas.openxmlformats.org/officeDocument/2006/relationships/image" Target="../media/image6.emf"/><Relationship Id="rId7" Type="http://schemas.openxmlformats.org/officeDocument/2006/relationships/image" Target="../media/image10.emf"/><Relationship Id="rId12" Type="http://schemas.openxmlformats.org/officeDocument/2006/relationships/image" Target="../media/image14.emf"/><Relationship Id="rId2" Type="http://schemas.openxmlformats.org/officeDocument/2006/relationships/image" Target="../media/image5.emf"/><Relationship Id="rId1" Type="http://schemas.openxmlformats.org/officeDocument/2006/relationships/image" Target="../media/image4.emf"/><Relationship Id="rId6" Type="http://schemas.openxmlformats.org/officeDocument/2006/relationships/image" Target="../media/image9.emf"/><Relationship Id="rId11" Type="http://schemas.openxmlformats.org/officeDocument/2006/relationships/chart" Target="../charts/chart1.xml"/><Relationship Id="rId5" Type="http://schemas.openxmlformats.org/officeDocument/2006/relationships/image" Target="../media/image8.emf"/><Relationship Id="rId10" Type="http://schemas.openxmlformats.org/officeDocument/2006/relationships/image" Target="../media/image13.emf"/><Relationship Id="rId4" Type="http://schemas.openxmlformats.org/officeDocument/2006/relationships/image" Target="../media/image7.emf"/><Relationship Id="rId9" Type="http://schemas.openxmlformats.org/officeDocument/2006/relationships/image" Target="../media/image12.emf"/></Relationships>
</file>

<file path=xl/drawings/_rels/drawing3.xml.rels><?xml version="1.0" encoding="UTF-8" standalone="yes"?>
<Relationships xmlns="http://schemas.openxmlformats.org/package/2006/relationships"><Relationship Id="rId117" Type="http://schemas.openxmlformats.org/officeDocument/2006/relationships/image" Target="../media/image144.png"/><Relationship Id="rId21" Type="http://schemas.openxmlformats.org/officeDocument/2006/relationships/image" Target="../media/image48.png"/><Relationship Id="rId42" Type="http://schemas.openxmlformats.org/officeDocument/2006/relationships/image" Target="../media/image69.png"/><Relationship Id="rId63" Type="http://schemas.openxmlformats.org/officeDocument/2006/relationships/image" Target="../media/image90.png"/><Relationship Id="rId84" Type="http://schemas.openxmlformats.org/officeDocument/2006/relationships/image" Target="../media/image111.png"/><Relationship Id="rId138" Type="http://schemas.openxmlformats.org/officeDocument/2006/relationships/image" Target="../media/image165.png"/><Relationship Id="rId159" Type="http://schemas.openxmlformats.org/officeDocument/2006/relationships/image" Target="../media/image186.png"/><Relationship Id="rId170" Type="http://schemas.openxmlformats.org/officeDocument/2006/relationships/image" Target="../media/image197.png"/><Relationship Id="rId191" Type="http://schemas.openxmlformats.org/officeDocument/2006/relationships/image" Target="../media/image218.png"/><Relationship Id="rId205" Type="http://schemas.openxmlformats.org/officeDocument/2006/relationships/image" Target="../media/image232.png"/><Relationship Id="rId16" Type="http://schemas.openxmlformats.org/officeDocument/2006/relationships/image" Target="../media/image43.png"/><Relationship Id="rId107" Type="http://schemas.openxmlformats.org/officeDocument/2006/relationships/image" Target="../media/image134.png"/><Relationship Id="rId11" Type="http://schemas.openxmlformats.org/officeDocument/2006/relationships/image" Target="../media/image38.png"/><Relationship Id="rId32" Type="http://schemas.openxmlformats.org/officeDocument/2006/relationships/image" Target="../media/image59.png"/><Relationship Id="rId37" Type="http://schemas.openxmlformats.org/officeDocument/2006/relationships/image" Target="../media/image64.png"/><Relationship Id="rId53" Type="http://schemas.openxmlformats.org/officeDocument/2006/relationships/image" Target="../media/image80.png"/><Relationship Id="rId58" Type="http://schemas.openxmlformats.org/officeDocument/2006/relationships/image" Target="../media/image85.png"/><Relationship Id="rId74" Type="http://schemas.openxmlformats.org/officeDocument/2006/relationships/image" Target="../media/image101.png"/><Relationship Id="rId79" Type="http://schemas.openxmlformats.org/officeDocument/2006/relationships/image" Target="../media/image106.png"/><Relationship Id="rId102" Type="http://schemas.openxmlformats.org/officeDocument/2006/relationships/image" Target="../media/image129.png"/><Relationship Id="rId123" Type="http://schemas.openxmlformats.org/officeDocument/2006/relationships/image" Target="../media/image150.png"/><Relationship Id="rId128" Type="http://schemas.openxmlformats.org/officeDocument/2006/relationships/image" Target="../media/image155.png"/><Relationship Id="rId144" Type="http://schemas.openxmlformats.org/officeDocument/2006/relationships/image" Target="../media/image171.png"/><Relationship Id="rId149" Type="http://schemas.openxmlformats.org/officeDocument/2006/relationships/image" Target="../media/image176.png"/><Relationship Id="rId5" Type="http://schemas.openxmlformats.org/officeDocument/2006/relationships/image" Target="../media/image32.png"/><Relationship Id="rId90" Type="http://schemas.openxmlformats.org/officeDocument/2006/relationships/image" Target="../media/image117.png"/><Relationship Id="rId95" Type="http://schemas.openxmlformats.org/officeDocument/2006/relationships/image" Target="../media/image122.png"/><Relationship Id="rId160" Type="http://schemas.openxmlformats.org/officeDocument/2006/relationships/image" Target="../media/image187.png"/><Relationship Id="rId165" Type="http://schemas.openxmlformats.org/officeDocument/2006/relationships/image" Target="../media/image192.png"/><Relationship Id="rId181" Type="http://schemas.openxmlformats.org/officeDocument/2006/relationships/image" Target="../media/image208.png"/><Relationship Id="rId186" Type="http://schemas.openxmlformats.org/officeDocument/2006/relationships/image" Target="../media/image213.png"/><Relationship Id="rId22" Type="http://schemas.openxmlformats.org/officeDocument/2006/relationships/image" Target="../media/image49.png"/><Relationship Id="rId27" Type="http://schemas.openxmlformats.org/officeDocument/2006/relationships/image" Target="../media/image54.png"/><Relationship Id="rId43" Type="http://schemas.openxmlformats.org/officeDocument/2006/relationships/image" Target="../media/image70.png"/><Relationship Id="rId48" Type="http://schemas.openxmlformats.org/officeDocument/2006/relationships/image" Target="../media/image75.png"/><Relationship Id="rId64" Type="http://schemas.openxmlformats.org/officeDocument/2006/relationships/image" Target="../media/image91.png"/><Relationship Id="rId69" Type="http://schemas.openxmlformats.org/officeDocument/2006/relationships/image" Target="../media/image96.png"/><Relationship Id="rId113" Type="http://schemas.openxmlformats.org/officeDocument/2006/relationships/image" Target="../media/image140.png"/><Relationship Id="rId118" Type="http://schemas.openxmlformats.org/officeDocument/2006/relationships/image" Target="../media/image145.png"/><Relationship Id="rId134" Type="http://schemas.openxmlformats.org/officeDocument/2006/relationships/image" Target="../media/image161.png"/><Relationship Id="rId139" Type="http://schemas.openxmlformats.org/officeDocument/2006/relationships/image" Target="../media/image166.png"/><Relationship Id="rId80" Type="http://schemas.openxmlformats.org/officeDocument/2006/relationships/image" Target="../media/image107.png"/><Relationship Id="rId85" Type="http://schemas.openxmlformats.org/officeDocument/2006/relationships/image" Target="../media/image112.png"/><Relationship Id="rId150" Type="http://schemas.openxmlformats.org/officeDocument/2006/relationships/image" Target="../media/image177.png"/><Relationship Id="rId155" Type="http://schemas.openxmlformats.org/officeDocument/2006/relationships/image" Target="../media/image182.png"/><Relationship Id="rId171" Type="http://schemas.openxmlformats.org/officeDocument/2006/relationships/image" Target="../media/image198.png"/><Relationship Id="rId176" Type="http://schemas.openxmlformats.org/officeDocument/2006/relationships/image" Target="../media/image203.png"/><Relationship Id="rId192" Type="http://schemas.openxmlformats.org/officeDocument/2006/relationships/image" Target="../media/image219.png"/><Relationship Id="rId197" Type="http://schemas.openxmlformats.org/officeDocument/2006/relationships/image" Target="../media/image224.png"/><Relationship Id="rId206" Type="http://schemas.openxmlformats.org/officeDocument/2006/relationships/image" Target="../media/image233.png"/><Relationship Id="rId201" Type="http://schemas.openxmlformats.org/officeDocument/2006/relationships/image" Target="../media/image228.png"/><Relationship Id="rId12" Type="http://schemas.openxmlformats.org/officeDocument/2006/relationships/image" Target="../media/image39.png"/><Relationship Id="rId17" Type="http://schemas.openxmlformats.org/officeDocument/2006/relationships/image" Target="../media/image44.png"/><Relationship Id="rId33" Type="http://schemas.openxmlformats.org/officeDocument/2006/relationships/image" Target="../media/image60.png"/><Relationship Id="rId38" Type="http://schemas.openxmlformats.org/officeDocument/2006/relationships/image" Target="../media/image65.png"/><Relationship Id="rId59" Type="http://schemas.openxmlformats.org/officeDocument/2006/relationships/image" Target="../media/image86.png"/><Relationship Id="rId103" Type="http://schemas.openxmlformats.org/officeDocument/2006/relationships/image" Target="../media/image130.png"/><Relationship Id="rId108" Type="http://schemas.openxmlformats.org/officeDocument/2006/relationships/image" Target="../media/image135.png"/><Relationship Id="rId124" Type="http://schemas.openxmlformats.org/officeDocument/2006/relationships/image" Target="../media/image151.png"/><Relationship Id="rId129" Type="http://schemas.openxmlformats.org/officeDocument/2006/relationships/image" Target="../media/image156.png"/><Relationship Id="rId54" Type="http://schemas.openxmlformats.org/officeDocument/2006/relationships/image" Target="../media/image81.png"/><Relationship Id="rId70" Type="http://schemas.openxmlformats.org/officeDocument/2006/relationships/image" Target="../media/image97.png"/><Relationship Id="rId75" Type="http://schemas.openxmlformats.org/officeDocument/2006/relationships/image" Target="../media/image102.png"/><Relationship Id="rId91" Type="http://schemas.openxmlformats.org/officeDocument/2006/relationships/image" Target="../media/image118.png"/><Relationship Id="rId96" Type="http://schemas.openxmlformats.org/officeDocument/2006/relationships/image" Target="../media/image123.png"/><Relationship Id="rId140" Type="http://schemas.openxmlformats.org/officeDocument/2006/relationships/image" Target="../media/image167.png"/><Relationship Id="rId145" Type="http://schemas.openxmlformats.org/officeDocument/2006/relationships/image" Target="../media/image172.png"/><Relationship Id="rId161" Type="http://schemas.openxmlformats.org/officeDocument/2006/relationships/image" Target="../media/image188.png"/><Relationship Id="rId166" Type="http://schemas.openxmlformats.org/officeDocument/2006/relationships/image" Target="../media/image193.png"/><Relationship Id="rId182" Type="http://schemas.openxmlformats.org/officeDocument/2006/relationships/image" Target="../media/image209.png"/><Relationship Id="rId187" Type="http://schemas.openxmlformats.org/officeDocument/2006/relationships/image" Target="../media/image214.png"/><Relationship Id="rId1" Type="http://schemas.openxmlformats.org/officeDocument/2006/relationships/image" Target="../media/image28.png"/><Relationship Id="rId6" Type="http://schemas.openxmlformats.org/officeDocument/2006/relationships/image" Target="../media/image33.png"/><Relationship Id="rId23" Type="http://schemas.openxmlformats.org/officeDocument/2006/relationships/image" Target="../media/image50.png"/><Relationship Id="rId28" Type="http://schemas.openxmlformats.org/officeDocument/2006/relationships/image" Target="../media/image55.png"/><Relationship Id="rId49" Type="http://schemas.openxmlformats.org/officeDocument/2006/relationships/image" Target="../media/image76.png"/><Relationship Id="rId114" Type="http://schemas.openxmlformats.org/officeDocument/2006/relationships/image" Target="../media/image141.png"/><Relationship Id="rId119" Type="http://schemas.openxmlformats.org/officeDocument/2006/relationships/image" Target="../media/image146.png"/><Relationship Id="rId44" Type="http://schemas.openxmlformats.org/officeDocument/2006/relationships/image" Target="../media/image71.png"/><Relationship Id="rId60" Type="http://schemas.openxmlformats.org/officeDocument/2006/relationships/image" Target="../media/image87.png"/><Relationship Id="rId65" Type="http://schemas.openxmlformats.org/officeDocument/2006/relationships/image" Target="../media/image92.png"/><Relationship Id="rId81" Type="http://schemas.openxmlformats.org/officeDocument/2006/relationships/image" Target="../media/image108.png"/><Relationship Id="rId86" Type="http://schemas.openxmlformats.org/officeDocument/2006/relationships/image" Target="../media/image113.png"/><Relationship Id="rId130" Type="http://schemas.openxmlformats.org/officeDocument/2006/relationships/image" Target="../media/image157.png"/><Relationship Id="rId135" Type="http://schemas.openxmlformats.org/officeDocument/2006/relationships/image" Target="../media/image162.png"/><Relationship Id="rId151" Type="http://schemas.openxmlformats.org/officeDocument/2006/relationships/image" Target="../media/image178.png"/><Relationship Id="rId156" Type="http://schemas.openxmlformats.org/officeDocument/2006/relationships/image" Target="../media/image183.png"/><Relationship Id="rId177" Type="http://schemas.openxmlformats.org/officeDocument/2006/relationships/image" Target="../media/image204.png"/><Relationship Id="rId198" Type="http://schemas.openxmlformats.org/officeDocument/2006/relationships/image" Target="../media/image225.png"/><Relationship Id="rId172" Type="http://schemas.openxmlformats.org/officeDocument/2006/relationships/image" Target="../media/image199.png"/><Relationship Id="rId193" Type="http://schemas.openxmlformats.org/officeDocument/2006/relationships/image" Target="../media/image220.png"/><Relationship Id="rId202" Type="http://schemas.openxmlformats.org/officeDocument/2006/relationships/image" Target="../media/image229.png"/><Relationship Id="rId207" Type="http://schemas.openxmlformats.org/officeDocument/2006/relationships/image" Target="../media/image234.png"/><Relationship Id="rId13" Type="http://schemas.openxmlformats.org/officeDocument/2006/relationships/image" Target="../media/image40.png"/><Relationship Id="rId18" Type="http://schemas.openxmlformats.org/officeDocument/2006/relationships/image" Target="../media/image45.png"/><Relationship Id="rId39" Type="http://schemas.openxmlformats.org/officeDocument/2006/relationships/image" Target="../media/image66.png"/><Relationship Id="rId109" Type="http://schemas.openxmlformats.org/officeDocument/2006/relationships/image" Target="../media/image136.png"/><Relationship Id="rId34" Type="http://schemas.openxmlformats.org/officeDocument/2006/relationships/image" Target="../media/image61.png"/><Relationship Id="rId50" Type="http://schemas.openxmlformats.org/officeDocument/2006/relationships/image" Target="../media/image77.png"/><Relationship Id="rId55" Type="http://schemas.openxmlformats.org/officeDocument/2006/relationships/image" Target="../media/image82.png"/><Relationship Id="rId76" Type="http://schemas.openxmlformats.org/officeDocument/2006/relationships/image" Target="../media/image103.png"/><Relationship Id="rId97" Type="http://schemas.openxmlformats.org/officeDocument/2006/relationships/image" Target="../media/image124.png"/><Relationship Id="rId104" Type="http://schemas.openxmlformats.org/officeDocument/2006/relationships/image" Target="../media/image131.png"/><Relationship Id="rId120" Type="http://schemas.openxmlformats.org/officeDocument/2006/relationships/image" Target="../media/image147.png"/><Relationship Id="rId125" Type="http://schemas.openxmlformats.org/officeDocument/2006/relationships/image" Target="../media/image152.png"/><Relationship Id="rId141" Type="http://schemas.openxmlformats.org/officeDocument/2006/relationships/image" Target="../media/image168.png"/><Relationship Id="rId146" Type="http://schemas.openxmlformats.org/officeDocument/2006/relationships/image" Target="../media/image173.png"/><Relationship Id="rId167" Type="http://schemas.openxmlformats.org/officeDocument/2006/relationships/image" Target="../media/image194.png"/><Relationship Id="rId188" Type="http://schemas.openxmlformats.org/officeDocument/2006/relationships/image" Target="../media/image215.png"/><Relationship Id="rId7" Type="http://schemas.openxmlformats.org/officeDocument/2006/relationships/image" Target="../media/image34.png"/><Relationship Id="rId71" Type="http://schemas.openxmlformats.org/officeDocument/2006/relationships/image" Target="../media/image98.png"/><Relationship Id="rId92" Type="http://schemas.openxmlformats.org/officeDocument/2006/relationships/image" Target="../media/image119.png"/><Relationship Id="rId162" Type="http://schemas.openxmlformats.org/officeDocument/2006/relationships/image" Target="../media/image189.png"/><Relationship Id="rId183" Type="http://schemas.openxmlformats.org/officeDocument/2006/relationships/image" Target="../media/image210.png"/><Relationship Id="rId2" Type="http://schemas.openxmlformats.org/officeDocument/2006/relationships/image" Target="../media/image29.png"/><Relationship Id="rId29" Type="http://schemas.openxmlformats.org/officeDocument/2006/relationships/image" Target="../media/image56.png"/><Relationship Id="rId24" Type="http://schemas.openxmlformats.org/officeDocument/2006/relationships/image" Target="../media/image51.png"/><Relationship Id="rId40" Type="http://schemas.openxmlformats.org/officeDocument/2006/relationships/image" Target="../media/image67.png"/><Relationship Id="rId45" Type="http://schemas.openxmlformats.org/officeDocument/2006/relationships/image" Target="../media/image72.png"/><Relationship Id="rId66" Type="http://schemas.openxmlformats.org/officeDocument/2006/relationships/image" Target="../media/image93.png"/><Relationship Id="rId87" Type="http://schemas.openxmlformats.org/officeDocument/2006/relationships/image" Target="../media/image114.png"/><Relationship Id="rId110" Type="http://schemas.openxmlformats.org/officeDocument/2006/relationships/image" Target="../media/image137.png"/><Relationship Id="rId115" Type="http://schemas.openxmlformats.org/officeDocument/2006/relationships/image" Target="../media/image142.png"/><Relationship Id="rId131" Type="http://schemas.openxmlformats.org/officeDocument/2006/relationships/image" Target="../media/image158.png"/><Relationship Id="rId136" Type="http://schemas.openxmlformats.org/officeDocument/2006/relationships/image" Target="../media/image163.png"/><Relationship Id="rId157" Type="http://schemas.openxmlformats.org/officeDocument/2006/relationships/image" Target="../media/image184.png"/><Relationship Id="rId178" Type="http://schemas.openxmlformats.org/officeDocument/2006/relationships/image" Target="../media/image205.png"/><Relationship Id="rId61" Type="http://schemas.openxmlformats.org/officeDocument/2006/relationships/image" Target="../media/image88.png"/><Relationship Id="rId82" Type="http://schemas.openxmlformats.org/officeDocument/2006/relationships/image" Target="../media/image109.png"/><Relationship Id="rId152" Type="http://schemas.openxmlformats.org/officeDocument/2006/relationships/image" Target="../media/image179.png"/><Relationship Id="rId173" Type="http://schemas.openxmlformats.org/officeDocument/2006/relationships/image" Target="../media/image200.png"/><Relationship Id="rId194" Type="http://schemas.openxmlformats.org/officeDocument/2006/relationships/image" Target="../media/image221.png"/><Relationship Id="rId199" Type="http://schemas.openxmlformats.org/officeDocument/2006/relationships/image" Target="../media/image226.png"/><Relationship Id="rId203" Type="http://schemas.openxmlformats.org/officeDocument/2006/relationships/image" Target="../media/image230.png"/><Relationship Id="rId208" Type="http://schemas.openxmlformats.org/officeDocument/2006/relationships/image" Target="../media/image235.png"/><Relationship Id="rId19" Type="http://schemas.openxmlformats.org/officeDocument/2006/relationships/image" Target="../media/image46.png"/><Relationship Id="rId14" Type="http://schemas.openxmlformats.org/officeDocument/2006/relationships/image" Target="../media/image41.png"/><Relationship Id="rId30" Type="http://schemas.openxmlformats.org/officeDocument/2006/relationships/image" Target="../media/image57.png"/><Relationship Id="rId35" Type="http://schemas.openxmlformats.org/officeDocument/2006/relationships/image" Target="../media/image62.png"/><Relationship Id="rId56" Type="http://schemas.openxmlformats.org/officeDocument/2006/relationships/image" Target="../media/image83.png"/><Relationship Id="rId77" Type="http://schemas.openxmlformats.org/officeDocument/2006/relationships/image" Target="../media/image104.png"/><Relationship Id="rId100" Type="http://schemas.openxmlformats.org/officeDocument/2006/relationships/image" Target="../media/image127.png"/><Relationship Id="rId105" Type="http://schemas.openxmlformats.org/officeDocument/2006/relationships/image" Target="../media/image132.png"/><Relationship Id="rId126" Type="http://schemas.openxmlformats.org/officeDocument/2006/relationships/image" Target="../media/image153.png"/><Relationship Id="rId147" Type="http://schemas.openxmlformats.org/officeDocument/2006/relationships/image" Target="../media/image174.png"/><Relationship Id="rId168" Type="http://schemas.openxmlformats.org/officeDocument/2006/relationships/image" Target="../media/image195.png"/><Relationship Id="rId8" Type="http://schemas.openxmlformats.org/officeDocument/2006/relationships/image" Target="../media/image35.png"/><Relationship Id="rId51" Type="http://schemas.openxmlformats.org/officeDocument/2006/relationships/image" Target="../media/image78.png"/><Relationship Id="rId72" Type="http://schemas.openxmlformats.org/officeDocument/2006/relationships/image" Target="../media/image99.png"/><Relationship Id="rId93" Type="http://schemas.openxmlformats.org/officeDocument/2006/relationships/image" Target="../media/image120.png"/><Relationship Id="rId98" Type="http://schemas.openxmlformats.org/officeDocument/2006/relationships/image" Target="../media/image125.png"/><Relationship Id="rId121" Type="http://schemas.openxmlformats.org/officeDocument/2006/relationships/image" Target="../media/image148.png"/><Relationship Id="rId142" Type="http://schemas.openxmlformats.org/officeDocument/2006/relationships/image" Target="../media/image169.png"/><Relationship Id="rId163" Type="http://schemas.openxmlformats.org/officeDocument/2006/relationships/image" Target="../media/image190.png"/><Relationship Id="rId184" Type="http://schemas.openxmlformats.org/officeDocument/2006/relationships/image" Target="../media/image211.png"/><Relationship Id="rId189" Type="http://schemas.openxmlformats.org/officeDocument/2006/relationships/image" Target="../media/image216.png"/><Relationship Id="rId3" Type="http://schemas.openxmlformats.org/officeDocument/2006/relationships/image" Target="../media/image30.png"/><Relationship Id="rId25" Type="http://schemas.openxmlformats.org/officeDocument/2006/relationships/image" Target="../media/image52.png"/><Relationship Id="rId46" Type="http://schemas.openxmlformats.org/officeDocument/2006/relationships/image" Target="../media/image73.png"/><Relationship Id="rId67" Type="http://schemas.openxmlformats.org/officeDocument/2006/relationships/image" Target="../media/image94.png"/><Relationship Id="rId116" Type="http://schemas.openxmlformats.org/officeDocument/2006/relationships/image" Target="../media/image143.png"/><Relationship Id="rId137" Type="http://schemas.openxmlformats.org/officeDocument/2006/relationships/image" Target="../media/image164.png"/><Relationship Id="rId158" Type="http://schemas.openxmlformats.org/officeDocument/2006/relationships/image" Target="../media/image185.png"/><Relationship Id="rId20" Type="http://schemas.openxmlformats.org/officeDocument/2006/relationships/image" Target="../media/image47.png"/><Relationship Id="rId41" Type="http://schemas.openxmlformats.org/officeDocument/2006/relationships/image" Target="../media/image68.png"/><Relationship Id="rId62" Type="http://schemas.openxmlformats.org/officeDocument/2006/relationships/image" Target="../media/image89.png"/><Relationship Id="rId83" Type="http://schemas.openxmlformats.org/officeDocument/2006/relationships/image" Target="../media/image110.png"/><Relationship Id="rId88" Type="http://schemas.openxmlformats.org/officeDocument/2006/relationships/image" Target="../media/image115.png"/><Relationship Id="rId111" Type="http://schemas.openxmlformats.org/officeDocument/2006/relationships/image" Target="../media/image138.png"/><Relationship Id="rId132" Type="http://schemas.openxmlformats.org/officeDocument/2006/relationships/image" Target="../media/image159.png"/><Relationship Id="rId153" Type="http://schemas.openxmlformats.org/officeDocument/2006/relationships/image" Target="../media/image180.png"/><Relationship Id="rId174" Type="http://schemas.openxmlformats.org/officeDocument/2006/relationships/image" Target="../media/image201.png"/><Relationship Id="rId179" Type="http://schemas.openxmlformats.org/officeDocument/2006/relationships/image" Target="../media/image206.png"/><Relationship Id="rId195" Type="http://schemas.openxmlformats.org/officeDocument/2006/relationships/image" Target="../media/image222.png"/><Relationship Id="rId209" Type="http://schemas.openxmlformats.org/officeDocument/2006/relationships/image" Target="../media/image236.png"/><Relationship Id="rId190" Type="http://schemas.openxmlformats.org/officeDocument/2006/relationships/image" Target="../media/image217.png"/><Relationship Id="rId204" Type="http://schemas.openxmlformats.org/officeDocument/2006/relationships/image" Target="../media/image231.png"/><Relationship Id="rId15" Type="http://schemas.openxmlformats.org/officeDocument/2006/relationships/image" Target="../media/image42.png"/><Relationship Id="rId36" Type="http://schemas.openxmlformats.org/officeDocument/2006/relationships/image" Target="../media/image63.png"/><Relationship Id="rId57" Type="http://schemas.openxmlformats.org/officeDocument/2006/relationships/image" Target="../media/image84.png"/><Relationship Id="rId106" Type="http://schemas.openxmlformats.org/officeDocument/2006/relationships/image" Target="../media/image133.png"/><Relationship Id="rId127" Type="http://schemas.openxmlformats.org/officeDocument/2006/relationships/image" Target="../media/image154.png"/><Relationship Id="rId10" Type="http://schemas.openxmlformats.org/officeDocument/2006/relationships/image" Target="../media/image37.png"/><Relationship Id="rId31" Type="http://schemas.openxmlformats.org/officeDocument/2006/relationships/image" Target="../media/image58.png"/><Relationship Id="rId52" Type="http://schemas.openxmlformats.org/officeDocument/2006/relationships/image" Target="../media/image79.png"/><Relationship Id="rId73" Type="http://schemas.openxmlformats.org/officeDocument/2006/relationships/image" Target="../media/image100.png"/><Relationship Id="rId78" Type="http://schemas.openxmlformats.org/officeDocument/2006/relationships/image" Target="../media/image105.png"/><Relationship Id="rId94" Type="http://schemas.openxmlformats.org/officeDocument/2006/relationships/image" Target="../media/image121.png"/><Relationship Id="rId99" Type="http://schemas.openxmlformats.org/officeDocument/2006/relationships/image" Target="../media/image126.png"/><Relationship Id="rId101" Type="http://schemas.openxmlformats.org/officeDocument/2006/relationships/image" Target="../media/image128.png"/><Relationship Id="rId122" Type="http://schemas.openxmlformats.org/officeDocument/2006/relationships/image" Target="../media/image149.png"/><Relationship Id="rId143" Type="http://schemas.openxmlformats.org/officeDocument/2006/relationships/image" Target="../media/image170.png"/><Relationship Id="rId148" Type="http://schemas.openxmlformats.org/officeDocument/2006/relationships/image" Target="../media/image175.png"/><Relationship Id="rId164" Type="http://schemas.openxmlformats.org/officeDocument/2006/relationships/image" Target="../media/image191.png"/><Relationship Id="rId169" Type="http://schemas.openxmlformats.org/officeDocument/2006/relationships/image" Target="../media/image196.png"/><Relationship Id="rId185" Type="http://schemas.openxmlformats.org/officeDocument/2006/relationships/image" Target="../media/image212.png"/><Relationship Id="rId4" Type="http://schemas.openxmlformats.org/officeDocument/2006/relationships/image" Target="../media/image31.png"/><Relationship Id="rId9" Type="http://schemas.openxmlformats.org/officeDocument/2006/relationships/image" Target="../media/image36.png"/><Relationship Id="rId180" Type="http://schemas.openxmlformats.org/officeDocument/2006/relationships/image" Target="../media/image207.png"/><Relationship Id="rId26" Type="http://schemas.openxmlformats.org/officeDocument/2006/relationships/image" Target="../media/image53.png"/><Relationship Id="rId47" Type="http://schemas.openxmlformats.org/officeDocument/2006/relationships/image" Target="../media/image74.png"/><Relationship Id="rId68" Type="http://schemas.openxmlformats.org/officeDocument/2006/relationships/image" Target="../media/image95.png"/><Relationship Id="rId89" Type="http://schemas.openxmlformats.org/officeDocument/2006/relationships/image" Target="../media/image116.png"/><Relationship Id="rId112" Type="http://schemas.openxmlformats.org/officeDocument/2006/relationships/image" Target="../media/image139.png"/><Relationship Id="rId133" Type="http://schemas.openxmlformats.org/officeDocument/2006/relationships/image" Target="../media/image160.png"/><Relationship Id="rId154" Type="http://schemas.openxmlformats.org/officeDocument/2006/relationships/image" Target="../media/image181.png"/><Relationship Id="rId175" Type="http://schemas.openxmlformats.org/officeDocument/2006/relationships/image" Target="../media/image202.png"/><Relationship Id="rId196" Type="http://schemas.openxmlformats.org/officeDocument/2006/relationships/image" Target="../media/image223.png"/><Relationship Id="rId200" Type="http://schemas.openxmlformats.org/officeDocument/2006/relationships/image" Target="../media/image227.png"/></Relationships>
</file>

<file path=xl/drawings/_rels/drawing4.xml.rels><?xml version="1.0" encoding="UTF-8" standalone="yes"?>
<Relationships xmlns="http://schemas.openxmlformats.org/package/2006/relationships"><Relationship Id="rId8" Type="http://schemas.openxmlformats.org/officeDocument/2006/relationships/image" Target="../media/image244.jpg"/><Relationship Id="rId13" Type="http://schemas.openxmlformats.org/officeDocument/2006/relationships/image" Target="../media/image249.jpg"/><Relationship Id="rId18" Type="http://schemas.openxmlformats.org/officeDocument/2006/relationships/image" Target="../media/image254.jpg"/><Relationship Id="rId26" Type="http://schemas.openxmlformats.org/officeDocument/2006/relationships/image" Target="../media/image262.jpg"/><Relationship Id="rId39" Type="http://schemas.openxmlformats.org/officeDocument/2006/relationships/image" Target="../media/image275.jpg"/><Relationship Id="rId3" Type="http://schemas.openxmlformats.org/officeDocument/2006/relationships/image" Target="../media/image239.jpg"/><Relationship Id="rId21" Type="http://schemas.openxmlformats.org/officeDocument/2006/relationships/image" Target="../media/image257.jpg"/><Relationship Id="rId34" Type="http://schemas.openxmlformats.org/officeDocument/2006/relationships/image" Target="../media/image270.jpg"/><Relationship Id="rId7" Type="http://schemas.openxmlformats.org/officeDocument/2006/relationships/image" Target="../media/image243.jpg"/><Relationship Id="rId12" Type="http://schemas.openxmlformats.org/officeDocument/2006/relationships/image" Target="../media/image248.jpg"/><Relationship Id="rId17" Type="http://schemas.openxmlformats.org/officeDocument/2006/relationships/image" Target="../media/image253.jpg"/><Relationship Id="rId25" Type="http://schemas.openxmlformats.org/officeDocument/2006/relationships/image" Target="../media/image261.jpg"/><Relationship Id="rId33" Type="http://schemas.openxmlformats.org/officeDocument/2006/relationships/image" Target="../media/image269.jpg"/><Relationship Id="rId38" Type="http://schemas.openxmlformats.org/officeDocument/2006/relationships/image" Target="../media/image274.jpg"/><Relationship Id="rId2" Type="http://schemas.openxmlformats.org/officeDocument/2006/relationships/image" Target="../media/image238.jpg"/><Relationship Id="rId16" Type="http://schemas.openxmlformats.org/officeDocument/2006/relationships/image" Target="../media/image252.jpg"/><Relationship Id="rId20" Type="http://schemas.openxmlformats.org/officeDocument/2006/relationships/image" Target="../media/image256.jpg"/><Relationship Id="rId29" Type="http://schemas.openxmlformats.org/officeDocument/2006/relationships/image" Target="../media/image265.jpg"/><Relationship Id="rId1" Type="http://schemas.openxmlformats.org/officeDocument/2006/relationships/image" Target="../media/image237.jpg"/><Relationship Id="rId6" Type="http://schemas.openxmlformats.org/officeDocument/2006/relationships/image" Target="../media/image242.jpg"/><Relationship Id="rId11" Type="http://schemas.openxmlformats.org/officeDocument/2006/relationships/image" Target="../media/image247.jpg"/><Relationship Id="rId24" Type="http://schemas.openxmlformats.org/officeDocument/2006/relationships/image" Target="../media/image260.jpg"/><Relationship Id="rId32" Type="http://schemas.openxmlformats.org/officeDocument/2006/relationships/image" Target="../media/image268.jpg"/><Relationship Id="rId37" Type="http://schemas.openxmlformats.org/officeDocument/2006/relationships/image" Target="../media/image273.jpg"/><Relationship Id="rId5" Type="http://schemas.openxmlformats.org/officeDocument/2006/relationships/image" Target="../media/image241.jpg"/><Relationship Id="rId15" Type="http://schemas.openxmlformats.org/officeDocument/2006/relationships/image" Target="../media/image251.jpg"/><Relationship Id="rId23" Type="http://schemas.openxmlformats.org/officeDocument/2006/relationships/image" Target="../media/image259.jpg"/><Relationship Id="rId28" Type="http://schemas.openxmlformats.org/officeDocument/2006/relationships/image" Target="../media/image264.jpg"/><Relationship Id="rId36" Type="http://schemas.openxmlformats.org/officeDocument/2006/relationships/image" Target="../media/image272.jpg"/><Relationship Id="rId10" Type="http://schemas.openxmlformats.org/officeDocument/2006/relationships/image" Target="../media/image246.jpg"/><Relationship Id="rId19" Type="http://schemas.openxmlformats.org/officeDocument/2006/relationships/image" Target="../media/image255.jpg"/><Relationship Id="rId31" Type="http://schemas.openxmlformats.org/officeDocument/2006/relationships/image" Target="../media/image267.jpg"/><Relationship Id="rId4" Type="http://schemas.openxmlformats.org/officeDocument/2006/relationships/image" Target="../media/image240.jpg"/><Relationship Id="rId9" Type="http://schemas.openxmlformats.org/officeDocument/2006/relationships/image" Target="../media/image245.jpg"/><Relationship Id="rId14" Type="http://schemas.openxmlformats.org/officeDocument/2006/relationships/image" Target="../media/image250.jpg"/><Relationship Id="rId22" Type="http://schemas.openxmlformats.org/officeDocument/2006/relationships/image" Target="../media/image258.jpg"/><Relationship Id="rId27" Type="http://schemas.openxmlformats.org/officeDocument/2006/relationships/image" Target="../media/image263.jpg"/><Relationship Id="rId30" Type="http://schemas.openxmlformats.org/officeDocument/2006/relationships/image" Target="../media/image266.jpg"/><Relationship Id="rId35" Type="http://schemas.openxmlformats.org/officeDocument/2006/relationships/image" Target="../media/image271.jpg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image" Target="../media/image276.png"/></Relationships>
</file>

<file path=xl/drawings/_rels/vmlDrawing1.vml.rels><?xml version="1.0" encoding="UTF-8" standalone="yes"?>
<Relationships xmlns="http://schemas.openxmlformats.org/package/2006/relationships"><Relationship Id="rId8" Type="http://schemas.openxmlformats.org/officeDocument/2006/relationships/image" Target="../media/image23.emf"/><Relationship Id="rId3" Type="http://schemas.openxmlformats.org/officeDocument/2006/relationships/image" Target="../media/image18.emf"/><Relationship Id="rId7" Type="http://schemas.openxmlformats.org/officeDocument/2006/relationships/image" Target="../media/image22.emf"/><Relationship Id="rId12" Type="http://schemas.openxmlformats.org/officeDocument/2006/relationships/image" Target="../media/image27.emf"/><Relationship Id="rId2" Type="http://schemas.openxmlformats.org/officeDocument/2006/relationships/image" Target="../media/image17.emf"/><Relationship Id="rId1" Type="http://schemas.openxmlformats.org/officeDocument/2006/relationships/image" Target="../media/image16.emf"/><Relationship Id="rId6" Type="http://schemas.openxmlformats.org/officeDocument/2006/relationships/image" Target="../media/image21.emf"/><Relationship Id="rId11" Type="http://schemas.openxmlformats.org/officeDocument/2006/relationships/image" Target="../media/image26.emf"/><Relationship Id="rId5" Type="http://schemas.openxmlformats.org/officeDocument/2006/relationships/image" Target="../media/image20.emf"/><Relationship Id="rId10" Type="http://schemas.openxmlformats.org/officeDocument/2006/relationships/image" Target="../media/image25.emf"/><Relationship Id="rId4" Type="http://schemas.openxmlformats.org/officeDocument/2006/relationships/image" Target="../media/image19.emf"/><Relationship Id="rId9" Type="http://schemas.openxmlformats.org/officeDocument/2006/relationships/image" Target="../media/image24.emf"/></Relationships>
</file>

<file path=xl/drawings/drawing1.xml><?xml version="1.0" encoding="utf-8"?>
<xdr:wsDr xmlns:xdr="http://schemas.openxmlformats.org/drawingml/2006/spreadsheetDrawing" xmlns:a="http://schemas.openxmlformats.org/drawingml/2006/main">
  <xdr:twoCellAnchor editAs="oneCell">
    <xdr:from>
      <xdr:col>8</xdr:col>
      <xdr:colOff>262217</xdr:colOff>
      <xdr:row>13</xdr:row>
      <xdr:rowOff>112060</xdr:rowOff>
    </xdr:from>
    <xdr:to>
      <xdr:col>14</xdr:col>
      <xdr:colOff>549089</xdr:colOff>
      <xdr:row>21</xdr:row>
      <xdr:rowOff>138594</xdr:rowOff>
    </xdr:to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03158" y="2588560"/>
          <a:ext cx="4141696" cy="2021181"/>
        </a:xfrm>
        <a:prstGeom prst="rect">
          <a:avLst/>
        </a:prstGeom>
      </xdr:spPr>
    </xdr:pic>
    <xdr:clientData/>
  </xdr:twoCellAnchor>
  <xdr:twoCellAnchor>
    <xdr:from>
      <xdr:col>16</xdr:col>
      <xdr:colOff>67236</xdr:colOff>
      <xdr:row>10</xdr:row>
      <xdr:rowOff>134471</xdr:rowOff>
    </xdr:from>
    <xdr:to>
      <xdr:col>22</xdr:col>
      <xdr:colOff>313764</xdr:colOff>
      <xdr:row>20</xdr:row>
      <xdr:rowOff>280148</xdr:rowOff>
    </xdr:to>
    <xdr:sp macro="" textlink="">
      <xdr:nvSpPr>
        <xdr:cNvPr id="6" name="Arrow: Pentagon 5">
          <a:hlinkClick xmlns:r="http://schemas.openxmlformats.org/officeDocument/2006/relationships" r:id="rId2"/>
        </xdr:cNvPr>
        <xdr:cNvSpPr/>
      </xdr:nvSpPr>
      <xdr:spPr>
        <a:xfrm>
          <a:off x="9973236" y="2039471"/>
          <a:ext cx="3877234" cy="2207559"/>
        </a:xfrm>
        <a:prstGeom prst="homePlate">
          <a:avLst/>
        </a:prstGeom>
        <a:solidFill>
          <a:srgbClr val="CC0099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3600">
              <a:latin typeface="Trebuchet MS" panose="020B0603020202020204" pitchFamily="34" charset="0"/>
            </a:rPr>
            <a:t>OLYMPICS 2016 DASHBOARD</a:t>
          </a:r>
        </a:p>
      </xdr:txBody>
    </xdr:sp>
    <xdr:clientData/>
  </xdr:twoCellAnchor>
  <xdr:twoCellAnchor editAs="oneCell">
    <xdr:from>
      <xdr:col>1</xdr:col>
      <xdr:colOff>175450</xdr:colOff>
      <xdr:row>1</xdr:row>
      <xdr:rowOff>145676</xdr:rowOff>
    </xdr:from>
    <xdr:to>
      <xdr:col>4</xdr:col>
      <xdr:colOff>398172</xdr:colOff>
      <xdr:row>10</xdr:row>
      <xdr:rowOff>64460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780568" y="336176"/>
          <a:ext cx="2038075" cy="1633284"/>
        </a:xfrm>
        <a:prstGeom prst="rect">
          <a:avLst/>
        </a:prstGeom>
      </xdr:spPr>
    </xdr:pic>
    <xdr:clientData/>
  </xdr:twoCellAnchor>
  <xdr:twoCellAnchor>
    <xdr:from>
      <xdr:col>1</xdr:col>
      <xdr:colOff>44823</xdr:colOff>
      <xdr:row>24</xdr:row>
      <xdr:rowOff>156882</xdr:rowOff>
    </xdr:from>
    <xdr:to>
      <xdr:col>14</xdr:col>
      <xdr:colOff>459442</xdr:colOff>
      <xdr:row>30</xdr:row>
      <xdr:rowOff>44821</xdr:rowOff>
    </xdr:to>
    <xdr:sp macro="" textlink="">
      <xdr:nvSpPr>
        <xdr:cNvPr id="10" name="Rectangle: Rounded Corners 9">
          <a:hlinkClick xmlns:r="http://schemas.openxmlformats.org/officeDocument/2006/relationships" r:id="rId4"/>
        </xdr:cNvPr>
        <xdr:cNvSpPr/>
      </xdr:nvSpPr>
      <xdr:spPr>
        <a:xfrm>
          <a:off x="649941" y="5266764"/>
          <a:ext cx="8505266" cy="1030939"/>
        </a:xfrm>
        <a:prstGeom prst="roundRect">
          <a:avLst/>
        </a:prstGeom>
        <a:solidFill>
          <a:schemeClr val="tx2"/>
        </a:solidFill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2800">
              <a:latin typeface="Trebuchet MS" panose="020B0603020202020204" pitchFamily="34" charset="0"/>
            </a:rPr>
            <a:t>FOR MORE EXCEL TEMPLATES </a:t>
          </a:r>
        </a:p>
        <a:p>
          <a:pPr algn="ctr"/>
          <a:r>
            <a:rPr lang="en-US" sz="2800">
              <a:solidFill>
                <a:srgbClr val="00CC66"/>
              </a:solidFill>
              <a:latin typeface="Trebuchet MS" panose="020B0603020202020204" pitchFamily="34" charset="0"/>
            </a:rPr>
            <a:t>INDZARA.COM</a:t>
          </a:r>
        </a:p>
      </xdr:txBody>
    </xdr:sp>
    <xdr:clientData/>
  </xdr:twoCellAnchor>
  <xdr:twoCellAnchor editAs="oneCell">
    <xdr:from>
      <xdr:col>4</xdr:col>
      <xdr:colOff>425822</xdr:colOff>
      <xdr:row>1</xdr:row>
      <xdr:rowOff>123266</xdr:rowOff>
    </xdr:from>
    <xdr:to>
      <xdr:col>15</xdr:col>
      <xdr:colOff>56029</xdr:colOff>
      <xdr:row>10</xdr:row>
      <xdr:rowOff>143235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846293" y="313766"/>
          <a:ext cx="6510618" cy="1734469"/>
        </a:xfrm>
        <a:prstGeom prst="rect">
          <a:avLst/>
        </a:prstGeom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 editAs="absolute">
    <xdr:from>
      <xdr:col>5</xdr:col>
      <xdr:colOff>222203</xdr:colOff>
      <xdr:row>3</xdr:row>
      <xdr:rowOff>103494</xdr:rowOff>
    </xdr:from>
    <xdr:to>
      <xdr:col>6</xdr:col>
      <xdr:colOff>508295</xdr:colOff>
      <xdr:row>5</xdr:row>
      <xdr:rowOff>448845</xdr:rowOff>
    </xdr:to>
    <xdr:sp macro="" textlink="H!J6">
      <xdr:nvSpPr>
        <xdr:cNvPr id="39" name="Oval 38"/>
        <xdr:cNvSpPr>
          <a:spLocks noChangeAspect="1"/>
        </xdr:cNvSpPr>
      </xdr:nvSpPr>
      <xdr:spPr>
        <a:xfrm>
          <a:off x="3700899" y="981451"/>
          <a:ext cx="865874" cy="800894"/>
        </a:xfrm>
        <a:prstGeom prst="ellipse">
          <a:avLst/>
        </a:prstGeom>
        <a:solidFill>
          <a:schemeClr val="accent2">
            <a:lumMod val="75000"/>
          </a:schemeClr>
        </a:solidFill>
        <a:ln>
          <a:solidFill>
            <a:srgbClr val="FF00FF"/>
          </a:solidFill>
        </a:ln>
      </xdr:spPr>
      <xdr:style>
        <a:lnRef idx="2">
          <a:schemeClr val="accent1">
            <a:shade val="50000"/>
          </a:schemeClr>
        </a:lnRef>
        <a:fillRef idx="1002">
          <a:schemeClr val="lt2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fld id="{BA16C52D-F7BE-4653-95AB-3E0AC8AC25B2}" type="TxLink">
            <a:rPr lang="en-US" sz="1800" b="1" i="0" u="none" strike="noStrike">
              <a:solidFill>
                <a:schemeClr val="bg1"/>
              </a:solidFill>
              <a:latin typeface="Trebuchet MS"/>
            </a:rPr>
            <a:pPr algn="ctr"/>
            <a:t>360</a:t>
          </a:fld>
          <a:endParaRPr lang="en-US" sz="7200">
            <a:solidFill>
              <a:schemeClr val="bg1"/>
            </a:solidFill>
          </a:endParaRPr>
        </a:p>
      </xdr:txBody>
    </xdr:sp>
    <xdr:clientData/>
  </xdr:twoCellAnchor>
  <xdr:twoCellAnchor editAs="absolute">
    <xdr:from>
      <xdr:col>4</xdr:col>
      <xdr:colOff>21483</xdr:colOff>
      <xdr:row>3</xdr:row>
      <xdr:rowOff>98098</xdr:rowOff>
    </xdr:from>
    <xdr:to>
      <xdr:col>5</xdr:col>
      <xdr:colOff>308890</xdr:colOff>
      <xdr:row>5</xdr:row>
      <xdr:rowOff>452459</xdr:rowOff>
    </xdr:to>
    <xdr:sp macro="" textlink="H!J5">
      <xdr:nvSpPr>
        <xdr:cNvPr id="38" name="Oval 37"/>
        <xdr:cNvSpPr>
          <a:spLocks noChangeAspect="1"/>
        </xdr:cNvSpPr>
      </xdr:nvSpPr>
      <xdr:spPr>
        <a:xfrm>
          <a:off x="2920396" y="976055"/>
          <a:ext cx="867190" cy="809904"/>
        </a:xfrm>
        <a:prstGeom prst="ellipse">
          <a:avLst/>
        </a:prstGeom>
        <a:solidFill>
          <a:schemeClr val="bg1">
            <a:lumMod val="65000"/>
          </a:schemeClr>
        </a:solidFill>
        <a:ln>
          <a:solidFill>
            <a:srgbClr val="FF00FF"/>
          </a:solidFill>
        </a:ln>
      </xdr:spPr>
      <xdr:style>
        <a:lnRef idx="2">
          <a:schemeClr val="accent1">
            <a:shade val="50000"/>
          </a:schemeClr>
        </a:lnRef>
        <a:fillRef idx="1002">
          <a:schemeClr val="lt2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fld id="{F199B7B5-04E3-4EE6-99AF-B6CC6E855543}" type="TxLink">
            <a:rPr lang="en-US" sz="1800" b="1" i="0" u="none" strike="noStrike">
              <a:solidFill>
                <a:schemeClr val="bg1"/>
              </a:solidFill>
              <a:latin typeface="Trebuchet MS"/>
            </a:rPr>
            <a:pPr algn="ctr"/>
            <a:t>307</a:t>
          </a:fld>
          <a:endParaRPr lang="en-US" sz="5400">
            <a:solidFill>
              <a:schemeClr val="bg1"/>
            </a:solidFill>
          </a:endParaRPr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absolute">
        <xdr:from>
          <xdr:col>18</xdr:col>
          <xdr:colOff>2243</xdr:colOff>
          <xdr:row>3</xdr:row>
          <xdr:rowOff>160245</xdr:rowOff>
        </xdr:from>
        <xdr:to>
          <xdr:col>19</xdr:col>
          <xdr:colOff>306890</xdr:colOff>
          <xdr:row>5</xdr:row>
          <xdr:rowOff>240896</xdr:rowOff>
        </xdr:to>
        <xdr:pic>
          <xdr:nvPicPr>
            <xdr:cNvPr id="7" name="Picture 6"/>
            <xdr:cNvPicPr>
              <a:picLocks/>
              <a:extLst>
                <a:ext uri="{84589F7E-364E-4C9E-8A38-B11213B215E9}">
                  <a14:cameraTool cellRange="IC_SV" spid="_x0000_s142484"/>
                </a:ext>
              </a:extLst>
            </xdr:cNvPicPr>
          </xdr:nvPicPr>
          <xdr:blipFill>
            <a:blip xmlns:r="http://schemas.openxmlformats.org/officeDocument/2006/relationships" r:embed="rId1"/>
            <a:stretch>
              <a:fillRect/>
            </a:stretch>
          </xdr:blipFill>
          <xdr:spPr>
            <a:xfrm>
              <a:off x="10213043" y="931770"/>
              <a:ext cx="619386" cy="536194"/>
            </a:xfrm>
            <a:prstGeom prst="rect">
              <a:avLst/>
            </a:prstGeom>
          </xdr:spPr>
        </xdr:pic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280360</xdr:colOff>
          <xdr:row>11</xdr:row>
          <xdr:rowOff>27453</xdr:rowOff>
        </xdr:from>
        <xdr:ext cx="358763" cy="223283"/>
        <xdr:pic>
          <xdr:nvPicPr>
            <xdr:cNvPr id="15" name="Picture 14"/>
            <xdr:cNvPicPr>
              <a:picLocks noChangeAspect="1"/>
              <a:extLst>
                <a:ext uri="{84589F7E-364E-4C9E-8A38-B11213B215E9}">
                  <a14:cameraTool cellRange="IC_SV_C1" spid="_x0000_s142485"/>
                </a:ext>
              </a:extLst>
            </xdr:cNvPicPr>
          </xdr:nvPicPr>
          <xdr:blipFill>
            <a:blip xmlns:r="http://schemas.openxmlformats.org/officeDocument/2006/relationships" r:embed="rId2"/>
            <a:stretch>
              <a:fillRect/>
            </a:stretch>
          </xdr:blipFill>
          <xdr:spPr>
            <a:xfrm>
              <a:off x="537121" y="3058888"/>
              <a:ext cx="358763" cy="223283"/>
            </a:xfrm>
            <a:prstGeom prst="rect">
              <a:avLst/>
            </a:prstGeom>
            <a:ln>
              <a:noFill/>
            </a:ln>
          </xdr:spPr>
        </xdr:pic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280360</xdr:colOff>
          <xdr:row>12</xdr:row>
          <xdr:rowOff>25193</xdr:rowOff>
        </xdr:from>
        <xdr:ext cx="358763" cy="222679"/>
        <xdr:pic>
          <xdr:nvPicPr>
            <xdr:cNvPr id="16" name="Picture 15"/>
            <xdr:cNvPicPr>
              <a:picLocks noChangeAspect="1"/>
              <a:extLst>
                <a:ext uri="{84589F7E-364E-4C9E-8A38-B11213B215E9}">
                  <a14:cameraTool cellRange="IC_SV_C2" spid="_x0000_s142486"/>
                </a:ext>
              </a:extLst>
            </xdr:cNvPicPr>
          </xdr:nvPicPr>
          <xdr:blipFill>
            <a:blip xmlns:r="http://schemas.openxmlformats.org/officeDocument/2006/relationships" r:embed="rId3"/>
            <a:stretch>
              <a:fillRect/>
            </a:stretch>
          </xdr:blipFill>
          <xdr:spPr>
            <a:xfrm>
              <a:off x="537121" y="3363084"/>
              <a:ext cx="358763" cy="222679"/>
            </a:xfrm>
            <a:prstGeom prst="rect">
              <a:avLst/>
            </a:prstGeom>
          </xdr:spPr>
        </xdr:pic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280360</xdr:colOff>
          <xdr:row>13</xdr:row>
          <xdr:rowOff>22329</xdr:rowOff>
        </xdr:from>
        <xdr:ext cx="358763" cy="225015"/>
        <xdr:pic>
          <xdr:nvPicPr>
            <xdr:cNvPr id="17" name="Picture 16"/>
            <xdr:cNvPicPr>
              <a:picLocks noChangeAspect="1"/>
              <a:extLst>
                <a:ext uri="{84589F7E-364E-4C9E-8A38-B11213B215E9}">
                  <a14:cameraTool cellRange="IC_SV_C3" spid="_x0000_s142487"/>
                </a:ext>
              </a:extLst>
            </xdr:cNvPicPr>
          </xdr:nvPicPr>
          <xdr:blipFill>
            <a:blip xmlns:r="http://schemas.openxmlformats.org/officeDocument/2006/relationships" r:embed="rId4"/>
            <a:stretch>
              <a:fillRect/>
            </a:stretch>
          </xdr:blipFill>
          <xdr:spPr>
            <a:xfrm>
              <a:off x="537121" y="3666677"/>
              <a:ext cx="358763" cy="225015"/>
            </a:xfrm>
            <a:prstGeom prst="rect">
              <a:avLst/>
            </a:prstGeom>
          </xdr:spPr>
        </xdr:pic>
        <xdr:clientData/>
      </xdr:oneCellAnchor>
    </mc:Choice>
    <mc:Fallback/>
  </mc:AlternateContent>
  <xdr:twoCellAnchor>
    <xdr:from>
      <xdr:col>6</xdr:col>
      <xdr:colOff>158512</xdr:colOff>
      <xdr:row>10</xdr:row>
      <xdr:rowOff>51541</xdr:rowOff>
    </xdr:from>
    <xdr:to>
      <xdr:col>6</xdr:col>
      <xdr:colOff>432832</xdr:colOff>
      <xdr:row>10</xdr:row>
      <xdr:rowOff>325862</xdr:rowOff>
    </xdr:to>
    <xdr:sp macro="" textlink="">
      <xdr:nvSpPr>
        <xdr:cNvPr id="21" name="Oval 20"/>
        <xdr:cNvSpPr>
          <a:spLocks noChangeAspect="1"/>
        </xdr:cNvSpPr>
      </xdr:nvSpPr>
      <xdr:spPr>
        <a:xfrm>
          <a:off x="6305800" y="2506060"/>
          <a:ext cx="274320" cy="274321"/>
        </a:xfrm>
        <a:prstGeom prst="ellipse">
          <a:avLst/>
        </a:prstGeom>
        <a:solidFill>
          <a:schemeClr val="accent2">
            <a:lumMod val="50000"/>
          </a:schemeClr>
        </a:solidFill>
        <a:ln w="635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200"/>
            <a:t>B</a:t>
          </a:r>
        </a:p>
      </xdr:txBody>
    </xdr:sp>
    <xdr:clientData/>
  </xdr:twoCellAnchor>
  <xdr:twoCellAnchor>
    <xdr:from>
      <xdr:col>5</xdr:col>
      <xdr:colOff>160709</xdr:colOff>
      <xdr:row>10</xdr:row>
      <xdr:rowOff>51541</xdr:rowOff>
    </xdr:from>
    <xdr:to>
      <xdr:col>5</xdr:col>
      <xdr:colOff>435029</xdr:colOff>
      <xdr:row>10</xdr:row>
      <xdr:rowOff>325862</xdr:rowOff>
    </xdr:to>
    <xdr:sp macro="" textlink="">
      <xdr:nvSpPr>
        <xdr:cNvPr id="32" name="Oval 31"/>
        <xdr:cNvSpPr>
          <a:spLocks noChangeAspect="1"/>
        </xdr:cNvSpPr>
      </xdr:nvSpPr>
      <xdr:spPr>
        <a:xfrm>
          <a:off x="5729171" y="2506060"/>
          <a:ext cx="274320" cy="274321"/>
        </a:xfrm>
        <a:prstGeom prst="ellipse">
          <a:avLst/>
        </a:prstGeom>
        <a:solidFill>
          <a:schemeClr val="bg1">
            <a:lumMod val="65000"/>
          </a:schemeClr>
        </a:solidFill>
        <a:ln w="635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200"/>
            <a:t>S</a:t>
          </a:r>
        </a:p>
      </xdr:txBody>
    </xdr:sp>
    <xdr:clientData/>
  </xdr:twoCellAnchor>
  <xdr:twoCellAnchor>
    <xdr:from>
      <xdr:col>4</xdr:col>
      <xdr:colOff>162908</xdr:colOff>
      <xdr:row>10</xdr:row>
      <xdr:rowOff>51541</xdr:rowOff>
    </xdr:from>
    <xdr:to>
      <xdr:col>4</xdr:col>
      <xdr:colOff>437228</xdr:colOff>
      <xdr:row>10</xdr:row>
      <xdr:rowOff>325862</xdr:rowOff>
    </xdr:to>
    <xdr:sp macro="" textlink="">
      <xdr:nvSpPr>
        <xdr:cNvPr id="33" name="Oval 32"/>
        <xdr:cNvSpPr>
          <a:spLocks noChangeAspect="1"/>
        </xdr:cNvSpPr>
      </xdr:nvSpPr>
      <xdr:spPr>
        <a:xfrm>
          <a:off x="5152543" y="2506060"/>
          <a:ext cx="274320" cy="274321"/>
        </a:xfrm>
        <a:prstGeom prst="ellipse">
          <a:avLst/>
        </a:prstGeom>
        <a:solidFill>
          <a:schemeClr val="accent4">
            <a:lumMod val="75000"/>
          </a:schemeClr>
        </a:solidFill>
        <a:ln w="635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200"/>
            <a:t>G</a:t>
          </a:r>
        </a:p>
      </xdr:txBody>
    </xdr:sp>
    <xdr:clientData/>
  </xdr:twoCellAnchor>
  <xdr:twoCellAnchor editAs="absolute">
    <xdr:from>
      <xdr:col>1</xdr:col>
      <xdr:colOff>79864</xdr:colOff>
      <xdr:row>4</xdr:row>
      <xdr:rowOff>117230</xdr:rowOff>
    </xdr:from>
    <xdr:to>
      <xdr:col>3</xdr:col>
      <xdr:colOff>47978</xdr:colOff>
      <xdr:row>5</xdr:row>
      <xdr:rowOff>505859</xdr:rowOff>
    </xdr:to>
    <xdr:sp macro="" textlink="H!J8">
      <xdr:nvSpPr>
        <xdr:cNvPr id="19" name="Flowchart: Off-page Connector 18"/>
        <xdr:cNvSpPr/>
      </xdr:nvSpPr>
      <xdr:spPr>
        <a:xfrm>
          <a:off x="336306" y="1179634"/>
          <a:ext cx="1008537" cy="652398"/>
        </a:xfrm>
        <a:prstGeom prst="flowChartOffpageConnector">
          <a:avLst/>
        </a:prstGeom>
        <a:solidFill>
          <a:schemeClr val="bg1"/>
        </a:solidFill>
        <a:ln>
          <a:solidFill>
            <a:srgbClr val="00CC66"/>
          </a:solidFill>
        </a:ln>
      </xdr:spPr>
      <xdr:style>
        <a:lnRef idx="2">
          <a:schemeClr val="accent1">
            <a:shade val="50000"/>
          </a:schemeClr>
        </a:lnRef>
        <a:fillRef idx="1002">
          <a:schemeClr val="lt2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marL="0" indent="0" algn="ctr"/>
          <a:fld id="{E12D4E29-98DE-4168-A6D1-769CA9BBCB32}" type="TxLink">
            <a:rPr lang="en-US" sz="2400" b="1" i="0" u="none" strike="noStrike">
              <a:solidFill>
                <a:srgbClr val="000000"/>
              </a:solidFill>
              <a:latin typeface="Trebuchet MS"/>
              <a:ea typeface="+mn-ea"/>
              <a:cs typeface="+mn-cs"/>
            </a:rPr>
            <a:pPr marL="0" indent="0" algn="ctr"/>
            <a:t>306</a:t>
          </a:fld>
          <a:endParaRPr lang="en-US" sz="2400" b="1" i="0" u="none" strike="noStrike">
            <a:solidFill>
              <a:srgbClr val="000000"/>
            </a:solidFill>
            <a:latin typeface="Trebuchet MS"/>
            <a:ea typeface="+mn-ea"/>
            <a:cs typeface="+mn-cs"/>
          </a:endParaRPr>
        </a:p>
      </xdr:txBody>
    </xdr:sp>
    <xdr:clientData/>
  </xdr:twoCellAnchor>
  <xdr:twoCellAnchor editAs="absolute">
    <xdr:from>
      <xdr:col>1</xdr:col>
      <xdr:colOff>79864</xdr:colOff>
      <xdr:row>3</xdr:row>
      <xdr:rowOff>5087</xdr:rowOff>
    </xdr:from>
    <xdr:to>
      <xdr:col>3</xdr:col>
      <xdr:colOff>47978</xdr:colOff>
      <xdr:row>4</xdr:row>
      <xdr:rowOff>117146</xdr:rowOff>
    </xdr:to>
    <xdr:sp macro="" textlink="">
      <xdr:nvSpPr>
        <xdr:cNvPr id="20" name="Rectangle 19"/>
        <xdr:cNvSpPr/>
      </xdr:nvSpPr>
      <xdr:spPr>
        <a:xfrm>
          <a:off x="336306" y="876991"/>
          <a:ext cx="1008537" cy="302559"/>
        </a:xfrm>
        <a:prstGeom prst="rect">
          <a:avLst/>
        </a:prstGeom>
        <a:solidFill>
          <a:schemeClr val="bg1"/>
        </a:solidFill>
        <a:ln>
          <a:solidFill>
            <a:srgbClr val="00CC66"/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400" b="1">
              <a:solidFill>
                <a:srgbClr val="00CC66"/>
              </a:solidFill>
              <a:latin typeface="Trebuchet MS" panose="020B0603020202020204" pitchFamily="34" charset="0"/>
            </a:rPr>
            <a:t>EVENTS</a:t>
          </a:r>
        </a:p>
      </xdr:txBody>
    </xdr:sp>
    <xdr:clientData/>
  </xdr:twoCellAnchor>
  <xdr:twoCellAnchor editAs="absolute">
    <xdr:from>
      <xdr:col>3</xdr:col>
      <xdr:colOff>899362</xdr:colOff>
      <xdr:row>3</xdr:row>
      <xdr:rowOff>97209</xdr:rowOff>
    </xdr:from>
    <xdr:to>
      <xdr:col>4</xdr:col>
      <xdr:colOff>149966</xdr:colOff>
      <xdr:row>5</xdr:row>
      <xdr:rowOff>453053</xdr:rowOff>
    </xdr:to>
    <xdr:sp macro="" textlink="H!J4">
      <xdr:nvSpPr>
        <xdr:cNvPr id="37" name="Oval 36"/>
        <xdr:cNvSpPr>
          <a:spLocks noChangeAspect="1"/>
        </xdr:cNvSpPr>
      </xdr:nvSpPr>
      <xdr:spPr>
        <a:xfrm>
          <a:off x="2191449" y="975166"/>
          <a:ext cx="857430" cy="811387"/>
        </a:xfrm>
        <a:prstGeom prst="ellipse">
          <a:avLst/>
        </a:prstGeom>
        <a:solidFill>
          <a:schemeClr val="accent4">
            <a:lumMod val="75000"/>
          </a:schemeClr>
        </a:solidFill>
        <a:ln>
          <a:solidFill>
            <a:srgbClr val="FF00FF"/>
          </a:solidFill>
        </a:ln>
      </xdr:spPr>
      <xdr:style>
        <a:lnRef idx="2">
          <a:schemeClr val="accent1">
            <a:shade val="50000"/>
          </a:schemeClr>
        </a:lnRef>
        <a:fillRef idx="1002">
          <a:schemeClr val="lt2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fld id="{9359A1E6-8CC7-475F-AE71-734CB6F24658}" type="TxLink">
            <a:rPr lang="en-US" sz="1800" b="1" i="0" u="none" strike="noStrike">
              <a:solidFill>
                <a:schemeClr val="bg1"/>
              </a:solidFill>
              <a:latin typeface="Trebuchet MS"/>
            </a:rPr>
            <a:pPr algn="ctr"/>
            <a:t>307</a:t>
          </a:fld>
          <a:endParaRPr lang="en-US" sz="4000">
            <a:solidFill>
              <a:schemeClr val="bg1"/>
            </a:solidFill>
          </a:endParaRPr>
        </a:p>
      </xdr:txBody>
    </xdr:sp>
    <xdr:clientData/>
  </xdr:twoCellAnchor>
  <xdr:twoCellAnchor>
    <xdr:from>
      <xdr:col>12</xdr:col>
      <xdr:colOff>148069</xdr:colOff>
      <xdr:row>24</xdr:row>
      <xdr:rowOff>181145</xdr:rowOff>
    </xdr:from>
    <xdr:to>
      <xdr:col>12</xdr:col>
      <xdr:colOff>422389</xdr:colOff>
      <xdr:row>26</xdr:row>
      <xdr:rowOff>21549</xdr:rowOff>
    </xdr:to>
    <xdr:sp macro="" textlink="">
      <xdr:nvSpPr>
        <xdr:cNvPr id="40" name="Oval 39"/>
        <xdr:cNvSpPr>
          <a:spLocks noChangeAspect="1"/>
        </xdr:cNvSpPr>
      </xdr:nvSpPr>
      <xdr:spPr>
        <a:xfrm>
          <a:off x="7148944" y="6743870"/>
          <a:ext cx="274320" cy="269029"/>
        </a:xfrm>
        <a:prstGeom prst="ellipse">
          <a:avLst/>
        </a:prstGeom>
        <a:solidFill>
          <a:schemeClr val="accent4">
            <a:lumMod val="75000"/>
          </a:schemeClr>
        </a:solidFill>
        <a:ln w="635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600">
              <a:latin typeface="Trebuchet MS" panose="020B0603020202020204" pitchFamily="34" charset="0"/>
            </a:rPr>
            <a:t>G</a:t>
          </a:r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absolute">
        <xdr:from>
          <xdr:col>13</xdr:col>
          <xdr:colOff>97499</xdr:colOff>
          <xdr:row>3</xdr:row>
          <xdr:rowOff>154760</xdr:rowOff>
        </xdr:from>
        <xdr:to>
          <xdr:col>16</xdr:col>
          <xdr:colOff>232719</xdr:colOff>
          <xdr:row>5</xdr:row>
          <xdr:rowOff>343817</xdr:rowOff>
        </xdr:to>
        <xdr:pic>
          <xdr:nvPicPr>
            <xdr:cNvPr id="42" name="Picture 41"/>
            <xdr:cNvPicPr>
              <a:picLocks noChangeAspect="1"/>
              <a:extLst>
                <a:ext uri="{84589F7E-364E-4C9E-8A38-B11213B215E9}">
                  <a14:cameraTool cellRange="IC_OLY_LOGO" spid="_x0000_s142488"/>
                </a:ext>
              </a:extLst>
            </xdr:cNvPicPr>
          </xdr:nvPicPr>
          <xdr:blipFill>
            <a:blip xmlns:r="http://schemas.openxmlformats.org/officeDocument/2006/relationships" r:embed="rId5"/>
            <a:stretch>
              <a:fillRect/>
            </a:stretch>
          </xdr:blipFill>
          <xdr:spPr>
            <a:xfrm>
              <a:off x="8545441" y="1026664"/>
              <a:ext cx="1269938" cy="644600"/>
            </a:xfrm>
            <a:prstGeom prst="rect">
              <a:avLst/>
            </a:prstGeom>
          </xdr:spPr>
        </xdr:pic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280360</xdr:colOff>
          <xdr:row>14</xdr:row>
          <xdr:rowOff>21800</xdr:rowOff>
        </xdr:from>
        <xdr:ext cx="358763" cy="226560"/>
        <xdr:pic>
          <xdr:nvPicPr>
            <xdr:cNvPr id="45" name="Picture 44"/>
            <xdr:cNvPicPr>
              <a:picLocks noChangeAspect="1"/>
              <a:extLst>
                <a:ext uri="{84589F7E-364E-4C9E-8A38-B11213B215E9}">
                  <a14:cameraTool cellRange="IC_SV_C4" spid="_x0000_s142489"/>
                </a:ext>
              </a:extLst>
            </xdr:cNvPicPr>
          </xdr:nvPicPr>
          <xdr:blipFill>
            <a:blip xmlns:r="http://schemas.openxmlformats.org/officeDocument/2006/relationships" r:embed="rId6"/>
            <a:stretch>
              <a:fillRect/>
            </a:stretch>
          </xdr:blipFill>
          <xdr:spPr>
            <a:xfrm>
              <a:off x="537121" y="3972604"/>
              <a:ext cx="358763" cy="226560"/>
            </a:xfrm>
            <a:prstGeom prst="rect">
              <a:avLst/>
            </a:prstGeom>
          </xdr:spPr>
        </xdr:pic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</xdr:col>
          <xdr:colOff>280360</xdr:colOff>
          <xdr:row>15</xdr:row>
          <xdr:rowOff>22817</xdr:rowOff>
        </xdr:from>
        <xdr:ext cx="358763" cy="226560"/>
        <xdr:pic>
          <xdr:nvPicPr>
            <xdr:cNvPr id="46" name="Picture 45"/>
            <xdr:cNvPicPr>
              <a:picLocks noChangeAspect="1"/>
              <a:extLst>
                <a:ext uri="{84589F7E-364E-4C9E-8A38-B11213B215E9}">
                  <a14:cameraTool cellRange="IC_SV_C5" spid="_x0000_s142490"/>
                </a:ext>
              </a:extLst>
            </xdr:cNvPicPr>
          </xdr:nvPicPr>
          <xdr:blipFill>
            <a:blip xmlns:r="http://schemas.openxmlformats.org/officeDocument/2006/relationships" r:embed="rId7"/>
            <a:stretch>
              <a:fillRect/>
            </a:stretch>
          </xdr:blipFill>
          <xdr:spPr>
            <a:xfrm>
              <a:off x="537121" y="4280078"/>
              <a:ext cx="358763" cy="226560"/>
            </a:xfrm>
            <a:prstGeom prst="rect">
              <a:avLst/>
            </a:prstGeom>
          </xdr:spPr>
        </xdr:pic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12</xdr:col>
          <xdr:colOff>614392</xdr:colOff>
          <xdr:row>24</xdr:row>
          <xdr:rowOff>185513</xdr:rowOff>
        </xdr:from>
        <xdr:ext cx="376825" cy="241978"/>
        <xdr:pic>
          <xdr:nvPicPr>
            <xdr:cNvPr id="47" name="Picture 46"/>
            <xdr:cNvPicPr>
              <a:picLocks noChangeAspect="1"/>
              <a:extLst>
                <a:ext uri="{84589F7E-364E-4C9E-8A38-B11213B215E9}">
                  <a14:cameraTool cellRange="IC_POD_G1" spid="_x0000_s142491"/>
                </a:ext>
              </a:extLst>
            </xdr:cNvPicPr>
          </xdr:nvPicPr>
          <xdr:blipFill>
            <a:blip xmlns:r="http://schemas.openxmlformats.org/officeDocument/2006/relationships" r:embed="rId8"/>
            <a:stretch>
              <a:fillRect/>
            </a:stretch>
          </xdr:blipFill>
          <xdr:spPr>
            <a:xfrm>
              <a:off x="7615267" y="6748238"/>
              <a:ext cx="376825" cy="241978"/>
            </a:xfrm>
            <a:prstGeom prst="rect">
              <a:avLst/>
            </a:prstGeom>
            <a:ln>
              <a:noFill/>
            </a:ln>
          </xdr:spPr>
        </xdr:pic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>
        <xdr:from>
          <xdr:col>7</xdr:col>
          <xdr:colOff>399956</xdr:colOff>
          <xdr:row>0</xdr:row>
          <xdr:rowOff>239980</xdr:rowOff>
        </xdr:from>
        <xdr:to>
          <xdr:col>19</xdr:col>
          <xdr:colOff>288632</xdr:colOff>
          <xdr:row>1</xdr:row>
          <xdr:rowOff>297151</xdr:rowOff>
        </xdr:to>
        <xdr:grpSp>
          <xdr:nvGrpSpPr>
            <xdr:cNvPr id="9" name="Group 8"/>
            <xdr:cNvGrpSpPr/>
          </xdr:nvGrpSpPr>
          <xdr:grpSpPr>
            <a:xfrm>
              <a:off x="5060037" y="239980"/>
              <a:ext cx="5788030" cy="354187"/>
              <a:chOff x="6331810" y="146638"/>
              <a:chExt cx="4115892" cy="277765"/>
            </a:xfrm>
          </xdr:grpSpPr>
          <xdr:grpSp>
            <xdr:nvGrpSpPr>
              <xdr:cNvPr id="5" name="Group 4"/>
              <xdr:cNvGrpSpPr/>
            </xdr:nvGrpSpPr>
            <xdr:grpSpPr>
              <a:xfrm>
                <a:off x="6331810" y="146638"/>
                <a:ext cx="2114257" cy="277765"/>
                <a:chOff x="6331810" y="148262"/>
                <a:chExt cx="2114257" cy="277765"/>
              </a:xfrm>
            </xdr:grpSpPr>
            <xdr:sp macro="" textlink="">
              <xdr:nvSpPr>
                <xdr:cNvPr id="21466" name="Option Button 2010" hidden="1">
                  <a:extLst>
                    <a:ext uri="{63B3BB69-23CF-44E3-9099-C40C66FF867C}">
                      <a14:compatExt spid="_x0000_s21466"/>
                    </a:ext>
                  </a:extLst>
                </xdr:cNvPr>
                <xdr:cNvSpPr/>
              </xdr:nvSpPr>
              <xdr:spPr bwMode="auto">
                <a:xfrm>
                  <a:off x="6331810" y="148262"/>
                  <a:ext cx="304565" cy="277765"/>
                </a:xfrm>
                <a:prstGeom prst="rect">
                  <a:avLst/>
                </a:prstGeom>
                <a:noFill/>
                <a:ln>
                  <a:noFill/>
                </a:ln>
                <a:extLst>
                  <a:ext uri="{909E8E84-426E-40DD-AFC4-6F175D3DCCD1}">
                    <a14:hiddenFill>
                      <a:solidFill>
                        <a:srgbClr val="FFFFFF" mc:Ignorable="a14" a14:legacySpreadsheetColorIndex="65"/>
                      </a:solidFill>
                    </a14:hiddenFill>
                  </a:ext>
                  <a:ext uri="{91240B29-F687-4F45-9708-019B960494DF}">
                    <a14:hiddenLine w="9525">
                      <a:solidFill>
                        <a:srgbClr val="000000" mc:Ignorable="a14" a14:legacySpreadsheetColorIndex="64"/>
                      </a:solidFill>
                      <a:miter lim="800000"/>
                      <a:headEnd/>
                      <a:tailEnd/>
                    </a14:hiddenLine>
                  </a:ext>
                </a:extLst>
              </xdr:spPr>
            </xdr:sp>
            <xdr:sp macro="" textlink="">
              <xdr:nvSpPr>
                <xdr:cNvPr id="21467" name="Option Button 2011" hidden="1">
                  <a:extLst>
                    <a:ext uri="{63B3BB69-23CF-44E3-9099-C40C66FF867C}">
                      <a14:compatExt spid="_x0000_s21467"/>
                    </a:ext>
                  </a:extLst>
                </xdr:cNvPr>
                <xdr:cNvSpPr/>
              </xdr:nvSpPr>
              <xdr:spPr bwMode="auto">
                <a:xfrm>
                  <a:off x="8137259" y="178122"/>
                  <a:ext cx="308808" cy="218047"/>
                </a:xfrm>
                <a:prstGeom prst="rect">
                  <a:avLst/>
                </a:prstGeom>
                <a:noFill/>
                <a:ln>
                  <a:noFill/>
                </a:ln>
                <a:extLst>
                  <a:ext uri="{909E8E84-426E-40DD-AFC4-6F175D3DCCD1}">
                    <a14:hiddenFill>
                      <a:solidFill>
                        <a:srgbClr val="FFFFFF" mc:Ignorable="a14" a14:legacySpreadsheetColorIndex="65"/>
                      </a:solidFill>
                    </a14:hiddenFill>
                  </a:ext>
                  <a:ext uri="{91240B29-F687-4F45-9708-019B960494DF}">
                    <a14:hiddenLine w="9525">
                      <a:solidFill>
                        <a:srgbClr val="000000" mc:Ignorable="a14" a14:legacySpreadsheetColorIndex="64"/>
                      </a:solidFill>
                      <a:miter lim="800000"/>
                      <a:headEnd/>
                      <a:tailEnd/>
                    </a14:hiddenLine>
                  </a:ext>
                </a:extLst>
              </xdr:spPr>
            </xdr:sp>
          </xdr:grpSp>
          <xdr:sp macro="" textlink="">
            <xdr:nvSpPr>
              <xdr:cNvPr id="21468" name="Option Button 2012" hidden="1">
                <a:extLst>
                  <a:ext uri="{63B3BB69-23CF-44E3-9099-C40C66FF867C}">
                    <a14:compatExt spid="_x0000_s21468"/>
                  </a:ext>
                </a:extLst>
              </xdr:cNvPr>
              <xdr:cNvSpPr/>
            </xdr:nvSpPr>
            <xdr:spPr bwMode="auto">
              <a:xfrm>
                <a:off x="10107865" y="153291"/>
                <a:ext cx="339837" cy="264459"/>
              </a:xfrm>
              <a:prstGeom prst="rect">
                <a:avLst/>
              </a:prstGeom>
              <a:noFill/>
              <a:ln>
                <a:noFill/>
              </a:ln>
              <a:extLst>
                <a:ext uri="{909E8E84-426E-40DD-AFC4-6F175D3DCCD1}">
                  <a14:hiddenFill>
                    <a:solidFill>
                      <a:srgbClr val="FFFFFF" mc:Ignorable="a14" a14:legacySpreadsheetColorIndex="65"/>
                    </a:solidFill>
                  </a14:hiddenFill>
                </a:ext>
                <a:ext uri="{91240B29-F687-4F45-9708-019B960494DF}">
                  <a14:hiddenLine w="9525">
                    <a:solidFill>
                      <a:srgbClr val="000000" mc:Ignorable="a14" a14:legacySpreadsheetColorIndex="64"/>
                    </a:solidFill>
                    <a:miter lim="800000"/>
                    <a:headEnd/>
                    <a:tailEnd/>
                  </a14:hiddenLine>
                </a:ext>
              </a:extLst>
            </xdr:spPr>
          </xdr:sp>
        </xdr:grpSp>
        <xdr:clientData/>
      </xdr:twoCellAnchor>
    </mc:Choice>
    <mc:Fallback/>
  </mc:AlternateContent>
  <xdr:twoCellAnchor>
    <xdr:from>
      <xdr:col>6</xdr:col>
      <xdr:colOff>19050</xdr:colOff>
      <xdr:row>0</xdr:row>
      <xdr:rowOff>0</xdr:rowOff>
    </xdr:from>
    <xdr:to>
      <xdr:col>20</xdr:col>
      <xdr:colOff>163787</xdr:colOff>
      <xdr:row>1</xdr:row>
      <xdr:rowOff>169855</xdr:rowOff>
    </xdr:to>
    <xdr:grpSp>
      <xdr:nvGrpSpPr>
        <xdr:cNvPr id="2" name="Group 1"/>
        <xdr:cNvGrpSpPr/>
      </xdr:nvGrpSpPr>
      <xdr:grpSpPr>
        <a:xfrm>
          <a:off x="4095340" y="0"/>
          <a:ext cx="7211673" cy="466871"/>
          <a:chOff x="4962617" y="104851"/>
          <a:chExt cx="6137131" cy="360355"/>
        </a:xfrm>
      </xdr:grpSpPr>
      <xdr:sp macro="" textlink="">
        <xdr:nvSpPr>
          <xdr:cNvPr id="3" name="Rectangle 2"/>
          <xdr:cNvSpPr/>
        </xdr:nvSpPr>
        <xdr:spPr>
          <a:xfrm>
            <a:off x="4962617" y="104851"/>
            <a:ext cx="1736406" cy="360355"/>
          </a:xfrm>
          <a:prstGeom prst="rect">
            <a:avLst/>
          </a:prstGeom>
          <a:noFill/>
        </xdr:spPr>
        <xdr:txBody>
          <a:bodyPr wrap="none" lIns="91440" tIns="45720" rIns="91440" bIns="45720">
            <a:spAutoFit/>
          </a:bodyPr>
          <a:lstStyle/>
          <a:p>
            <a:pPr algn="ctr"/>
            <a:r>
              <a:rPr lang="en-US" sz="1800" b="1" cap="none" spc="0">
                <a:ln>
                  <a:noFill/>
                </a:ln>
                <a:solidFill>
                  <a:srgbClr val="FFFF00"/>
                </a:solidFill>
                <a:effectLst/>
                <a:latin typeface="Trebuchet MS" panose="020B0603020202020204" pitchFamily="34" charset="0"/>
              </a:rPr>
              <a:t>OLYMPIC VIEW</a:t>
            </a:r>
          </a:p>
        </xdr:txBody>
      </xdr:sp>
      <xdr:sp macro="" textlink="">
        <xdr:nvSpPr>
          <xdr:cNvPr id="50" name="Rectangle 49"/>
          <xdr:cNvSpPr/>
        </xdr:nvSpPr>
        <xdr:spPr>
          <a:xfrm>
            <a:off x="7063901" y="104851"/>
            <a:ext cx="1829606" cy="360355"/>
          </a:xfrm>
          <a:prstGeom prst="rect">
            <a:avLst/>
          </a:prstGeom>
          <a:noFill/>
        </xdr:spPr>
        <xdr:txBody>
          <a:bodyPr wrap="none" lIns="91440" tIns="45720" rIns="91440" bIns="45720">
            <a:spAutoFit/>
          </a:bodyPr>
          <a:lstStyle/>
          <a:p>
            <a:pPr algn="ctr"/>
            <a:r>
              <a:rPr lang="en-US" sz="1800" b="1" cap="none" spc="0">
                <a:ln>
                  <a:noFill/>
                </a:ln>
                <a:solidFill>
                  <a:srgbClr val="FFFF00"/>
                </a:solidFill>
                <a:effectLst/>
                <a:latin typeface="Trebuchet MS" panose="020B0603020202020204" pitchFamily="34" charset="0"/>
              </a:rPr>
              <a:t>COUNTRY VIEW</a:t>
            </a:r>
          </a:p>
        </xdr:txBody>
      </xdr:sp>
      <xdr:sp macro="" textlink="">
        <xdr:nvSpPr>
          <xdr:cNvPr id="51" name="Rectangle 50"/>
          <xdr:cNvSpPr/>
        </xdr:nvSpPr>
        <xdr:spPr>
          <a:xfrm>
            <a:off x="9608997" y="104851"/>
            <a:ext cx="1490751" cy="360355"/>
          </a:xfrm>
          <a:prstGeom prst="rect">
            <a:avLst/>
          </a:prstGeom>
          <a:noFill/>
        </xdr:spPr>
        <xdr:txBody>
          <a:bodyPr wrap="none" lIns="91440" tIns="45720" rIns="91440" bIns="45720">
            <a:spAutoFit/>
          </a:bodyPr>
          <a:lstStyle/>
          <a:p>
            <a:pPr algn="ctr"/>
            <a:r>
              <a:rPr lang="en-US" sz="1800" b="1" cap="none" spc="0">
                <a:ln>
                  <a:noFill/>
                </a:ln>
                <a:solidFill>
                  <a:srgbClr val="FFFF00"/>
                </a:solidFill>
                <a:effectLst/>
                <a:latin typeface="Trebuchet MS" panose="020B0603020202020204" pitchFamily="34" charset="0"/>
              </a:rPr>
              <a:t>SPORT VIEW</a:t>
            </a:r>
          </a:p>
        </xdr:txBody>
      </xdr:sp>
    </xdr:grpSp>
    <xdr:clientData/>
  </xdr:twoCellAnchor>
  <xdr:twoCellAnchor editAs="absolute">
    <xdr:from>
      <xdr:col>7</xdr:col>
      <xdr:colOff>246368</xdr:colOff>
      <xdr:row>3</xdr:row>
      <xdr:rowOff>95391</xdr:rowOff>
    </xdr:from>
    <xdr:to>
      <xdr:col>9</xdr:col>
      <xdr:colOff>102837</xdr:colOff>
      <xdr:row>5</xdr:row>
      <xdr:rowOff>454269</xdr:rowOff>
    </xdr:to>
    <xdr:sp macro="" textlink="H!J7">
      <xdr:nvSpPr>
        <xdr:cNvPr id="52" name="Oval 51"/>
        <xdr:cNvSpPr>
          <a:spLocks noChangeAspect="1"/>
        </xdr:cNvSpPr>
      </xdr:nvSpPr>
      <xdr:spPr>
        <a:xfrm>
          <a:off x="4884629" y="973348"/>
          <a:ext cx="858665" cy="814421"/>
        </a:xfrm>
        <a:prstGeom prst="ellipse">
          <a:avLst/>
        </a:prstGeom>
        <a:solidFill>
          <a:srgbClr val="00CC66"/>
        </a:solidFill>
        <a:ln>
          <a:solidFill>
            <a:srgbClr val="FF00FF"/>
          </a:solidFill>
        </a:ln>
      </xdr:spPr>
      <xdr:style>
        <a:lnRef idx="2">
          <a:schemeClr val="accent1">
            <a:shade val="50000"/>
          </a:schemeClr>
        </a:lnRef>
        <a:fillRef idx="1002">
          <a:schemeClr val="lt2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fld id="{831EEF13-8B27-48FC-BF0D-618F2175BDAB}" type="TxLink">
            <a:rPr lang="en-US" sz="1800" b="1" i="0" u="none" strike="noStrike">
              <a:solidFill>
                <a:schemeClr val="bg1"/>
              </a:solidFill>
              <a:latin typeface="Trebuchet MS"/>
            </a:rPr>
            <a:pPr algn="ctr"/>
            <a:t>974</a:t>
          </a:fld>
          <a:endParaRPr lang="en-US" sz="13800">
            <a:solidFill>
              <a:schemeClr val="bg1"/>
            </a:solidFill>
          </a:endParaRPr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twoCellAnchor editAs="absolute">
        <xdr:from>
          <xdr:col>12</xdr:col>
          <xdr:colOff>133349</xdr:colOff>
          <xdr:row>3</xdr:row>
          <xdr:rowOff>131157</xdr:rowOff>
        </xdr:from>
        <xdr:to>
          <xdr:col>12</xdr:col>
          <xdr:colOff>1325137</xdr:colOff>
          <xdr:row>5</xdr:row>
          <xdr:rowOff>437414</xdr:rowOff>
        </xdr:to>
        <xdr:pic>
          <xdr:nvPicPr>
            <xdr:cNvPr id="53" name="Picture 52"/>
            <xdr:cNvPicPr>
              <a:picLocks noChangeAspect="1"/>
              <a:extLst>
                <a:ext uri="{84589F7E-364E-4C9E-8A38-B11213B215E9}">
                  <a14:cameraTool cellRange="IC_CV_CNTRY" spid="_x0000_s142492"/>
                </a:ext>
              </a:extLst>
            </xdr:cNvPicPr>
          </xdr:nvPicPr>
          <xdr:blipFill>
            <a:blip xmlns:r="http://schemas.openxmlformats.org/officeDocument/2006/relationships" r:embed="rId1"/>
            <a:stretch>
              <a:fillRect/>
            </a:stretch>
          </xdr:blipFill>
          <xdr:spPr>
            <a:xfrm>
              <a:off x="7134224" y="902682"/>
              <a:ext cx="1191788" cy="761800"/>
            </a:xfrm>
            <a:prstGeom prst="rect">
              <a:avLst/>
            </a:prstGeom>
          </xdr:spPr>
        </xdr:pic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190500</xdr:colOff>
          <xdr:row>10</xdr:row>
          <xdr:rowOff>9525</xdr:rowOff>
        </xdr:from>
        <xdr:to>
          <xdr:col>9</xdr:col>
          <xdr:colOff>0</xdr:colOff>
          <xdr:row>16</xdr:row>
          <xdr:rowOff>0</xdr:rowOff>
        </xdr:to>
        <xdr:sp macro="" textlink="">
          <xdr:nvSpPr>
            <xdr:cNvPr id="35615" name="Scroll Bar 2847" hidden="1">
              <a:extLst>
                <a:ext uri="{63B3BB69-23CF-44E3-9099-C40C66FF867C}">
                  <a14:compatExt spid="_x0000_s35615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xdr:twoCellAnchor>
    <xdr:from>
      <xdr:col>12</xdr:col>
      <xdr:colOff>148069</xdr:colOff>
      <xdr:row>28</xdr:row>
      <xdr:rowOff>173962</xdr:rowOff>
    </xdr:from>
    <xdr:to>
      <xdr:col>12</xdr:col>
      <xdr:colOff>422389</xdr:colOff>
      <xdr:row>30</xdr:row>
      <xdr:rowOff>14365</xdr:rowOff>
    </xdr:to>
    <xdr:sp macro="" textlink="">
      <xdr:nvSpPr>
        <xdr:cNvPr id="60" name="Oval 59"/>
        <xdr:cNvSpPr>
          <a:spLocks noChangeAspect="1"/>
        </xdr:cNvSpPr>
      </xdr:nvSpPr>
      <xdr:spPr>
        <a:xfrm>
          <a:off x="7148944" y="7593937"/>
          <a:ext cx="274320" cy="269028"/>
        </a:xfrm>
        <a:prstGeom prst="ellipse">
          <a:avLst/>
        </a:prstGeom>
        <a:solidFill>
          <a:schemeClr val="bg1">
            <a:lumMod val="65000"/>
          </a:schemeClr>
        </a:solidFill>
        <a:ln w="635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600">
              <a:latin typeface="Trebuchet MS" panose="020B0603020202020204" pitchFamily="34" charset="0"/>
            </a:rPr>
            <a:t>S</a:t>
          </a:r>
        </a:p>
      </xdr:txBody>
    </xdr:sp>
    <xdr:clientData/>
  </xdr:twoCellAnchor>
  <xdr:twoCellAnchor>
    <xdr:from>
      <xdr:col>12</xdr:col>
      <xdr:colOff>148069</xdr:colOff>
      <xdr:row>32</xdr:row>
      <xdr:rowOff>186298</xdr:rowOff>
    </xdr:from>
    <xdr:to>
      <xdr:col>12</xdr:col>
      <xdr:colOff>422389</xdr:colOff>
      <xdr:row>34</xdr:row>
      <xdr:rowOff>26701</xdr:rowOff>
    </xdr:to>
    <xdr:sp macro="" textlink="">
      <xdr:nvSpPr>
        <xdr:cNvPr id="61" name="Oval 60"/>
        <xdr:cNvSpPr>
          <a:spLocks noChangeAspect="1"/>
        </xdr:cNvSpPr>
      </xdr:nvSpPr>
      <xdr:spPr>
        <a:xfrm>
          <a:off x="7148944" y="8511148"/>
          <a:ext cx="274320" cy="269028"/>
        </a:xfrm>
        <a:prstGeom prst="ellipse">
          <a:avLst/>
        </a:prstGeom>
        <a:solidFill>
          <a:schemeClr val="accent2">
            <a:lumMod val="75000"/>
          </a:schemeClr>
        </a:solidFill>
        <a:ln w="6350"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600">
              <a:latin typeface="Trebuchet MS" panose="020B0603020202020204" pitchFamily="34" charset="0"/>
            </a:rPr>
            <a:t>B</a:t>
          </a:r>
        </a:p>
      </xdr:txBody>
    </xdr:sp>
    <xdr:clientData/>
  </xdr:twoCellAnchor>
  <mc:AlternateContent xmlns:mc="http://schemas.openxmlformats.org/markup-compatibility/2006">
    <mc:Choice xmlns:a14="http://schemas.microsoft.com/office/drawing/2010/main" Requires="a14">
      <xdr:oneCellAnchor>
        <xdr:from>
          <xdr:col>12</xdr:col>
          <xdr:colOff>614392</xdr:colOff>
          <xdr:row>29</xdr:row>
          <xdr:rowOff>854</xdr:rowOff>
        </xdr:from>
        <xdr:ext cx="376825" cy="241979"/>
        <xdr:pic>
          <xdr:nvPicPr>
            <xdr:cNvPr id="75" name="Picture 74"/>
            <xdr:cNvPicPr>
              <a:picLocks noChangeAspect="1"/>
              <a:extLst>
                <a:ext uri="{84589F7E-364E-4C9E-8A38-B11213B215E9}">
                  <a14:cameraTool cellRange="IC_POD_S1" spid="_x0000_s142493"/>
                </a:ext>
              </a:extLst>
            </xdr:cNvPicPr>
          </xdr:nvPicPr>
          <xdr:blipFill>
            <a:blip xmlns:r="http://schemas.openxmlformats.org/officeDocument/2006/relationships" r:embed="rId9"/>
            <a:stretch>
              <a:fillRect/>
            </a:stretch>
          </xdr:blipFill>
          <xdr:spPr>
            <a:xfrm>
              <a:off x="7615267" y="7611329"/>
              <a:ext cx="376825" cy="241979"/>
            </a:xfrm>
            <a:prstGeom prst="rect">
              <a:avLst/>
            </a:prstGeom>
            <a:ln>
              <a:noFill/>
            </a:ln>
          </xdr:spPr>
        </xdr:pic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12</xdr:col>
          <xdr:colOff>614392</xdr:colOff>
          <xdr:row>32</xdr:row>
          <xdr:rowOff>189810</xdr:rowOff>
        </xdr:from>
        <xdr:ext cx="376825" cy="247282"/>
        <xdr:pic>
          <xdr:nvPicPr>
            <xdr:cNvPr id="76" name="Picture 75"/>
            <xdr:cNvPicPr>
              <a:picLocks noChangeAspect="1"/>
              <a:extLst>
                <a:ext uri="{84589F7E-364E-4C9E-8A38-B11213B215E9}">
                  <a14:cameraTool cellRange="IC_POD_B1" spid="_x0000_s142494"/>
                </a:ext>
              </a:extLst>
            </xdr:cNvPicPr>
          </xdr:nvPicPr>
          <xdr:blipFill>
            <a:blip xmlns:r="http://schemas.openxmlformats.org/officeDocument/2006/relationships" r:embed="rId10"/>
            <a:stretch>
              <a:fillRect/>
            </a:stretch>
          </xdr:blipFill>
          <xdr:spPr>
            <a:xfrm>
              <a:off x="7615267" y="8514660"/>
              <a:ext cx="376825" cy="247282"/>
            </a:xfrm>
            <a:prstGeom prst="rect">
              <a:avLst/>
            </a:prstGeom>
            <a:ln>
              <a:noFill/>
            </a:ln>
          </xdr:spPr>
        </xdr:pic>
        <xdr:clientData/>
      </xdr:oneCellAnchor>
    </mc:Choice>
    <mc:Fallback/>
  </mc:AlternateContent>
  <xdr:twoCellAnchor>
    <xdr:from>
      <xdr:col>0</xdr:col>
      <xdr:colOff>198256</xdr:colOff>
      <xdr:row>20</xdr:row>
      <xdr:rowOff>75541</xdr:rowOff>
    </xdr:from>
    <xdr:to>
      <xdr:col>8</xdr:col>
      <xdr:colOff>112059</xdr:colOff>
      <xdr:row>38</xdr:row>
      <xdr:rowOff>10582</xdr:rowOff>
    </xdr:to>
    <xdr:graphicFrame macro="">
      <xdr:nvGraphicFramePr>
        <xdr:cNvPr id="81" name="Chart 80"/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1"/>
        </a:graphicData>
      </a:graphic>
    </xdr:graphicFrame>
    <xdr:clientData/>
  </xdr:twoCellAnchor>
  <mc:AlternateContent xmlns:mc="http://schemas.openxmlformats.org/markup-compatibility/2006">
    <mc:Choice xmlns:a14="http://schemas.microsoft.com/office/drawing/2010/main" Requires="a14">
      <xdr:twoCellAnchor editAs="oneCell">
        <xdr:from>
          <xdr:col>8</xdr:col>
          <xdr:colOff>95250</xdr:colOff>
          <xdr:row>20</xdr:row>
          <xdr:rowOff>47625</xdr:rowOff>
        </xdr:from>
        <xdr:to>
          <xdr:col>9</xdr:col>
          <xdr:colOff>9525</xdr:colOff>
          <xdr:row>37</xdr:row>
          <xdr:rowOff>114300</xdr:rowOff>
        </xdr:to>
        <xdr:sp macro="" textlink="">
          <xdr:nvSpPr>
            <xdr:cNvPr id="49468" name="Scroll Bar 4412" hidden="1">
              <a:extLst>
                <a:ext uri="{63B3BB69-23CF-44E3-9099-C40C66FF867C}">
                  <a14:compatExt spid="_x0000_s4946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12</xdr:col>
          <xdr:colOff>614392</xdr:colOff>
          <xdr:row>26</xdr:row>
          <xdr:rowOff>14654</xdr:rowOff>
        </xdr:from>
        <xdr:ext cx="376825" cy="241977"/>
        <xdr:pic>
          <xdr:nvPicPr>
            <xdr:cNvPr id="49" name="Picture 48"/>
            <xdr:cNvPicPr>
              <a:picLocks noChangeAspect="1"/>
              <a:extLst>
                <a:ext uri="{84589F7E-364E-4C9E-8A38-B11213B215E9}">
                  <a14:cameraTool cellRange="IC_POD_G2" spid="_x0000_s142495"/>
                </a:ext>
              </a:extLst>
            </xdr:cNvPicPr>
          </xdr:nvPicPr>
          <xdr:blipFill>
            <a:blip xmlns:r="http://schemas.openxmlformats.org/officeDocument/2006/relationships" r:embed="rId1"/>
            <a:stretch>
              <a:fillRect/>
            </a:stretch>
          </xdr:blipFill>
          <xdr:spPr>
            <a:xfrm>
              <a:off x="7615267" y="7006004"/>
              <a:ext cx="376825" cy="241977"/>
            </a:xfrm>
            <a:prstGeom prst="rect">
              <a:avLst/>
            </a:prstGeom>
            <a:ln>
              <a:noFill/>
            </a:ln>
          </xdr:spPr>
        </xdr:pic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12</xdr:col>
          <xdr:colOff>614392</xdr:colOff>
          <xdr:row>30</xdr:row>
          <xdr:rowOff>6194</xdr:rowOff>
        </xdr:from>
        <xdr:ext cx="376825" cy="236673"/>
        <xdr:pic>
          <xdr:nvPicPr>
            <xdr:cNvPr id="54" name="Picture 53"/>
            <xdr:cNvPicPr>
              <a:picLocks noChangeAspect="1"/>
              <a:extLst>
                <a:ext uri="{84589F7E-364E-4C9E-8A38-B11213B215E9}">
                  <a14:cameraTool cellRange="IC_POD_S2" spid="_x0000_s142496"/>
                </a:ext>
              </a:extLst>
            </xdr:cNvPicPr>
          </xdr:nvPicPr>
          <xdr:blipFill>
            <a:blip xmlns:r="http://schemas.openxmlformats.org/officeDocument/2006/relationships" r:embed="rId1"/>
            <a:stretch>
              <a:fillRect/>
            </a:stretch>
          </xdr:blipFill>
          <xdr:spPr>
            <a:xfrm>
              <a:off x="7615267" y="7854794"/>
              <a:ext cx="376825" cy="236673"/>
            </a:xfrm>
            <a:prstGeom prst="rect">
              <a:avLst/>
            </a:prstGeom>
            <a:ln>
              <a:noFill/>
            </a:ln>
          </xdr:spPr>
        </xdr:pic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12</xdr:col>
          <xdr:colOff>614392</xdr:colOff>
          <xdr:row>31</xdr:row>
          <xdr:rowOff>8771</xdr:rowOff>
        </xdr:from>
        <xdr:ext cx="376825" cy="236674"/>
        <xdr:pic>
          <xdr:nvPicPr>
            <xdr:cNvPr id="55" name="Picture 54"/>
            <xdr:cNvPicPr>
              <a:picLocks noChangeAspect="1"/>
              <a:extLst>
                <a:ext uri="{84589F7E-364E-4C9E-8A38-B11213B215E9}">
                  <a14:cameraTool cellRange="IC_POD_S3" spid="_x0000_s142497"/>
                </a:ext>
              </a:extLst>
            </xdr:cNvPicPr>
          </xdr:nvPicPr>
          <xdr:blipFill>
            <a:blip xmlns:r="http://schemas.openxmlformats.org/officeDocument/2006/relationships" r:embed="rId1"/>
            <a:stretch>
              <a:fillRect/>
            </a:stretch>
          </xdr:blipFill>
          <xdr:spPr>
            <a:xfrm>
              <a:off x="7615267" y="8095496"/>
              <a:ext cx="376825" cy="236674"/>
            </a:xfrm>
            <a:prstGeom prst="rect">
              <a:avLst/>
            </a:prstGeom>
            <a:ln>
              <a:noFill/>
            </a:ln>
          </xdr:spPr>
        </xdr:pic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12</xdr:col>
          <xdr:colOff>614392</xdr:colOff>
          <xdr:row>34</xdr:row>
          <xdr:rowOff>16849</xdr:rowOff>
        </xdr:from>
        <xdr:ext cx="376825" cy="241979"/>
        <xdr:pic>
          <xdr:nvPicPr>
            <xdr:cNvPr id="56" name="Picture 55"/>
            <xdr:cNvPicPr>
              <a:picLocks noChangeAspect="1"/>
              <a:extLst>
                <a:ext uri="{84589F7E-364E-4C9E-8A38-B11213B215E9}">
                  <a14:cameraTool cellRange="IC_POD_B2" spid="_x0000_s142498"/>
                </a:ext>
              </a:extLst>
            </xdr:cNvPicPr>
          </xdr:nvPicPr>
          <xdr:blipFill>
            <a:blip xmlns:r="http://schemas.openxmlformats.org/officeDocument/2006/relationships" r:embed="rId1"/>
            <a:stretch>
              <a:fillRect/>
            </a:stretch>
          </xdr:blipFill>
          <xdr:spPr>
            <a:xfrm>
              <a:off x="7615267" y="8770324"/>
              <a:ext cx="376825" cy="241979"/>
            </a:xfrm>
            <a:prstGeom prst="rect">
              <a:avLst/>
            </a:prstGeom>
            <a:ln>
              <a:noFill/>
            </a:ln>
          </xdr:spPr>
        </xdr:pic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twoCellAnchor editAs="oneCell">
        <xdr:from>
          <xdr:col>19</xdr:col>
          <xdr:colOff>352425</xdr:colOff>
          <xdr:row>10</xdr:row>
          <xdr:rowOff>0</xdr:rowOff>
        </xdr:from>
        <xdr:to>
          <xdr:col>20</xdr:col>
          <xdr:colOff>9525</xdr:colOff>
          <xdr:row>15</xdr:row>
          <xdr:rowOff>285750</xdr:rowOff>
        </xdr:to>
        <xdr:sp macro="" textlink="">
          <xdr:nvSpPr>
            <xdr:cNvPr id="68458" name="Scroll Bar 7018" hidden="1">
              <a:extLst>
                <a:ext uri="{63B3BB69-23CF-44E3-9099-C40C66FF867C}">
                  <a14:compatExt spid="_x0000_s68458"/>
                </a:ext>
              </a:extLst>
            </xdr:cNvPr>
            <xdr:cNvSpPr/>
          </xdr:nvSpPr>
          <xdr:spPr bwMode="auto">
            <a:xfrm>
              <a:off x="0" y="0"/>
              <a:ext cx="0" cy="0"/>
            </a:xfrm>
            <a:prstGeom prst="rect">
              <a:avLst/>
            </a:prstGeom>
            <a:noFill/>
            <a:ln w="9525">
              <a:miter lim="800000"/>
              <a:headEnd/>
              <a:tailEnd/>
            </a:ln>
          </xdr:spPr>
        </xdr:sp>
        <xdr:clientData/>
      </xdr:two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10</xdr:col>
          <xdr:colOff>243437</xdr:colOff>
          <xdr:row>11</xdr:row>
          <xdr:rowOff>67235</xdr:rowOff>
        </xdr:from>
        <xdr:ext cx="358763" cy="223283"/>
        <xdr:pic>
          <xdr:nvPicPr>
            <xdr:cNvPr id="48" name="Picture 47"/>
            <xdr:cNvPicPr>
              <a:picLocks noChangeAspect="1"/>
              <a:extLst>
                <a:ext uri="{84589F7E-364E-4C9E-8A38-B11213B215E9}">
                  <a14:cameraTool cellRange="IC_ATH_1" spid="_x0000_s142499"/>
                </a:ext>
              </a:extLst>
            </xdr:cNvPicPr>
          </xdr:nvPicPr>
          <xdr:blipFill>
            <a:blip xmlns:r="http://schemas.openxmlformats.org/officeDocument/2006/relationships" r:embed="rId8"/>
            <a:stretch>
              <a:fillRect/>
            </a:stretch>
          </xdr:blipFill>
          <xdr:spPr>
            <a:xfrm>
              <a:off x="6216172" y="3092823"/>
              <a:ext cx="358763" cy="223283"/>
            </a:xfrm>
            <a:prstGeom prst="rect">
              <a:avLst/>
            </a:prstGeom>
            <a:ln>
              <a:noFill/>
            </a:ln>
          </xdr:spPr>
        </xdr:pic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10</xdr:col>
          <xdr:colOff>243437</xdr:colOff>
          <xdr:row>12</xdr:row>
          <xdr:rowOff>56995</xdr:rowOff>
        </xdr:from>
        <xdr:ext cx="358763" cy="223283"/>
        <xdr:pic>
          <xdr:nvPicPr>
            <xdr:cNvPr id="57" name="Picture 56"/>
            <xdr:cNvPicPr>
              <a:picLocks noChangeAspect="1"/>
              <a:extLst>
                <a:ext uri="{84589F7E-364E-4C9E-8A38-B11213B215E9}">
                  <a14:cameraTool cellRange="IC_ATH_2" spid="_x0000_s142500"/>
                </a:ext>
              </a:extLst>
            </xdr:cNvPicPr>
          </xdr:nvPicPr>
          <xdr:blipFill>
            <a:blip xmlns:r="http://schemas.openxmlformats.org/officeDocument/2006/relationships" r:embed="rId12"/>
            <a:stretch>
              <a:fillRect/>
            </a:stretch>
          </xdr:blipFill>
          <xdr:spPr>
            <a:xfrm>
              <a:off x="6216172" y="3385142"/>
              <a:ext cx="358763" cy="223283"/>
            </a:xfrm>
            <a:prstGeom prst="rect">
              <a:avLst/>
            </a:prstGeom>
            <a:ln>
              <a:noFill/>
            </a:ln>
          </xdr:spPr>
        </xdr:pic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10</xdr:col>
          <xdr:colOff>243437</xdr:colOff>
          <xdr:row>13</xdr:row>
          <xdr:rowOff>46755</xdr:rowOff>
        </xdr:from>
        <xdr:ext cx="358763" cy="223283"/>
        <xdr:pic>
          <xdr:nvPicPr>
            <xdr:cNvPr id="58" name="Picture 57"/>
            <xdr:cNvPicPr>
              <a:picLocks noChangeAspect="1"/>
              <a:extLst>
                <a:ext uri="{84589F7E-364E-4C9E-8A38-B11213B215E9}">
                  <a14:cameraTool cellRange="IC_ATH_3" spid="_x0000_s142501"/>
                </a:ext>
              </a:extLst>
            </xdr:cNvPicPr>
          </xdr:nvPicPr>
          <xdr:blipFill>
            <a:blip xmlns:r="http://schemas.openxmlformats.org/officeDocument/2006/relationships" r:embed="rId12"/>
            <a:stretch>
              <a:fillRect/>
            </a:stretch>
          </xdr:blipFill>
          <xdr:spPr>
            <a:xfrm>
              <a:off x="6216172" y="3677461"/>
              <a:ext cx="358763" cy="223283"/>
            </a:xfrm>
            <a:prstGeom prst="rect">
              <a:avLst/>
            </a:prstGeom>
            <a:ln>
              <a:noFill/>
            </a:ln>
          </xdr:spPr>
        </xdr:pic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10</xdr:col>
          <xdr:colOff>243437</xdr:colOff>
          <xdr:row>14</xdr:row>
          <xdr:rowOff>36515</xdr:rowOff>
        </xdr:from>
        <xdr:ext cx="358763" cy="223283"/>
        <xdr:pic>
          <xdr:nvPicPr>
            <xdr:cNvPr id="59" name="Picture 58"/>
            <xdr:cNvPicPr>
              <a:picLocks noChangeAspect="1"/>
              <a:extLst>
                <a:ext uri="{84589F7E-364E-4C9E-8A38-B11213B215E9}">
                  <a14:cameraTool cellRange="IC_ATH_4" spid="_x0000_s142502"/>
                </a:ext>
              </a:extLst>
            </xdr:cNvPicPr>
          </xdr:nvPicPr>
          <xdr:blipFill>
            <a:blip xmlns:r="http://schemas.openxmlformats.org/officeDocument/2006/relationships" r:embed="rId13"/>
            <a:stretch>
              <a:fillRect/>
            </a:stretch>
          </xdr:blipFill>
          <xdr:spPr>
            <a:xfrm>
              <a:off x="6216172" y="3969780"/>
              <a:ext cx="358763" cy="223283"/>
            </a:xfrm>
            <a:prstGeom prst="rect">
              <a:avLst/>
            </a:prstGeom>
            <a:ln>
              <a:noFill/>
            </a:ln>
          </xdr:spPr>
        </xdr:pic>
        <xdr:clientData/>
      </xdr:oneCellAnchor>
    </mc:Choice>
    <mc:Fallback/>
  </mc:AlternateContent>
  <mc:AlternateContent xmlns:mc="http://schemas.openxmlformats.org/markup-compatibility/2006">
    <mc:Choice xmlns:a14="http://schemas.microsoft.com/office/drawing/2010/main" Requires="a14">
      <xdr:oneCellAnchor>
        <xdr:from>
          <xdr:col>10</xdr:col>
          <xdr:colOff>243437</xdr:colOff>
          <xdr:row>15</xdr:row>
          <xdr:rowOff>26276</xdr:rowOff>
        </xdr:from>
        <xdr:ext cx="358763" cy="223283"/>
        <xdr:pic>
          <xdr:nvPicPr>
            <xdr:cNvPr id="62" name="Picture 61"/>
            <xdr:cNvPicPr>
              <a:picLocks noChangeAspect="1"/>
              <a:extLst>
                <a:ext uri="{84589F7E-364E-4C9E-8A38-B11213B215E9}">
                  <a14:cameraTool cellRange="IC_ATH_5" spid="_x0000_s142503"/>
                </a:ext>
              </a:extLst>
            </xdr:cNvPicPr>
          </xdr:nvPicPr>
          <xdr:blipFill>
            <a:blip xmlns:r="http://schemas.openxmlformats.org/officeDocument/2006/relationships" r:embed="rId12"/>
            <a:stretch>
              <a:fillRect/>
            </a:stretch>
          </xdr:blipFill>
          <xdr:spPr>
            <a:xfrm>
              <a:off x="6216172" y="4262100"/>
              <a:ext cx="358763" cy="223283"/>
            </a:xfrm>
            <a:prstGeom prst="rect">
              <a:avLst/>
            </a:prstGeom>
            <a:ln>
              <a:noFill/>
            </a:ln>
          </xdr:spPr>
        </xdr:pic>
        <xdr:clientData/>
      </xdr:oneCellAnchor>
    </mc:Choice>
    <mc:Fallback/>
  </mc:AlternateContent>
</xdr:wsDr>
</file>

<file path=xl/drawings/drawing3.xml><?xml version="1.0" encoding="utf-8"?>
<xdr:wsDr xmlns:xdr="http://schemas.openxmlformats.org/drawingml/2006/spreadsheetDrawing" xmlns:a="http://schemas.openxmlformats.org/drawingml/2006/main">
  <xdr:twoCellAnchor editAs="oneCell">
    <xdr:from>
      <xdr:col>2</xdr:col>
      <xdr:colOff>0</xdr:colOff>
      <xdr:row>1</xdr:row>
      <xdr:rowOff>1</xdr:rowOff>
    </xdr:from>
    <xdr:to>
      <xdr:col>3</xdr:col>
      <xdr:colOff>0</xdr:colOff>
      <xdr:row>1</xdr:row>
      <xdr:rowOff>714376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68957" y="190501"/>
          <a:ext cx="1143000" cy="714375"/>
        </a:xfrm>
        <a:prstGeom prst="rect">
          <a:avLst/>
        </a:prstGeom>
      </xdr:spPr>
    </xdr:pic>
    <xdr:clientData/>
  </xdr:twoCellAnchor>
  <xdr:twoCellAnchor editAs="oneCell">
    <xdr:from>
      <xdr:col>1</xdr:col>
      <xdr:colOff>2141482</xdr:colOff>
      <xdr:row>2</xdr:row>
      <xdr:rowOff>6569</xdr:rowOff>
    </xdr:from>
    <xdr:to>
      <xdr:col>3</xdr:col>
      <xdr:colOff>0</xdr:colOff>
      <xdr:row>3</xdr:row>
      <xdr:rowOff>357</xdr:rowOff>
    </xdr:to>
    <xdr:pic>
      <xdr:nvPicPr>
        <xdr:cNvPr id="6" name="Picture 5"/>
        <xdr:cNvPicPr>
          <a:picLocks noChangeAspect="1"/>
        </xdr:cNvPicPr>
      </xdr:nvPicPr>
      <xdr:blipFill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71241" y="919655"/>
          <a:ext cx="1143000" cy="71437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40</xdr:row>
      <xdr:rowOff>8468</xdr:rowOff>
    </xdr:from>
    <xdr:to>
      <xdr:col>2</xdr:col>
      <xdr:colOff>1141842</xdr:colOff>
      <xdr:row>41</xdr:row>
      <xdr:rowOff>1533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70543" y="29219819"/>
          <a:ext cx="1141842" cy="713651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200</xdr:row>
      <xdr:rowOff>8106</xdr:rowOff>
    </xdr:from>
    <xdr:to>
      <xdr:col>2</xdr:col>
      <xdr:colOff>1141841</xdr:colOff>
      <xdr:row>201</xdr:row>
      <xdr:rowOff>1172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70543" y="140224212"/>
          <a:ext cx="1141841" cy="713651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74</xdr:row>
      <xdr:rowOff>8106</xdr:rowOff>
    </xdr:from>
    <xdr:to>
      <xdr:col>2</xdr:col>
      <xdr:colOff>1141841</xdr:colOff>
      <xdr:row>75</xdr:row>
      <xdr:rowOff>1169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70543" y="139498691"/>
          <a:ext cx="1141841" cy="7136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158</xdr:row>
      <xdr:rowOff>8106</xdr:rowOff>
    </xdr:from>
    <xdr:to>
      <xdr:col>2</xdr:col>
      <xdr:colOff>1141840</xdr:colOff>
      <xdr:row>159</xdr:row>
      <xdr:rowOff>1169</xdr:rowOff>
    </xdr:to>
    <xdr:pic>
      <xdr:nvPicPr>
        <xdr:cNvPr id="10" name="Picture 9"/>
        <xdr:cNvPicPr>
          <a:picLocks noChangeAspect="1"/>
        </xdr:cNvPicPr>
      </xdr:nvPicPr>
      <xdr:blipFill>
        <a:blip xmlns:r="http://schemas.openxmlformats.org/officeDocument/2006/relationships" r:embed="rId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70543" y="110477840"/>
          <a:ext cx="1141840" cy="7136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</xdr:row>
      <xdr:rowOff>8468</xdr:rowOff>
    </xdr:from>
    <xdr:to>
      <xdr:col>2</xdr:col>
      <xdr:colOff>1141842</xdr:colOff>
      <xdr:row>4</xdr:row>
      <xdr:rowOff>1532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70543" y="1650011"/>
          <a:ext cx="1141842" cy="713651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</xdr:row>
      <xdr:rowOff>8106</xdr:rowOff>
    </xdr:from>
    <xdr:to>
      <xdr:col>2</xdr:col>
      <xdr:colOff>1141841</xdr:colOff>
      <xdr:row>5</xdr:row>
      <xdr:rowOff>1170</xdr:rowOff>
    </xdr:to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70543" y="2375170"/>
          <a:ext cx="1141841" cy="713651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</xdr:row>
      <xdr:rowOff>8106</xdr:rowOff>
    </xdr:from>
    <xdr:to>
      <xdr:col>2</xdr:col>
      <xdr:colOff>1141841</xdr:colOff>
      <xdr:row>6</xdr:row>
      <xdr:rowOff>1169</xdr:rowOff>
    </xdr:to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70543" y="3100691"/>
          <a:ext cx="1141841" cy="7136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</xdr:row>
      <xdr:rowOff>8106</xdr:rowOff>
    </xdr:from>
    <xdr:to>
      <xdr:col>2</xdr:col>
      <xdr:colOff>1141840</xdr:colOff>
      <xdr:row>7</xdr:row>
      <xdr:rowOff>1169</xdr:rowOff>
    </xdr:to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70543" y="3826212"/>
          <a:ext cx="1141840" cy="7136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</xdr:row>
      <xdr:rowOff>8106</xdr:rowOff>
    </xdr:from>
    <xdr:to>
      <xdr:col>2</xdr:col>
      <xdr:colOff>1141840</xdr:colOff>
      <xdr:row>8</xdr:row>
      <xdr:rowOff>1169</xdr:rowOff>
    </xdr:to>
    <xdr:pic>
      <xdr:nvPicPr>
        <xdr:cNvPr id="15" name="Picture 14"/>
        <xdr:cNvPicPr>
          <a:picLocks noChangeAspect="1"/>
        </xdr:cNvPicPr>
      </xdr:nvPicPr>
      <xdr:blipFill>
        <a:blip xmlns:r="http://schemas.openxmlformats.org/officeDocument/2006/relationships" r:embed="rId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70543" y="4551734"/>
          <a:ext cx="1141840" cy="7136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</xdr:row>
      <xdr:rowOff>8106</xdr:rowOff>
    </xdr:from>
    <xdr:to>
      <xdr:col>2</xdr:col>
      <xdr:colOff>1141840</xdr:colOff>
      <xdr:row>9</xdr:row>
      <xdr:rowOff>1169</xdr:rowOff>
    </xdr:to>
    <xdr:pic>
      <xdr:nvPicPr>
        <xdr:cNvPr id="16" name="Picture 15"/>
        <xdr:cNvPicPr>
          <a:picLocks noChangeAspect="1"/>
        </xdr:cNvPicPr>
      </xdr:nvPicPr>
      <xdr:blipFill>
        <a:blip xmlns:r="http://schemas.openxmlformats.org/officeDocument/2006/relationships" r:embed="rId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70543" y="5277255"/>
          <a:ext cx="1141840" cy="7136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9</xdr:row>
      <xdr:rowOff>8106</xdr:rowOff>
    </xdr:from>
    <xdr:to>
      <xdr:col>2</xdr:col>
      <xdr:colOff>1141840</xdr:colOff>
      <xdr:row>10</xdr:row>
      <xdr:rowOff>1169</xdr:rowOff>
    </xdr:to>
    <xdr:pic>
      <xdr:nvPicPr>
        <xdr:cNvPr id="17" name="Picture 16"/>
        <xdr:cNvPicPr>
          <a:picLocks noChangeAspect="1"/>
        </xdr:cNvPicPr>
      </xdr:nvPicPr>
      <xdr:blipFill>
        <a:blip xmlns:r="http://schemas.openxmlformats.org/officeDocument/2006/relationships" r:embed="rId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70543" y="6002776"/>
          <a:ext cx="1141840" cy="7136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10</xdr:row>
      <xdr:rowOff>8106</xdr:rowOff>
    </xdr:from>
    <xdr:to>
      <xdr:col>2</xdr:col>
      <xdr:colOff>1141840</xdr:colOff>
      <xdr:row>11</xdr:row>
      <xdr:rowOff>1169</xdr:rowOff>
    </xdr:to>
    <xdr:pic>
      <xdr:nvPicPr>
        <xdr:cNvPr id="18" name="Picture 17"/>
        <xdr:cNvPicPr>
          <a:picLocks noChangeAspect="1"/>
        </xdr:cNvPicPr>
      </xdr:nvPicPr>
      <xdr:blipFill>
        <a:blip xmlns:r="http://schemas.openxmlformats.org/officeDocument/2006/relationships" r:embed="rId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70543" y="6728297"/>
          <a:ext cx="1141840" cy="7136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11</xdr:row>
      <xdr:rowOff>8106</xdr:rowOff>
    </xdr:from>
    <xdr:to>
      <xdr:col>2</xdr:col>
      <xdr:colOff>1141840</xdr:colOff>
      <xdr:row>12</xdr:row>
      <xdr:rowOff>1169</xdr:rowOff>
    </xdr:to>
    <xdr:pic>
      <xdr:nvPicPr>
        <xdr:cNvPr id="19" name="Picture 18"/>
        <xdr:cNvPicPr>
          <a:picLocks noChangeAspect="1"/>
        </xdr:cNvPicPr>
      </xdr:nvPicPr>
      <xdr:blipFill>
        <a:blip xmlns:r="http://schemas.openxmlformats.org/officeDocument/2006/relationships" r:embed="rId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70543" y="7453819"/>
          <a:ext cx="1141840" cy="7136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12</xdr:row>
      <xdr:rowOff>8106</xdr:rowOff>
    </xdr:from>
    <xdr:to>
      <xdr:col>2</xdr:col>
      <xdr:colOff>1141840</xdr:colOff>
      <xdr:row>13</xdr:row>
      <xdr:rowOff>1169</xdr:rowOff>
    </xdr:to>
    <xdr:pic>
      <xdr:nvPicPr>
        <xdr:cNvPr id="20" name="Picture 19"/>
        <xdr:cNvPicPr>
          <a:picLocks noChangeAspect="1"/>
        </xdr:cNvPicPr>
      </xdr:nvPicPr>
      <xdr:blipFill>
        <a:blip xmlns:r="http://schemas.openxmlformats.org/officeDocument/2006/relationships" r:embed="rId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70543" y="8179340"/>
          <a:ext cx="1141840" cy="7136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13</xdr:row>
      <xdr:rowOff>8106</xdr:rowOff>
    </xdr:from>
    <xdr:to>
      <xdr:col>2</xdr:col>
      <xdr:colOff>1141840</xdr:colOff>
      <xdr:row>14</xdr:row>
      <xdr:rowOff>1169</xdr:rowOff>
    </xdr:to>
    <xdr:pic>
      <xdr:nvPicPr>
        <xdr:cNvPr id="21" name="Picture 20"/>
        <xdr:cNvPicPr>
          <a:picLocks noChangeAspect="1"/>
        </xdr:cNvPicPr>
      </xdr:nvPicPr>
      <xdr:blipFill>
        <a:blip xmlns:r="http://schemas.openxmlformats.org/officeDocument/2006/relationships" r:embed="rId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70543" y="8904861"/>
          <a:ext cx="1141840" cy="7136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14</xdr:row>
      <xdr:rowOff>8106</xdr:rowOff>
    </xdr:from>
    <xdr:to>
      <xdr:col>2</xdr:col>
      <xdr:colOff>1141840</xdr:colOff>
      <xdr:row>15</xdr:row>
      <xdr:rowOff>1169</xdr:rowOff>
    </xdr:to>
    <xdr:pic>
      <xdr:nvPicPr>
        <xdr:cNvPr id="22" name="Picture 21"/>
        <xdr:cNvPicPr>
          <a:picLocks noChangeAspect="1"/>
        </xdr:cNvPicPr>
      </xdr:nvPicPr>
      <xdr:blipFill>
        <a:blip xmlns:r="http://schemas.openxmlformats.org/officeDocument/2006/relationships" r:embed="rId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70543" y="9630383"/>
          <a:ext cx="1141840" cy="7136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15</xdr:row>
      <xdr:rowOff>8106</xdr:rowOff>
    </xdr:from>
    <xdr:to>
      <xdr:col>2</xdr:col>
      <xdr:colOff>1141840</xdr:colOff>
      <xdr:row>16</xdr:row>
      <xdr:rowOff>1169</xdr:rowOff>
    </xdr:to>
    <xdr:pic>
      <xdr:nvPicPr>
        <xdr:cNvPr id="23" name="Picture 22"/>
        <xdr:cNvPicPr>
          <a:picLocks noChangeAspect="1"/>
        </xdr:cNvPicPr>
      </xdr:nvPicPr>
      <xdr:blipFill>
        <a:blip xmlns:r="http://schemas.openxmlformats.org/officeDocument/2006/relationships" r:embed="rId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70543" y="10355904"/>
          <a:ext cx="1141840" cy="7136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16</xdr:row>
      <xdr:rowOff>8106</xdr:rowOff>
    </xdr:from>
    <xdr:to>
      <xdr:col>2</xdr:col>
      <xdr:colOff>1141840</xdr:colOff>
      <xdr:row>17</xdr:row>
      <xdr:rowOff>1169</xdr:rowOff>
    </xdr:to>
    <xdr:pic>
      <xdr:nvPicPr>
        <xdr:cNvPr id="24" name="Picture 23"/>
        <xdr:cNvPicPr>
          <a:picLocks noChangeAspect="1"/>
        </xdr:cNvPicPr>
      </xdr:nvPicPr>
      <xdr:blipFill>
        <a:blip xmlns:r="http://schemas.openxmlformats.org/officeDocument/2006/relationships" r:embed="rId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70543" y="11081425"/>
          <a:ext cx="1141840" cy="7136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17</xdr:row>
      <xdr:rowOff>8106</xdr:rowOff>
    </xdr:from>
    <xdr:to>
      <xdr:col>2</xdr:col>
      <xdr:colOff>1141840</xdr:colOff>
      <xdr:row>18</xdr:row>
      <xdr:rowOff>1170</xdr:rowOff>
    </xdr:to>
    <xdr:pic>
      <xdr:nvPicPr>
        <xdr:cNvPr id="25" name="Picture 24"/>
        <xdr:cNvPicPr>
          <a:picLocks noChangeAspect="1"/>
        </xdr:cNvPicPr>
      </xdr:nvPicPr>
      <xdr:blipFill>
        <a:blip xmlns:r="http://schemas.openxmlformats.org/officeDocument/2006/relationships" r:embed="rId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70543" y="11806946"/>
          <a:ext cx="1141840" cy="7136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18</xdr:row>
      <xdr:rowOff>8106</xdr:rowOff>
    </xdr:from>
    <xdr:to>
      <xdr:col>2</xdr:col>
      <xdr:colOff>1141840</xdr:colOff>
      <xdr:row>19</xdr:row>
      <xdr:rowOff>1169</xdr:rowOff>
    </xdr:to>
    <xdr:pic>
      <xdr:nvPicPr>
        <xdr:cNvPr id="26" name="Picture 25"/>
        <xdr:cNvPicPr>
          <a:picLocks noChangeAspect="1"/>
        </xdr:cNvPicPr>
      </xdr:nvPicPr>
      <xdr:blipFill>
        <a:blip xmlns:r="http://schemas.openxmlformats.org/officeDocument/2006/relationships" r:embed="rId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70543" y="12532468"/>
          <a:ext cx="1141840" cy="7136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19</xdr:row>
      <xdr:rowOff>8106</xdr:rowOff>
    </xdr:from>
    <xdr:to>
      <xdr:col>2</xdr:col>
      <xdr:colOff>1141840</xdr:colOff>
      <xdr:row>20</xdr:row>
      <xdr:rowOff>1169</xdr:rowOff>
    </xdr:to>
    <xdr:pic>
      <xdr:nvPicPr>
        <xdr:cNvPr id="27" name="Picture 26"/>
        <xdr:cNvPicPr>
          <a:picLocks noChangeAspect="1"/>
        </xdr:cNvPicPr>
      </xdr:nvPicPr>
      <xdr:blipFill>
        <a:blip xmlns:r="http://schemas.openxmlformats.org/officeDocument/2006/relationships" r:embed="rId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70543" y="13257989"/>
          <a:ext cx="1141840" cy="7136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20</xdr:row>
      <xdr:rowOff>8106</xdr:rowOff>
    </xdr:from>
    <xdr:to>
      <xdr:col>2</xdr:col>
      <xdr:colOff>1141840</xdr:colOff>
      <xdr:row>21</xdr:row>
      <xdr:rowOff>1169</xdr:rowOff>
    </xdr:to>
    <xdr:pic>
      <xdr:nvPicPr>
        <xdr:cNvPr id="28" name="Picture 27"/>
        <xdr:cNvPicPr>
          <a:picLocks noChangeAspect="1"/>
        </xdr:cNvPicPr>
      </xdr:nvPicPr>
      <xdr:blipFill>
        <a:blip xmlns:r="http://schemas.openxmlformats.org/officeDocument/2006/relationships" r:embed="rId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70543" y="13983510"/>
          <a:ext cx="1141840" cy="7136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22</xdr:row>
      <xdr:rowOff>8106</xdr:rowOff>
    </xdr:from>
    <xdr:to>
      <xdr:col>2</xdr:col>
      <xdr:colOff>1141840</xdr:colOff>
      <xdr:row>23</xdr:row>
      <xdr:rowOff>1169</xdr:rowOff>
    </xdr:to>
    <xdr:pic>
      <xdr:nvPicPr>
        <xdr:cNvPr id="29" name="Picture 28"/>
        <xdr:cNvPicPr>
          <a:picLocks noChangeAspect="1"/>
        </xdr:cNvPicPr>
      </xdr:nvPicPr>
      <xdr:blipFill>
        <a:blip xmlns:r="http://schemas.openxmlformats.org/officeDocument/2006/relationships" r:embed="rId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70543" y="14709032"/>
          <a:ext cx="1141840" cy="7136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21</xdr:row>
      <xdr:rowOff>8106</xdr:rowOff>
    </xdr:from>
    <xdr:to>
      <xdr:col>2</xdr:col>
      <xdr:colOff>1141840</xdr:colOff>
      <xdr:row>22</xdr:row>
      <xdr:rowOff>1169</xdr:rowOff>
    </xdr:to>
    <xdr:pic>
      <xdr:nvPicPr>
        <xdr:cNvPr id="30" name="Picture 29"/>
        <xdr:cNvPicPr>
          <a:picLocks noChangeAspect="1"/>
        </xdr:cNvPicPr>
      </xdr:nvPicPr>
      <xdr:blipFill>
        <a:blip xmlns:r="http://schemas.openxmlformats.org/officeDocument/2006/relationships" r:embed="rId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70543" y="15434553"/>
          <a:ext cx="1141840" cy="7136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23</xdr:row>
      <xdr:rowOff>7950</xdr:rowOff>
    </xdr:from>
    <xdr:to>
      <xdr:col>2</xdr:col>
      <xdr:colOff>1141840</xdr:colOff>
      <xdr:row>24</xdr:row>
      <xdr:rowOff>1169</xdr:rowOff>
    </xdr:to>
    <xdr:pic>
      <xdr:nvPicPr>
        <xdr:cNvPr id="31" name="Picture 30"/>
        <xdr:cNvPicPr>
          <a:picLocks noChangeAspect="1"/>
        </xdr:cNvPicPr>
      </xdr:nvPicPr>
      <xdr:blipFill>
        <a:blip xmlns:r="http://schemas.openxmlformats.org/officeDocument/2006/relationships" r:embed="rId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70543" y="16159918"/>
          <a:ext cx="1141840" cy="713806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24</xdr:row>
      <xdr:rowOff>8106</xdr:rowOff>
    </xdr:from>
    <xdr:to>
      <xdr:col>2</xdr:col>
      <xdr:colOff>1141840</xdr:colOff>
      <xdr:row>25</xdr:row>
      <xdr:rowOff>1169</xdr:rowOff>
    </xdr:to>
    <xdr:pic>
      <xdr:nvPicPr>
        <xdr:cNvPr id="32" name="Picture 31"/>
        <xdr:cNvPicPr>
          <a:picLocks noChangeAspect="1"/>
        </xdr:cNvPicPr>
      </xdr:nvPicPr>
      <xdr:blipFill>
        <a:blip xmlns:r="http://schemas.openxmlformats.org/officeDocument/2006/relationships" r:embed="rId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70543" y="16885595"/>
          <a:ext cx="1141840" cy="7136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25</xdr:row>
      <xdr:rowOff>8106</xdr:rowOff>
    </xdr:from>
    <xdr:to>
      <xdr:col>2</xdr:col>
      <xdr:colOff>1141840</xdr:colOff>
      <xdr:row>26</xdr:row>
      <xdr:rowOff>1169</xdr:rowOff>
    </xdr:to>
    <xdr:pic>
      <xdr:nvPicPr>
        <xdr:cNvPr id="33" name="Picture 32"/>
        <xdr:cNvPicPr>
          <a:picLocks noChangeAspect="1"/>
        </xdr:cNvPicPr>
      </xdr:nvPicPr>
      <xdr:blipFill>
        <a:blip xmlns:r="http://schemas.openxmlformats.org/officeDocument/2006/relationships" r:embed="rId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70543" y="17611117"/>
          <a:ext cx="1141840" cy="7136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26</xdr:row>
      <xdr:rowOff>8106</xdr:rowOff>
    </xdr:from>
    <xdr:to>
      <xdr:col>2</xdr:col>
      <xdr:colOff>1141840</xdr:colOff>
      <xdr:row>27</xdr:row>
      <xdr:rowOff>1169</xdr:rowOff>
    </xdr:to>
    <xdr:pic>
      <xdr:nvPicPr>
        <xdr:cNvPr id="34" name="Picture 33"/>
        <xdr:cNvPicPr>
          <a:picLocks noChangeAspect="1"/>
        </xdr:cNvPicPr>
      </xdr:nvPicPr>
      <xdr:blipFill>
        <a:blip xmlns:r="http://schemas.openxmlformats.org/officeDocument/2006/relationships" r:embed="rId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70543" y="18336638"/>
          <a:ext cx="1141840" cy="7136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27</xdr:row>
      <xdr:rowOff>8106</xdr:rowOff>
    </xdr:from>
    <xdr:to>
      <xdr:col>2</xdr:col>
      <xdr:colOff>1141840</xdr:colOff>
      <xdr:row>28</xdr:row>
      <xdr:rowOff>1169</xdr:rowOff>
    </xdr:to>
    <xdr:pic>
      <xdr:nvPicPr>
        <xdr:cNvPr id="35" name="Picture 34"/>
        <xdr:cNvPicPr>
          <a:picLocks noChangeAspect="1"/>
        </xdr:cNvPicPr>
      </xdr:nvPicPr>
      <xdr:blipFill>
        <a:blip xmlns:r="http://schemas.openxmlformats.org/officeDocument/2006/relationships" r:embed="rId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14265" y="19158959"/>
          <a:ext cx="1141840" cy="72144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28</xdr:row>
      <xdr:rowOff>8106</xdr:rowOff>
    </xdr:from>
    <xdr:to>
      <xdr:col>2</xdr:col>
      <xdr:colOff>1141840</xdr:colOff>
      <xdr:row>29</xdr:row>
      <xdr:rowOff>1168</xdr:rowOff>
    </xdr:to>
    <xdr:pic>
      <xdr:nvPicPr>
        <xdr:cNvPr id="37" name="Picture 36"/>
        <xdr:cNvPicPr>
          <a:picLocks noChangeAspect="1"/>
        </xdr:cNvPicPr>
      </xdr:nvPicPr>
      <xdr:blipFill>
        <a:blip xmlns:r="http://schemas.openxmlformats.org/officeDocument/2006/relationships" r:embed="rId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70543" y="20513202"/>
          <a:ext cx="1141840" cy="7136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29</xdr:row>
      <xdr:rowOff>8106</xdr:rowOff>
    </xdr:from>
    <xdr:to>
      <xdr:col>2</xdr:col>
      <xdr:colOff>1141840</xdr:colOff>
      <xdr:row>30</xdr:row>
      <xdr:rowOff>1169</xdr:rowOff>
    </xdr:to>
    <xdr:pic>
      <xdr:nvPicPr>
        <xdr:cNvPr id="38" name="Picture 37"/>
        <xdr:cNvPicPr>
          <a:picLocks noChangeAspect="1"/>
        </xdr:cNvPicPr>
      </xdr:nvPicPr>
      <xdr:blipFill>
        <a:blip xmlns:r="http://schemas.openxmlformats.org/officeDocument/2006/relationships" r:embed="rId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70543" y="21238723"/>
          <a:ext cx="1141840" cy="7136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30</xdr:row>
      <xdr:rowOff>8106</xdr:rowOff>
    </xdr:from>
    <xdr:to>
      <xdr:col>2</xdr:col>
      <xdr:colOff>1141840</xdr:colOff>
      <xdr:row>31</xdr:row>
      <xdr:rowOff>1170</xdr:rowOff>
    </xdr:to>
    <xdr:pic>
      <xdr:nvPicPr>
        <xdr:cNvPr id="39" name="Picture 38"/>
        <xdr:cNvPicPr>
          <a:picLocks noChangeAspect="1"/>
        </xdr:cNvPicPr>
      </xdr:nvPicPr>
      <xdr:blipFill>
        <a:blip xmlns:r="http://schemas.openxmlformats.org/officeDocument/2006/relationships" r:embed="rId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14265" y="21344106"/>
          <a:ext cx="1141840" cy="721446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31</xdr:row>
      <xdr:rowOff>8106</xdr:rowOff>
    </xdr:from>
    <xdr:to>
      <xdr:col>2</xdr:col>
      <xdr:colOff>1141840</xdr:colOff>
      <xdr:row>32</xdr:row>
      <xdr:rowOff>1168</xdr:rowOff>
    </xdr:to>
    <xdr:pic>
      <xdr:nvPicPr>
        <xdr:cNvPr id="40" name="Picture 39"/>
        <xdr:cNvPicPr>
          <a:picLocks noChangeAspect="1"/>
        </xdr:cNvPicPr>
      </xdr:nvPicPr>
      <xdr:blipFill>
        <a:blip xmlns:r="http://schemas.openxmlformats.org/officeDocument/2006/relationships" r:embed="rId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70543" y="22689766"/>
          <a:ext cx="1141840" cy="7136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32</xdr:row>
      <xdr:rowOff>8106</xdr:rowOff>
    </xdr:from>
    <xdr:to>
      <xdr:col>2</xdr:col>
      <xdr:colOff>1141840</xdr:colOff>
      <xdr:row>33</xdr:row>
      <xdr:rowOff>1170</xdr:rowOff>
    </xdr:to>
    <xdr:pic>
      <xdr:nvPicPr>
        <xdr:cNvPr id="41" name="Picture 40"/>
        <xdr:cNvPicPr>
          <a:picLocks noChangeAspect="1"/>
        </xdr:cNvPicPr>
      </xdr:nvPicPr>
      <xdr:blipFill>
        <a:blip xmlns:r="http://schemas.openxmlformats.org/officeDocument/2006/relationships" r:embed="rId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70543" y="23415287"/>
          <a:ext cx="1141840" cy="7136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33</xdr:row>
      <xdr:rowOff>8106</xdr:rowOff>
    </xdr:from>
    <xdr:to>
      <xdr:col>2</xdr:col>
      <xdr:colOff>1141840</xdr:colOff>
      <xdr:row>34</xdr:row>
      <xdr:rowOff>1169</xdr:rowOff>
    </xdr:to>
    <xdr:pic>
      <xdr:nvPicPr>
        <xdr:cNvPr id="42" name="Picture 41"/>
        <xdr:cNvPicPr>
          <a:picLocks noChangeAspect="1"/>
        </xdr:cNvPicPr>
      </xdr:nvPicPr>
      <xdr:blipFill>
        <a:blip xmlns:r="http://schemas.openxmlformats.org/officeDocument/2006/relationships" r:embed="rId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70543" y="24140808"/>
          <a:ext cx="1141840" cy="7136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34</xdr:row>
      <xdr:rowOff>8106</xdr:rowOff>
    </xdr:from>
    <xdr:to>
      <xdr:col>2</xdr:col>
      <xdr:colOff>1141840</xdr:colOff>
      <xdr:row>35</xdr:row>
      <xdr:rowOff>1168</xdr:rowOff>
    </xdr:to>
    <xdr:pic>
      <xdr:nvPicPr>
        <xdr:cNvPr id="43" name="Picture 42"/>
        <xdr:cNvPicPr>
          <a:picLocks noChangeAspect="1"/>
        </xdr:cNvPicPr>
      </xdr:nvPicPr>
      <xdr:blipFill>
        <a:blip xmlns:r="http://schemas.openxmlformats.org/officeDocument/2006/relationships" r:embed="rId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70543" y="24866329"/>
          <a:ext cx="1141840" cy="7136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35</xdr:row>
      <xdr:rowOff>7949</xdr:rowOff>
    </xdr:from>
    <xdr:to>
      <xdr:col>2</xdr:col>
      <xdr:colOff>1141840</xdr:colOff>
      <xdr:row>36</xdr:row>
      <xdr:rowOff>1170</xdr:rowOff>
    </xdr:to>
    <xdr:pic>
      <xdr:nvPicPr>
        <xdr:cNvPr id="44" name="Picture 43"/>
        <xdr:cNvPicPr>
          <a:picLocks noChangeAspect="1"/>
        </xdr:cNvPicPr>
      </xdr:nvPicPr>
      <xdr:blipFill>
        <a:blip xmlns:r="http://schemas.openxmlformats.org/officeDocument/2006/relationships" r:embed="rId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70543" y="25591694"/>
          <a:ext cx="1141840" cy="713807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37</xdr:row>
      <xdr:rowOff>8106</xdr:rowOff>
    </xdr:from>
    <xdr:to>
      <xdr:col>2</xdr:col>
      <xdr:colOff>1141840</xdr:colOff>
      <xdr:row>38</xdr:row>
      <xdr:rowOff>1169</xdr:rowOff>
    </xdr:to>
    <xdr:pic>
      <xdr:nvPicPr>
        <xdr:cNvPr id="45" name="Picture 44"/>
        <xdr:cNvPicPr>
          <a:picLocks noChangeAspect="1"/>
        </xdr:cNvPicPr>
      </xdr:nvPicPr>
      <xdr:blipFill>
        <a:blip xmlns:r="http://schemas.openxmlformats.org/officeDocument/2006/relationships" r:embed="rId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70543" y="27042893"/>
          <a:ext cx="1141840" cy="7136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36</xdr:row>
      <xdr:rowOff>8106</xdr:rowOff>
    </xdr:from>
    <xdr:to>
      <xdr:col>2</xdr:col>
      <xdr:colOff>1141840</xdr:colOff>
      <xdr:row>37</xdr:row>
      <xdr:rowOff>1169</xdr:rowOff>
    </xdr:to>
    <xdr:pic>
      <xdr:nvPicPr>
        <xdr:cNvPr id="46" name="Picture 45"/>
        <xdr:cNvPicPr>
          <a:picLocks noChangeAspect="1"/>
        </xdr:cNvPicPr>
      </xdr:nvPicPr>
      <xdr:blipFill>
        <a:blip xmlns:r="http://schemas.openxmlformats.org/officeDocument/2006/relationships" r:embed="rId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70543" y="26317372"/>
          <a:ext cx="1141840" cy="7136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38</xdr:row>
      <xdr:rowOff>8106</xdr:rowOff>
    </xdr:from>
    <xdr:to>
      <xdr:col>2</xdr:col>
      <xdr:colOff>1141840</xdr:colOff>
      <xdr:row>39</xdr:row>
      <xdr:rowOff>1170</xdr:rowOff>
    </xdr:to>
    <xdr:pic>
      <xdr:nvPicPr>
        <xdr:cNvPr id="47" name="Picture 46"/>
        <xdr:cNvPicPr>
          <a:picLocks noChangeAspect="1"/>
        </xdr:cNvPicPr>
      </xdr:nvPicPr>
      <xdr:blipFill>
        <a:blip xmlns:r="http://schemas.openxmlformats.org/officeDocument/2006/relationships" r:embed="rId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70543" y="27768415"/>
          <a:ext cx="1141840" cy="7136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39</xdr:row>
      <xdr:rowOff>8106</xdr:rowOff>
    </xdr:from>
    <xdr:to>
      <xdr:col>2</xdr:col>
      <xdr:colOff>1141840</xdr:colOff>
      <xdr:row>40</xdr:row>
      <xdr:rowOff>1168</xdr:rowOff>
    </xdr:to>
    <xdr:pic>
      <xdr:nvPicPr>
        <xdr:cNvPr id="48" name="Picture 47"/>
        <xdr:cNvPicPr>
          <a:picLocks noChangeAspect="1"/>
        </xdr:cNvPicPr>
      </xdr:nvPicPr>
      <xdr:blipFill>
        <a:blip xmlns:r="http://schemas.openxmlformats.org/officeDocument/2006/relationships" r:embed="rId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70543" y="28493936"/>
          <a:ext cx="1141840" cy="7136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42</xdr:row>
      <xdr:rowOff>8106</xdr:rowOff>
    </xdr:from>
    <xdr:to>
      <xdr:col>2</xdr:col>
      <xdr:colOff>1141841</xdr:colOff>
      <xdr:row>43</xdr:row>
      <xdr:rowOff>1169</xdr:rowOff>
    </xdr:to>
    <xdr:pic>
      <xdr:nvPicPr>
        <xdr:cNvPr id="50" name="Picture 49"/>
        <xdr:cNvPicPr>
          <a:picLocks noChangeAspect="1"/>
        </xdr:cNvPicPr>
      </xdr:nvPicPr>
      <xdr:blipFill>
        <a:blip xmlns:r="http://schemas.openxmlformats.org/officeDocument/2006/relationships" r:embed="rId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70543" y="30670500"/>
          <a:ext cx="1141841" cy="713651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43</xdr:row>
      <xdr:rowOff>8106</xdr:rowOff>
    </xdr:from>
    <xdr:to>
      <xdr:col>2</xdr:col>
      <xdr:colOff>1141841</xdr:colOff>
      <xdr:row>44</xdr:row>
      <xdr:rowOff>1170</xdr:rowOff>
    </xdr:to>
    <xdr:pic>
      <xdr:nvPicPr>
        <xdr:cNvPr id="51" name="Picture 50"/>
        <xdr:cNvPicPr>
          <a:picLocks noChangeAspect="1"/>
        </xdr:cNvPicPr>
      </xdr:nvPicPr>
      <xdr:blipFill>
        <a:blip xmlns:r="http://schemas.openxmlformats.org/officeDocument/2006/relationships" r:embed="rId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70543" y="31396021"/>
          <a:ext cx="1141841" cy="7136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44</xdr:row>
      <xdr:rowOff>8106</xdr:rowOff>
    </xdr:from>
    <xdr:to>
      <xdr:col>2</xdr:col>
      <xdr:colOff>1141840</xdr:colOff>
      <xdr:row>45</xdr:row>
      <xdr:rowOff>1169</xdr:rowOff>
    </xdr:to>
    <xdr:pic>
      <xdr:nvPicPr>
        <xdr:cNvPr id="52" name="Picture 51"/>
        <xdr:cNvPicPr>
          <a:picLocks noChangeAspect="1"/>
        </xdr:cNvPicPr>
      </xdr:nvPicPr>
      <xdr:blipFill>
        <a:blip xmlns:r="http://schemas.openxmlformats.org/officeDocument/2006/relationships" r:embed="rId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14265" y="31541459"/>
          <a:ext cx="1141840" cy="72144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57</xdr:row>
      <xdr:rowOff>8106</xdr:rowOff>
    </xdr:from>
    <xdr:to>
      <xdr:col>2</xdr:col>
      <xdr:colOff>1141840</xdr:colOff>
      <xdr:row>58</xdr:row>
      <xdr:rowOff>1169</xdr:rowOff>
    </xdr:to>
    <xdr:pic>
      <xdr:nvPicPr>
        <xdr:cNvPr id="53" name="Picture 52"/>
        <xdr:cNvPicPr>
          <a:picLocks noChangeAspect="1"/>
        </xdr:cNvPicPr>
      </xdr:nvPicPr>
      <xdr:blipFill>
        <a:blip xmlns:r="http://schemas.openxmlformats.org/officeDocument/2006/relationships" r:embed="rId4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70543" y="32847063"/>
          <a:ext cx="1141840" cy="7136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45</xdr:row>
      <xdr:rowOff>8106</xdr:rowOff>
    </xdr:from>
    <xdr:to>
      <xdr:col>2</xdr:col>
      <xdr:colOff>1141840</xdr:colOff>
      <xdr:row>46</xdr:row>
      <xdr:rowOff>1169</xdr:rowOff>
    </xdr:to>
    <xdr:pic>
      <xdr:nvPicPr>
        <xdr:cNvPr id="54" name="Picture 53"/>
        <xdr:cNvPicPr>
          <a:picLocks noChangeAspect="1"/>
        </xdr:cNvPicPr>
      </xdr:nvPicPr>
      <xdr:blipFill>
        <a:blip xmlns:r="http://schemas.openxmlformats.org/officeDocument/2006/relationships" r:embed="rId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70543" y="33572585"/>
          <a:ext cx="1141840" cy="7136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46</xdr:row>
      <xdr:rowOff>8106</xdr:rowOff>
    </xdr:from>
    <xdr:to>
      <xdr:col>2</xdr:col>
      <xdr:colOff>1141840</xdr:colOff>
      <xdr:row>47</xdr:row>
      <xdr:rowOff>1169</xdr:rowOff>
    </xdr:to>
    <xdr:pic>
      <xdr:nvPicPr>
        <xdr:cNvPr id="55" name="Picture 54"/>
        <xdr:cNvPicPr>
          <a:picLocks noChangeAspect="1"/>
        </xdr:cNvPicPr>
      </xdr:nvPicPr>
      <xdr:blipFill>
        <a:blip xmlns:r="http://schemas.openxmlformats.org/officeDocument/2006/relationships" r:embed="rId4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70543" y="34298106"/>
          <a:ext cx="1141840" cy="7136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47</xdr:row>
      <xdr:rowOff>7950</xdr:rowOff>
    </xdr:from>
    <xdr:to>
      <xdr:col>2</xdr:col>
      <xdr:colOff>1141840</xdr:colOff>
      <xdr:row>48</xdr:row>
      <xdr:rowOff>1169</xdr:rowOff>
    </xdr:to>
    <xdr:pic>
      <xdr:nvPicPr>
        <xdr:cNvPr id="56" name="Picture 55"/>
        <xdr:cNvPicPr>
          <a:picLocks noChangeAspect="1"/>
        </xdr:cNvPicPr>
      </xdr:nvPicPr>
      <xdr:blipFill>
        <a:blip xmlns:r="http://schemas.openxmlformats.org/officeDocument/2006/relationships" r:embed="rId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70543" y="35023471"/>
          <a:ext cx="1141840" cy="713806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48</xdr:row>
      <xdr:rowOff>8106</xdr:rowOff>
    </xdr:from>
    <xdr:to>
      <xdr:col>2</xdr:col>
      <xdr:colOff>1141840</xdr:colOff>
      <xdr:row>49</xdr:row>
      <xdr:rowOff>1169</xdr:rowOff>
    </xdr:to>
    <xdr:pic>
      <xdr:nvPicPr>
        <xdr:cNvPr id="57" name="Picture 56"/>
        <xdr:cNvPicPr>
          <a:picLocks noChangeAspect="1"/>
        </xdr:cNvPicPr>
      </xdr:nvPicPr>
      <xdr:blipFill>
        <a:blip xmlns:r="http://schemas.openxmlformats.org/officeDocument/2006/relationships" r:embed="rId5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70543" y="35749149"/>
          <a:ext cx="1141840" cy="7136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49</xdr:row>
      <xdr:rowOff>8106</xdr:rowOff>
    </xdr:from>
    <xdr:to>
      <xdr:col>2</xdr:col>
      <xdr:colOff>1141840</xdr:colOff>
      <xdr:row>50</xdr:row>
      <xdr:rowOff>1169</xdr:rowOff>
    </xdr:to>
    <xdr:pic>
      <xdr:nvPicPr>
        <xdr:cNvPr id="58" name="Picture 57"/>
        <xdr:cNvPicPr>
          <a:picLocks noChangeAspect="1"/>
        </xdr:cNvPicPr>
      </xdr:nvPicPr>
      <xdr:blipFill>
        <a:blip xmlns:r="http://schemas.openxmlformats.org/officeDocument/2006/relationships" r:embed="rId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70543" y="36474670"/>
          <a:ext cx="1141840" cy="7136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50</xdr:row>
      <xdr:rowOff>8106</xdr:rowOff>
    </xdr:from>
    <xdr:to>
      <xdr:col>2</xdr:col>
      <xdr:colOff>1141840</xdr:colOff>
      <xdr:row>51</xdr:row>
      <xdr:rowOff>1169</xdr:rowOff>
    </xdr:to>
    <xdr:pic>
      <xdr:nvPicPr>
        <xdr:cNvPr id="59" name="Picture 58"/>
        <xdr:cNvPicPr>
          <a:picLocks noChangeAspect="1"/>
        </xdr:cNvPicPr>
      </xdr:nvPicPr>
      <xdr:blipFill>
        <a:blip xmlns:r="http://schemas.openxmlformats.org/officeDocument/2006/relationships" r:embed="rId5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70543" y="37200191"/>
          <a:ext cx="1141840" cy="7136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51</xdr:row>
      <xdr:rowOff>8106</xdr:rowOff>
    </xdr:from>
    <xdr:to>
      <xdr:col>2</xdr:col>
      <xdr:colOff>1141840</xdr:colOff>
      <xdr:row>52</xdr:row>
      <xdr:rowOff>1169</xdr:rowOff>
    </xdr:to>
    <xdr:pic>
      <xdr:nvPicPr>
        <xdr:cNvPr id="60" name="Picture 59"/>
        <xdr:cNvPicPr>
          <a:picLocks noChangeAspect="1"/>
        </xdr:cNvPicPr>
      </xdr:nvPicPr>
      <xdr:blipFill>
        <a:blip xmlns:r="http://schemas.openxmlformats.org/officeDocument/2006/relationships" r:embed="rId5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70543" y="37925712"/>
          <a:ext cx="1141840" cy="7136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52</xdr:row>
      <xdr:rowOff>8106</xdr:rowOff>
    </xdr:from>
    <xdr:to>
      <xdr:col>2</xdr:col>
      <xdr:colOff>1141840</xdr:colOff>
      <xdr:row>53</xdr:row>
      <xdr:rowOff>1169</xdr:rowOff>
    </xdr:to>
    <xdr:pic>
      <xdr:nvPicPr>
        <xdr:cNvPr id="61" name="Picture 60"/>
        <xdr:cNvPicPr>
          <a:picLocks noChangeAspect="1"/>
        </xdr:cNvPicPr>
      </xdr:nvPicPr>
      <xdr:blipFill>
        <a:blip xmlns:r="http://schemas.openxmlformats.org/officeDocument/2006/relationships" r:embed="rId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70543" y="38651234"/>
          <a:ext cx="1141840" cy="7136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53</xdr:row>
      <xdr:rowOff>8106</xdr:rowOff>
    </xdr:from>
    <xdr:to>
      <xdr:col>2</xdr:col>
      <xdr:colOff>1141840</xdr:colOff>
      <xdr:row>54</xdr:row>
      <xdr:rowOff>1170</xdr:rowOff>
    </xdr:to>
    <xdr:pic>
      <xdr:nvPicPr>
        <xdr:cNvPr id="62" name="Picture 61"/>
        <xdr:cNvPicPr>
          <a:picLocks noChangeAspect="1"/>
        </xdr:cNvPicPr>
      </xdr:nvPicPr>
      <xdr:blipFill>
        <a:blip xmlns:r="http://schemas.openxmlformats.org/officeDocument/2006/relationships" r:embed="rId5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70543" y="39376755"/>
          <a:ext cx="1141840" cy="7136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54</xdr:row>
      <xdr:rowOff>12159</xdr:rowOff>
    </xdr:from>
    <xdr:to>
      <xdr:col>2</xdr:col>
      <xdr:colOff>1141840</xdr:colOff>
      <xdr:row>55</xdr:row>
      <xdr:rowOff>288</xdr:rowOff>
    </xdr:to>
    <xdr:pic>
      <xdr:nvPicPr>
        <xdr:cNvPr id="63" name="Picture 62"/>
        <xdr:cNvPicPr>
          <a:picLocks noChangeAspect="1"/>
        </xdr:cNvPicPr>
      </xdr:nvPicPr>
      <xdr:blipFill>
        <a:blip xmlns:r="http://schemas.openxmlformats.org/officeDocument/2006/relationships" r:embed="rId5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70543" y="40106329"/>
          <a:ext cx="1141840" cy="7136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55</xdr:row>
      <xdr:rowOff>8106</xdr:rowOff>
    </xdr:from>
    <xdr:to>
      <xdr:col>2</xdr:col>
      <xdr:colOff>1141840</xdr:colOff>
      <xdr:row>56</xdr:row>
      <xdr:rowOff>1169</xdr:rowOff>
    </xdr:to>
    <xdr:pic>
      <xdr:nvPicPr>
        <xdr:cNvPr id="64" name="Picture 63"/>
        <xdr:cNvPicPr>
          <a:picLocks noChangeAspect="1"/>
        </xdr:cNvPicPr>
      </xdr:nvPicPr>
      <xdr:blipFill>
        <a:blip xmlns:r="http://schemas.openxmlformats.org/officeDocument/2006/relationships" r:embed="rId5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70543" y="40827797"/>
          <a:ext cx="1141840" cy="7136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58</xdr:row>
      <xdr:rowOff>8106</xdr:rowOff>
    </xdr:from>
    <xdr:to>
      <xdr:col>2</xdr:col>
      <xdr:colOff>1141840</xdr:colOff>
      <xdr:row>59</xdr:row>
      <xdr:rowOff>1170</xdr:rowOff>
    </xdr:to>
    <xdr:pic>
      <xdr:nvPicPr>
        <xdr:cNvPr id="65" name="Picture 64"/>
        <xdr:cNvPicPr>
          <a:picLocks noChangeAspect="1"/>
        </xdr:cNvPicPr>
      </xdr:nvPicPr>
      <xdr:blipFill>
        <a:blip xmlns:r="http://schemas.openxmlformats.org/officeDocument/2006/relationships" r:embed="rId5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70543" y="41553319"/>
          <a:ext cx="1141840" cy="7136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59</xdr:row>
      <xdr:rowOff>8106</xdr:rowOff>
    </xdr:from>
    <xdr:to>
      <xdr:col>2</xdr:col>
      <xdr:colOff>1141840</xdr:colOff>
      <xdr:row>60</xdr:row>
      <xdr:rowOff>1168</xdr:rowOff>
    </xdr:to>
    <xdr:pic>
      <xdr:nvPicPr>
        <xdr:cNvPr id="66" name="Picture 65"/>
        <xdr:cNvPicPr>
          <a:picLocks noChangeAspect="1"/>
        </xdr:cNvPicPr>
      </xdr:nvPicPr>
      <xdr:blipFill>
        <a:blip xmlns:r="http://schemas.openxmlformats.org/officeDocument/2006/relationships" r:embed="rId6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70543" y="42278840"/>
          <a:ext cx="1141840" cy="7136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60</xdr:row>
      <xdr:rowOff>8106</xdr:rowOff>
    </xdr:from>
    <xdr:to>
      <xdr:col>2</xdr:col>
      <xdr:colOff>1141840</xdr:colOff>
      <xdr:row>61</xdr:row>
      <xdr:rowOff>1169</xdr:rowOff>
    </xdr:to>
    <xdr:pic>
      <xdr:nvPicPr>
        <xdr:cNvPr id="67" name="Picture 66"/>
        <xdr:cNvPicPr>
          <a:picLocks noChangeAspect="1"/>
        </xdr:cNvPicPr>
      </xdr:nvPicPr>
      <xdr:blipFill>
        <a:blip xmlns:r="http://schemas.openxmlformats.org/officeDocument/2006/relationships" r:embed="rId6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70543" y="43004361"/>
          <a:ext cx="1141840" cy="7136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61</xdr:row>
      <xdr:rowOff>8106</xdr:rowOff>
    </xdr:from>
    <xdr:to>
      <xdr:col>2</xdr:col>
      <xdr:colOff>1141840</xdr:colOff>
      <xdr:row>62</xdr:row>
      <xdr:rowOff>1170</xdr:rowOff>
    </xdr:to>
    <xdr:pic>
      <xdr:nvPicPr>
        <xdr:cNvPr id="68" name="Picture 67"/>
        <xdr:cNvPicPr>
          <a:picLocks noChangeAspect="1"/>
        </xdr:cNvPicPr>
      </xdr:nvPicPr>
      <xdr:blipFill>
        <a:blip xmlns:r="http://schemas.openxmlformats.org/officeDocument/2006/relationships" r:embed="rId6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70543" y="43729883"/>
          <a:ext cx="1141840" cy="7136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62</xdr:row>
      <xdr:rowOff>7950</xdr:rowOff>
    </xdr:from>
    <xdr:to>
      <xdr:col>2</xdr:col>
      <xdr:colOff>1141840</xdr:colOff>
      <xdr:row>63</xdr:row>
      <xdr:rowOff>1169</xdr:rowOff>
    </xdr:to>
    <xdr:pic>
      <xdr:nvPicPr>
        <xdr:cNvPr id="69" name="Picture 68"/>
        <xdr:cNvPicPr>
          <a:picLocks noChangeAspect="1"/>
        </xdr:cNvPicPr>
      </xdr:nvPicPr>
      <xdr:blipFill>
        <a:blip xmlns:r="http://schemas.openxmlformats.org/officeDocument/2006/relationships" r:embed="rId6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70543" y="44455248"/>
          <a:ext cx="1141840" cy="713806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63</xdr:row>
      <xdr:rowOff>8106</xdr:rowOff>
    </xdr:from>
    <xdr:to>
      <xdr:col>2</xdr:col>
      <xdr:colOff>1141840</xdr:colOff>
      <xdr:row>64</xdr:row>
      <xdr:rowOff>1169</xdr:rowOff>
    </xdr:to>
    <xdr:pic>
      <xdr:nvPicPr>
        <xdr:cNvPr id="70" name="Picture 69"/>
        <xdr:cNvPicPr>
          <a:picLocks noChangeAspect="1"/>
        </xdr:cNvPicPr>
      </xdr:nvPicPr>
      <xdr:blipFill>
        <a:blip xmlns:r="http://schemas.openxmlformats.org/officeDocument/2006/relationships" r:embed="rId6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70543" y="45180925"/>
          <a:ext cx="1141840" cy="7136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64</xdr:row>
      <xdr:rowOff>8106</xdr:rowOff>
    </xdr:from>
    <xdr:to>
      <xdr:col>2</xdr:col>
      <xdr:colOff>1141840</xdr:colOff>
      <xdr:row>65</xdr:row>
      <xdr:rowOff>1170</xdr:rowOff>
    </xdr:to>
    <xdr:pic>
      <xdr:nvPicPr>
        <xdr:cNvPr id="71" name="Picture 70"/>
        <xdr:cNvPicPr>
          <a:picLocks noChangeAspect="1"/>
        </xdr:cNvPicPr>
      </xdr:nvPicPr>
      <xdr:blipFill>
        <a:blip xmlns:r="http://schemas.openxmlformats.org/officeDocument/2006/relationships" r:embed="rId6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70543" y="45906446"/>
          <a:ext cx="1141840" cy="7136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65</xdr:row>
      <xdr:rowOff>8106</xdr:rowOff>
    </xdr:from>
    <xdr:to>
      <xdr:col>2</xdr:col>
      <xdr:colOff>1141840</xdr:colOff>
      <xdr:row>66</xdr:row>
      <xdr:rowOff>1168</xdr:rowOff>
    </xdr:to>
    <xdr:pic>
      <xdr:nvPicPr>
        <xdr:cNvPr id="72" name="Picture 71"/>
        <xdr:cNvPicPr>
          <a:picLocks noChangeAspect="1"/>
        </xdr:cNvPicPr>
      </xdr:nvPicPr>
      <xdr:blipFill>
        <a:blip xmlns:r="http://schemas.openxmlformats.org/officeDocument/2006/relationships" r:embed="rId6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70543" y="46631968"/>
          <a:ext cx="1141840" cy="7136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66</xdr:row>
      <xdr:rowOff>8106</xdr:rowOff>
    </xdr:from>
    <xdr:to>
      <xdr:col>2</xdr:col>
      <xdr:colOff>1141840</xdr:colOff>
      <xdr:row>67</xdr:row>
      <xdr:rowOff>1169</xdr:rowOff>
    </xdr:to>
    <xdr:pic>
      <xdr:nvPicPr>
        <xdr:cNvPr id="73" name="Picture 72"/>
        <xdr:cNvPicPr>
          <a:picLocks noChangeAspect="1"/>
        </xdr:cNvPicPr>
      </xdr:nvPicPr>
      <xdr:blipFill>
        <a:blip xmlns:r="http://schemas.openxmlformats.org/officeDocument/2006/relationships" r:embed="rId6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70543" y="47357489"/>
          <a:ext cx="1141840" cy="7136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67</xdr:row>
      <xdr:rowOff>8106</xdr:rowOff>
    </xdr:from>
    <xdr:to>
      <xdr:col>2</xdr:col>
      <xdr:colOff>1141840</xdr:colOff>
      <xdr:row>68</xdr:row>
      <xdr:rowOff>1170</xdr:rowOff>
    </xdr:to>
    <xdr:pic>
      <xdr:nvPicPr>
        <xdr:cNvPr id="74" name="Picture 73"/>
        <xdr:cNvPicPr>
          <a:picLocks noChangeAspect="1"/>
        </xdr:cNvPicPr>
      </xdr:nvPicPr>
      <xdr:blipFill>
        <a:blip xmlns:r="http://schemas.openxmlformats.org/officeDocument/2006/relationships" r:embed="rId6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70543" y="48083010"/>
          <a:ext cx="1141840" cy="7136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68</xdr:row>
      <xdr:rowOff>8106</xdr:rowOff>
    </xdr:from>
    <xdr:to>
      <xdr:col>2</xdr:col>
      <xdr:colOff>1141840</xdr:colOff>
      <xdr:row>69</xdr:row>
      <xdr:rowOff>1168</xdr:rowOff>
    </xdr:to>
    <xdr:pic>
      <xdr:nvPicPr>
        <xdr:cNvPr id="75" name="Picture 74"/>
        <xdr:cNvPicPr>
          <a:picLocks noChangeAspect="1"/>
        </xdr:cNvPicPr>
      </xdr:nvPicPr>
      <xdr:blipFill>
        <a:blip xmlns:r="http://schemas.openxmlformats.org/officeDocument/2006/relationships" r:embed="rId6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70543" y="48808532"/>
          <a:ext cx="1141840" cy="7136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69</xdr:row>
      <xdr:rowOff>8106</xdr:rowOff>
    </xdr:from>
    <xdr:to>
      <xdr:col>2</xdr:col>
      <xdr:colOff>1141840</xdr:colOff>
      <xdr:row>70</xdr:row>
      <xdr:rowOff>1169</xdr:rowOff>
    </xdr:to>
    <xdr:pic>
      <xdr:nvPicPr>
        <xdr:cNvPr id="76" name="Picture 75"/>
        <xdr:cNvPicPr>
          <a:picLocks noChangeAspect="1"/>
        </xdr:cNvPicPr>
      </xdr:nvPicPr>
      <xdr:blipFill>
        <a:blip xmlns:r="http://schemas.openxmlformats.org/officeDocument/2006/relationships" r:embed="rId7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70543" y="49534053"/>
          <a:ext cx="1141840" cy="7136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70</xdr:row>
      <xdr:rowOff>8106</xdr:rowOff>
    </xdr:from>
    <xdr:to>
      <xdr:col>2</xdr:col>
      <xdr:colOff>1141840</xdr:colOff>
      <xdr:row>71</xdr:row>
      <xdr:rowOff>1170</xdr:rowOff>
    </xdr:to>
    <xdr:pic>
      <xdr:nvPicPr>
        <xdr:cNvPr id="77" name="Picture 76"/>
        <xdr:cNvPicPr>
          <a:picLocks noChangeAspect="1"/>
        </xdr:cNvPicPr>
      </xdr:nvPicPr>
      <xdr:blipFill>
        <a:blip xmlns:r="http://schemas.openxmlformats.org/officeDocument/2006/relationships" r:embed="rId7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70543" y="50259574"/>
          <a:ext cx="1141840" cy="7136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71</xdr:row>
      <xdr:rowOff>8106</xdr:rowOff>
    </xdr:from>
    <xdr:to>
      <xdr:col>2</xdr:col>
      <xdr:colOff>1141840</xdr:colOff>
      <xdr:row>72</xdr:row>
      <xdr:rowOff>1168</xdr:rowOff>
    </xdr:to>
    <xdr:pic>
      <xdr:nvPicPr>
        <xdr:cNvPr id="78" name="Picture 77"/>
        <xdr:cNvPicPr>
          <a:picLocks noChangeAspect="1"/>
        </xdr:cNvPicPr>
      </xdr:nvPicPr>
      <xdr:blipFill>
        <a:blip xmlns:r="http://schemas.openxmlformats.org/officeDocument/2006/relationships" r:embed="rId7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70543" y="50985095"/>
          <a:ext cx="1141840" cy="7136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72</xdr:row>
      <xdr:rowOff>8106</xdr:rowOff>
    </xdr:from>
    <xdr:to>
      <xdr:col>2</xdr:col>
      <xdr:colOff>1141840</xdr:colOff>
      <xdr:row>73</xdr:row>
      <xdr:rowOff>1170</xdr:rowOff>
    </xdr:to>
    <xdr:pic>
      <xdr:nvPicPr>
        <xdr:cNvPr id="79" name="Picture 78"/>
        <xdr:cNvPicPr>
          <a:picLocks noChangeAspect="1"/>
        </xdr:cNvPicPr>
      </xdr:nvPicPr>
      <xdr:blipFill>
        <a:blip xmlns:r="http://schemas.openxmlformats.org/officeDocument/2006/relationships" r:embed="rId7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70543" y="51710617"/>
          <a:ext cx="1141840" cy="7136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73</xdr:row>
      <xdr:rowOff>8106</xdr:rowOff>
    </xdr:from>
    <xdr:to>
      <xdr:col>2</xdr:col>
      <xdr:colOff>1141840</xdr:colOff>
      <xdr:row>74</xdr:row>
      <xdr:rowOff>1168</xdr:rowOff>
    </xdr:to>
    <xdr:pic>
      <xdr:nvPicPr>
        <xdr:cNvPr id="80" name="Picture 79"/>
        <xdr:cNvPicPr>
          <a:picLocks noChangeAspect="1"/>
        </xdr:cNvPicPr>
      </xdr:nvPicPr>
      <xdr:blipFill>
        <a:blip xmlns:r="http://schemas.openxmlformats.org/officeDocument/2006/relationships" r:embed="rId7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70543" y="52436138"/>
          <a:ext cx="1141840" cy="7136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75</xdr:row>
      <xdr:rowOff>8106</xdr:rowOff>
    </xdr:from>
    <xdr:to>
      <xdr:col>2</xdr:col>
      <xdr:colOff>1141840</xdr:colOff>
      <xdr:row>76</xdr:row>
      <xdr:rowOff>1170</xdr:rowOff>
    </xdr:to>
    <xdr:pic>
      <xdr:nvPicPr>
        <xdr:cNvPr id="81" name="Picture 80"/>
        <xdr:cNvPicPr>
          <a:picLocks noChangeAspect="1"/>
        </xdr:cNvPicPr>
      </xdr:nvPicPr>
      <xdr:blipFill>
        <a:blip xmlns:r="http://schemas.openxmlformats.org/officeDocument/2006/relationships" r:embed="rId7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70543" y="53161659"/>
          <a:ext cx="1141840" cy="7136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76</xdr:row>
      <xdr:rowOff>7950</xdr:rowOff>
    </xdr:from>
    <xdr:to>
      <xdr:col>2</xdr:col>
      <xdr:colOff>1141840</xdr:colOff>
      <xdr:row>77</xdr:row>
      <xdr:rowOff>1168</xdr:rowOff>
    </xdr:to>
    <xdr:pic>
      <xdr:nvPicPr>
        <xdr:cNvPr id="82" name="Picture 81"/>
        <xdr:cNvPicPr>
          <a:picLocks noChangeAspect="1"/>
        </xdr:cNvPicPr>
      </xdr:nvPicPr>
      <xdr:blipFill>
        <a:blip xmlns:r="http://schemas.openxmlformats.org/officeDocument/2006/relationships" r:embed="rId7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70543" y="53887024"/>
          <a:ext cx="1141840" cy="713806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77</xdr:row>
      <xdr:rowOff>8106</xdr:rowOff>
    </xdr:from>
    <xdr:to>
      <xdr:col>2</xdr:col>
      <xdr:colOff>1141840</xdr:colOff>
      <xdr:row>78</xdr:row>
      <xdr:rowOff>1169</xdr:rowOff>
    </xdr:to>
    <xdr:pic>
      <xdr:nvPicPr>
        <xdr:cNvPr id="83" name="Picture 82"/>
        <xdr:cNvPicPr>
          <a:picLocks noChangeAspect="1"/>
        </xdr:cNvPicPr>
      </xdr:nvPicPr>
      <xdr:blipFill>
        <a:blip xmlns:r="http://schemas.openxmlformats.org/officeDocument/2006/relationships" r:embed="rId7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70543" y="54612702"/>
          <a:ext cx="1141840" cy="7136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78</xdr:row>
      <xdr:rowOff>8106</xdr:rowOff>
    </xdr:from>
    <xdr:to>
      <xdr:col>2</xdr:col>
      <xdr:colOff>1141840</xdr:colOff>
      <xdr:row>79</xdr:row>
      <xdr:rowOff>1170</xdr:rowOff>
    </xdr:to>
    <xdr:pic>
      <xdr:nvPicPr>
        <xdr:cNvPr id="84" name="Picture 83"/>
        <xdr:cNvPicPr>
          <a:picLocks noChangeAspect="1"/>
        </xdr:cNvPicPr>
      </xdr:nvPicPr>
      <xdr:blipFill>
        <a:blip xmlns:r="http://schemas.openxmlformats.org/officeDocument/2006/relationships" r:embed="rId7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70543" y="55338223"/>
          <a:ext cx="1141840" cy="7136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79</xdr:row>
      <xdr:rowOff>8106</xdr:rowOff>
    </xdr:from>
    <xdr:to>
      <xdr:col>2</xdr:col>
      <xdr:colOff>1141840</xdr:colOff>
      <xdr:row>80</xdr:row>
      <xdr:rowOff>1168</xdr:rowOff>
    </xdr:to>
    <xdr:pic>
      <xdr:nvPicPr>
        <xdr:cNvPr id="85" name="Picture 84"/>
        <xdr:cNvPicPr>
          <a:picLocks noChangeAspect="1"/>
        </xdr:cNvPicPr>
      </xdr:nvPicPr>
      <xdr:blipFill>
        <a:blip xmlns:r="http://schemas.openxmlformats.org/officeDocument/2006/relationships" r:embed="rId7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70543" y="56063744"/>
          <a:ext cx="1141840" cy="7136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80</xdr:row>
      <xdr:rowOff>8106</xdr:rowOff>
    </xdr:from>
    <xdr:to>
      <xdr:col>2</xdr:col>
      <xdr:colOff>1141840</xdr:colOff>
      <xdr:row>81</xdr:row>
      <xdr:rowOff>1169</xdr:rowOff>
    </xdr:to>
    <xdr:pic>
      <xdr:nvPicPr>
        <xdr:cNvPr id="86" name="Picture 85"/>
        <xdr:cNvPicPr>
          <a:picLocks noChangeAspect="1"/>
        </xdr:cNvPicPr>
      </xdr:nvPicPr>
      <xdr:blipFill>
        <a:blip xmlns:r="http://schemas.openxmlformats.org/officeDocument/2006/relationships" r:embed="rId8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70543" y="56789266"/>
          <a:ext cx="1141840" cy="7136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81</xdr:row>
      <xdr:rowOff>8106</xdr:rowOff>
    </xdr:from>
    <xdr:to>
      <xdr:col>2</xdr:col>
      <xdr:colOff>1141840</xdr:colOff>
      <xdr:row>82</xdr:row>
      <xdr:rowOff>1170</xdr:rowOff>
    </xdr:to>
    <xdr:pic>
      <xdr:nvPicPr>
        <xdr:cNvPr id="87" name="Picture 86"/>
        <xdr:cNvPicPr>
          <a:picLocks noChangeAspect="1"/>
        </xdr:cNvPicPr>
      </xdr:nvPicPr>
      <xdr:blipFill>
        <a:blip xmlns:r="http://schemas.openxmlformats.org/officeDocument/2006/relationships" r:embed="rId8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70543" y="57514787"/>
          <a:ext cx="1141840" cy="7136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82</xdr:row>
      <xdr:rowOff>8106</xdr:rowOff>
    </xdr:from>
    <xdr:to>
      <xdr:col>2</xdr:col>
      <xdr:colOff>1141840</xdr:colOff>
      <xdr:row>83</xdr:row>
      <xdr:rowOff>1168</xdr:rowOff>
    </xdr:to>
    <xdr:pic>
      <xdr:nvPicPr>
        <xdr:cNvPr id="88" name="Picture 87"/>
        <xdr:cNvPicPr>
          <a:picLocks noChangeAspect="1"/>
        </xdr:cNvPicPr>
      </xdr:nvPicPr>
      <xdr:blipFill>
        <a:blip xmlns:r="http://schemas.openxmlformats.org/officeDocument/2006/relationships" r:embed="rId8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70543" y="58240308"/>
          <a:ext cx="1141840" cy="7136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83</xdr:row>
      <xdr:rowOff>8106</xdr:rowOff>
    </xdr:from>
    <xdr:to>
      <xdr:col>2</xdr:col>
      <xdr:colOff>1141840</xdr:colOff>
      <xdr:row>84</xdr:row>
      <xdr:rowOff>1169</xdr:rowOff>
    </xdr:to>
    <xdr:pic>
      <xdr:nvPicPr>
        <xdr:cNvPr id="89" name="Picture 88"/>
        <xdr:cNvPicPr>
          <a:picLocks noChangeAspect="1"/>
        </xdr:cNvPicPr>
      </xdr:nvPicPr>
      <xdr:blipFill>
        <a:blip xmlns:r="http://schemas.openxmlformats.org/officeDocument/2006/relationships" r:embed="rId8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70543" y="58965829"/>
          <a:ext cx="1141840" cy="7136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84</xdr:row>
      <xdr:rowOff>8106</xdr:rowOff>
    </xdr:from>
    <xdr:to>
      <xdr:col>2</xdr:col>
      <xdr:colOff>1141840</xdr:colOff>
      <xdr:row>85</xdr:row>
      <xdr:rowOff>1170</xdr:rowOff>
    </xdr:to>
    <xdr:pic>
      <xdr:nvPicPr>
        <xdr:cNvPr id="90" name="Picture 89"/>
        <xdr:cNvPicPr>
          <a:picLocks noChangeAspect="1"/>
        </xdr:cNvPicPr>
      </xdr:nvPicPr>
      <xdr:blipFill>
        <a:blip xmlns:r="http://schemas.openxmlformats.org/officeDocument/2006/relationships" r:embed="rId8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70543" y="59691351"/>
          <a:ext cx="1141840" cy="7136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85</xdr:row>
      <xdr:rowOff>8106</xdr:rowOff>
    </xdr:from>
    <xdr:to>
      <xdr:col>2</xdr:col>
      <xdr:colOff>1141840</xdr:colOff>
      <xdr:row>86</xdr:row>
      <xdr:rowOff>1169</xdr:rowOff>
    </xdr:to>
    <xdr:pic>
      <xdr:nvPicPr>
        <xdr:cNvPr id="91" name="Picture 90"/>
        <xdr:cNvPicPr>
          <a:picLocks noChangeAspect="1"/>
        </xdr:cNvPicPr>
      </xdr:nvPicPr>
      <xdr:blipFill>
        <a:blip xmlns:r="http://schemas.openxmlformats.org/officeDocument/2006/relationships" r:embed="rId8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70543" y="60416872"/>
          <a:ext cx="1141840" cy="7136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86</xdr:row>
      <xdr:rowOff>8106</xdr:rowOff>
    </xdr:from>
    <xdr:to>
      <xdr:col>2</xdr:col>
      <xdr:colOff>1141840</xdr:colOff>
      <xdr:row>87</xdr:row>
      <xdr:rowOff>1169</xdr:rowOff>
    </xdr:to>
    <xdr:pic>
      <xdr:nvPicPr>
        <xdr:cNvPr id="92" name="Picture 91"/>
        <xdr:cNvPicPr>
          <a:picLocks noChangeAspect="1"/>
        </xdr:cNvPicPr>
      </xdr:nvPicPr>
      <xdr:blipFill>
        <a:blip xmlns:r="http://schemas.openxmlformats.org/officeDocument/2006/relationships" r:embed="rId8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70543" y="61142393"/>
          <a:ext cx="1141840" cy="7136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87</xdr:row>
      <xdr:rowOff>8106</xdr:rowOff>
    </xdr:from>
    <xdr:to>
      <xdr:col>2</xdr:col>
      <xdr:colOff>1141840</xdr:colOff>
      <xdr:row>88</xdr:row>
      <xdr:rowOff>1170</xdr:rowOff>
    </xdr:to>
    <xdr:pic>
      <xdr:nvPicPr>
        <xdr:cNvPr id="93" name="Picture 92"/>
        <xdr:cNvPicPr>
          <a:picLocks noChangeAspect="1"/>
        </xdr:cNvPicPr>
      </xdr:nvPicPr>
      <xdr:blipFill>
        <a:blip xmlns:r="http://schemas.openxmlformats.org/officeDocument/2006/relationships" r:embed="rId8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70543" y="61867915"/>
          <a:ext cx="1141840" cy="7136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88</xdr:row>
      <xdr:rowOff>8106</xdr:rowOff>
    </xdr:from>
    <xdr:to>
      <xdr:col>2</xdr:col>
      <xdr:colOff>1141840</xdr:colOff>
      <xdr:row>89</xdr:row>
      <xdr:rowOff>1168</xdr:rowOff>
    </xdr:to>
    <xdr:pic>
      <xdr:nvPicPr>
        <xdr:cNvPr id="94" name="Picture 93"/>
        <xdr:cNvPicPr>
          <a:picLocks noChangeAspect="1"/>
        </xdr:cNvPicPr>
      </xdr:nvPicPr>
      <xdr:blipFill>
        <a:blip xmlns:r="http://schemas.openxmlformats.org/officeDocument/2006/relationships" r:embed="rId8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70543" y="62593436"/>
          <a:ext cx="1141840" cy="7136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90</xdr:row>
      <xdr:rowOff>7950</xdr:rowOff>
    </xdr:from>
    <xdr:to>
      <xdr:col>2</xdr:col>
      <xdr:colOff>1141840</xdr:colOff>
      <xdr:row>91</xdr:row>
      <xdr:rowOff>1168</xdr:rowOff>
    </xdr:to>
    <xdr:pic>
      <xdr:nvPicPr>
        <xdr:cNvPr id="95" name="Picture 94"/>
        <xdr:cNvPicPr>
          <a:picLocks noChangeAspect="1"/>
        </xdr:cNvPicPr>
      </xdr:nvPicPr>
      <xdr:blipFill>
        <a:blip xmlns:r="http://schemas.openxmlformats.org/officeDocument/2006/relationships" r:embed="rId8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70543" y="63318801"/>
          <a:ext cx="1141840" cy="713806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91</xdr:row>
      <xdr:rowOff>8106</xdr:rowOff>
    </xdr:from>
    <xdr:to>
      <xdr:col>2</xdr:col>
      <xdr:colOff>1141840</xdr:colOff>
      <xdr:row>92</xdr:row>
      <xdr:rowOff>1169</xdr:rowOff>
    </xdr:to>
    <xdr:pic>
      <xdr:nvPicPr>
        <xdr:cNvPr id="96" name="Picture 95"/>
        <xdr:cNvPicPr>
          <a:picLocks noChangeAspect="1"/>
        </xdr:cNvPicPr>
      </xdr:nvPicPr>
      <xdr:blipFill>
        <a:blip xmlns:r="http://schemas.openxmlformats.org/officeDocument/2006/relationships" r:embed="rId9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70543" y="64044478"/>
          <a:ext cx="1141840" cy="7136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92</xdr:row>
      <xdr:rowOff>8106</xdr:rowOff>
    </xdr:from>
    <xdr:to>
      <xdr:col>2</xdr:col>
      <xdr:colOff>1141840</xdr:colOff>
      <xdr:row>93</xdr:row>
      <xdr:rowOff>1170</xdr:rowOff>
    </xdr:to>
    <xdr:pic>
      <xdr:nvPicPr>
        <xdr:cNvPr id="97" name="Picture 96"/>
        <xdr:cNvPicPr>
          <a:picLocks noChangeAspect="1"/>
        </xdr:cNvPicPr>
      </xdr:nvPicPr>
      <xdr:blipFill>
        <a:blip xmlns:r="http://schemas.openxmlformats.org/officeDocument/2006/relationships" r:embed="rId9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70543" y="64770000"/>
          <a:ext cx="1141840" cy="7136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93</xdr:row>
      <xdr:rowOff>8106</xdr:rowOff>
    </xdr:from>
    <xdr:to>
      <xdr:col>2</xdr:col>
      <xdr:colOff>1141840</xdr:colOff>
      <xdr:row>94</xdr:row>
      <xdr:rowOff>1168</xdr:rowOff>
    </xdr:to>
    <xdr:pic>
      <xdr:nvPicPr>
        <xdr:cNvPr id="98" name="Picture 97"/>
        <xdr:cNvPicPr>
          <a:picLocks noChangeAspect="1"/>
        </xdr:cNvPicPr>
      </xdr:nvPicPr>
      <xdr:blipFill>
        <a:blip xmlns:r="http://schemas.openxmlformats.org/officeDocument/2006/relationships" r:embed="rId9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70543" y="65495521"/>
          <a:ext cx="1141840" cy="7136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94</xdr:row>
      <xdr:rowOff>8106</xdr:rowOff>
    </xdr:from>
    <xdr:to>
      <xdr:col>2</xdr:col>
      <xdr:colOff>1141840</xdr:colOff>
      <xdr:row>95</xdr:row>
      <xdr:rowOff>1169</xdr:rowOff>
    </xdr:to>
    <xdr:pic>
      <xdr:nvPicPr>
        <xdr:cNvPr id="100" name="Picture 99"/>
        <xdr:cNvPicPr>
          <a:picLocks noChangeAspect="1"/>
        </xdr:cNvPicPr>
      </xdr:nvPicPr>
      <xdr:blipFill>
        <a:blip xmlns:r="http://schemas.openxmlformats.org/officeDocument/2006/relationships" r:embed="rId9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70543" y="66221042"/>
          <a:ext cx="1141840" cy="7136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95</xdr:row>
      <xdr:rowOff>8106</xdr:rowOff>
    </xdr:from>
    <xdr:to>
      <xdr:col>2</xdr:col>
      <xdr:colOff>1141840</xdr:colOff>
      <xdr:row>96</xdr:row>
      <xdr:rowOff>1170</xdr:rowOff>
    </xdr:to>
    <xdr:pic>
      <xdr:nvPicPr>
        <xdr:cNvPr id="99" name="Picture 98"/>
        <xdr:cNvPicPr>
          <a:picLocks noChangeAspect="1"/>
        </xdr:cNvPicPr>
      </xdr:nvPicPr>
      <xdr:blipFill>
        <a:blip xmlns:r="http://schemas.openxmlformats.org/officeDocument/2006/relationships" r:embed="rId9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70543" y="66946563"/>
          <a:ext cx="1141840" cy="7136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96</xdr:row>
      <xdr:rowOff>8106</xdr:rowOff>
    </xdr:from>
    <xdr:to>
      <xdr:col>2</xdr:col>
      <xdr:colOff>1141840</xdr:colOff>
      <xdr:row>97</xdr:row>
      <xdr:rowOff>1168</xdr:rowOff>
    </xdr:to>
    <xdr:pic>
      <xdr:nvPicPr>
        <xdr:cNvPr id="101" name="Picture 100"/>
        <xdr:cNvPicPr>
          <a:picLocks noChangeAspect="1"/>
        </xdr:cNvPicPr>
      </xdr:nvPicPr>
      <xdr:blipFill>
        <a:blip xmlns:r="http://schemas.openxmlformats.org/officeDocument/2006/relationships" r:embed="rId9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70543" y="67672085"/>
          <a:ext cx="1141840" cy="7136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97</xdr:row>
      <xdr:rowOff>8106</xdr:rowOff>
    </xdr:from>
    <xdr:to>
      <xdr:col>2</xdr:col>
      <xdr:colOff>1141840</xdr:colOff>
      <xdr:row>98</xdr:row>
      <xdr:rowOff>1169</xdr:rowOff>
    </xdr:to>
    <xdr:pic>
      <xdr:nvPicPr>
        <xdr:cNvPr id="102" name="Picture 101"/>
        <xdr:cNvPicPr>
          <a:picLocks noChangeAspect="1"/>
        </xdr:cNvPicPr>
      </xdr:nvPicPr>
      <xdr:blipFill>
        <a:blip xmlns:r="http://schemas.openxmlformats.org/officeDocument/2006/relationships" r:embed="rId9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70543" y="68397606"/>
          <a:ext cx="1141840" cy="7136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98</xdr:row>
      <xdr:rowOff>8106</xdr:rowOff>
    </xdr:from>
    <xdr:to>
      <xdr:col>2</xdr:col>
      <xdr:colOff>1141840</xdr:colOff>
      <xdr:row>99</xdr:row>
      <xdr:rowOff>1170</xdr:rowOff>
    </xdr:to>
    <xdr:pic>
      <xdr:nvPicPr>
        <xdr:cNvPr id="103" name="Picture 102"/>
        <xdr:cNvPicPr>
          <a:picLocks noChangeAspect="1"/>
        </xdr:cNvPicPr>
      </xdr:nvPicPr>
      <xdr:blipFill>
        <a:blip xmlns:r="http://schemas.openxmlformats.org/officeDocument/2006/relationships" r:embed="rId9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70543" y="69123127"/>
          <a:ext cx="1141840" cy="7136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99</xdr:row>
      <xdr:rowOff>8106</xdr:rowOff>
    </xdr:from>
    <xdr:to>
      <xdr:col>2</xdr:col>
      <xdr:colOff>1141840</xdr:colOff>
      <xdr:row>100</xdr:row>
      <xdr:rowOff>1168</xdr:rowOff>
    </xdr:to>
    <xdr:pic>
      <xdr:nvPicPr>
        <xdr:cNvPr id="104" name="Picture 103"/>
        <xdr:cNvPicPr>
          <a:picLocks noChangeAspect="1"/>
        </xdr:cNvPicPr>
      </xdr:nvPicPr>
      <xdr:blipFill>
        <a:blip xmlns:r="http://schemas.openxmlformats.org/officeDocument/2006/relationships" r:embed="rId9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70543" y="69848649"/>
          <a:ext cx="1141840" cy="7136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56</xdr:row>
      <xdr:rowOff>8106</xdr:rowOff>
    </xdr:from>
    <xdr:to>
      <xdr:col>2</xdr:col>
      <xdr:colOff>1141840</xdr:colOff>
      <xdr:row>57</xdr:row>
      <xdr:rowOff>1169</xdr:rowOff>
    </xdr:to>
    <xdr:pic>
      <xdr:nvPicPr>
        <xdr:cNvPr id="105" name="Picture 104"/>
        <xdr:cNvPicPr>
          <a:picLocks noChangeAspect="1"/>
        </xdr:cNvPicPr>
      </xdr:nvPicPr>
      <xdr:blipFill>
        <a:blip xmlns:r="http://schemas.openxmlformats.org/officeDocument/2006/relationships" r:embed="rId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70543" y="70574170"/>
          <a:ext cx="1141840" cy="7136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156</xdr:row>
      <xdr:rowOff>8106</xdr:rowOff>
    </xdr:from>
    <xdr:to>
      <xdr:col>2</xdr:col>
      <xdr:colOff>1141840</xdr:colOff>
      <xdr:row>157</xdr:row>
      <xdr:rowOff>1168</xdr:rowOff>
    </xdr:to>
    <xdr:pic>
      <xdr:nvPicPr>
        <xdr:cNvPr id="106" name="Picture 105"/>
        <xdr:cNvPicPr>
          <a:picLocks noChangeAspect="1"/>
        </xdr:cNvPicPr>
      </xdr:nvPicPr>
      <xdr:blipFill>
        <a:blip xmlns:r="http://schemas.openxmlformats.org/officeDocument/2006/relationships" r:embed="rId1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70543" y="71299691"/>
          <a:ext cx="1141840" cy="7136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102</xdr:row>
      <xdr:rowOff>8106</xdr:rowOff>
    </xdr:from>
    <xdr:to>
      <xdr:col>2</xdr:col>
      <xdr:colOff>1141840</xdr:colOff>
      <xdr:row>103</xdr:row>
      <xdr:rowOff>1168</xdr:rowOff>
    </xdr:to>
    <xdr:pic>
      <xdr:nvPicPr>
        <xdr:cNvPr id="107" name="Picture 106"/>
        <xdr:cNvPicPr>
          <a:picLocks noChangeAspect="1"/>
        </xdr:cNvPicPr>
      </xdr:nvPicPr>
      <xdr:blipFill>
        <a:blip xmlns:r="http://schemas.openxmlformats.org/officeDocument/2006/relationships" r:embed="rId1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70543" y="72025212"/>
          <a:ext cx="1141840" cy="7136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103</xdr:row>
      <xdr:rowOff>7949</xdr:rowOff>
    </xdr:from>
    <xdr:to>
      <xdr:col>2</xdr:col>
      <xdr:colOff>1141840</xdr:colOff>
      <xdr:row>104</xdr:row>
      <xdr:rowOff>1169</xdr:rowOff>
    </xdr:to>
    <xdr:pic>
      <xdr:nvPicPr>
        <xdr:cNvPr id="108" name="Picture 107"/>
        <xdr:cNvPicPr>
          <a:picLocks noChangeAspect="1"/>
        </xdr:cNvPicPr>
      </xdr:nvPicPr>
      <xdr:blipFill>
        <a:blip xmlns:r="http://schemas.openxmlformats.org/officeDocument/2006/relationships" r:embed="rId1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70543" y="72750577"/>
          <a:ext cx="1141840" cy="713807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105</xdr:row>
      <xdr:rowOff>8106</xdr:rowOff>
    </xdr:from>
    <xdr:to>
      <xdr:col>2</xdr:col>
      <xdr:colOff>1141840</xdr:colOff>
      <xdr:row>106</xdr:row>
      <xdr:rowOff>1168</xdr:rowOff>
    </xdr:to>
    <xdr:pic>
      <xdr:nvPicPr>
        <xdr:cNvPr id="110" name="Picture 109"/>
        <xdr:cNvPicPr>
          <a:picLocks noChangeAspect="1"/>
        </xdr:cNvPicPr>
      </xdr:nvPicPr>
      <xdr:blipFill>
        <a:blip xmlns:r="http://schemas.openxmlformats.org/officeDocument/2006/relationships" r:embed="rId10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70543" y="74201776"/>
          <a:ext cx="1141840" cy="7136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106</xdr:row>
      <xdr:rowOff>8106</xdr:rowOff>
    </xdr:from>
    <xdr:to>
      <xdr:col>2</xdr:col>
      <xdr:colOff>1141840</xdr:colOff>
      <xdr:row>107</xdr:row>
      <xdr:rowOff>1170</xdr:rowOff>
    </xdr:to>
    <xdr:pic>
      <xdr:nvPicPr>
        <xdr:cNvPr id="111" name="Picture 110"/>
        <xdr:cNvPicPr>
          <a:picLocks noChangeAspect="1"/>
        </xdr:cNvPicPr>
      </xdr:nvPicPr>
      <xdr:blipFill>
        <a:blip xmlns:r="http://schemas.openxmlformats.org/officeDocument/2006/relationships" r:embed="rId10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70543" y="74927297"/>
          <a:ext cx="1141840" cy="7136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107</xdr:row>
      <xdr:rowOff>8106</xdr:rowOff>
    </xdr:from>
    <xdr:to>
      <xdr:col>2</xdr:col>
      <xdr:colOff>1141840</xdr:colOff>
      <xdr:row>108</xdr:row>
      <xdr:rowOff>1168</xdr:rowOff>
    </xdr:to>
    <xdr:pic>
      <xdr:nvPicPr>
        <xdr:cNvPr id="112" name="Picture 111"/>
        <xdr:cNvPicPr>
          <a:picLocks noChangeAspect="1"/>
        </xdr:cNvPicPr>
      </xdr:nvPicPr>
      <xdr:blipFill>
        <a:blip xmlns:r="http://schemas.openxmlformats.org/officeDocument/2006/relationships" r:embed="rId10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70543" y="75652819"/>
          <a:ext cx="1141840" cy="7136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108</xdr:row>
      <xdr:rowOff>8106</xdr:rowOff>
    </xdr:from>
    <xdr:to>
      <xdr:col>2</xdr:col>
      <xdr:colOff>1141840</xdr:colOff>
      <xdr:row>109</xdr:row>
      <xdr:rowOff>1170</xdr:rowOff>
    </xdr:to>
    <xdr:pic>
      <xdr:nvPicPr>
        <xdr:cNvPr id="113" name="Picture 112"/>
        <xdr:cNvPicPr>
          <a:picLocks noChangeAspect="1"/>
        </xdr:cNvPicPr>
      </xdr:nvPicPr>
      <xdr:blipFill>
        <a:blip xmlns:r="http://schemas.openxmlformats.org/officeDocument/2006/relationships" r:embed="rId10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70543" y="76378340"/>
          <a:ext cx="1141840" cy="7136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109</xdr:row>
      <xdr:rowOff>8106</xdr:rowOff>
    </xdr:from>
    <xdr:to>
      <xdr:col>2</xdr:col>
      <xdr:colOff>1141840</xdr:colOff>
      <xdr:row>110</xdr:row>
      <xdr:rowOff>1170</xdr:rowOff>
    </xdr:to>
    <xdr:pic>
      <xdr:nvPicPr>
        <xdr:cNvPr id="114" name="Picture 113"/>
        <xdr:cNvPicPr>
          <a:picLocks noChangeAspect="1"/>
        </xdr:cNvPicPr>
      </xdr:nvPicPr>
      <xdr:blipFill>
        <a:blip xmlns:r="http://schemas.openxmlformats.org/officeDocument/2006/relationships" r:embed="rId10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70543" y="77103861"/>
          <a:ext cx="1141840" cy="7136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110</xdr:row>
      <xdr:rowOff>8106</xdr:rowOff>
    </xdr:from>
    <xdr:to>
      <xdr:col>2</xdr:col>
      <xdr:colOff>1141840</xdr:colOff>
      <xdr:row>111</xdr:row>
      <xdr:rowOff>1168</xdr:rowOff>
    </xdr:to>
    <xdr:pic>
      <xdr:nvPicPr>
        <xdr:cNvPr id="115" name="Picture 114"/>
        <xdr:cNvPicPr>
          <a:picLocks noChangeAspect="1"/>
        </xdr:cNvPicPr>
      </xdr:nvPicPr>
      <xdr:blipFill>
        <a:blip xmlns:r="http://schemas.openxmlformats.org/officeDocument/2006/relationships" r:embed="rId10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70543" y="77829383"/>
          <a:ext cx="1141840" cy="7136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111</xdr:row>
      <xdr:rowOff>8106</xdr:rowOff>
    </xdr:from>
    <xdr:to>
      <xdr:col>2</xdr:col>
      <xdr:colOff>1141840</xdr:colOff>
      <xdr:row>112</xdr:row>
      <xdr:rowOff>1169</xdr:rowOff>
    </xdr:to>
    <xdr:pic>
      <xdr:nvPicPr>
        <xdr:cNvPr id="116" name="Picture 115"/>
        <xdr:cNvPicPr>
          <a:picLocks noChangeAspect="1"/>
        </xdr:cNvPicPr>
      </xdr:nvPicPr>
      <xdr:blipFill>
        <a:blip xmlns:r="http://schemas.openxmlformats.org/officeDocument/2006/relationships" r:embed="rId10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70543" y="78554904"/>
          <a:ext cx="1141840" cy="7136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112</xdr:row>
      <xdr:rowOff>8106</xdr:rowOff>
    </xdr:from>
    <xdr:to>
      <xdr:col>2</xdr:col>
      <xdr:colOff>1141840</xdr:colOff>
      <xdr:row>113</xdr:row>
      <xdr:rowOff>1170</xdr:rowOff>
    </xdr:to>
    <xdr:pic>
      <xdr:nvPicPr>
        <xdr:cNvPr id="117" name="Picture 116"/>
        <xdr:cNvPicPr>
          <a:picLocks noChangeAspect="1"/>
        </xdr:cNvPicPr>
      </xdr:nvPicPr>
      <xdr:blipFill>
        <a:blip xmlns:r="http://schemas.openxmlformats.org/officeDocument/2006/relationships" r:embed="rId11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70543" y="79280425"/>
          <a:ext cx="1141840" cy="7136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113</xdr:row>
      <xdr:rowOff>8106</xdr:rowOff>
    </xdr:from>
    <xdr:to>
      <xdr:col>2</xdr:col>
      <xdr:colOff>1141840</xdr:colOff>
      <xdr:row>114</xdr:row>
      <xdr:rowOff>1168</xdr:rowOff>
    </xdr:to>
    <xdr:pic>
      <xdr:nvPicPr>
        <xdr:cNvPr id="118" name="Picture 117"/>
        <xdr:cNvPicPr>
          <a:picLocks noChangeAspect="1"/>
        </xdr:cNvPicPr>
      </xdr:nvPicPr>
      <xdr:blipFill>
        <a:blip xmlns:r="http://schemas.openxmlformats.org/officeDocument/2006/relationships" r:embed="rId11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70543" y="80005946"/>
          <a:ext cx="1141840" cy="7136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114</xdr:row>
      <xdr:rowOff>8106</xdr:rowOff>
    </xdr:from>
    <xdr:to>
      <xdr:col>2</xdr:col>
      <xdr:colOff>1141840</xdr:colOff>
      <xdr:row>115</xdr:row>
      <xdr:rowOff>1169</xdr:rowOff>
    </xdr:to>
    <xdr:pic>
      <xdr:nvPicPr>
        <xdr:cNvPr id="119" name="Picture 118"/>
        <xdr:cNvPicPr>
          <a:picLocks noChangeAspect="1"/>
        </xdr:cNvPicPr>
      </xdr:nvPicPr>
      <xdr:blipFill>
        <a:blip xmlns:r="http://schemas.openxmlformats.org/officeDocument/2006/relationships" r:embed="rId11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70543" y="80731468"/>
          <a:ext cx="1141840" cy="7136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115</xdr:row>
      <xdr:rowOff>8106</xdr:rowOff>
    </xdr:from>
    <xdr:to>
      <xdr:col>2</xdr:col>
      <xdr:colOff>1141840</xdr:colOff>
      <xdr:row>116</xdr:row>
      <xdr:rowOff>1170</xdr:rowOff>
    </xdr:to>
    <xdr:pic>
      <xdr:nvPicPr>
        <xdr:cNvPr id="120" name="Picture 119"/>
        <xdr:cNvPicPr>
          <a:picLocks noChangeAspect="1"/>
        </xdr:cNvPicPr>
      </xdr:nvPicPr>
      <xdr:blipFill>
        <a:blip xmlns:r="http://schemas.openxmlformats.org/officeDocument/2006/relationships" r:embed="rId11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70543" y="81456989"/>
          <a:ext cx="1141840" cy="7136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116</xdr:row>
      <xdr:rowOff>7950</xdr:rowOff>
    </xdr:from>
    <xdr:to>
      <xdr:col>2</xdr:col>
      <xdr:colOff>1141840</xdr:colOff>
      <xdr:row>117</xdr:row>
      <xdr:rowOff>1168</xdr:rowOff>
    </xdr:to>
    <xdr:pic>
      <xdr:nvPicPr>
        <xdr:cNvPr id="121" name="Picture 120"/>
        <xdr:cNvPicPr>
          <a:picLocks noChangeAspect="1"/>
        </xdr:cNvPicPr>
      </xdr:nvPicPr>
      <xdr:blipFill>
        <a:blip xmlns:r="http://schemas.openxmlformats.org/officeDocument/2006/relationships" r:embed="rId11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70543" y="82182354"/>
          <a:ext cx="1141840" cy="713806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117</xdr:row>
      <xdr:rowOff>8106</xdr:rowOff>
    </xdr:from>
    <xdr:to>
      <xdr:col>2</xdr:col>
      <xdr:colOff>1141840</xdr:colOff>
      <xdr:row>118</xdr:row>
      <xdr:rowOff>1169</xdr:rowOff>
    </xdr:to>
    <xdr:pic>
      <xdr:nvPicPr>
        <xdr:cNvPr id="122" name="Picture 121"/>
        <xdr:cNvPicPr>
          <a:picLocks noChangeAspect="1"/>
        </xdr:cNvPicPr>
      </xdr:nvPicPr>
      <xdr:blipFill>
        <a:blip xmlns:r="http://schemas.openxmlformats.org/officeDocument/2006/relationships" r:embed="rId11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70543" y="82908032"/>
          <a:ext cx="1141840" cy="7136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118</xdr:row>
      <xdr:rowOff>8106</xdr:rowOff>
    </xdr:from>
    <xdr:to>
      <xdr:col>2</xdr:col>
      <xdr:colOff>1141840</xdr:colOff>
      <xdr:row>119</xdr:row>
      <xdr:rowOff>1170</xdr:rowOff>
    </xdr:to>
    <xdr:pic>
      <xdr:nvPicPr>
        <xdr:cNvPr id="123" name="Picture 122"/>
        <xdr:cNvPicPr>
          <a:picLocks noChangeAspect="1"/>
        </xdr:cNvPicPr>
      </xdr:nvPicPr>
      <xdr:blipFill>
        <a:blip xmlns:r="http://schemas.openxmlformats.org/officeDocument/2006/relationships" r:embed="rId11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70543" y="83633553"/>
          <a:ext cx="1141840" cy="7136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119</xdr:row>
      <xdr:rowOff>8106</xdr:rowOff>
    </xdr:from>
    <xdr:to>
      <xdr:col>2</xdr:col>
      <xdr:colOff>1141840</xdr:colOff>
      <xdr:row>120</xdr:row>
      <xdr:rowOff>1168</xdr:rowOff>
    </xdr:to>
    <xdr:pic>
      <xdr:nvPicPr>
        <xdr:cNvPr id="124" name="Picture 123"/>
        <xdr:cNvPicPr>
          <a:picLocks noChangeAspect="1"/>
        </xdr:cNvPicPr>
      </xdr:nvPicPr>
      <xdr:blipFill>
        <a:blip xmlns:r="http://schemas.openxmlformats.org/officeDocument/2006/relationships" r:embed="rId11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70543" y="84359074"/>
          <a:ext cx="1141840" cy="7136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121</xdr:row>
      <xdr:rowOff>8106</xdr:rowOff>
    </xdr:from>
    <xdr:to>
      <xdr:col>2</xdr:col>
      <xdr:colOff>1141840</xdr:colOff>
      <xdr:row>122</xdr:row>
      <xdr:rowOff>1170</xdr:rowOff>
    </xdr:to>
    <xdr:pic>
      <xdr:nvPicPr>
        <xdr:cNvPr id="125" name="Picture 124"/>
        <xdr:cNvPicPr>
          <a:picLocks noChangeAspect="1"/>
        </xdr:cNvPicPr>
      </xdr:nvPicPr>
      <xdr:blipFill>
        <a:blip xmlns:r="http://schemas.openxmlformats.org/officeDocument/2006/relationships" r:embed="rId11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70543" y="85084595"/>
          <a:ext cx="1141840" cy="7136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122</xdr:row>
      <xdr:rowOff>8106</xdr:rowOff>
    </xdr:from>
    <xdr:to>
      <xdr:col>2</xdr:col>
      <xdr:colOff>1141840</xdr:colOff>
      <xdr:row>123</xdr:row>
      <xdr:rowOff>1168</xdr:rowOff>
    </xdr:to>
    <xdr:pic>
      <xdr:nvPicPr>
        <xdr:cNvPr id="126" name="Picture 125"/>
        <xdr:cNvPicPr>
          <a:picLocks noChangeAspect="1"/>
        </xdr:cNvPicPr>
      </xdr:nvPicPr>
      <xdr:blipFill>
        <a:blip xmlns:r="http://schemas.openxmlformats.org/officeDocument/2006/relationships" r:embed="rId11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70543" y="85810117"/>
          <a:ext cx="1141840" cy="7136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123</xdr:row>
      <xdr:rowOff>8106</xdr:rowOff>
    </xdr:from>
    <xdr:to>
      <xdr:col>2</xdr:col>
      <xdr:colOff>1141840</xdr:colOff>
      <xdr:row>124</xdr:row>
      <xdr:rowOff>1170</xdr:rowOff>
    </xdr:to>
    <xdr:pic>
      <xdr:nvPicPr>
        <xdr:cNvPr id="127" name="Picture 126"/>
        <xdr:cNvPicPr>
          <a:picLocks noChangeAspect="1"/>
        </xdr:cNvPicPr>
      </xdr:nvPicPr>
      <xdr:blipFill>
        <a:blip xmlns:r="http://schemas.openxmlformats.org/officeDocument/2006/relationships" r:embed="rId12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70543" y="86535638"/>
          <a:ext cx="1141840" cy="7136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124</xdr:row>
      <xdr:rowOff>8106</xdr:rowOff>
    </xdr:from>
    <xdr:to>
      <xdr:col>2</xdr:col>
      <xdr:colOff>1141840</xdr:colOff>
      <xdr:row>125</xdr:row>
      <xdr:rowOff>1168</xdr:rowOff>
    </xdr:to>
    <xdr:pic>
      <xdr:nvPicPr>
        <xdr:cNvPr id="128" name="Picture 127"/>
        <xdr:cNvPicPr>
          <a:picLocks noChangeAspect="1"/>
        </xdr:cNvPicPr>
      </xdr:nvPicPr>
      <xdr:blipFill>
        <a:blip xmlns:r="http://schemas.openxmlformats.org/officeDocument/2006/relationships" r:embed="rId12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70543" y="87261159"/>
          <a:ext cx="1141840" cy="7136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125</xdr:row>
      <xdr:rowOff>8106</xdr:rowOff>
    </xdr:from>
    <xdr:to>
      <xdr:col>2</xdr:col>
      <xdr:colOff>1141840</xdr:colOff>
      <xdr:row>126</xdr:row>
      <xdr:rowOff>1169</xdr:rowOff>
    </xdr:to>
    <xdr:pic>
      <xdr:nvPicPr>
        <xdr:cNvPr id="129" name="Picture 128"/>
        <xdr:cNvPicPr>
          <a:picLocks noChangeAspect="1"/>
        </xdr:cNvPicPr>
      </xdr:nvPicPr>
      <xdr:blipFill>
        <a:blip xmlns:r="http://schemas.openxmlformats.org/officeDocument/2006/relationships" r:embed="rId12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70543" y="87986680"/>
          <a:ext cx="1141840" cy="7136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126</xdr:row>
      <xdr:rowOff>8106</xdr:rowOff>
    </xdr:from>
    <xdr:to>
      <xdr:col>2</xdr:col>
      <xdr:colOff>1141840</xdr:colOff>
      <xdr:row>127</xdr:row>
      <xdr:rowOff>1170</xdr:rowOff>
    </xdr:to>
    <xdr:pic>
      <xdr:nvPicPr>
        <xdr:cNvPr id="130" name="Picture 129"/>
        <xdr:cNvPicPr>
          <a:picLocks noChangeAspect="1"/>
        </xdr:cNvPicPr>
      </xdr:nvPicPr>
      <xdr:blipFill>
        <a:blip xmlns:r="http://schemas.openxmlformats.org/officeDocument/2006/relationships" r:embed="rId12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70543" y="88712202"/>
          <a:ext cx="1141840" cy="7136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127</xdr:row>
      <xdr:rowOff>8106</xdr:rowOff>
    </xdr:from>
    <xdr:to>
      <xdr:col>2</xdr:col>
      <xdr:colOff>1141840</xdr:colOff>
      <xdr:row>128</xdr:row>
      <xdr:rowOff>1168</xdr:rowOff>
    </xdr:to>
    <xdr:pic>
      <xdr:nvPicPr>
        <xdr:cNvPr id="131" name="Picture 130"/>
        <xdr:cNvPicPr>
          <a:picLocks noChangeAspect="1"/>
        </xdr:cNvPicPr>
      </xdr:nvPicPr>
      <xdr:blipFill>
        <a:blip xmlns:r="http://schemas.openxmlformats.org/officeDocument/2006/relationships" r:embed="rId12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70543" y="89437723"/>
          <a:ext cx="1141840" cy="7136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128</xdr:row>
      <xdr:rowOff>8106</xdr:rowOff>
    </xdr:from>
    <xdr:to>
      <xdr:col>2</xdr:col>
      <xdr:colOff>1141840</xdr:colOff>
      <xdr:row>129</xdr:row>
      <xdr:rowOff>1169</xdr:rowOff>
    </xdr:to>
    <xdr:pic>
      <xdr:nvPicPr>
        <xdr:cNvPr id="132" name="Picture 131"/>
        <xdr:cNvPicPr>
          <a:picLocks noChangeAspect="1"/>
        </xdr:cNvPicPr>
      </xdr:nvPicPr>
      <xdr:blipFill>
        <a:blip xmlns:r="http://schemas.openxmlformats.org/officeDocument/2006/relationships" r:embed="rId12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70543" y="90163244"/>
          <a:ext cx="1141840" cy="7136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129</xdr:row>
      <xdr:rowOff>8106</xdr:rowOff>
    </xdr:from>
    <xdr:to>
      <xdr:col>2</xdr:col>
      <xdr:colOff>1141840</xdr:colOff>
      <xdr:row>130</xdr:row>
      <xdr:rowOff>1170</xdr:rowOff>
    </xdr:to>
    <xdr:pic>
      <xdr:nvPicPr>
        <xdr:cNvPr id="133" name="Picture 132"/>
        <xdr:cNvPicPr>
          <a:picLocks noChangeAspect="1"/>
        </xdr:cNvPicPr>
      </xdr:nvPicPr>
      <xdr:blipFill>
        <a:blip xmlns:r="http://schemas.openxmlformats.org/officeDocument/2006/relationships" r:embed="rId12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70543" y="90888766"/>
          <a:ext cx="1141840" cy="7136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130</xdr:row>
      <xdr:rowOff>7950</xdr:rowOff>
    </xdr:from>
    <xdr:to>
      <xdr:col>2</xdr:col>
      <xdr:colOff>1141840</xdr:colOff>
      <xdr:row>131</xdr:row>
      <xdr:rowOff>1168</xdr:rowOff>
    </xdr:to>
    <xdr:pic>
      <xdr:nvPicPr>
        <xdr:cNvPr id="134" name="Picture 133"/>
        <xdr:cNvPicPr>
          <a:picLocks noChangeAspect="1"/>
        </xdr:cNvPicPr>
      </xdr:nvPicPr>
      <xdr:blipFill>
        <a:blip xmlns:r="http://schemas.openxmlformats.org/officeDocument/2006/relationships" r:embed="rId12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70543" y="91614131"/>
          <a:ext cx="1141840" cy="713806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131</xdr:row>
      <xdr:rowOff>8106</xdr:rowOff>
    </xdr:from>
    <xdr:to>
      <xdr:col>2</xdr:col>
      <xdr:colOff>1141840</xdr:colOff>
      <xdr:row>132</xdr:row>
      <xdr:rowOff>1169</xdr:rowOff>
    </xdr:to>
    <xdr:pic>
      <xdr:nvPicPr>
        <xdr:cNvPr id="135" name="Picture 134"/>
        <xdr:cNvPicPr>
          <a:picLocks noChangeAspect="1"/>
        </xdr:cNvPicPr>
      </xdr:nvPicPr>
      <xdr:blipFill>
        <a:blip xmlns:r="http://schemas.openxmlformats.org/officeDocument/2006/relationships" r:embed="rId12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70543" y="92339808"/>
          <a:ext cx="1141840" cy="7136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132</xdr:row>
      <xdr:rowOff>8106</xdr:rowOff>
    </xdr:from>
    <xdr:to>
      <xdr:col>2</xdr:col>
      <xdr:colOff>1141840</xdr:colOff>
      <xdr:row>133</xdr:row>
      <xdr:rowOff>1170</xdr:rowOff>
    </xdr:to>
    <xdr:pic>
      <xdr:nvPicPr>
        <xdr:cNvPr id="136" name="Picture 135"/>
        <xdr:cNvPicPr>
          <a:picLocks noChangeAspect="1"/>
        </xdr:cNvPicPr>
      </xdr:nvPicPr>
      <xdr:blipFill>
        <a:blip xmlns:r="http://schemas.openxmlformats.org/officeDocument/2006/relationships" r:embed="rId12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70543" y="93065329"/>
          <a:ext cx="1141840" cy="7136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133</xdr:row>
      <xdr:rowOff>8106</xdr:rowOff>
    </xdr:from>
    <xdr:to>
      <xdr:col>2</xdr:col>
      <xdr:colOff>1141840</xdr:colOff>
      <xdr:row>134</xdr:row>
      <xdr:rowOff>1169</xdr:rowOff>
    </xdr:to>
    <xdr:pic>
      <xdr:nvPicPr>
        <xdr:cNvPr id="137" name="Picture 136"/>
        <xdr:cNvPicPr>
          <a:picLocks noChangeAspect="1"/>
        </xdr:cNvPicPr>
      </xdr:nvPicPr>
      <xdr:blipFill>
        <a:blip xmlns:r="http://schemas.openxmlformats.org/officeDocument/2006/relationships" r:embed="rId13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70543" y="93790851"/>
          <a:ext cx="1141840" cy="713650"/>
        </a:xfrm>
        <a:prstGeom prst="rect">
          <a:avLst/>
        </a:prstGeom>
      </xdr:spPr>
    </xdr:pic>
    <xdr:clientData/>
  </xdr:twoCellAnchor>
  <xdr:twoCellAnchor editAs="oneCell">
    <xdr:from>
      <xdr:col>2</xdr:col>
      <xdr:colOff>266905</xdr:colOff>
      <xdr:row>134</xdr:row>
      <xdr:rowOff>8106</xdr:rowOff>
    </xdr:from>
    <xdr:to>
      <xdr:col>2</xdr:col>
      <xdr:colOff>874934</xdr:colOff>
      <xdr:row>135</xdr:row>
      <xdr:rowOff>1169</xdr:rowOff>
    </xdr:to>
    <xdr:pic>
      <xdr:nvPicPr>
        <xdr:cNvPr id="138" name="Picture 137"/>
        <xdr:cNvPicPr>
          <a:picLocks noChangeAspect="1"/>
        </xdr:cNvPicPr>
      </xdr:nvPicPr>
      <xdr:blipFill>
        <a:blip xmlns:r="http://schemas.openxmlformats.org/officeDocument/2006/relationships" r:embed="rId13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337448" y="94516372"/>
          <a:ext cx="608029" cy="7136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135</xdr:row>
      <xdr:rowOff>8106</xdr:rowOff>
    </xdr:from>
    <xdr:to>
      <xdr:col>2</xdr:col>
      <xdr:colOff>1141840</xdr:colOff>
      <xdr:row>136</xdr:row>
      <xdr:rowOff>1169</xdr:rowOff>
    </xdr:to>
    <xdr:pic>
      <xdr:nvPicPr>
        <xdr:cNvPr id="139" name="Picture 138"/>
        <xdr:cNvPicPr>
          <a:picLocks noChangeAspect="1"/>
        </xdr:cNvPicPr>
      </xdr:nvPicPr>
      <xdr:blipFill>
        <a:blip xmlns:r="http://schemas.openxmlformats.org/officeDocument/2006/relationships" r:embed="rId13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70543" y="95241893"/>
          <a:ext cx="1141840" cy="7136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137</xdr:row>
      <xdr:rowOff>8106</xdr:rowOff>
    </xdr:from>
    <xdr:to>
      <xdr:col>2</xdr:col>
      <xdr:colOff>1141840</xdr:colOff>
      <xdr:row>138</xdr:row>
      <xdr:rowOff>1169</xdr:rowOff>
    </xdr:to>
    <xdr:pic>
      <xdr:nvPicPr>
        <xdr:cNvPr id="140" name="Picture 139"/>
        <xdr:cNvPicPr>
          <a:picLocks noChangeAspect="1"/>
        </xdr:cNvPicPr>
      </xdr:nvPicPr>
      <xdr:blipFill>
        <a:blip xmlns:r="http://schemas.openxmlformats.org/officeDocument/2006/relationships" r:embed="rId13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70543" y="96692936"/>
          <a:ext cx="1141840" cy="7136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138</xdr:row>
      <xdr:rowOff>8106</xdr:rowOff>
    </xdr:from>
    <xdr:to>
      <xdr:col>2</xdr:col>
      <xdr:colOff>1141840</xdr:colOff>
      <xdr:row>139</xdr:row>
      <xdr:rowOff>1169</xdr:rowOff>
    </xdr:to>
    <xdr:pic>
      <xdr:nvPicPr>
        <xdr:cNvPr id="141" name="Picture 140"/>
        <xdr:cNvPicPr>
          <a:picLocks noChangeAspect="1"/>
        </xdr:cNvPicPr>
      </xdr:nvPicPr>
      <xdr:blipFill>
        <a:blip xmlns:r="http://schemas.openxmlformats.org/officeDocument/2006/relationships" r:embed="rId13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70543" y="97418457"/>
          <a:ext cx="1141840" cy="7136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139</xdr:row>
      <xdr:rowOff>8106</xdr:rowOff>
    </xdr:from>
    <xdr:to>
      <xdr:col>2</xdr:col>
      <xdr:colOff>1141840</xdr:colOff>
      <xdr:row>140</xdr:row>
      <xdr:rowOff>1169</xdr:rowOff>
    </xdr:to>
    <xdr:pic>
      <xdr:nvPicPr>
        <xdr:cNvPr id="142" name="Picture 141"/>
        <xdr:cNvPicPr>
          <a:picLocks noChangeAspect="1"/>
        </xdr:cNvPicPr>
      </xdr:nvPicPr>
      <xdr:blipFill>
        <a:blip xmlns:r="http://schemas.openxmlformats.org/officeDocument/2006/relationships" r:embed="rId13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70543" y="98143978"/>
          <a:ext cx="1141840" cy="7136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140</xdr:row>
      <xdr:rowOff>8106</xdr:rowOff>
    </xdr:from>
    <xdr:to>
      <xdr:col>2</xdr:col>
      <xdr:colOff>1141840</xdr:colOff>
      <xdr:row>141</xdr:row>
      <xdr:rowOff>1169</xdr:rowOff>
    </xdr:to>
    <xdr:pic>
      <xdr:nvPicPr>
        <xdr:cNvPr id="143" name="Picture 142"/>
        <xdr:cNvPicPr>
          <a:picLocks noChangeAspect="1"/>
        </xdr:cNvPicPr>
      </xdr:nvPicPr>
      <xdr:blipFill>
        <a:blip xmlns:r="http://schemas.openxmlformats.org/officeDocument/2006/relationships" r:embed="rId13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14265" y="101466165"/>
          <a:ext cx="1141840" cy="72144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141</xdr:row>
      <xdr:rowOff>8106</xdr:rowOff>
    </xdr:from>
    <xdr:to>
      <xdr:col>2</xdr:col>
      <xdr:colOff>1141840</xdr:colOff>
      <xdr:row>142</xdr:row>
      <xdr:rowOff>1168</xdr:rowOff>
    </xdr:to>
    <xdr:pic>
      <xdr:nvPicPr>
        <xdr:cNvPr id="144" name="Picture 143"/>
        <xdr:cNvPicPr>
          <a:picLocks noChangeAspect="1"/>
        </xdr:cNvPicPr>
      </xdr:nvPicPr>
      <xdr:blipFill>
        <a:blip xmlns:r="http://schemas.openxmlformats.org/officeDocument/2006/relationships" r:embed="rId13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70543" y="99595021"/>
          <a:ext cx="1141840" cy="7136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142</xdr:row>
      <xdr:rowOff>8106</xdr:rowOff>
    </xdr:from>
    <xdr:to>
      <xdr:col>2</xdr:col>
      <xdr:colOff>1141840</xdr:colOff>
      <xdr:row>143</xdr:row>
      <xdr:rowOff>1169</xdr:rowOff>
    </xdr:to>
    <xdr:pic>
      <xdr:nvPicPr>
        <xdr:cNvPr id="145" name="Picture 144"/>
        <xdr:cNvPicPr>
          <a:picLocks noChangeAspect="1"/>
        </xdr:cNvPicPr>
      </xdr:nvPicPr>
      <xdr:blipFill>
        <a:blip xmlns:r="http://schemas.openxmlformats.org/officeDocument/2006/relationships" r:embed="rId13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70543" y="100320542"/>
          <a:ext cx="1141840" cy="7136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201</xdr:row>
      <xdr:rowOff>8106</xdr:rowOff>
    </xdr:from>
    <xdr:to>
      <xdr:col>2</xdr:col>
      <xdr:colOff>1141841</xdr:colOff>
      <xdr:row>202</xdr:row>
      <xdr:rowOff>1168</xdr:rowOff>
    </xdr:to>
    <xdr:pic>
      <xdr:nvPicPr>
        <xdr:cNvPr id="146" name="Picture 145"/>
        <xdr:cNvPicPr>
          <a:picLocks noChangeAspect="1"/>
        </xdr:cNvPicPr>
      </xdr:nvPicPr>
      <xdr:blipFill>
        <a:blip xmlns:r="http://schemas.openxmlformats.org/officeDocument/2006/relationships" r:embed="rId13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70543" y="140949734"/>
          <a:ext cx="1141841" cy="7136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202</xdr:row>
      <xdr:rowOff>8106</xdr:rowOff>
    </xdr:from>
    <xdr:to>
      <xdr:col>2</xdr:col>
      <xdr:colOff>1141840</xdr:colOff>
      <xdr:row>203</xdr:row>
      <xdr:rowOff>1169</xdr:rowOff>
    </xdr:to>
    <xdr:pic>
      <xdr:nvPicPr>
        <xdr:cNvPr id="147" name="Picture 146"/>
        <xdr:cNvPicPr>
          <a:picLocks noChangeAspect="1"/>
        </xdr:cNvPicPr>
      </xdr:nvPicPr>
      <xdr:blipFill>
        <a:blip xmlns:r="http://schemas.openxmlformats.org/officeDocument/2006/relationships" r:embed="rId14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70543" y="141675255"/>
          <a:ext cx="1141840" cy="7136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143</xdr:row>
      <xdr:rowOff>7950</xdr:rowOff>
    </xdr:from>
    <xdr:to>
      <xdr:col>2</xdr:col>
      <xdr:colOff>1141840</xdr:colOff>
      <xdr:row>144</xdr:row>
      <xdr:rowOff>1170</xdr:rowOff>
    </xdr:to>
    <xdr:pic>
      <xdr:nvPicPr>
        <xdr:cNvPr id="149" name="Picture 148"/>
        <xdr:cNvPicPr>
          <a:picLocks noChangeAspect="1"/>
        </xdr:cNvPicPr>
      </xdr:nvPicPr>
      <xdr:blipFill>
        <a:blip xmlns:r="http://schemas.openxmlformats.org/officeDocument/2006/relationships" r:embed="rId14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70543" y="101045907"/>
          <a:ext cx="1141840" cy="713806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144</xdr:row>
      <xdr:rowOff>8106</xdr:rowOff>
    </xdr:from>
    <xdr:to>
      <xdr:col>2</xdr:col>
      <xdr:colOff>1141840</xdr:colOff>
      <xdr:row>145</xdr:row>
      <xdr:rowOff>1168</xdr:rowOff>
    </xdr:to>
    <xdr:pic>
      <xdr:nvPicPr>
        <xdr:cNvPr id="150" name="Picture 149"/>
        <xdr:cNvPicPr>
          <a:picLocks noChangeAspect="1"/>
        </xdr:cNvPicPr>
      </xdr:nvPicPr>
      <xdr:blipFill>
        <a:blip xmlns:r="http://schemas.openxmlformats.org/officeDocument/2006/relationships" r:embed="rId14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70543" y="101771585"/>
          <a:ext cx="1141840" cy="7136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145</xdr:row>
      <xdr:rowOff>8106</xdr:rowOff>
    </xdr:from>
    <xdr:to>
      <xdr:col>2</xdr:col>
      <xdr:colOff>1141840</xdr:colOff>
      <xdr:row>146</xdr:row>
      <xdr:rowOff>1169</xdr:rowOff>
    </xdr:to>
    <xdr:pic>
      <xdr:nvPicPr>
        <xdr:cNvPr id="151" name="Picture 150"/>
        <xdr:cNvPicPr>
          <a:picLocks noChangeAspect="1"/>
        </xdr:cNvPicPr>
      </xdr:nvPicPr>
      <xdr:blipFill>
        <a:blip xmlns:r="http://schemas.openxmlformats.org/officeDocument/2006/relationships" r:embed="rId14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70543" y="102497106"/>
          <a:ext cx="1141840" cy="7136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146</xdr:row>
      <xdr:rowOff>8106</xdr:rowOff>
    </xdr:from>
    <xdr:to>
      <xdr:col>2</xdr:col>
      <xdr:colOff>1141840</xdr:colOff>
      <xdr:row>147</xdr:row>
      <xdr:rowOff>1170</xdr:rowOff>
    </xdr:to>
    <xdr:pic>
      <xdr:nvPicPr>
        <xdr:cNvPr id="152" name="Picture 151"/>
        <xdr:cNvPicPr>
          <a:picLocks noChangeAspect="1"/>
        </xdr:cNvPicPr>
      </xdr:nvPicPr>
      <xdr:blipFill>
        <a:blip xmlns:r="http://schemas.openxmlformats.org/officeDocument/2006/relationships" r:embed="rId14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70543" y="103222627"/>
          <a:ext cx="1141840" cy="7136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147</xdr:row>
      <xdr:rowOff>8106</xdr:rowOff>
    </xdr:from>
    <xdr:to>
      <xdr:col>2</xdr:col>
      <xdr:colOff>1141840</xdr:colOff>
      <xdr:row>148</xdr:row>
      <xdr:rowOff>1168</xdr:rowOff>
    </xdr:to>
    <xdr:pic>
      <xdr:nvPicPr>
        <xdr:cNvPr id="153" name="Picture 152"/>
        <xdr:cNvPicPr>
          <a:picLocks noChangeAspect="1"/>
        </xdr:cNvPicPr>
      </xdr:nvPicPr>
      <xdr:blipFill>
        <a:blip xmlns:r="http://schemas.openxmlformats.org/officeDocument/2006/relationships" r:embed="rId14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70543" y="103948149"/>
          <a:ext cx="1141840" cy="7136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148</xdr:row>
      <xdr:rowOff>8106</xdr:rowOff>
    </xdr:from>
    <xdr:to>
      <xdr:col>2</xdr:col>
      <xdr:colOff>1141840</xdr:colOff>
      <xdr:row>149</xdr:row>
      <xdr:rowOff>1169</xdr:rowOff>
    </xdr:to>
    <xdr:pic>
      <xdr:nvPicPr>
        <xdr:cNvPr id="154" name="Picture 153"/>
        <xdr:cNvPicPr>
          <a:picLocks noChangeAspect="1"/>
        </xdr:cNvPicPr>
      </xdr:nvPicPr>
      <xdr:blipFill>
        <a:blip xmlns:r="http://schemas.openxmlformats.org/officeDocument/2006/relationships" r:embed="rId14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70543" y="104673670"/>
          <a:ext cx="1141840" cy="7136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149</xdr:row>
      <xdr:rowOff>8106</xdr:rowOff>
    </xdr:from>
    <xdr:to>
      <xdr:col>2</xdr:col>
      <xdr:colOff>1141840</xdr:colOff>
      <xdr:row>150</xdr:row>
      <xdr:rowOff>1170</xdr:rowOff>
    </xdr:to>
    <xdr:pic>
      <xdr:nvPicPr>
        <xdr:cNvPr id="155" name="Picture 154"/>
        <xdr:cNvPicPr>
          <a:picLocks noChangeAspect="1"/>
        </xdr:cNvPicPr>
      </xdr:nvPicPr>
      <xdr:blipFill>
        <a:blip xmlns:r="http://schemas.openxmlformats.org/officeDocument/2006/relationships" r:embed="rId14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70543" y="105399191"/>
          <a:ext cx="1141840" cy="7136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150</xdr:row>
      <xdr:rowOff>8106</xdr:rowOff>
    </xdr:from>
    <xdr:to>
      <xdr:col>2</xdr:col>
      <xdr:colOff>1141840</xdr:colOff>
      <xdr:row>151</xdr:row>
      <xdr:rowOff>1168</xdr:rowOff>
    </xdr:to>
    <xdr:pic>
      <xdr:nvPicPr>
        <xdr:cNvPr id="156" name="Picture 155"/>
        <xdr:cNvPicPr>
          <a:picLocks noChangeAspect="1"/>
        </xdr:cNvPicPr>
      </xdr:nvPicPr>
      <xdr:blipFill>
        <a:blip xmlns:r="http://schemas.openxmlformats.org/officeDocument/2006/relationships" r:embed="rId14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70543" y="106124712"/>
          <a:ext cx="1141840" cy="7136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151</xdr:row>
      <xdr:rowOff>8106</xdr:rowOff>
    </xdr:from>
    <xdr:to>
      <xdr:col>2</xdr:col>
      <xdr:colOff>1141840</xdr:colOff>
      <xdr:row>152</xdr:row>
      <xdr:rowOff>1169</xdr:rowOff>
    </xdr:to>
    <xdr:pic>
      <xdr:nvPicPr>
        <xdr:cNvPr id="157" name="Picture 156"/>
        <xdr:cNvPicPr>
          <a:picLocks noChangeAspect="1"/>
        </xdr:cNvPicPr>
      </xdr:nvPicPr>
      <xdr:blipFill>
        <a:blip xmlns:r="http://schemas.openxmlformats.org/officeDocument/2006/relationships" r:embed="rId14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70543" y="106850234"/>
          <a:ext cx="1141840" cy="7136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152</xdr:row>
      <xdr:rowOff>8106</xdr:rowOff>
    </xdr:from>
    <xdr:to>
      <xdr:col>2</xdr:col>
      <xdr:colOff>1141840</xdr:colOff>
      <xdr:row>153</xdr:row>
      <xdr:rowOff>1170</xdr:rowOff>
    </xdr:to>
    <xdr:pic>
      <xdr:nvPicPr>
        <xdr:cNvPr id="158" name="Picture 157"/>
        <xdr:cNvPicPr>
          <a:picLocks noChangeAspect="1"/>
        </xdr:cNvPicPr>
      </xdr:nvPicPr>
      <xdr:blipFill>
        <a:blip xmlns:r="http://schemas.openxmlformats.org/officeDocument/2006/relationships" r:embed="rId15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70543" y="107575755"/>
          <a:ext cx="1141840" cy="7136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153</xdr:row>
      <xdr:rowOff>8106</xdr:rowOff>
    </xdr:from>
    <xdr:to>
      <xdr:col>2</xdr:col>
      <xdr:colOff>1141840</xdr:colOff>
      <xdr:row>154</xdr:row>
      <xdr:rowOff>1168</xdr:rowOff>
    </xdr:to>
    <xdr:pic>
      <xdr:nvPicPr>
        <xdr:cNvPr id="159" name="Picture 158"/>
        <xdr:cNvPicPr>
          <a:picLocks noChangeAspect="1"/>
        </xdr:cNvPicPr>
      </xdr:nvPicPr>
      <xdr:blipFill>
        <a:blip xmlns:r="http://schemas.openxmlformats.org/officeDocument/2006/relationships" r:embed="rId15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70543" y="108301276"/>
          <a:ext cx="1141840" cy="7136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154</xdr:row>
      <xdr:rowOff>8106</xdr:rowOff>
    </xdr:from>
    <xdr:to>
      <xdr:col>2</xdr:col>
      <xdr:colOff>1141840</xdr:colOff>
      <xdr:row>155</xdr:row>
      <xdr:rowOff>1170</xdr:rowOff>
    </xdr:to>
    <xdr:pic>
      <xdr:nvPicPr>
        <xdr:cNvPr id="160" name="Picture 159"/>
        <xdr:cNvPicPr>
          <a:picLocks noChangeAspect="1"/>
        </xdr:cNvPicPr>
      </xdr:nvPicPr>
      <xdr:blipFill>
        <a:blip xmlns:r="http://schemas.openxmlformats.org/officeDocument/2006/relationships" r:embed="rId15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70543" y="109026797"/>
          <a:ext cx="1141840" cy="7136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157</xdr:row>
      <xdr:rowOff>8106</xdr:rowOff>
    </xdr:from>
    <xdr:to>
      <xdr:col>2</xdr:col>
      <xdr:colOff>1141840</xdr:colOff>
      <xdr:row>158</xdr:row>
      <xdr:rowOff>1169</xdr:rowOff>
    </xdr:to>
    <xdr:pic>
      <xdr:nvPicPr>
        <xdr:cNvPr id="161" name="Picture 160"/>
        <xdr:cNvPicPr>
          <a:picLocks noChangeAspect="1"/>
        </xdr:cNvPicPr>
      </xdr:nvPicPr>
      <xdr:blipFill>
        <a:blip xmlns:r="http://schemas.openxmlformats.org/officeDocument/2006/relationships" r:embed="rId15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70543" y="109752319"/>
          <a:ext cx="1141840" cy="7136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159</xdr:row>
      <xdr:rowOff>8106</xdr:rowOff>
    </xdr:from>
    <xdr:to>
      <xdr:col>2</xdr:col>
      <xdr:colOff>1141840</xdr:colOff>
      <xdr:row>160</xdr:row>
      <xdr:rowOff>1169</xdr:rowOff>
    </xdr:to>
    <xdr:pic>
      <xdr:nvPicPr>
        <xdr:cNvPr id="162" name="Picture 161"/>
        <xdr:cNvPicPr>
          <a:picLocks noChangeAspect="1"/>
        </xdr:cNvPicPr>
      </xdr:nvPicPr>
      <xdr:blipFill>
        <a:blip xmlns:r="http://schemas.openxmlformats.org/officeDocument/2006/relationships" r:embed="rId15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70543" y="111203361"/>
          <a:ext cx="1141840" cy="7136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160</xdr:row>
      <xdr:rowOff>8106</xdr:rowOff>
    </xdr:from>
    <xdr:to>
      <xdr:col>2</xdr:col>
      <xdr:colOff>1141840</xdr:colOff>
      <xdr:row>161</xdr:row>
      <xdr:rowOff>1169</xdr:rowOff>
    </xdr:to>
    <xdr:pic>
      <xdr:nvPicPr>
        <xdr:cNvPr id="163" name="Picture 162"/>
        <xdr:cNvPicPr>
          <a:picLocks noChangeAspect="1"/>
        </xdr:cNvPicPr>
      </xdr:nvPicPr>
      <xdr:blipFill>
        <a:blip xmlns:r="http://schemas.openxmlformats.org/officeDocument/2006/relationships" r:embed="rId15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70543" y="111928883"/>
          <a:ext cx="1141840" cy="7136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161</xdr:row>
      <xdr:rowOff>8106</xdr:rowOff>
    </xdr:from>
    <xdr:to>
      <xdr:col>2</xdr:col>
      <xdr:colOff>1141840</xdr:colOff>
      <xdr:row>162</xdr:row>
      <xdr:rowOff>1169</xdr:rowOff>
    </xdr:to>
    <xdr:pic>
      <xdr:nvPicPr>
        <xdr:cNvPr id="164" name="Picture 163"/>
        <xdr:cNvPicPr>
          <a:picLocks noChangeAspect="1"/>
        </xdr:cNvPicPr>
      </xdr:nvPicPr>
      <xdr:blipFill>
        <a:blip xmlns:r="http://schemas.openxmlformats.org/officeDocument/2006/relationships" r:embed="rId15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70543" y="112654404"/>
          <a:ext cx="1141840" cy="7136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162</xdr:row>
      <xdr:rowOff>8106</xdr:rowOff>
    </xdr:from>
    <xdr:to>
      <xdr:col>2</xdr:col>
      <xdr:colOff>1141840</xdr:colOff>
      <xdr:row>163</xdr:row>
      <xdr:rowOff>1169</xdr:rowOff>
    </xdr:to>
    <xdr:pic>
      <xdr:nvPicPr>
        <xdr:cNvPr id="165" name="Picture 164"/>
        <xdr:cNvPicPr>
          <a:picLocks noChangeAspect="1"/>
        </xdr:cNvPicPr>
      </xdr:nvPicPr>
      <xdr:blipFill>
        <a:blip xmlns:r="http://schemas.openxmlformats.org/officeDocument/2006/relationships" r:embed="rId15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70543" y="113379925"/>
          <a:ext cx="1141840" cy="7136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164</xdr:row>
      <xdr:rowOff>8106</xdr:rowOff>
    </xdr:from>
    <xdr:to>
      <xdr:col>2</xdr:col>
      <xdr:colOff>1141840</xdr:colOff>
      <xdr:row>165</xdr:row>
      <xdr:rowOff>1169</xdr:rowOff>
    </xdr:to>
    <xdr:pic>
      <xdr:nvPicPr>
        <xdr:cNvPr id="167" name="Picture 166"/>
        <xdr:cNvPicPr>
          <a:picLocks noChangeAspect="1"/>
        </xdr:cNvPicPr>
      </xdr:nvPicPr>
      <xdr:blipFill>
        <a:blip xmlns:r="http://schemas.openxmlformats.org/officeDocument/2006/relationships" r:embed="rId15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70543" y="114830968"/>
          <a:ext cx="1141840" cy="7136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165</xdr:row>
      <xdr:rowOff>8106</xdr:rowOff>
    </xdr:from>
    <xdr:to>
      <xdr:col>2</xdr:col>
      <xdr:colOff>1141840</xdr:colOff>
      <xdr:row>166</xdr:row>
      <xdr:rowOff>1169</xdr:rowOff>
    </xdr:to>
    <xdr:pic>
      <xdr:nvPicPr>
        <xdr:cNvPr id="168" name="Picture 167"/>
        <xdr:cNvPicPr>
          <a:picLocks noChangeAspect="1"/>
        </xdr:cNvPicPr>
      </xdr:nvPicPr>
      <xdr:blipFill>
        <a:blip xmlns:r="http://schemas.openxmlformats.org/officeDocument/2006/relationships" r:embed="rId15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70543" y="115556489"/>
          <a:ext cx="1141840" cy="7136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166</xdr:row>
      <xdr:rowOff>8106</xdr:rowOff>
    </xdr:from>
    <xdr:to>
      <xdr:col>2</xdr:col>
      <xdr:colOff>1141840</xdr:colOff>
      <xdr:row>167</xdr:row>
      <xdr:rowOff>1169</xdr:rowOff>
    </xdr:to>
    <xdr:pic>
      <xdr:nvPicPr>
        <xdr:cNvPr id="169" name="Picture 168"/>
        <xdr:cNvPicPr>
          <a:picLocks noChangeAspect="1"/>
        </xdr:cNvPicPr>
      </xdr:nvPicPr>
      <xdr:blipFill>
        <a:blip xmlns:r="http://schemas.openxmlformats.org/officeDocument/2006/relationships" r:embed="rId16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70543" y="116282010"/>
          <a:ext cx="1141840" cy="7136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167</xdr:row>
      <xdr:rowOff>8106</xdr:rowOff>
    </xdr:from>
    <xdr:to>
      <xdr:col>2</xdr:col>
      <xdr:colOff>1141840</xdr:colOff>
      <xdr:row>168</xdr:row>
      <xdr:rowOff>1169</xdr:rowOff>
    </xdr:to>
    <xdr:pic>
      <xdr:nvPicPr>
        <xdr:cNvPr id="170" name="Picture 169"/>
        <xdr:cNvPicPr>
          <a:picLocks noChangeAspect="1"/>
        </xdr:cNvPicPr>
      </xdr:nvPicPr>
      <xdr:blipFill>
        <a:blip xmlns:r="http://schemas.openxmlformats.org/officeDocument/2006/relationships" r:embed="rId16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70543" y="117007532"/>
          <a:ext cx="1141840" cy="7136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168</xdr:row>
      <xdr:rowOff>8106</xdr:rowOff>
    </xdr:from>
    <xdr:to>
      <xdr:col>2</xdr:col>
      <xdr:colOff>1141840</xdr:colOff>
      <xdr:row>169</xdr:row>
      <xdr:rowOff>1169</xdr:rowOff>
    </xdr:to>
    <xdr:pic>
      <xdr:nvPicPr>
        <xdr:cNvPr id="171" name="Picture 170"/>
        <xdr:cNvPicPr>
          <a:picLocks noChangeAspect="1"/>
        </xdr:cNvPicPr>
      </xdr:nvPicPr>
      <xdr:blipFill>
        <a:blip xmlns:r="http://schemas.openxmlformats.org/officeDocument/2006/relationships" r:embed="rId16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70543" y="117733053"/>
          <a:ext cx="1141840" cy="7136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169</xdr:row>
      <xdr:rowOff>8106</xdr:rowOff>
    </xdr:from>
    <xdr:to>
      <xdr:col>2</xdr:col>
      <xdr:colOff>1141840</xdr:colOff>
      <xdr:row>170</xdr:row>
      <xdr:rowOff>1169</xdr:rowOff>
    </xdr:to>
    <xdr:pic>
      <xdr:nvPicPr>
        <xdr:cNvPr id="172" name="Picture 171"/>
        <xdr:cNvPicPr>
          <a:picLocks noChangeAspect="1"/>
        </xdr:cNvPicPr>
      </xdr:nvPicPr>
      <xdr:blipFill>
        <a:blip xmlns:r="http://schemas.openxmlformats.org/officeDocument/2006/relationships" r:embed="rId16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70543" y="118458574"/>
          <a:ext cx="1141840" cy="7136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170</xdr:row>
      <xdr:rowOff>8106</xdr:rowOff>
    </xdr:from>
    <xdr:to>
      <xdr:col>2</xdr:col>
      <xdr:colOff>1141840</xdr:colOff>
      <xdr:row>171</xdr:row>
      <xdr:rowOff>1169</xdr:rowOff>
    </xdr:to>
    <xdr:pic>
      <xdr:nvPicPr>
        <xdr:cNvPr id="173" name="Picture 172"/>
        <xdr:cNvPicPr>
          <a:picLocks noChangeAspect="1"/>
        </xdr:cNvPicPr>
      </xdr:nvPicPr>
      <xdr:blipFill>
        <a:blip xmlns:r="http://schemas.openxmlformats.org/officeDocument/2006/relationships" r:embed="rId16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70543" y="119184095"/>
          <a:ext cx="1141840" cy="7136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171</xdr:row>
      <xdr:rowOff>7949</xdr:rowOff>
    </xdr:from>
    <xdr:to>
      <xdr:col>2</xdr:col>
      <xdr:colOff>1141840</xdr:colOff>
      <xdr:row>172</xdr:row>
      <xdr:rowOff>1169</xdr:rowOff>
    </xdr:to>
    <xdr:pic>
      <xdr:nvPicPr>
        <xdr:cNvPr id="174" name="Picture 173"/>
        <xdr:cNvPicPr>
          <a:picLocks noChangeAspect="1"/>
        </xdr:cNvPicPr>
      </xdr:nvPicPr>
      <xdr:blipFill>
        <a:blip xmlns:r="http://schemas.openxmlformats.org/officeDocument/2006/relationships" r:embed="rId16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70543" y="119909460"/>
          <a:ext cx="1141840" cy="713807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172</xdr:row>
      <xdr:rowOff>8106</xdr:rowOff>
    </xdr:from>
    <xdr:to>
      <xdr:col>2</xdr:col>
      <xdr:colOff>1141840</xdr:colOff>
      <xdr:row>173</xdr:row>
      <xdr:rowOff>1169</xdr:rowOff>
    </xdr:to>
    <xdr:pic>
      <xdr:nvPicPr>
        <xdr:cNvPr id="175" name="Picture 174"/>
        <xdr:cNvPicPr>
          <a:picLocks noChangeAspect="1"/>
        </xdr:cNvPicPr>
      </xdr:nvPicPr>
      <xdr:blipFill>
        <a:blip xmlns:r="http://schemas.openxmlformats.org/officeDocument/2006/relationships" r:embed="rId16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70543" y="120635138"/>
          <a:ext cx="1141840" cy="7136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173</xdr:row>
      <xdr:rowOff>8106</xdr:rowOff>
    </xdr:from>
    <xdr:to>
      <xdr:col>2</xdr:col>
      <xdr:colOff>1141840</xdr:colOff>
      <xdr:row>174</xdr:row>
      <xdr:rowOff>1169</xdr:rowOff>
    </xdr:to>
    <xdr:pic>
      <xdr:nvPicPr>
        <xdr:cNvPr id="176" name="Picture 175"/>
        <xdr:cNvPicPr>
          <a:picLocks noChangeAspect="1"/>
        </xdr:cNvPicPr>
      </xdr:nvPicPr>
      <xdr:blipFill>
        <a:blip xmlns:r="http://schemas.openxmlformats.org/officeDocument/2006/relationships" r:embed="rId16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70543" y="121360659"/>
          <a:ext cx="1141840" cy="7136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174</xdr:row>
      <xdr:rowOff>8106</xdr:rowOff>
    </xdr:from>
    <xdr:to>
      <xdr:col>2</xdr:col>
      <xdr:colOff>1141840</xdr:colOff>
      <xdr:row>175</xdr:row>
      <xdr:rowOff>1169</xdr:rowOff>
    </xdr:to>
    <xdr:pic>
      <xdr:nvPicPr>
        <xdr:cNvPr id="177" name="Picture 176"/>
        <xdr:cNvPicPr>
          <a:picLocks noChangeAspect="1"/>
        </xdr:cNvPicPr>
      </xdr:nvPicPr>
      <xdr:blipFill>
        <a:blip xmlns:r="http://schemas.openxmlformats.org/officeDocument/2006/relationships" r:embed="rId16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70543" y="122086180"/>
          <a:ext cx="1141840" cy="7136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175</xdr:row>
      <xdr:rowOff>8106</xdr:rowOff>
    </xdr:from>
    <xdr:to>
      <xdr:col>2</xdr:col>
      <xdr:colOff>1141840</xdr:colOff>
      <xdr:row>176</xdr:row>
      <xdr:rowOff>1169</xdr:rowOff>
    </xdr:to>
    <xdr:pic>
      <xdr:nvPicPr>
        <xdr:cNvPr id="178" name="Picture 177"/>
        <xdr:cNvPicPr>
          <a:picLocks noChangeAspect="1"/>
        </xdr:cNvPicPr>
      </xdr:nvPicPr>
      <xdr:blipFill>
        <a:blip xmlns:r="http://schemas.openxmlformats.org/officeDocument/2006/relationships" r:embed="rId16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70543" y="122811702"/>
          <a:ext cx="1141840" cy="7136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176</xdr:row>
      <xdr:rowOff>8106</xdr:rowOff>
    </xdr:from>
    <xdr:to>
      <xdr:col>2</xdr:col>
      <xdr:colOff>1141840</xdr:colOff>
      <xdr:row>177</xdr:row>
      <xdr:rowOff>1169</xdr:rowOff>
    </xdr:to>
    <xdr:pic>
      <xdr:nvPicPr>
        <xdr:cNvPr id="179" name="Picture 178"/>
        <xdr:cNvPicPr>
          <a:picLocks noChangeAspect="1"/>
        </xdr:cNvPicPr>
      </xdr:nvPicPr>
      <xdr:blipFill>
        <a:blip xmlns:r="http://schemas.openxmlformats.org/officeDocument/2006/relationships" r:embed="rId17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14265" y="127687930"/>
          <a:ext cx="1141840" cy="721445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178</xdr:row>
      <xdr:rowOff>8106</xdr:rowOff>
    </xdr:from>
    <xdr:to>
      <xdr:col>2</xdr:col>
      <xdr:colOff>1141840</xdr:colOff>
      <xdr:row>179</xdr:row>
      <xdr:rowOff>1168</xdr:rowOff>
    </xdr:to>
    <xdr:pic>
      <xdr:nvPicPr>
        <xdr:cNvPr id="180" name="Picture 179"/>
        <xdr:cNvPicPr>
          <a:picLocks noChangeAspect="1"/>
        </xdr:cNvPicPr>
      </xdr:nvPicPr>
      <xdr:blipFill>
        <a:blip xmlns:r="http://schemas.openxmlformats.org/officeDocument/2006/relationships" r:embed="rId17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70543" y="124262744"/>
          <a:ext cx="1141840" cy="7136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179</xdr:row>
      <xdr:rowOff>8106</xdr:rowOff>
    </xdr:from>
    <xdr:to>
      <xdr:col>2</xdr:col>
      <xdr:colOff>1141840</xdr:colOff>
      <xdr:row>180</xdr:row>
      <xdr:rowOff>1169</xdr:rowOff>
    </xdr:to>
    <xdr:pic>
      <xdr:nvPicPr>
        <xdr:cNvPr id="181" name="Picture 180"/>
        <xdr:cNvPicPr>
          <a:picLocks noChangeAspect="1"/>
        </xdr:cNvPicPr>
      </xdr:nvPicPr>
      <xdr:blipFill>
        <a:blip xmlns:r="http://schemas.openxmlformats.org/officeDocument/2006/relationships" r:embed="rId17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70543" y="124988266"/>
          <a:ext cx="1141840" cy="7136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180</xdr:row>
      <xdr:rowOff>8106</xdr:rowOff>
    </xdr:from>
    <xdr:to>
      <xdr:col>2</xdr:col>
      <xdr:colOff>1141840</xdr:colOff>
      <xdr:row>181</xdr:row>
      <xdr:rowOff>1170</xdr:rowOff>
    </xdr:to>
    <xdr:pic>
      <xdr:nvPicPr>
        <xdr:cNvPr id="182" name="Picture 181"/>
        <xdr:cNvPicPr>
          <a:picLocks noChangeAspect="1"/>
        </xdr:cNvPicPr>
      </xdr:nvPicPr>
      <xdr:blipFill>
        <a:blip xmlns:r="http://schemas.openxmlformats.org/officeDocument/2006/relationships" r:embed="rId17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70543" y="125713787"/>
          <a:ext cx="1141840" cy="7136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181</xdr:row>
      <xdr:rowOff>8106</xdr:rowOff>
    </xdr:from>
    <xdr:to>
      <xdr:col>2</xdr:col>
      <xdr:colOff>1141840</xdr:colOff>
      <xdr:row>182</xdr:row>
      <xdr:rowOff>1168</xdr:rowOff>
    </xdr:to>
    <xdr:pic>
      <xdr:nvPicPr>
        <xdr:cNvPr id="183" name="Picture 182"/>
        <xdr:cNvPicPr>
          <a:picLocks noChangeAspect="1"/>
        </xdr:cNvPicPr>
      </xdr:nvPicPr>
      <xdr:blipFill>
        <a:blip xmlns:r="http://schemas.openxmlformats.org/officeDocument/2006/relationships" r:embed="rId17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70543" y="126439308"/>
          <a:ext cx="1141840" cy="7136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182</xdr:row>
      <xdr:rowOff>8106</xdr:rowOff>
    </xdr:from>
    <xdr:to>
      <xdr:col>2</xdr:col>
      <xdr:colOff>1141840</xdr:colOff>
      <xdr:row>183</xdr:row>
      <xdr:rowOff>1169</xdr:rowOff>
    </xdr:to>
    <xdr:pic>
      <xdr:nvPicPr>
        <xdr:cNvPr id="184" name="Picture 183"/>
        <xdr:cNvPicPr>
          <a:picLocks noChangeAspect="1"/>
        </xdr:cNvPicPr>
      </xdr:nvPicPr>
      <xdr:blipFill>
        <a:blip xmlns:r="http://schemas.openxmlformats.org/officeDocument/2006/relationships" r:embed="rId17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70543" y="127164829"/>
          <a:ext cx="1141840" cy="7136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183</xdr:row>
      <xdr:rowOff>8106</xdr:rowOff>
    </xdr:from>
    <xdr:to>
      <xdr:col>2</xdr:col>
      <xdr:colOff>1141840</xdr:colOff>
      <xdr:row>184</xdr:row>
      <xdr:rowOff>1170</xdr:rowOff>
    </xdr:to>
    <xdr:pic>
      <xdr:nvPicPr>
        <xdr:cNvPr id="185" name="Picture 184"/>
        <xdr:cNvPicPr>
          <a:picLocks noChangeAspect="1"/>
        </xdr:cNvPicPr>
      </xdr:nvPicPr>
      <xdr:blipFill>
        <a:blip xmlns:r="http://schemas.openxmlformats.org/officeDocument/2006/relationships" r:embed="rId17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70543" y="127890351"/>
          <a:ext cx="1141840" cy="713650"/>
        </a:xfrm>
        <a:prstGeom prst="rect">
          <a:avLst/>
        </a:prstGeom>
      </xdr:spPr>
    </xdr:pic>
    <xdr:clientData/>
  </xdr:twoCellAnchor>
  <xdr:twoCellAnchor editAs="oneCell">
    <xdr:from>
      <xdr:col>2</xdr:col>
      <xdr:colOff>214095</xdr:colOff>
      <xdr:row>184</xdr:row>
      <xdr:rowOff>8106</xdr:rowOff>
    </xdr:from>
    <xdr:to>
      <xdr:col>2</xdr:col>
      <xdr:colOff>927745</xdr:colOff>
      <xdr:row>185</xdr:row>
      <xdr:rowOff>1168</xdr:rowOff>
    </xdr:to>
    <xdr:pic>
      <xdr:nvPicPr>
        <xdr:cNvPr id="186" name="Picture 185"/>
        <xdr:cNvPicPr>
          <a:picLocks noChangeAspect="1"/>
        </xdr:cNvPicPr>
      </xdr:nvPicPr>
      <xdr:blipFill>
        <a:blip xmlns:r="http://schemas.openxmlformats.org/officeDocument/2006/relationships" r:embed="rId17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284638" y="128615872"/>
          <a:ext cx="713650" cy="7136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185</xdr:row>
      <xdr:rowOff>7950</xdr:rowOff>
    </xdr:from>
    <xdr:to>
      <xdr:col>2</xdr:col>
      <xdr:colOff>1141840</xdr:colOff>
      <xdr:row>186</xdr:row>
      <xdr:rowOff>1169</xdr:rowOff>
    </xdr:to>
    <xdr:pic>
      <xdr:nvPicPr>
        <xdr:cNvPr id="187" name="Picture 186"/>
        <xdr:cNvPicPr>
          <a:picLocks noChangeAspect="1"/>
        </xdr:cNvPicPr>
      </xdr:nvPicPr>
      <xdr:blipFill>
        <a:blip xmlns:r="http://schemas.openxmlformats.org/officeDocument/2006/relationships" r:embed="rId17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70543" y="129341237"/>
          <a:ext cx="1141840" cy="713806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186</xdr:row>
      <xdr:rowOff>8106</xdr:rowOff>
    </xdr:from>
    <xdr:to>
      <xdr:col>2</xdr:col>
      <xdr:colOff>1141840</xdr:colOff>
      <xdr:row>187</xdr:row>
      <xdr:rowOff>1170</xdr:rowOff>
    </xdr:to>
    <xdr:pic>
      <xdr:nvPicPr>
        <xdr:cNvPr id="188" name="Picture 187"/>
        <xdr:cNvPicPr>
          <a:picLocks noChangeAspect="1"/>
        </xdr:cNvPicPr>
      </xdr:nvPicPr>
      <xdr:blipFill>
        <a:blip xmlns:r="http://schemas.openxmlformats.org/officeDocument/2006/relationships" r:embed="rId17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70543" y="130066915"/>
          <a:ext cx="1141840" cy="7136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187</xdr:row>
      <xdr:rowOff>8106</xdr:rowOff>
    </xdr:from>
    <xdr:to>
      <xdr:col>2</xdr:col>
      <xdr:colOff>1141840</xdr:colOff>
      <xdr:row>188</xdr:row>
      <xdr:rowOff>1168</xdr:rowOff>
    </xdr:to>
    <xdr:pic>
      <xdr:nvPicPr>
        <xdr:cNvPr id="189" name="Picture 188"/>
        <xdr:cNvPicPr>
          <a:picLocks noChangeAspect="1"/>
        </xdr:cNvPicPr>
      </xdr:nvPicPr>
      <xdr:blipFill>
        <a:blip xmlns:r="http://schemas.openxmlformats.org/officeDocument/2006/relationships" r:embed="rId18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70543" y="130792436"/>
          <a:ext cx="1141840" cy="7136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188</xdr:row>
      <xdr:rowOff>8106</xdr:rowOff>
    </xdr:from>
    <xdr:to>
      <xdr:col>2</xdr:col>
      <xdr:colOff>1141840</xdr:colOff>
      <xdr:row>189</xdr:row>
      <xdr:rowOff>1169</xdr:rowOff>
    </xdr:to>
    <xdr:pic>
      <xdr:nvPicPr>
        <xdr:cNvPr id="190" name="Picture 189"/>
        <xdr:cNvPicPr>
          <a:picLocks noChangeAspect="1"/>
        </xdr:cNvPicPr>
      </xdr:nvPicPr>
      <xdr:blipFill>
        <a:blip xmlns:r="http://schemas.openxmlformats.org/officeDocument/2006/relationships" r:embed="rId18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70543" y="131517957"/>
          <a:ext cx="1141840" cy="7136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189</xdr:row>
      <xdr:rowOff>8106</xdr:rowOff>
    </xdr:from>
    <xdr:to>
      <xdr:col>2</xdr:col>
      <xdr:colOff>1141840</xdr:colOff>
      <xdr:row>190</xdr:row>
      <xdr:rowOff>1170</xdr:rowOff>
    </xdr:to>
    <xdr:pic>
      <xdr:nvPicPr>
        <xdr:cNvPr id="191" name="Picture 190"/>
        <xdr:cNvPicPr>
          <a:picLocks noChangeAspect="1"/>
        </xdr:cNvPicPr>
      </xdr:nvPicPr>
      <xdr:blipFill>
        <a:blip xmlns:r="http://schemas.openxmlformats.org/officeDocument/2006/relationships" r:embed="rId18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70543" y="132243478"/>
          <a:ext cx="1141840" cy="7136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190</xdr:row>
      <xdr:rowOff>8106</xdr:rowOff>
    </xdr:from>
    <xdr:to>
      <xdr:col>2</xdr:col>
      <xdr:colOff>1141840</xdr:colOff>
      <xdr:row>191</xdr:row>
      <xdr:rowOff>1168</xdr:rowOff>
    </xdr:to>
    <xdr:pic>
      <xdr:nvPicPr>
        <xdr:cNvPr id="192" name="Picture 191"/>
        <xdr:cNvPicPr>
          <a:picLocks noChangeAspect="1"/>
        </xdr:cNvPicPr>
      </xdr:nvPicPr>
      <xdr:blipFill>
        <a:blip xmlns:r="http://schemas.openxmlformats.org/officeDocument/2006/relationships" r:embed="rId18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70543" y="132969000"/>
          <a:ext cx="1141840" cy="7136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191</xdr:row>
      <xdr:rowOff>8106</xdr:rowOff>
    </xdr:from>
    <xdr:to>
      <xdr:col>2</xdr:col>
      <xdr:colOff>1141840</xdr:colOff>
      <xdr:row>192</xdr:row>
      <xdr:rowOff>1170</xdr:rowOff>
    </xdr:to>
    <xdr:pic>
      <xdr:nvPicPr>
        <xdr:cNvPr id="193" name="Picture 192"/>
        <xdr:cNvPicPr>
          <a:picLocks noChangeAspect="1"/>
        </xdr:cNvPicPr>
      </xdr:nvPicPr>
      <xdr:blipFill>
        <a:blip xmlns:r="http://schemas.openxmlformats.org/officeDocument/2006/relationships" r:embed="rId18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70543" y="133694521"/>
          <a:ext cx="1141840" cy="7136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192</xdr:row>
      <xdr:rowOff>8106</xdr:rowOff>
    </xdr:from>
    <xdr:to>
      <xdr:col>2</xdr:col>
      <xdr:colOff>1141840</xdr:colOff>
      <xdr:row>193</xdr:row>
      <xdr:rowOff>1168</xdr:rowOff>
    </xdr:to>
    <xdr:pic>
      <xdr:nvPicPr>
        <xdr:cNvPr id="194" name="Picture 193"/>
        <xdr:cNvPicPr>
          <a:picLocks noChangeAspect="1"/>
        </xdr:cNvPicPr>
      </xdr:nvPicPr>
      <xdr:blipFill>
        <a:blip xmlns:r="http://schemas.openxmlformats.org/officeDocument/2006/relationships" r:embed="rId18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70543" y="134420042"/>
          <a:ext cx="1141840" cy="7136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193</xdr:row>
      <xdr:rowOff>8106</xdr:rowOff>
    </xdr:from>
    <xdr:to>
      <xdr:col>2</xdr:col>
      <xdr:colOff>1141840</xdr:colOff>
      <xdr:row>194</xdr:row>
      <xdr:rowOff>1169</xdr:rowOff>
    </xdr:to>
    <xdr:pic>
      <xdr:nvPicPr>
        <xdr:cNvPr id="195" name="Picture 194"/>
        <xdr:cNvPicPr>
          <a:picLocks noChangeAspect="1"/>
        </xdr:cNvPicPr>
      </xdr:nvPicPr>
      <xdr:blipFill>
        <a:blip xmlns:r="http://schemas.openxmlformats.org/officeDocument/2006/relationships" r:embed="rId18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70543" y="135145563"/>
          <a:ext cx="1141840" cy="7136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194</xdr:row>
      <xdr:rowOff>8106</xdr:rowOff>
    </xdr:from>
    <xdr:to>
      <xdr:col>2</xdr:col>
      <xdr:colOff>1141840</xdr:colOff>
      <xdr:row>195</xdr:row>
      <xdr:rowOff>1170</xdr:rowOff>
    </xdr:to>
    <xdr:pic>
      <xdr:nvPicPr>
        <xdr:cNvPr id="196" name="Picture 195"/>
        <xdr:cNvPicPr>
          <a:picLocks noChangeAspect="1"/>
        </xdr:cNvPicPr>
      </xdr:nvPicPr>
      <xdr:blipFill>
        <a:blip xmlns:r="http://schemas.openxmlformats.org/officeDocument/2006/relationships" r:embed="rId18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70543" y="135871085"/>
          <a:ext cx="1141840" cy="7136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195</xdr:row>
      <xdr:rowOff>8106</xdr:rowOff>
    </xdr:from>
    <xdr:to>
      <xdr:col>2</xdr:col>
      <xdr:colOff>1141840</xdr:colOff>
      <xdr:row>196</xdr:row>
      <xdr:rowOff>1168</xdr:rowOff>
    </xdr:to>
    <xdr:pic>
      <xdr:nvPicPr>
        <xdr:cNvPr id="197" name="Picture 196"/>
        <xdr:cNvPicPr>
          <a:picLocks noChangeAspect="1"/>
        </xdr:cNvPicPr>
      </xdr:nvPicPr>
      <xdr:blipFill>
        <a:blip xmlns:r="http://schemas.openxmlformats.org/officeDocument/2006/relationships" r:embed="rId18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70543" y="136596606"/>
          <a:ext cx="1141840" cy="7136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197</xdr:row>
      <xdr:rowOff>8106</xdr:rowOff>
    </xdr:from>
    <xdr:to>
      <xdr:col>2</xdr:col>
      <xdr:colOff>1141840</xdr:colOff>
      <xdr:row>198</xdr:row>
      <xdr:rowOff>1170</xdr:rowOff>
    </xdr:to>
    <xdr:pic>
      <xdr:nvPicPr>
        <xdr:cNvPr id="198" name="Picture 197"/>
        <xdr:cNvPicPr>
          <a:picLocks noChangeAspect="1"/>
        </xdr:cNvPicPr>
      </xdr:nvPicPr>
      <xdr:blipFill>
        <a:blip xmlns:r="http://schemas.openxmlformats.org/officeDocument/2006/relationships" r:embed="rId18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70543" y="137322127"/>
          <a:ext cx="1141840" cy="7136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198</xdr:row>
      <xdr:rowOff>8106</xdr:rowOff>
    </xdr:from>
    <xdr:to>
      <xdr:col>2</xdr:col>
      <xdr:colOff>1141840</xdr:colOff>
      <xdr:row>199</xdr:row>
      <xdr:rowOff>1168</xdr:rowOff>
    </xdr:to>
    <xdr:pic>
      <xdr:nvPicPr>
        <xdr:cNvPr id="199" name="Picture 198"/>
        <xdr:cNvPicPr>
          <a:picLocks noChangeAspect="1"/>
        </xdr:cNvPicPr>
      </xdr:nvPicPr>
      <xdr:blipFill>
        <a:blip xmlns:r="http://schemas.openxmlformats.org/officeDocument/2006/relationships" r:embed="rId19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70543" y="138047649"/>
          <a:ext cx="1141840" cy="7136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199</xdr:row>
      <xdr:rowOff>7950</xdr:rowOff>
    </xdr:from>
    <xdr:to>
      <xdr:col>2</xdr:col>
      <xdr:colOff>1141840</xdr:colOff>
      <xdr:row>200</xdr:row>
      <xdr:rowOff>1169</xdr:rowOff>
    </xdr:to>
    <xdr:pic>
      <xdr:nvPicPr>
        <xdr:cNvPr id="200" name="Picture 199"/>
        <xdr:cNvPicPr>
          <a:picLocks noChangeAspect="1"/>
        </xdr:cNvPicPr>
      </xdr:nvPicPr>
      <xdr:blipFill>
        <a:blip xmlns:r="http://schemas.openxmlformats.org/officeDocument/2006/relationships" r:embed="rId19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70543" y="138773014"/>
          <a:ext cx="1141840" cy="713806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203</xdr:row>
      <xdr:rowOff>8106</xdr:rowOff>
    </xdr:from>
    <xdr:to>
      <xdr:col>2</xdr:col>
      <xdr:colOff>1141840</xdr:colOff>
      <xdr:row>204</xdr:row>
      <xdr:rowOff>1170</xdr:rowOff>
    </xdr:to>
    <xdr:pic>
      <xdr:nvPicPr>
        <xdr:cNvPr id="201" name="Picture 200"/>
        <xdr:cNvPicPr>
          <a:picLocks noChangeAspect="1"/>
        </xdr:cNvPicPr>
      </xdr:nvPicPr>
      <xdr:blipFill>
        <a:blip xmlns:r="http://schemas.openxmlformats.org/officeDocument/2006/relationships" r:embed="rId19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70543" y="142400776"/>
          <a:ext cx="1141840" cy="7136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204</xdr:row>
      <xdr:rowOff>8106</xdr:rowOff>
    </xdr:from>
    <xdr:to>
      <xdr:col>2</xdr:col>
      <xdr:colOff>1141840</xdr:colOff>
      <xdr:row>205</xdr:row>
      <xdr:rowOff>1168</xdr:rowOff>
    </xdr:to>
    <xdr:pic>
      <xdr:nvPicPr>
        <xdr:cNvPr id="202" name="Picture 201"/>
        <xdr:cNvPicPr>
          <a:picLocks noChangeAspect="1"/>
        </xdr:cNvPicPr>
      </xdr:nvPicPr>
      <xdr:blipFill>
        <a:blip xmlns:r="http://schemas.openxmlformats.org/officeDocument/2006/relationships" r:embed="rId19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70543" y="143126297"/>
          <a:ext cx="1141840" cy="7136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205</xdr:row>
      <xdr:rowOff>8106</xdr:rowOff>
    </xdr:from>
    <xdr:to>
      <xdr:col>2</xdr:col>
      <xdr:colOff>1141840</xdr:colOff>
      <xdr:row>206</xdr:row>
      <xdr:rowOff>1169</xdr:rowOff>
    </xdr:to>
    <xdr:pic>
      <xdr:nvPicPr>
        <xdr:cNvPr id="203" name="Picture 202"/>
        <xdr:cNvPicPr>
          <a:picLocks noChangeAspect="1"/>
        </xdr:cNvPicPr>
      </xdr:nvPicPr>
      <xdr:blipFill>
        <a:blip xmlns:r="http://schemas.openxmlformats.org/officeDocument/2006/relationships" r:embed="rId19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70543" y="143851819"/>
          <a:ext cx="1141840" cy="7136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207</xdr:row>
      <xdr:rowOff>8106</xdr:rowOff>
    </xdr:from>
    <xdr:to>
      <xdr:col>2</xdr:col>
      <xdr:colOff>1141840</xdr:colOff>
      <xdr:row>208</xdr:row>
      <xdr:rowOff>1169</xdr:rowOff>
    </xdr:to>
    <xdr:pic>
      <xdr:nvPicPr>
        <xdr:cNvPr id="204" name="Picture 203"/>
        <xdr:cNvPicPr>
          <a:picLocks noChangeAspect="1"/>
        </xdr:cNvPicPr>
      </xdr:nvPicPr>
      <xdr:blipFill>
        <a:blip xmlns:r="http://schemas.openxmlformats.org/officeDocument/2006/relationships" r:embed="rId19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14265" y="150996165"/>
          <a:ext cx="1141840" cy="721446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208</xdr:row>
      <xdr:rowOff>8106</xdr:rowOff>
    </xdr:from>
    <xdr:to>
      <xdr:col>2</xdr:col>
      <xdr:colOff>1141840</xdr:colOff>
      <xdr:row>209</xdr:row>
      <xdr:rowOff>1169</xdr:rowOff>
    </xdr:to>
    <xdr:pic>
      <xdr:nvPicPr>
        <xdr:cNvPr id="205" name="Picture 204"/>
        <xdr:cNvPicPr>
          <a:picLocks noChangeAspect="1"/>
        </xdr:cNvPicPr>
      </xdr:nvPicPr>
      <xdr:blipFill>
        <a:blip xmlns:r="http://schemas.openxmlformats.org/officeDocument/2006/relationships" r:embed="rId19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70543" y="145302861"/>
          <a:ext cx="1141840" cy="7136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209</xdr:row>
      <xdr:rowOff>8106</xdr:rowOff>
    </xdr:from>
    <xdr:to>
      <xdr:col>2</xdr:col>
      <xdr:colOff>1141840</xdr:colOff>
      <xdr:row>210</xdr:row>
      <xdr:rowOff>1169</xdr:rowOff>
    </xdr:to>
    <xdr:pic>
      <xdr:nvPicPr>
        <xdr:cNvPr id="206" name="Picture 205"/>
        <xdr:cNvPicPr>
          <a:picLocks noChangeAspect="1"/>
        </xdr:cNvPicPr>
      </xdr:nvPicPr>
      <xdr:blipFill>
        <a:blip xmlns:r="http://schemas.openxmlformats.org/officeDocument/2006/relationships" r:embed="rId19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70543" y="146028383"/>
          <a:ext cx="1141840" cy="7136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210</xdr:row>
      <xdr:rowOff>8106</xdr:rowOff>
    </xdr:from>
    <xdr:to>
      <xdr:col>2</xdr:col>
      <xdr:colOff>1141840</xdr:colOff>
      <xdr:row>211</xdr:row>
      <xdr:rowOff>1169</xdr:rowOff>
    </xdr:to>
    <xdr:pic>
      <xdr:nvPicPr>
        <xdr:cNvPr id="207" name="Picture 206"/>
        <xdr:cNvPicPr>
          <a:picLocks noChangeAspect="1"/>
        </xdr:cNvPicPr>
      </xdr:nvPicPr>
      <xdr:blipFill>
        <a:blip xmlns:r="http://schemas.openxmlformats.org/officeDocument/2006/relationships" r:embed="rId19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70543" y="146753904"/>
          <a:ext cx="1141840" cy="713650"/>
        </a:xfrm>
        <a:prstGeom prst="rect">
          <a:avLst/>
        </a:prstGeom>
      </xdr:spPr>
    </xdr:pic>
    <xdr:clientData/>
  </xdr:twoCellAnchor>
  <xdr:twoCellAnchor editAs="oneCell">
    <xdr:from>
      <xdr:col>2</xdr:col>
      <xdr:colOff>36101</xdr:colOff>
      <xdr:row>41</xdr:row>
      <xdr:rowOff>5171</xdr:rowOff>
    </xdr:from>
    <xdr:to>
      <xdr:col>2</xdr:col>
      <xdr:colOff>1105741</xdr:colOff>
      <xdr:row>42</xdr:row>
      <xdr:rowOff>1170</xdr:rowOff>
    </xdr:to>
    <xdr:pic>
      <xdr:nvPicPr>
        <xdr:cNvPr id="210" name="Picture 209"/>
        <xdr:cNvPicPr>
          <a:picLocks noChangeAspect="1"/>
        </xdr:cNvPicPr>
      </xdr:nvPicPr>
      <xdr:blipFill>
        <a:blip xmlns:r="http://schemas.openxmlformats.org/officeDocument/2006/relationships" r:embed="rId19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06644" y="29942043"/>
          <a:ext cx="1069640" cy="716586"/>
        </a:xfrm>
        <a:prstGeom prst="rect">
          <a:avLst/>
        </a:prstGeom>
      </xdr:spPr>
    </xdr:pic>
    <xdr:clientData/>
  </xdr:twoCellAnchor>
  <xdr:twoCellAnchor editAs="oneCell">
    <xdr:from>
      <xdr:col>1</xdr:col>
      <xdr:colOff>2141482</xdr:colOff>
      <xdr:row>206</xdr:row>
      <xdr:rowOff>79471</xdr:rowOff>
    </xdr:from>
    <xdr:to>
      <xdr:col>2</xdr:col>
      <xdr:colOff>1141840</xdr:colOff>
      <xdr:row>206</xdr:row>
      <xdr:rowOff>650391</xdr:rowOff>
    </xdr:to>
    <xdr:pic>
      <xdr:nvPicPr>
        <xdr:cNvPr id="211" name="Picture 210"/>
        <xdr:cNvPicPr>
          <a:picLocks noChangeAspect="1"/>
        </xdr:cNvPicPr>
      </xdr:nvPicPr>
      <xdr:blipFill>
        <a:blip xmlns:r="http://schemas.openxmlformats.org/officeDocument/2006/relationships" r:embed="rId200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67886" y="19859045"/>
          <a:ext cx="1144497" cy="570920"/>
        </a:xfrm>
        <a:prstGeom prst="rect">
          <a:avLst/>
        </a:prstGeom>
      </xdr:spPr>
    </xdr:pic>
    <xdr:clientData/>
  </xdr:twoCellAnchor>
  <xdr:twoCellAnchor editAs="oneCell">
    <xdr:from>
      <xdr:col>2</xdr:col>
      <xdr:colOff>37633</xdr:colOff>
      <xdr:row>104</xdr:row>
      <xdr:rowOff>8106</xdr:rowOff>
    </xdr:from>
    <xdr:to>
      <xdr:col>2</xdr:col>
      <xdr:colOff>1104207</xdr:colOff>
      <xdr:row>104</xdr:row>
      <xdr:rowOff>718978</xdr:rowOff>
    </xdr:to>
    <xdr:pic>
      <xdr:nvPicPr>
        <xdr:cNvPr id="212" name="Picture 211"/>
        <xdr:cNvPicPr>
          <a:picLocks noChangeAspect="1"/>
        </xdr:cNvPicPr>
      </xdr:nvPicPr>
      <xdr:blipFill>
        <a:blip xmlns:r="http://schemas.openxmlformats.org/officeDocument/2006/relationships" r:embed="rId20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08176" y="73476255"/>
          <a:ext cx="1066574" cy="710872"/>
        </a:xfrm>
        <a:prstGeom prst="rect">
          <a:avLst/>
        </a:prstGeom>
      </xdr:spPr>
    </xdr:pic>
    <xdr:clientData/>
  </xdr:twoCellAnchor>
  <xdr:twoCellAnchor editAs="oneCell">
    <xdr:from>
      <xdr:col>2</xdr:col>
      <xdr:colOff>35549</xdr:colOff>
      <xdr:row>136</xdr:row>
      <xdr:rowOff>8106</xdr:rowOff>
    </xdr:from>
    <xdr:to>
      <xdr:col>2</xdr:col>
      <xdr:colOff>1106291</xdr:colOff>
      <xdr:row>137</xdr:row>
      <xdr:rowOff>1169</xdr:rowOff>
    </xdr:to>
    <xdr:pic>
      <xdr:nvPicPr>
        <xdr:cNvPr id="213" name="Picture 212"/>
        <xdr:cNvPicPr>
          <a:picLocks noChangeAspect="1"/>
        </xdr:cNvPicPr>
      </xdr:nvPicPr>
      <xdr:blipFill>
        <a:blip xmlns:r="http://schemas.openxmlformats.org/officeDocument/2006/relationships" r:embed="rId20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106092" y="95967415"/>
          <a:ext cx="1070742" cy="713650"/>
        </a:xfrm>
        <a:prstGeom prst="rect">
          <a:avLst/>
        </a:prstGeom>
      </xdr:spPr>
    </xdr:pic>
    <xdr:clientData/>
  </xdr:twoCellAnchor>
  <xdr:twoCellAnchor editAs="oneCell">
    <xdr:from>
      <xdr:col>1</xdr:col>
      <xdr:colOff>2141482</xdr:colOff>
      <xdr:row>163</xdr:row>
      <xdr:rowOff>79471</xdr:rowOff>
    </xdr:from>
    <xdr:to>
      <xdr:col>2</xdr:col>
      <xdr:colOff>1141840</xdr:colOff>
      <xdr:row>163</xdr:row>
      <xdr:rowOff>650391</xdr:rowOff>
    </xdr:to>
    <xdr:pic>
      <xdr:nvPicPr>
        <xdr:cNvPr id="214" name="Picture 213"/>
        <xdr:cNvPicPr>
          <a:picLocks noChangeAspect="1"/>
        </xdr:cNvPicPr>
      </xdr:nvPicPr>
      <xdr:blipFill>
        <a:blip xmlns:r="http://schemas.openxmlformats.org/officeDocument/2006/relationships" r:embed="rId203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5067886" y="114176811"/>
          <a:ext cx="1144497" cy="57092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100</xdr:row>
      <xdr:rowOff>0</xdr:rowOff>
    </xdr:from>
    <xdr:to>
      <xdr:col>2</xdr:col>
      <xdr:colOff>1141840</xdr:colOff>
      <xdr:row>100</xdr:row>
      <xdr:rowOff>713650</xdr:rowOff>
    </xdr:to>
    <xdr:pic>
      <xdr:nvPicPr>
        <xdr:cNvPr id="208" name="Picture 207"/>
        <xdr:cNvPicPr>
          <a:picLocks noChangeAspect="1"/>
        </xdr:cNvPicPr>
      </xdr:nvPicPr>
      <xdr:blipFill>
        <a:blip xmlns:r="http://schemas.openxmlformats.org/officeDocument/2006/relationships" r:embed="rId204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15239" y="71528609"/>
          <a:ext cx="1141840" cy="7136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101</xdr:row>
      <xdr:rowOff>0</xdr:rowOff>
    </xdr:from>
    <xdr:to>
      <xdr:col>2</xdr:col>
      <xdr:colOff>1141840</xdr:colOff>
      <xdr:row>101</xdr:row>
      <xdr:rowOff>713650</xdr:rowOff>
    </xdr:to>
    <xdr:pic>
      <xdr:nvPicPr>
        <xdr:cNvPr id="209" name="Picture 208"/>
        <xdr:cNvPicPr>
          <a:picLocks noChangeAspect="1"/>
        </xdr:cNvPicPr>
      </xdr:nvPicPr>
      <xdr:blipFill>
        <a:blip xmlns:r="http://schemas.openxmlformats.org/officeDocument/2006/relationships" r:embed="rId205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15239" y="72249196"/>
          <a:ext cx="1141840" cy="7136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120</xdr:row>
      <xdr:rowOff>0</xdr:rowOff>
    </xdr:from>
    <xdr:to>
      <xdr:col>2</xdr:col>
      <xdr:colOff>1141840</xdr:colOff>
      <xdr:row>120</xdr:row>
      <xdr:rowOff>713650</xdr:rowOff>
    </xdr:to>
    <xdr:pic>
      <xdr:nvPicPr>
        <xdr:cNvPr id="215" name="Picture 214"/>
        <xdr:cNvPicPr>
          <a:picLocks noChangeAspect="1"/>
        </xdr:cNvPicPr>
      </xdr:nvPicPr>
      <xdr:blipFill>
        <a:blip xmlns:r="http://schemas.openxmlformats.org/officeDocument/2006/relationships" r:embed="rId206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15239" y="85940348"/>
          <a:ext cx="1141840" cy="7136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177</xdr:row>
      <xdr:rowOff>0</xdr:rowOff>
    </xdr:from>
    <xdr:to>
      <xdr:col>2</xdr:col>
      <xdr:colOff>1141840</xdr:colOff>
      <xdr:row>177</xdr:row>
      <xdr:rowOff>713650</xdr:rowOff>
    </xdr:to>
    <xdr:pic>
      <xdr:nvPicPr>
        <xdr:cNvPr id="216" name="Picture 215"/>
        <xdr:cNvPicPr>
          <a:picLocks noChangeAspect="1"/>
        </xdr:cNvPicPr>
      </xdr:nvPicPr>
      <xdr:blipFill>
        <a:blip xmlns:r="http://schemas.openxmlformats.org/officeDocument/2006/relationships" r:embed="rId207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15239" y="126293217"/>
          <a:ext cx="1141840" cy="71365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196</xdr:row>
      <xdr:rowOff>71365</xdr:rowOff>
    </xdr:from>
    <xdr:to>
      <xdr:col>2</xdr:col>
      <xdr:colOff>1141840</xdr:colOff>
      <xdr:row>196</xdr:row>
      <xdr:rowOff>642285</xdr:rowOff>
    </xdr:to>
    <xdr:pic>
      <xdr:nvPicPr>
        <xdr:cNvPr id="217" name="Picture 216"/>
        <xdr:cNvPicPr>
          <a:picLocks noChangeAspect="1"/>
        </xdr:cNvPicPr>
      </xdr:nvPicPr>
      <xdr:blipFill>
        <a:blip xmlns:r="http://schemas.openxmlformats.org/officeDocument/2006/relationships" r:embed="rId208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15239" y="140055735"/>
          <a:ext cx="1141840" cy="570920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155</xdr:row>
      <xdr:rowOff>80286</xdr:rowOff>
    </xdr:from>
    <xdr:to>
      <xdr:col>2</xdr:col>
      <xdr:colOff>1141840</xdr:colOff>
      <xdr:row>155</xdr:row>
      <xdr:rowOff>633364</xdr:rowOff>
    </xdr:to>
    <xdr:pic>
      <xdr:nvPicPr>
        <xdr:cNvPr id="218" name="Picture 217"/>
        <xdr:cNvPicPr>
          <a:picLocks noChangeAspect="1"/>
        </xdr:cNvPicPr>
      </xdr:nvPicPr>
      <xdr:blipFill>
        <a:blip xmlns:r="http://schemas.openxmlformats.org/officeDocument/2006/relationships" r:embed="rId20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15239" y="111241177"/>
          <a:ext cx="1141840" cy="553078"/>
        </a:xfrm>
        <a:prstGeom prst="rect">
          <a:avLst/>
        </a:prstGeom>
      </xdr:spPr>
    </xdr:pic>
    <xdr:clientData/>
  </xdr:twoCellAnchor>
  <xdr:twoCellAnchor editAs="oneCell">
    <xdr:from>
      <xdr:col>2</xdr:col>
      <xdr:colOff>0</xdr:colOff>
      <xdr:row>89</xdr:row>
      <xdr:rowOff>80286</xdr:rowOff>
    </xdr:from>
    <xdr:to>
      <xdr:col>2</xdr:col>
      <xdr:colOff>1141840</xdr:colOff>
      <xdr:row>89</xdr:row>
      <xdr:rowOff>633364</xdr:rowOff>
    </xdr:to>
    <xdr:pic>
      <xdr:nvPicPr>
        <xdr:cNvPr id="219" name="Picture 218"/>
        <xdr:cNvPicPr>
          <a:picLocks noChangeAspect="1"/>
        </xdr:cNvPicPr>
      </xdr:nvPicPr>
      <xdr:blipFill>
        <a:blip xmlns:r="http://schemas.openxmlformats.org/officeDocument/2006/relationships" r:embed="rId209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4315239" y="64403025"/>
          <a:ext cx="1141840" cy="553078"/>
        </a:xfrm>
        <a:prstGeom prst="rect">
          <a:avLst/>
        </a:prstGeom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 editAs="oneCell">
    <xdr:from>
      <xdr:col>3</xdr:col>
      <xdr:colOff>0</xdr:colOff>
      <xdr:row>5</xdr:row>
      <xdr:rowOff>4992</xdr:rowOff>
    </xdr:from>
    <xdr:to>
      <xdr:col>3</xdr:col>
      <xdr:colOff>619125</xdr:colOff>
      <xdr:row>6</xdr:row>
      <xdr:rowOff>7947</xdr:rowOff>
    </xdr:to>
    <xdr:pic>
      <xdr:nvPicPr>
        <xdr:cNvPr id="3" name="Picture 2"/>
        <xdr:cNvPicPr>
          <a:picLocks noChangeAspect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08638" y="1154561"/>
          <a:ext cx="619125" cy="58102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</xdr:row>
      <xdr:rowOff>0</xdr:rowOff>
    </xdr:from>
    <xdr:to>
      <xdr:col>3</xdr:col>
      <xdr:colOff>619125</xdr:colOff>
      <xdr:row>4</xdr:row>
      <xdr:rowOff>2956</xdr:rowOff>
    </xdr:to>
    <xdr:pic>
      <xdr:nvPicPr>
        <xdr:cNvPr id="4" name="Picture 3"/>
        <xdr:cNvPicPr>
          <a:picLocks noChangeAspect="1"/>
        </xdr:cNvPicPr>
      </xdr:nvPicPr>
      <xdr:blipFill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08638" y="571500"/>
          <a:ext cx="619125" cy="58102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6</xdr:row>
      <xdr:rowOff>0</xdr:rowOff>
    </xdr:from>
    <xdr:to>
      <xdr:col>3</xdr:col>
      <xdr:colOff>619125</xdr:colOff>
      <xdr:row>7</xdr:row>
      <xdr:rowOff>2957</xdr:rowOff>
    </xdr:to>
    <xdr:pic>
      <xdr:nvPicPr>
        <xdr:cNvPr id="5" name="Picture 4"/>
        <xdr:cNvPicPr>
          <a:picLocks noChangeAspect="1"/>
        </xdr:cNvPicPr>
      </xdr:nvPicPr>
      <xdr:blipFill>
        <a:blip xmlns:r="http://schemas.openxmlformats.org/officeDocument/2006/relationships" r:embed="rId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08638" y="1727638"/>
          <a:ext cx="619125" cy="58102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7</xdr:row>
      <xdr:rowOff>0</xdr:rowOff>
    </xdr:from>
    <xdr:to>
      <xdr:col>3</xdr:col>
      <xdr:colOff>619125</xdr:colOff>
      <xdr:row>8</xdr:row>
      <xdr:rowOff>2955</xdr:rowOff>
    </xdr:to>
    <xdr:pic>
      <xdr:nvPicPr>
        <xdr:cNvPr id="7" name="Picture 6"/>
        <xdr:cNvPicPr>
          <a:picLocks noChangeAspect="1"/>
        </xdr:cNvPicPr>
      </xdr:nvPicPr>
      <xdr:blipFill>
        <a:blip xmlns:r="http://schemas.openxmlformats.org/officeDocument/2006/relationships" r:embed="rId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08638" y="2305707"/>
          <a:ext cx="619125" cy="58102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9</xdr:row>
      <xdr:rowOff>0</xdr:rowOff>
    </xdr:from>
    <xdr:to>
      <xdr:col>3</xdr:col>
      <xdr:colOff>619125</xdr:colOff>
      <xdr:row>10</xdr:row>
      <xdr:rowOff>2957</xdr:rowOff>
    </xdr:to>
    <xdr:pic>
      <xdr:nvPicPr>
        <xdr:cNvPr id="8" name="Picture 7"/>
        <xdr:cNvPicPr>
          <a:picLocks noChangeAspect="1"/>
        </xdr:cNvPicPr>
      </xdr:nvPicPr>
      <xdr:blipFill>
        <a:blip xmlns:r="http://schemas.openxmlformats.org/officeDocument/2006/relationships" r:embed="rId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08638" y="2883776"/>
          <a:ext cx="619125" cy="58102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16</xdr:row>
      <xdr:rowOff>0</xdr:rowOff>
    </xdr:from>
    <xdr:to>
      <xdr:col>3</xdr:col>
      <xdr:colOff>619125</xdr:colOff>
      <xdr:row>17</xdr:row>
      <xdr:rowOff>2956</xdr:rowOff>
    </xdr:to>
    <xdr:pic>
      <xdr:nvPicPr>
        <xdr:cNvPr id="9" name="Picture 8"/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08638" y="4617983"/>
          <a:ext cx="619125" cy="58102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17</xdr:row>
      <xdr:rowOff>0</xdr:rowOff>
    </xdr:from>
    <xdr:to>
      <xdr:col>3</xdr:col>
      <xdr:colOff>619125</xdr:colOff>
      <xdr:row>18</xdr:row>
      <xdr:rowOff>2956</xdr:rowOff>
    </xdr:to>
    <xdr:pic>
      <xdr:nvPicPr>
        <xdr:cNvPr id="11" name="Picture 10"/>
        <xdr:cNvPicPr>
          <a:picLocks noChangeAspect="1"/>
        </xdr:cNvPicPr>
      </xdr:nvPicPr>
      <xdr:blipFill>
        <a:blip xmlns:r="http://schemas.openxmlformats.org/officeDocument/2006/relationships" r:embed="rId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08638" y="5196052"/>
          <a:ext cx="619125" cy="58102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18</xdr:row>
      <xdr:rowOff>0</xdr:rowOff>
    </xdr:from>
    <xdr:to>
      <xdr:col>3</xdr:col>
      <xdr:colOff>619125</xdr:colOff>
      <xdr:row>19</xdr:row>
      <xdr:rowOff>2956</xdr:rowOff>
    </xdr:to>
    <xdr:pic>
      <xdr:nvPicPr>
        <xdr:cNvPr id="12" name="Picture 11"/>
        <xdr:cNvPicPr>
          <a:picLocks noChangeAspect="1"/>
        </xdr:cNvPicPr>
      </xdr:nvPicPr>
      <xdr:blipFill>
        <a:blip xmlns:r="http://schemas.openxmlformats.org/officeDocument/2006/relationships" r:embed="rId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08638" y="5774121"/>
          <a:ext cx="619125" cy="58102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22</xdr:row>
      <xdr:rowOff>0</xdr:rowOff>
    </xdr:from>
    <xdr:to>
      <xdr:col>3</xdr:col>
      <xdr:colOff>619125</xdr:colOff>
      <xdr:row>23</xdr:row>
      <xdr:rowOff>2957</xdr:rowOff>
    </xdr:to>
    <xdr:pic>
      <xdr:nvPicPr>
        <xdr:cNvPr id="13" name="Picture 12"/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08638" y="6352190"/>
          <a:ext cx="619125" cy="58102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19</xdr:row>
      <xdr:rowOff>0</xdr:rowOff>
    </xdr:from>
    <xdr:to>
      <xdr:col>3</xdr:col>
      <xdr:colOff>619125</xdr:colOff>
      <xdr:row>20</xdr:row>
      <xdr:rowOff>2956</xdr:rowOff>
    </xdr:to>
    <xdr:pic>
      <xdr:nvPicPr>
        <xdr:cNvPr id="14" name="Picture 13"/>
        <xdr:cNvPicPr>
          <a:picLocks noChangeAspect="1"/>
        </xdr:cNvPicPr>
      </xdr:nvPicPr>
      <xdr:blipFill>
        <a:blip xmlns:r="http://schemas.openxmlformats.org/officeDocument/2006/relationships" r:embed="rId1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08638" y="6930259"/>
          <a:ext cx="619125" cy="58102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21</xdr:row>
      <xdr:rowOff>0</xdr:rowOff>
    </xdr:from>
    <xdr:to>
      <xdr:col>3</xdr:col>
      <xdr:colOff>619125</xdr:colOff>
      <xdr:row>22</xdr:row>
      <xdr:rowOff>2956</xdr:rowOff>
    </xdr:to>
    <xdr:pic>
      <xdr:nvPicPr>
        <xdr:cNvPr id="16" name="Picture 15"/>
        <xdr:cNvPicPr>
          <a:picLocks noChangeAspect="1"/>
        </xdr:cNvPicPr>
      </xdr:nvPicPr>
      <xdr:blipFill>
        <a:blip xmlns:r="http://schemas.openxmlformats.org/officeDocument/2006/relationships" r:embed="rId1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08638" y="8086397"/>
          <a:ext cx="619125" cy="58102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23</xdr:row>
      <xdr:rowOff>0</xdr:rowOff>
    </xdr:from>
    <xdr:to>
      <xdr:col>3</xdr:col>
      <xdr:colOff>619125</xdr:colOff>
      <xdr:row>24</xdr:row>
      <xdr:rowOff>2956</xdr:rowOff>
    </xdr:to>
    <xdr:pic>
      <xdr:nvPicPr>
        <xdr:cNvPr id="17" name="Picture 16"/>
        <xdr:cNvPicPr>
          <a:picLocks noChangeAspect="1"/>
        </xdr:cNvPicPr>
      </xdr:nvPicPr>
      <xdr:blipFill>
        <a:blip xmlns:r="http://schemas.openxmlformats.org/officeDocument/2006/relationships" r:embed="rId1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08638" y="8664466"/>
          <a:ext cx="619125" cy="58102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29</xdr:row>
      <xdr:rowOff>578069</xdr:rowOff>
    </xdr:from>
    <xdr:to>
      <xdr:col>3</xdr:col>
      <xdr:colOff>619125</xdr:colOff>
      <xdr:row>31</xdr:row>
      <xdr:rowOff>2957</xdr:rowOff>
    </xdr:to>
    <xdr:pic>
      <xdr:nvPicPr>
        <xdr:cNvPr id="21" name="Picture 20"/>
        <xdr:cNvPicPr>
          <a:picLocks noChangeAspect="1"/>
        </xdr:cNvPicPr>
      </xdr:nvPicPr>
      <xdr:blipFill>
        <a:blip xmlns:r="http://schemas.openxmlformats.org/officeDocument/2006/relationships" r:embed="rId1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08638" y="10976741"/>
          <a:ext cx="619125" cy="58102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31</xdr:row>
      <xdr:rowOff>0</xdr:rowOff>
    </xdr:from>
    <xdr:to>
      <xdr:col>3</xdr:col>
      <xdr:colOff>619125</xdr:colOff>
      <xdr:row>32</xdr:row>
      <xdr:rowOff>2955</xdr:rowOff>
    </xdr:to>
    <xdr:pic>
      <xdr:nvPicPr>
        <xdr:cNvPr id="22" name="Picture 21"/>
        <xdr:cNvPicPr>
          <a:picLocks noChangeAspect="1"/>
        </xdr:cNvPicPr>
      </xdr:nvPicPr>
      <xdr:blipFill>
        <a:blip xmlns:r="http://schemas.openxmlformats.org/officeDocument/2006/relationships" r:embed="rId1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08638" y="11554810"/>
          <a:ext cx="619125" cy="58102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32</xdr:row>
      <xdr:rowOff>0</xdr:rowOff>
    </xdr:from>
    <xdr:to>
      <xdr:col>3</xdr:col>
      <xdr:colOff>619125</xdr:colOff>
      <xdr:row>33</xdr:row>
      <xdr:rowOff>2957</xdr:rowOff>
    </xdr:to>
    <xdr:pic>
      <xdr:nvPicPr>
        <xdr:cNvPr id="23" name="Picture 22"/>
        <xdr:cNvPicPr>
          <a:picLocks noChangeAspect="1"/>
        </xdr:cNvPicPr>
      </xdr:nvPicPr>
      <xdr:blipFill>
        <a:blip xmlns:r="http://schemas.openxmlformats.org/officeDocument/2006/relationships" r:embed="rId1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08638" y="12132879"/>
          <a:ext cx="619125" cy="58102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33</xdr:row>
      <xdr:rowOff>0</xdr:rowOff>
    </xdr:from>
    <xdr:to>
      <xdr:col>3</xdr:col>
      <xdr:colOff>619125</xdr:colOff>
      <xdr:row>34</xdr:row>
      <xdr:rowOff>2955</xdr:rowOff>
    </xdr:to>
    <xdr:pic>
      <xdr:nvPicPr>
        <xdr:cNvPr id="24" name="Picture 23"/>
        <xdr:cNvPicPr>
          <a:picLocks noChangeAspect="1"/>
        </xdr:cNvPicPr>
      </xdr:nvPicPr>
      <xdr:blipFill>
        <a:blip xmlns:r="http://schemas.openxmlformats.org/officeDocument/2006/relationships" r:embed="rId1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08638" y="12710948"/>
          <a:ext cx="619125" cy="58102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34</xdr:row>
      <xdr:rowOff>0</xdr:rowOff>
    </xdr:from>
    <xdr:to>
      <xdr:col>3</xdr:col>
      <xdr:colOff>619125</xdr:colOff>
      <xdr:row>35</xdr:row>
      <xdr:rowOff>2957</xdr:rowOff>
    </xdr:to>
    <xdr:pic>
      <xdr:nvPicPr>
        <xdr:cNvPr id="25" name="Picture 24"/>
        <xdr:cNvPicPr>
          <a:picLocks noChangeAspect="1"/>
        </xdr:cNvPicPr>
      </xdr:nvPicPr>
      <xdr:blipFill>
        <a:blip xmlns:r="http://schemas.openxmlformats.org/officeDocument/2006/relationships" r:embed="rId1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08638" y="13289017"/>
          <a:ext cx="619125" cy="58102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35</xdr:row>
      <xdr:rowOff>0</xdr:rowOff>
    </xdr:from>
    <xdr:to>
      <xdr:col>3</xdr:col>
      <xdr:colOff>619125</xdr:colOff>
      <xdr:row>36</xdr:row>
      <xdr:rowOff>2956</xdr:rowOff>
    </xdr:to>
    <xdr:pic>
      <xdr:nvPicPr>
        <xdr:cNvPr id="26" name="Picture 25"/>
        <xdr:cNvPicPr>
          <a:picLocks noChangeAspect="1"/>
        </xdr:cNvPicPr>
      </xdr:nvPicPr>
      <xdr:blipFill>
        <a:blip xmlns:r="http://schemas.openxmlformats.org/officeDocument/2006/relationships" r:embed="rId1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08638" y="13867086"/>
          <a:ext cx="619125" cy="58102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37</xdr:row>
      <xdr:rowOff>0</xdr:rowOff>
    </xdr:from>
    <xdr:to>
      <xdr:col>3</xdr:col>
      <xdr:colOff>619125</xdr:colOff>
      <xdr:row>38</xdr:row>
      <xdr:rowOff>2956</xdr:rowOff>
    </xdr:to>
    <xdr:pic>
      <xdr:nvPicPr>
        <xdr:cNvPr id="27" name="Picture 26"/>
        <xdr:cNvPicPr>
          <a:picLocks noChangeAspect="1"/>
        </xdr:cNvPicPr>
      </xdr:nvPicPr>
      <xdr:blipFill>
        <a:blip xmlns:r="http://schemas.openxmlformats.org/officeDocument/2006/relationships" r:embed="rId1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08638" y="14445155"/>
          <a:ext cx="619125" cy="58102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38</xdr:row>
      <xdr:rowOff>0</xdr:rowOff>
    </xdr:from>
    <xdr:to>
      <xdr:col>3</xdr:col>
      <xdr:colOff>619125</xdr:colOff>
      <xdr:row>39</xdr:row>
      <xdr:rowOff>2956</xdr:rowOff>
    </xdr:to>
    <xdr:pic>
      <xdr:nvPicPr>
        <xdr:cNvPr id="28" name="Picture 27"/>
        <xdr:cNvPicPr>
          <a:picLocks noChangeAspect="1"/>
        </xdr:cNvPicPr>
      </xdr:nvPicPr>
      <xdr:blipFill>
        <a:blip xmlns:r="http://schemas.openxmlformats.org/officeDocument/2006/relationships" r:embed="rId2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08638" y="15023224"/>
          <a:ext cx="619125" cy="58102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39</xdr:row>
      <xdr:rowOff>0</xdr:rowOff>
    </xdr:from>
    <xdr:to>
      <xdr:col>3</xdr:col>
      <xdr:colOff>619125</xdr:colOff>
      <xdr:row>40</xdr:row>
      <xdr:rowOff>2955</xdr:rowOff>
    </xdr:to>
    <xdr:pic>
      <xdr:nvPicPr>
        <xdr:cNvPr id="29" name="Picture 28"/>
        <xdr:cNvPicPr>
          <a:picLocks noChangeAspect="1"/>
        </xdr:cNvPicPr>
      </xdr:nvPicPr>
      <xdr:blipFill>
        <a:blip xmlns:r="http://schemas.openxmlformats.org/officeDocument/2006/relationships" r:embed="rId2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08638" y="15601293"/>
          <a:ext cx="619125" cy="58102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40</xdr:row>
      <xdr:rowOff>0</xdr:rowOff>
    </xdr:from>
    <xdr:to>
      <xdr:col>3</xdr:col>
      <xdr:colOff>619125</xdr:colOff>
      <xdr:row>41</xdr:row>
      <xdr:rowOff>2957</xdr:rowOff>
    </xdr:to>
    <xdr:pic>
      <xdr:nvPicPr>
        <xdr:cNvPr id="30" name="Picture 29"/>
        <xdr:cNvPicPr>
          <a:picLocks noChangeAspect="1"/>
        </xdr:cNvPicPr>
      </xdr:nvPicPr>
      <xdr:blipFill>
        <a:blip xmlns:r="http://schemas.openxmlformats.org/officeDocument/2006/relationships" r:embed="rId2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08638" y="16179362"/>
          <a:ext cx="619125" cy="58102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41</xdr:row>
      <xdr:rowOff>0</xdr:rowOff>
    </xdr:from>
    <xdr:to>
      <xdr:col>3</xdr:col>
      <xdr:colOff>619125</xdr:colOff>
      <xdr:row>42</xdr:row>
      <xdr:rowOff>2956</xdr:rowOff>
    </xdr:to>
    <xdr:pic>
      <xdr:nvPicPr>
        <xdr:cNvPr id="31" name="Picture 30"/>
        <xdr:cNvPicPr>
          <a:picLocks noChangeAspect="1"/>
        </xdr:cNvPicPr>
      </xdr:nvPicPr>
      <xdr:blipFill>
        <a:blip xmlns:r="http://schemas.openxmlformats.org/officeDocument/2006/relationships" r:embed="rId2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08638" y="16757431"/>
          <a:ext cx="619125" cy="58102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4</xdr:row>
      <xdr:rowOff>857</xdr:rowOff>
    </xdr:from>
    <xdr:to>
      <xdr:col>3</xdr:col>
      <xdr:colOff>619125</xdr:colOff>
      <xdr:row>5</xdr:row>
      <xdr:rowOff>2100</xdr:rowOff>
    </xdr:to>
    <xdr:pic>
      <xdr:nvPicPr>
        <xdr:cNvPr id="32" name="Picture 31"/>
        <xdr:cNvPicPr>
          <a:picLocks noChangeAspect="1"/>
        </xdr:cNvPicPr>
      </xdr:nvPicPr>
      <xdr:blipFill>
        <a:blip xmlns:r="http://schemas.openxmlformats.org/officeDocument/2006/relationships" r:embed="rId2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12065" y="1152140"/>
          <a:ext cx="619125" cy="58102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8</xdr:row>
      <xdr:rowOff>856</xdr:rowOff>
    </xdr:from>
    <xdr:to>
      <xdr:col>3</xdr:col>
      <xdr:colOff>619125</xdr:colOff>
      <xdr:row>9</xdr:row>
      <xdr:rowOff>2098</xdr:rowOff>
    </xdr:to>
    <xdr:pic>
      <xdr:nvPicPr>
        <xdr:cNvPr id="33" name="Picture 32"/>
        <xdr:cNvPicPr>
          <a:picLocks noChangeAspect="1"/>
        </xdr:cNvPicPr>
      </xdr:nvPicPr>
      <xdr:blipFill>
        <a:blip xmlns:r="http://schemas.openxmlformats.org/officeDocument/2006/relationships" r:embed="rId2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12065" y="3471269"/>
          <a:ext cx="619125" cy="58102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10</xdr:row>
      <xdr:rowOff>857</xdr:rowOff>
    </xdr:from>
    <xdr:to>
      <xdr:col>3</xdr:col>
      <xdr:colOff>619125</xdr:colOff>
      <xdr:row>11</xdr:row>
      <xdr:rowOff>2099</xdr:rowOff>
    </xdr:to>
    <xdr:pic>
      <xdr:nvPicPr>
        <xdr:cNvPr id="34" name="Picture 33"/>
        <xdr:cNvPicPr>
          <a:picLocks noChangeAspect="1"/>
        </xdr:cNvPicPr>
      </xdr:nvPicPr>
      <xdr:blipFill>
        <a:blip xmlns:r="http://schemas.openxmlformats.org/officeDocument/2006/relationships" r:embed="rId2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12065" y="4630835"/>
          <a:ext cx="619125" cy="58102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11</xdr:row>
      <xdr:rowOff>0</xdr:rowOff>
    </xdr:from>
    <xdr:to>
      <xdr:col>3</xdr:col>
      <xdr:colOff>619125</xdr:colOff>
      <xdr:row>12</xdr:row>
      <xdr:rowOff>1243</xdr:rowOff>
    </xdr:to>
    <xdr:pic>
      <xdr:nvPicPr>
        <xdr:cNvPr id="35" name="Picture 34"/>
        <xdr:cNvPicPr>
          <a:picLocks noChangeAspect="1"/>
        </xdr:cNvPicPr>
      </xdr:nvPicPr>
      <xdr:blipFill>
        <a:blip xmlns:r="http://schemas.openxmlformats.org/officeDocument/2006/relationships" r:embed="rId2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12065" y="5209761"/>
          <a:ext cx="619125" cy="58102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25</xdr:row>
      <xdr:rowOff>0</xdr:rowOff>
    </xdr:from>
    <xdr:to>
      <xdr:col>3</xdr:col>
      <xdr:colOff>619125</xdr:colOff>
      <xdr:row>26</xdr:row>
      <xdr:rowOff>4670</xdr:rowOff>
    </xdr:to>
    <xdr:pic>
      <xdr:nvPicPr>
        <xdr:cNvPr id="36" name="Picture 35"/>
        <xdr:cNvPicPr>
          <a:picLocks noChangeAspect="1"/>
        </xdr:cNvPicPr>
      </xdr:nvPicPr>
      <xdr:blipFill>
        <a:blip xmlns:r="http://schemas.openxmlformats.org/officeDocument/2006/relationships" r:embed="rId2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12065" y="13326717"/>
          <a:ext cx="619125" cy="584453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11</xdr:row>
      <xdr:rowOff>579782</xdr:rowOff>
    </xdr:from>
    <xdr:to>
      <xdr:col>3</xdr:col>
      <xdr:colOff>619125</xdr:colOff>
      <xdr:row>13</xdr:row>
      <xdr:rowOff>1242</xdr:rowOff>
    </xdr:to>
    <xdr:pic>
      <xdr:nvPicPr>
        <xdr:cNvPr id="37" name="Picture 36"/>
        <xdr:cNvPicPr>
          <a:picLocks noChangeAspect="1"/>
        </xdr:cNvPicPr>
      </xdr:nvPicPr>
      <xdr:blipFill>
        <a:blip xmlns:r="http://schemas.openxmlformats.org/officeDocument/2006/relationships" r:embed="rId2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12065" y="5789543"/>
          <a:ext cx="619125" cy="58102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13</xdr:row>
      <xdr:rowOff>0</xdr:rowOff>
    </xdr:from>
    <xdr:to>
      <xdr:col>3</xdr:col>
      <xdr:colOff>619125</xdr:colOff>
      <xdr:row>14</xdr:row>
      <xdr:rowOff>1242</xdr:rowOff>
    </xdr:to>
    <xdr:pic>
      <xdr:nvPicPr>
        <xdr:cNvPr id="38" name="Picture 37"/>
        <xdr:cNvPicPr>
          <a:picLocks noChangeAspect="1"/>
        </xdr:cNvPicPr>
      </xdr:nvPicPr>
      <xdr:blipFill>
        <a:blip xmlns:r="http://schemas.openxmlformats.org/officeDocument/2006/relationships" r:embed="rId30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12065" y="6369326"/>
          <a:ext cx="619125" cy="58102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14</xdr:row>
      <xdr:rowOff>0</xdr:rowOff>
    </xdr:from>
    <xdr:to>
      <xdr:col>3</xdr:col>
      <xdr:colOff>619125</xdr:colOff>
      <xdr:row>15</xdr:row>
      <xdr:rowOff>1243</xdr:rowOff>
    </xdr:to>
    <xdr:pic>
      <xdr:nvPicPr>
        <xdr:cNvPr id="39" name="Picture 38"/>
        <xdr:cNvPicPr>
          <a:picLocks noChangeAspect="1"/>
        </xdr:cNvPicPr>
      </xdr:nvPicPr>
      <xdr:blipFill>
        <a:blip xmlns:r="http://schemas.openxmlformats.org/officeDocument/2006/relationships" r:embed="rId31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12065" y="6949109"/>
          <a:ext cx="619125" cy="58102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15</xdr:row>
      <xdr:rowOff>0</xdr:rowOff>
    </xdr:from>
    <xdr:to>
      <xdr:col>3</xdr:col>
      <xdr:colOff>619125</xdr:colOff>
      <xdr:row>16</xdr:row>
      <xdr:rowOff>1242</xdr:rowOff>
    </xdr:to>
    <xdr:pic>
      <xdr:nvPicPr>
        <xdr:cNvPr id="40" name="Picture 39"/>
        <xdr:cNvPicPr>
          <a:picLocks noChangeAspect="1"/>
        </xdr:cNvPicPr>
      </xdr:nvPicPr>
      <xdr:blipFill>
        <a:blip xmlns:r="http://schemas.openxmlformats.org/officeDocument/2006/relationships" r:embed="rId32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12065" y="7528891"/>
          <a:ext cx="619125" cy="58102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24</xdr:row>
      <xdr:rowOff>857</xdr:rowOff>
    </xdr:from>
    <xdr:to>
      <xdr:col>3</xdr:col>
      <xdr:colOff>619125</xdr:colOff>
      <xdr:row>25</xdr:row>
      <xdr:rowOff>2100</xdr:rowOff>
    </xdr:to>
    <xdr:pic>
      <xdr:nvPicPr>
        <xdr:cNvPr id="41" name="Picture 40"/>
        <xdr:cNvPicPr>
          <a:picLocks noChangeAspect="1"/>
        </xdr:cNvPicPr>
      </xdr:nvPicPr>
      <xdr:blipFill>
        <a:blip xmlns:r="http://schemas.openxmlformats.org/officeDocument/2006/relationships" r:embed="rId33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12065" y="12168009"/>
          <a:ext cx="619125" cy="58102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27</xdr:row>
      <xdr:rowOff>0</xdr:rowOff>
    </xdr:from>
    <xdr:to>
      <xdr:col>3</xdr:col>
      <xdr:colOff>619125</xdr:colOff>
      <xdr:row>28</xdr:row>
      <xdr:rowOff>4670</xdr:rowOff>
    </xdr:to>
    <xdr:pic>
      <xdr:nvPicPr>
        <xdr:cNvPr id="42" name="Picture 41"/>
        <xdr:cNvPicPr>
          <a:picLocks noChangeAspect="1"/>
        </xdr:cNvPicPr>
      </xdr:nvPicPr>
      <xdr:blipFill>
        <a:blip xmlns:r="http://schemas.openxmlformats.org/officeDocument/2006/relationships" r:embed="rId34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12065" y="13906500"/>
          <a:ext cx="619125" cy="584452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26</xdr:row>
      <xdr:rowOff>1714</xdr:rowOff>
    </xdr:from>
    <xdr:to>
      <xdr:col>3</xdr:col>
      <xdr:colOff>619125</xdr:colOff>
      <xdr:row>27</xdr:row>
      <xdr:rowOff>2956</xdr:rowOff>
    </xdr:to>
    <xdr:pic>
      <xdr:nvPicPr>
        <xdr:cNvPr id="43" name="Picture 42"/>
        <xdr:cNvPicPr>
          <a:picLocks noChangeAspect="1"/>
        </xdr:cNvPicPr>
      </xdr:nvPicPr>
      <xdr:blipFill>
        <a:blip xmlns:r="http://schemas.openxmlformats.org/officeDocument/2006/relationships" r:embed="rId35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12065" y="13328431"/>
          <a:ext cx="619125" cy="58102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29</xdr:row>
      <xdr:rowOff>0</xdr:rowOff>
    </xdr:from>
    <xdr:to>
      <xdr:col>3</xdr:col>
      <xdr:colOff>619125</xdr:colOff>
      <xdr:row>30</xdr:row>
      <xdr:rowOff>4670</xdr:rowOff>
    </xdr:to>
    <xdr:pic>
      <xdr:nvPicPr>
        <xdr:cNvPr id="44" name="Picture 43"/>
        <xdr:cNvPicPr>
          <a:picLocks noChangeAspect="1"/>
        </xdr:cNvPicPr>
      </xdr:nvPicPr>
      <xdr:blipFill>
        <a:blip xmlns:r="http://schemas.openxmlformats.org/officeDocument/2006/relationships" r:embed="rId36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12065" y="15066065"/>
          <a:ext cx="619125" cy="584452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28</xdr:row>
      <xdr:rowOff>1713</xdr:rowOff>
    </xdr:from>
    <xdr:to>
      <xdr:col>3</xdr:col>
      <xdr:colOff>619125</xdr:colOff>
      <xdr:row>29</xdr:row>
      <xdr:rowOff>2955</xdr:rowOff>
    </xdr:to>
    <xdr:pic>
      <xdr:nvPicPr>
        <xdr:cNvPr id="45" name="Picture 44"/>
        <xdr:cNvPicPr>
          <a:picLocks noChangeAspect="1"/>
        </xdr:cNvPicPr>
      </xdr:nvPicPr>
      <xdr:blipFill>
        <a:blip xmlns:r="http://schemas.openxmlformats.org/officeDocument/2006/relationships" r:embed="rId37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12065" y="14487996"/>
          <a:ext cx="619125" cy="58102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36</xdr:row>
      <xdr:rowOff>857</xdr:rowOff>
    </xdr:from>
    <xdr:to>
      <xdr:col>3</xdr:col>
      <xdr:colOff>619125</xdr:colOff>
      <xdr:row>37</xdr:row>
      <xdr:rowOff>2099</xdr:rowOff>
    </xdr:to>
    <xdr:pic>
      <xdr:nvPicPr>
        <xdr:cNvPr id="46" name="Picture 45"/>
        <xdr:cNvPicPr>
          <a:picLocks noChangeAspect="1"/>
        </xdr:cNvPicPr>
      </xdr:nvPicPr>
      <xdr:blipFill>
        <a:blip xmlns:r="http://schemas.openxmlformats.org/officeDocument/2006/relationships" r:embed="rId38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12065" y="19125400"/>
          <a:ext cx="619125" cy="581025"/>
        </a:xfrm>
        <a:prstGeom prst="rect">
          <a:avLst/>
        </a:prstGeom>
      </xdr:spPr>
    </xdr:pic>
    <xdr:clientData/>
  </xdr:twoCellAnchor>
  <xdr:twoCellAnchor editAs="oneCell">
    <xdr:from>
      <xdr:col>3</xdr:col>
      <xdr:colOff>0</xdr:colOff>
      <xdr:row>20</xdr:row>
      <xdr:rowOff>856</xdr:rowOff>
    </xdr:from>
    <xdr:to>
      <xdr:col>3</xdr:col>
      <xdr:colOff>619125</xdr:colOff>
      <xdr:row>21</xdr:row>
      <xdr:rowOff>2098</xdr:rowOff>
    </xdr:to>
    <xdr:pic>
      <xdr:nvPicPr>
        <xdr:cNvPr id="47" name="Picture 46"/>
        <xdr:cNvPicPr>
          <a:picLocks noChangeAspect="1"/>
        </xdr:cNvPicPr>
      </xdr:nvPicPr>
      <xdr:blipFill>
        <a:blip xmlns:r="http://schemas.openxmlformats.org/officeDocument/2006/relationships" r:embed="rId3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2112065" y="11008443"/>
          <a:ext cx="619125" cy="581025"/>
        </a:xfrm>
        <a:prstGeom prst="rect">
          <a:avLst/>
        </a:prstGeom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oneCellAnchor>
    <xdr:from>
      <xdr:col>21</xdr:col>
      <xdr:colOff>0</xdr:colOff>
      <xdr:row>1</xdr:row>
      <xdr:rowOff>0</xdr:rowOff>
    </xdr:from>
    <xdr:ext cx="1256608" cy="604446"/>
    <xdr:pic>
      <xdr:nvPicPr>
        <xdr:cNvPr id="2" name="Picture 1"/>
        <xdr:cNvPicPr>
          <a:picLocks noChangeAspect="1"/>
        </xdr:cNvPicPr>
      </xdr:nvPicPr>
      <xdr:blipFill>
        <a:blip xmlns:r="http://schemas.openxmlformats.org/officeDocument/2006/relationships" r:embed="rId1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8097500" y="190500"/>
          <a:ext cx="1256608" cy="604446"/>
        </a:xfrm>
        <a:prstGeom prst="rect">
          <a:avLst/>
        </a:prstGeom>
      </xdr:spPr>
    </xdr:pic>
    <xdr:clientData/>
  </xdr:oneCellAnchor>
</xdr:wsDr>
</file>

<file path=xl/tables/table1.xml><?xml version="1.0" encoding="utf-8"?>
<table xmlns="http://schemas.openxmlformats.org/spreadsheetml/2006/main" id="5" name="T_SV_MEDALS" displayName="T_SV_MEDALS" ref="A2:R211" totalsRowShown="0">
  <autoFilter ref="A2:R211"/>
  <sortState ref="B3:S87">
    <sortCondition descending="1" ref="K2:K87"/>
  </sortState>
  <tableColumns count="18">
    <tableColumn id="6" name="COUNTRY"/>
    <tableColumn id="1" name="COUNTRY ABBR"/>
    <tableColumn id="7" name="GOLD" dataDxfId="87">
      <calculatedColumnFormula>IF(I_VIEW=2,"",COUNTIFS(T_2016_EVENT_RESULTS[Gold - Country],T_SV_MEDALS[[#This Row],[COUNTRY ABBR]])+COUNTIFS(T_2016_EVENT_RESULTS[Gold - Country - 2],T_SV_MEDALS[[#This Row],[COUNTRY ABBR]]))</calculatedColumnFormula>
    </tableColumn>
    <tableColumn id="8" name="SILVER" dataDxfId="86">
      <calculatedColumnFormula>IF(I_VIEW=2,"",COUNTIFS(T_2016_EVENT_RESULTS[Silver - Country],T_SV_MEDALS[[#This Row],[COUNTRY ABBR]])+COUNTIFS(T_2016_EVENT_RESULTS[Silver - Country - 2],T_SV_MEDALS[[#This Row],[COUNTRY ABBR]])+COUNTIFS(T_2016_EVENT_RESULTS[Silver - Country - 3],T_SV_MEDALS[[#This Row],[COUNTRY ABBR]]))</calculatedColumnFormula>
    </tableColumn>
    <tableColumn id="11" name="BRONZE" dataDxfId="85">
      <calculatedColumnFormula>IF(I_VIEW=2,"",COUNTIFS(T_2016_EVENT_RESULTS[Bronze - Country],T_SV_MEDALS[[#This Row],[COUNTRY ABBR]])+COUNTIFS(T_2016_EVENT_RESULTS[Bronze - Country - 2],T_SV_MEDALS[[#This Row],[COUNTRY ABBR]]))</calculatedColumnFormula>
    </tableColumn>
    <tableColumn id="12" name="TOTAL" dataDxfId="84">
      <calculatedColumnFormula>SUM(T_SV_MEDALS[[#This Row],[GOLD]:[BRONZE]])</calculatedColumnFormula>
    </tableColumn>
    <tableColumn id="13" name="RANK VALUE" dataDxfId="83">
      <calculatedColumnFormula>IF(T_SV_MEDALS[[#This Row],[TOTAL]]=0,"",IF(I_RANK_METHOD="TOTAL",(T_SV_MEDALS[[#This Row],[TOTAL]]*10000000),0)+(T_SV_MEDALS[[#This Row],[GOLD]]*100000)+(T_SV_MEDALS[[#This Row],[SILVER]]*1000)+(T_SV_MEDALS[[#This Row],[BRONZE]]*10))</calculatedColumnFormula>
    </tableColumn>
    <tableColumn id="14" name="RANK" dataDxfId="82">
      <calculatedColumnFormula>IFERROR(IF(T_SV_MEDALS[[#This Row],[TOTAL]]=0,"",RANK(T_SV_MEDALS[[#This Row],[RANK VALUE]],T_SV_MEDALS[RANK VALUE])),"")</calculatedColumnFormula>
    </tableColumn>
    <tableColumn id="18" name="ADJ_RANK" dataDxfId="81">
      <calculatedColumnFormula>IFERROR(IF(T_SV_MEDALS[[#This Row],[TOTAL]]=0,"",RANK(T_SV_MEDALS[[#This Row],[RANK VALUE]],T_SV_MEDALS[RANK VALUE])+COUNTIF($H$2:H2,H3)),"")</calculatedColumnFormula>
    </tableColumn>
    <tableColumn id="2" name="SV_GOLD" dataDxfId="80">
      <calculatedColumnFormula>IF(I_VIEW=3, COUNTIFS(T_2016_EVENT_RESULTS[SPORT],I_SV_SPORT,T_2016_EVENT_RESULTS[Gold - Country],T_SV_MEDALS[[#This Row],[COUNTRY ABBR]])+COUNTIFS(T_2016_EVENT_RESULTS[SPORT],I_SV_SPORT,T_2016_EVENT_RESULTS[Gold - Country - 2],T_SV_MEDALS[[#This Row],[COUNTRY ABBR]]),"")</calculatedColumnFormula>
    </tableColumn>
    <tableColumn id="3" name="SV_SILVER" dataDxfId="79">
      <calculatedColumnFormula>IF(I_VIEW=3, COUNTIFS(T_2016_EVENT_RESULTS[SPORT],I_SV_SPORT,T_2016_EVENT_RESULTS[Silver - Country],T_SV_MEDALS[[#This Row],[COUNTRY ABBR]])+COUNTIFS(T_2016_EVENT_RESULTS[SPORT],I_SV_SPORT,T_2016_EVENT_RESULTS[Silver - Country - 2],T_SV_MEDALS[[#This Row],[COUNTRY ABBR]])+COUNTIFS(T_2016_EVENT_RESULTS[SPORT],I_SV_SPORT,T_2016_EVENT_RESULTS[Silver - Country - 3],T_SV_MEDALS[[#This Row],[COUNTRY ABBR]]),"")</calculatedColumnFormula>
    </tableColumn>
    <tableColumn id="4" name="SV_BRONZE" dataDxfId="78">
      <calculatedColumnFormula>IF(I_VIEW=3, COUNTIFS(T_2016_EVENT_RESULTS[SPORT],I_SV_SPORT,T_2016_EVENT_RESULTS[Bronze - Country],T_SV_MEDALS[[#This Row],[COUNTRY ABBR]])+COUNTIFS(T_2016_EVENT_RESULTS[SPORT],I_SV_SPORT,T_2016_EVENT_RESULTS[Bronze - Country - 2],T_SV_MEDALS[[#This Row],[COUNTRY ABBR]]),"")</calculatedColumnFormula>
    </tableColumn>
    <tableColumn id="5" name="SV_TOTAL" dataDxfId="77">
      <calculatedColumnFormula>SUM(T_SV_MEDALS[[#This Row],[SV_GOLD]:[SV_BRONZE]])</calculatedColumnFormula>
    </tableColumn>
    <tableColumn id="10" name="SV_RANK VALUE" dataDxfId="76">
      <calculatedColumnFormula>IF(T_SV_MEDALS[[#This Row],[SV_TOTAL]]=0,"",IF(I_RANK_METHOD="TOTAL",(T_SV_MEDALS[[#This Row],[SV_TOTAL]]*10000000),0)+(T_SV_MEDALS[[#This Row],[SV_GOLD]]*100000)+(T_SV_MEDALS[[#This Row],[SV_SILVER]]*1000)+(T_SV_MEDALS[[#This Row],[SV_BRONZE]]*10))</calculatedColumnFormula>
    </tableColumn>
    <tableColumn id="9" name="SV_RANK" dataDxfId="75">
      <calculatedColumnFormula>IFERROR(IF(T_SV_MEDALS[[#This Row],[SV_TOTAL]]=0,"",RANK(T_SV_MEDALS[[#This Row],[SV_RANK VALUE]],T_SV_MEDALS[SV_RANK VALUE])),"")</calculatedColumnFormula>
    </tableColumn>
    <tableColumn id="17" name="SV_ADJ_RANK" dataDxfId="74">
      <calculatedColumnFormula>IFERROR(IF(T_SV_MEDALS[[#This Row],[SV_TOTAL]]=0,"",RANK(T_SV_MEDALS[[#This Row],[SV_RANK VALUE]],T_SV_MEDALS[SV_RANK VALUE])+COUNTIF($O$2:O2,O3)),"")</calculatedColumnFormula>
    </tableColumn>
    <tableColumn id="15" name="Dependency - Rank Value" dataDxfId="73">
      <calculatedColumnFormula>IFERROR(T_SV_MEDALS[[#This Row],[SV_TOTAL]]/T_SV_MEDALS[[#This Row],[TOTAL]],"")</calculatedColumnFormula>
    </tableColumn>
    <tableColumn id="16" name="Dependency - RANK" dataDxfId="72">
      <calculatedColumnFormula>IFERROR(IF(T_SV_MEDALS[[#This Row],[SV_TOTAL]]=0,"",RANK(T_SV_MEDALS[[#This Row],[Dependency - Rank Value]],T_SV_MEDALS[Dependency - Rank Value])+COUNTIF($Q$2:Q2,Q3)),"")</calculatedColumnFormula>
    </tableColumn>
  </tableColumns>
  <tableStyleInfo name="TableStyleMedium2" showFirstColumn="0" showLastColumn="0" showRowStripes="1" showColumnStripes="0"/>
</table>
</file>

<file path=xl/tables/table2.xml><?xml version="1.0" encoding="utf-8"?>
<table xmlns="http://schemas.openxmlformats.org/spreadsheetml/2006/main" id="8" name="T_COUNTRIES" displayName="T_COUNTRIES" ref="A1:C211" totalsRowShown="0" headerRowDxfId="71" dataDxfId="70">
  <autoFilter ref="A1:C211"/>
  <sortState ref="A2:C211">
    <sortCondition ref="A194"/>
  </sortState>
  <tableColumns count="3">
    <tableColumn id="1" name="Country" dataDxfId="69"/>
    <tableColumn id="2" name="Int Olympic Committee code" dataDxfId="68"/>
    <tableColumn id="4" name="FLAG" dataDxfId="67"/>
  </tableColumns>
  <tableStyleInfo showFirstColumn="0" showLastColumn="0" showRowStripes="1" showColumnStripes="0"/>
</table>
</file>

<file path=xl/tables/table3.xml><?xml version="1.0" encoding="utf-8"?>
<table xmlns="http://schemas.openxmlformats.org/spreadsheetml/2006/main" id="3" name="T_SPORTS" displayName="T_SPORTS" ref="A3:V42" totalsRowShown="0" headerRowDxfId="66" dataDxfId="65" tableBorderDxfId="64">
  <autoFilter ref="A3:V42">
    <filterColumn colId="0" hiddenButton="1"/>
    <filterColumn colId="1" hiddenButton="1"/>
    <filterColumn colId="3" hiddenButton="1"/>
    <filterColumn colId="4" hiddenButton="1"/>
    <filterColumn colId="5" hiddenButton="1"/>
    <filterColumn colId="6" hiddenButton="1"/>
    <filterColumn colId="7" hiddenButton="1"/>
    <filterColumn colId="8" hiddenButton="1"/>
  </autoFilter>
  <sortState ref="A4:H42">
    <sortCondition ref="B4"/>
  </sortState>
  <tableColumns count="22">
    <tableColumn id="7" name="#" dataDxfId="63"/>
    <tableColumn id="1" name="SPORT" dataDxfId="62"/>
    <tableColumn id="9" name="SPORT ABBR" dataDxfId="61"/>
    <tableColumn id="8" name="LOGO" dataDxfId="60"/>
    <tableColumn id="2" name="Events" dataDxfId="59">
      <calculatedColumnFormula>IFERROR(COUNTIF(T_2016_EVENT_RESULTS[SPORT],T_SPORTS[[#This Row],[SPORT]]),0)</calculatedColumnFormula>
    </tableColumn>
    <tableColumn id="3" name="Gold" dataDxfId="58">
      <calculatedColumnFormula>IFERROR(COUNTIFS(T_2016_EVENT_RESULTS[SPORT],T_SPORTS[[#This Row],[SPORT]],T_2016_EVENT_RESULTS[Gold - Country],"&lt;&gt;"&amp;"")+ COUNTIFS(T_2016_EVENT_RESULTS[SPORT],T_SPORTS[[#This Row],[SPORT]],T_2016_EVENT_RESULTS[Gold - Country - 2],"&lt;&gt;"&amp;""), "")</calculatedColumnFormula>
    </tableColumn>
    <tableColumn id="4" name="Silver" dataDxfId="57">
      <calculatedColumnFormula>IFERROR(COUNTIFS(T_2016_EVENT_RESULTS[SPORT],T_SPORTS[[#This Row],[SPORT]],T_2016_EVENT_RESULTS[Silver - Country],"&lt;&gt;"&amp;"")+ COUNTIFS(T_2016_EVENT_RESULTS[SPORT],T_SPORTS[[#This Row],[SPORT]],T_2016_EVENT_RESULTS[Silver - Country - 2],"&lt;&gt;"&amp;"")+ COUNTIFS(T_2016_EVENT_RESULTS[SPORT],T_SPORTS[[#This Row],[SPORT]],T_2016_EVENT_RESULTS[Silver - Country - 3],"&lt;&gt;"&amp;""),"")</calculatedColumnFormula>
    </tableColumn>
    <tableColumn id="5" name="Bronze" dataDxfId="56">
      <calculatedColumnFormula>IFERROR(COUNTIFS(T_2016_EVENT_RESULTS[SPORT],T_SPORTS[[#This Row],[SPORT]],T_2016_EVENT_RESULTS[Bronze - Country],"&lt;&gt;"&amp;"")+ COUNTIFS(T_2016_EVENT_RESULTS[SPORT],T_SPORTS[[#This Row],[SPORT]],T_2016_EVENT_RESULTS[Bronze - Country - 2],"&lt;&gt;"&amp;""),"")</calculatedColumnFormula>
    </tableColumn>
    <tableColumn id="6" name="TOTAL" dataDxfId="55">
      <calculatedColumnFormula>SUM(T_SPORTS[[#This Row],[Gold]:[Bronze]])</calculatedColumnFormula>
    </tableColumn>
    <tableColumn id="10" name="Rank Value" dataDxfId="54">
      <calculatedColumnFormula>ROUND((T_SPORTS[[#This Row],[Gold]]*10000000)+(T_SPORTS[[#This Row],[Silver]]*100000)+(T_SPORTS[[#This Row],[Bronze]]*1000),0)</calculatedColumnFormula>
    </tableColumn>
    <tableColumn id="11" name="Rank" dataDxfId="53">
      <calculatedColumnFormula>IFERROR(IF(T_SPORTS[[#This Row],[TOTAL]]=0,"",IF(I_RANK_METHOD="Total",RANK(T_SPORTS[[#This Row],[TOTAL]],T_SPORTS[TOTAL]),RANK(T_SPORTS[[#This Row],[Rank Value]],T_SPORTS[Rank Value]))),"")</calculatedColumnFormula>
    </tableColumn>
    <tableColumn id="12" name="CV - Gold" dataDxfId="52">
      <calculatedColumnFormula>IFERROR(COUNTIFS(T_2016_EVENT_RESULTS[SPORT],T_SPORTS[[#This Row],[SPORT]],T_2016_EVENT_RESULTS[Gold - Country], I_CV_CNTRY)+COUNTIFS(T_2016_EVENT_RESULTS[SPORT],T_SPORTS[[#This Row],[SPORT]],T_2016_EVENT_RESULTS[Gold - Country - 2], I_CV_CNTRY),"")</calculatedColumnFormula>
    </tableColumn>
    <tableColumn id="13" name="CV - Silver" dataDxfId="51">
      <calculatedColumnFormula>IFERROR(COUNTIFS(T_2016_EVENT_RESULTS[SPORT],T_SPORTS[[#This Row],[SPORT]],T_2016_EVENT_RESULTS[Silver - Country], I_CV_CNTRY)+COUNTIFS(T_2016_EVENT_RESULTS[SPORT],T_SPORTS[[#This Row],[SPORT]],T_2016_EVENT_RESULTS[Silver - Country - 2], I_CV_CNTRY)+COUNTIFS(T_2016_EVENT_RESULTS[SPORT],T_SPORTS[[#This Row],[SPORT]],T_2016_EVENT_RESULTS[Silver - Country - 3], I_CV_CNTRY),"")</calculatedColumnFormula>
    </tableColumn>
    <tableColumn id="14" name="CV - Bronze" dataDxfId="50">
      <calculatedColumnFormula>IFERROR(COUNTIFS(T_2016_EVENT_RESULTS[SPORT],T_SPORTS[[#This Row],[SPORT]],T_2016_EVENT_RESULTS[Bronze - Country], I_CV_CNTRY)+COUNTIFS(T_2016_EVENT_RESULTS[SPORT],T_SPORTS[[#This Row],[SPORT]],T_2016_EVENT_RESULTS[Bronze - Country - 2], I_CV_CNTRY),"")</calculatedColumnFormula>
    </tableColumn>
    <tableColumn id="15" name="CV - Total" dataDxfId="49">
      <calculatedColumnFormula>SUM(T_SPORTS[[#This Row],[CV - Gold]:[CV - Bronze]])</calculatedColumnFormula>
    </tableColumn>
    <tableColumn id="16" name="CV - Rank Value" dataDxfId="48">
      <calculatedColumnFormula>IF(T_SPORTS[[#This Row],[CV - Total]]=0,"",IF(I_RANK_METHOD="TOTAL",(T_SPORTS[[#This Row],[CV - Total]]*10000000),0)+(T_SPORTS[[#This Row],[CV - Gold]]*100000)+(T_SPORTS[[#This Row],[CV - Silver]]*1000)+(T_SPORTS[[#This Row],[CV - Bronze]]*10))</calculatedColumnFormula>
    </tableColumn>
    <tableColumn id="18" name="CV - Rank" dataDxfId="47">
      <calculatedColumnFormula>IFERROR(IF(T_SPORTS[[#This Row],[CV - Total]]=0,"",RANK(T_SPORTS[[#This Row],[CV - Rank Value]],T_SPORTS[CV - Rank Value])),"")</calculatedColumnFormula>
    </tableColumn>
    <tableColumn id="22" name="CV - Adj - Rank" dataDxfId="46">
      <calculatedColumnFormula>IFERROR(IF(T_SPORTS[[#This Row],[CV - Total]]=0,"",RANK(T_SPORTS[[#This Row],[CV - Rank Value]],T_SPORTS[CV - Rank Value])+COUNTIF($Q$3:Q3,Q4)),"")</calculatedColumnFormula>
    </tableColumn>
    <tableColumn id="17" name="CV - Domination - Total" dataDxfId="45" dataCellStyle="Percent">
      <calculatedColumnFormula>T_SPORTS[[#This Row],[CV - Total]]/T_SPORTS[[#This Row],[TOTAL]]</calculatedColumnFormula>
    </tableColumn>
    <tableColumn id="19" name="CV - Domination - Rank" dataDxfId="44">
      <calculatedColumnFormula>IF(T_SPORTS[[#This Row],[CV - Domination - Total]]=0,"",RANK(T_SPORTS[[#This Row],[CV - Domination - Total]],T_SPORTS[CV - Domination - Total])+COUNTIF($S$3:S3,S4))</calculatedColumnFormula>
    </tableColumn>
    <tableColumn id="20" name="OV - Domination - Total" dataDxfId="43" dataCellStyle="Percent">
      <calculatedColumnFormula>T_SPORTS[[#This Row],[TOTAL]]/SUM(T_SPORTS[TOTAL])</calculatedColumnFormula>
    </tableColumn>
    <tableColumn id="21" name="OV - Domination - Rank" dataDxfId="42">
      <calculatedColumnFormula>IF(T_SPORTS[[#This Row],[OV - Domination - Total]]=0,"",RANK(T_SPORTS[[#This Row],[OV - Domination - Total]],T_SPORTS[OV - Domination - Total])+COUNTIF($U$3:U3,U4))</calculatedColumnFormula>
    </tableColumn>
  </tableColumns>
  <tableStyleInfo showFirstColumn="0" showLastColumn="0" showRowStripes="1" showColumnStripes="0"/>
</table>
</file>

<file path=xl/tables/table4.xml><?xml version="1.0" encoding="utf-8"?>
<table xmlns="http://schemas.openxmlformats.org/spreadsheetml/2006/main" id="7" name="TS_ATHLETES" displayName="TS_ATHLETES" ref="A1:I1863" totalsRowShown="0">
  <autoFilter ref="A1:I1863"/>
  <sortState ref="A2:L905">
    <sortCondition ref="A1:A905"/>
  </sortState>
  <tableColumns count="9">
    <tableColumn id="1" name="ATHLETE"/>
    <tableColumn id="10" name="COUNTRY" dataDxfId="41"/>
    <tableColumn id="2" name="GOLD MEDALS" dataDxfId="40">
      <calculatedColumnFormula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calculatedColumnFormula>
    </tableColumn>
    <tableColumn id="3" name="SILVER MEDALS" dataDxfId="39">
      <calculatedColumnFormula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calculatedColumnFormula>
    </tableColumn>
    <tableColumn id="4" name="BRONZE MEDALS" dataDxfId="38">
      <calculatedColumnFormula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calculatedColumnFormula>
    </tableColumn>
    <tableColumn id="9" name="TOTAL" dataDxfId="37">
      <calculatedColumnFormula>SUM(TS_ATHLETES[[#This Row],[GOLD MEDALS]:[BRONZE MEDALS]])</calculatedColumnFormula>
    </tableColumn>
    <tableColumn id="15" name="RANK VALUE" dataDxfId="36">
      <calculatedColumnFormula>IF(TS_ATHLETES[[#This Row],[TOTAL]]=0,"",IF(I_RANK_METHOD="Total",(TS_ATHLETES[[#This Row],[TOTAL]]*10000000),0)+(TS_ATHLETES[[#This Row],[GOLD MEDALS]]*100000)+(TS_ATHLETES[[#This Row],[SILVER MEDALS]]*100)+(TS_ATHLETES[[#This Row],[BRONZE MEDALS]]*10))</calculatedColumnFormula>
    </tableColumn>
    <tableColumn id="14" name="RANK" dataDxfId="35">
      <calculatedColumnFormula>IF(TS_ATHLETES[[#This Row],[TOTAL]]=0,"",RANK(TS_ATHLETES[[#This Row],[RANK VALUE]],TS_ATHLETES[RANK VALUE]))</calculatedColumnFormula>
    </tableColumn>
    <tableColumn id="17" name="ADJ RANK" dataDxfId="34">
      <calculatedColumnFormula>IFERROR(IF(TS_ATHLETES[[#This Row],[TOTAL]]=0,"",RANK(TS_ATHLETES[[#This Row],[RANK VALUE]],TS_ATHLETES[RANK VALUE])+COUNTIF($H$1:H1,H2)),"")</calculatedColumnFormula>
    </tableColumn>
  </tableColumns>
  <tableStyleInfo name="TableStyleMedium2" showFirstColumn="0" showLastColumn="0" showRowStripes="1" showColumnStripes="0"/>
</table>
</file>

<file path=xl/tables/table5.xml><?xml version="1.0" encoding="utf-8"?>
<table xmlns="http://schemas.openxmlformats.org/spreadsheetml/2006/main" id="1" name="T_2016_EVENT_RESULTS" displayName="T_2016_EVENT_RESULTS" ref="A1:R307" totalsRowShown="0" headerRowDxfId="28" dataDxfId="27">
  <autoFilter ref="A1:R307"/>
  <sortState ref="A3:AB308">
    <sortCondition ref="C2:C308"/>
  </sortState>
  <tableColumns count="18">
    <tableColumn id="15" name="EVENT TYPE" dataDxfId="26"/>
    <tableColumn id="14" name="EVENT GENDER" dataDxfId="25"/>
    <tableColumn id="17" name="SPORT" dataDxfId="24"/>
    <tableColumn id="1" name="Event" dataDxfId="23"/>
    <tableColumn id="4" name="Gold - Country" dataDxfId="22"/>
    <tableColumn id="2" name="Gold - Athlete" dataDxfId="21"/>
    <tableColumn id="8" name="Silver - Country" dataDxfId="20"/>
    <tableColumn id="6" name="Silver - Athlete" dataDxfId="19"/>
    <tableColumn id="12" name="Bronze - Country" dataDxfId="18"/>
    <tableColumn id="10" name="Bronze - Athlete" dataDxfId="17"/>
    <tableColumn id="22" name="Bronze - Country - 2" dataDxfId="16"/>
    <tableColumn id="23" name="Bronze - Athlete - 2" dataDxfId="15"/>
    <tableColumn id="9" name="Gold - Country - 2" dataDxfId="14"/>
    <tableColumn id="5" name="Gold - Athlete - 2" dataDxfId="13"/>
    <tableColumn id="24" name="Silver - Athlete - 2" dataDxfId="12"/>
    <tableColumn id="25" name="Silver - Country - 2" dataDxfId="11"/>
    <tableColumn id="28" name="Silver - Country - 3" dataDxfId="10"/>
    <tableColumn id="13" name="Silver - Athlete - 3" dataDxfId="9"/>
  </tableColumns>
  <tableStyleInfo name="TableStyleMedium2" showFirstColumn="0" showLastColumn="0" showRowStripes="1" showColumnStripes="0"/>
</table>
</file>

<file path=xl/tables/table6.xml><?xml version="1.0" encoding="utf-8"?>
<table xmlns="http://schemas.openxmlformats.org/spreadsheetml/2006/main" id="6" name="T_ATHLETE_MEDALS" displayName="T_ATHLETE_MEDALS" ref="A2:G2028" totalsRowShown="0" headerRowDxfId="8" dataDxfId="7">
  <autoFilter ref="A2:G2028"/>
  <sortState ref="A3:G774">
    <sortCondition ref="B2:B774"/>
  </sortState>
  <tableColumns count="7">
    <tableColumn id="15" name="SPORT TYPE" dataDxfId="6"/>
    <tableColumn id="14" name="GENDER" dataDxfId="5"/>
    <tableColumn id="17" name="SPORT" dataDxfId="4"/>
    <tableColumn id="1" name="Event" dataDxfId="3"/>
    <tableColumn id="2" name="Winner" dataDxfId="2"/>
    <tableColumn id="4" name="Winning Country" dataDxfId="1"/>
    <tableColumn id="3" name="MEDAL" dataDxfId="0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hyperlink" Target="https://graphicriver.net/item/254-flags-of-the-world/180180" TargetMode="External"/><Relationship Id="rId2" Type="http://schemas.openxmlformats.org/officeDocument/2006/relationships/hyperlink" Target="https://www.rio2016.com/en/water-polo-wp-women-download" TargetMode="External"/><Relationship Id="rId1" Type="http://schemas.openxmlformats.org/officeDocument/2006/relationships/hyperlink" Target="https://www.rio2016.com/en/schedule-and-results" TargetMode="External"/><Relationship Id="rId6" Type="http://schemas.openxmlformats.org/officeDocument/2006/relationships/drawing" Target="../drawings/drawing1.xml"/><Relationship Id="rId5" Type="http://schemas.openxmlformats.org/officeDocument/2006/relationships/printerSettings" Target="../printerSettings/printerSettings1.bin"/><Relationship Id="rId4" Type="http://schemas.openxmlformats.org/officeDocument/2006/relationships/hyperlink" Target="https://en.wikipedia.org/wiki/Category:2016_Summer_Olympics_events" TargetMode="External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ctrlProp" Target="../ctrlProps/ctrlProp5.xml"/><Relationship Id="rId3" Type="http://schemas.openxmlformats.org/officeDocument/2006/relationships/vmlDrawing" Target="../drawings/vmlDrawing1.vml"/><Relationship Id="rId7" Type="http://schemas.openxmlformats.org/officeDocument/2006/relationships/ctrlProp" Target="../ctrlProps/ctrlProp4.xml"/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Relationship Id="rId6" Type="http://schemas.openxmlformats.org/officeDocument/2006/relationships/ctrlProp" Target="../ctrlProps/ctrlProp3.xml"/><Relationship Id="rId5" Type="http://schemas.openxmlformats.org/officeDocument/2006/relationships/ctrlProp" Target="../ctrlProps/ctrlProp2.xml"/><Relationship Id="rId10" Type="http://schemas.openxmlformats.org/officeDocument/2006/relationships/comments" Target="../comments1.xml"/><Relationship Id="rId4" Type="http://schemas.openxmlformats.org/officeDocument/2006/relationships/ctrlProp" Target="../ctrlProps/ctrlProp1.xml"/><Relationship Id="rId9" Type="http://schemas.openxmlformats.org/officeDocument/2006/relationships/ctrlProp" Target="../ctrlProps/ctrlProp6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4.xml.rels><?xml version="1.0" encoding="UTF-8" standalone="yes"?>
<Relationships xmlns="http://schemas.openxmlformats.org/package/2006/relationships"><Relationship Id="rId3" Type="http://schemas.openxmlformats.org/officeDocument/2006/relationships/table" Target="../tables/table2.xml"/><Relationship Id="rId2" Type="http://schemas.openxmlformats.org/officeDocument/2006/relationships/drawing" Target="../drawings/drawing3.xml"/><Relationship Id="rId1" Type="http://schemas.openxmlformats.org/officeDocument/2006/relationships/printerSettings" Target="../printerSettings/printerSettings3.bin"/></Relationships>
</file>

<file path=xl/worksheets/_rels/sheet5.xml.rels><?xml version="1.0" encoding="UTF-8" standalone="yes"?>
<Relationships xmlns="http://schemas.openxmlformats.org/package/2006/relationships"><Relationship Id="rId3" Type="http://schemas.openxmlformats.org/officeDocument/2006/relationships/table" Target="../tables/table3.xml"/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4.bin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table" Target="../tables/table4.xml"/></Relationships>
</file>

<file path=xl/worksheets/_rels/sheet7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5.bin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table" Target="../tables/table5.xml"/><Relationship Id="rId1" Type="http://schemas.openxmlformats.org/officeDocument/2006/relationships/printerSettings" Target="../printerSettings/printerSettings6.bin"/></Relationships>
</file>

<file path=xl/worksheets/_rels/sheet9.xml.rels><?xml version="1.0" encoding="UTF-8" standalone="yes"?>
<Relationships xmlns="http://schemas.openxmlformats.org/package/2006/relationships"><Relationship Id="rId2" Type="http://schemas.openxmlformats.org/officeDocument/2006/relationships/table" Target="../tables/table6.xml"/><Relationship Id="rId1" Type="http://schemas.openxmlformats.org/officeDocument/2006/relationships/printerSettings" Target="../printerSettings/printerSettings7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B20:F39"/>
  <sheetViews>
    <sheetView showGridLines="0" showRowColHeaders="0" tabSelected="1" zoomScale="85" zoomScaleNormal="85" workbookViewId="0">
      <selection activeCell="D46" sqref="D46"/>
    </sheetView>
  </sheetViews>
  <sheetFormatPr defaultRowHeight="15" x14ac:dyDescent="0.25"/>
  <cols>
    <col min="11" max="11" width="12.42578125" bestFit="1" customWidth="1"/>
  </cols>
  <sheetData>
    <row r="20" spans="5:6" ht="36" x14ac:dyDescent="0.55000000000000004">
      <c r="E20" s="37"/>
      <c r="F20" s="39" t="s">
        <v>1004</v>
      </c>
    </row>
    <row r="21" spans="5:6" ht="30.75" x14ac:dyDescent="0.45">
      <c r="E21" s="37"/>
      <c r="F21" s="38" t="s">
        <v>1005</v>
      </c>
    </row>
    <row r="33" spans="2:2" x14ac:dyDescent="0.25">
      <c r="B33" s="1" t="s">
        <v>2864</v>
      </c>
    </row>
    <row r="34" spans="2:2" x14ac:dyDescent="0.25">
      <c r="B34" s="53" t="s">
        <v>2863</v>
      </c>
    </row>
    <row r="35" spans="2:2" x14ac:dyDescent="0.25">
      <c r="B35" s="53" t="s">
        <v>2766</v>
      </c>
    </row>
    <row r="36" spans="2:2" x14ac:dyDescent="0.25">
      <c r="B36" s="53" t="s">
        <v>2865</v>
      </c>
    </row>
    <row r="37" spans="2:2" x14ac:dyDescent="0.25">
      <c r="B37" s="1" t="s">
        <v>1053</v>
      </c>
    </row>
    <row r="38" spans="2:2" x14ac:dyDescent="0.25">
      <c r="B38" s="53" t="s">
        <v>1054</v>
      </c>
    </row>
    <row r="39" spans="2:2" x14ac:dyDescent="0.25">
      <c r="B39" s="1"/>
    </row>
  </sheetData>
  <hyperlinks>
    <hyperlink ref="B34" r:id="rId1"/>
    <hyperlink ref="B35" r:id="rId2"/>
    <hyperlink ref="B38" r:id="rId3"/>
    <hyperlink ref="B36" r:id="rId4"/>
  </hyperlinks>
  <pageMargins left="0.7" right="0.7" top="0.75" bottom="0.75" header="0.3" footer="0.3"/>
  <pageSetup orientation="portrait" horizontalDpi="4294967293" verticalDpi="0" r:id="rId5"/>
  <drawing r:id="rId6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sheetPr codeName="Sheet1">
    <tabColor rgb="FFFF00FF"/>
    <pageSetUpPr fitToPage="1"/>
  </sheetPr>
  <dimension ref="A1:V45"/>
  <sheetViews>
    <sheetView showGridLines="0" showRowColHeaders="0" zoomScale="93" zoomScaleNormal="93" workbookViewId="0">
      <selection activeCell="O23" sqref="O23:T23"/>
    </sheetView>
  </sheetViews>
  <sheetFormatPr defaultRowHeight="15" x14ac:dyDescent="0.25"/>
  <cols>
    <col min="1" max="1" width="3.85546875" style="63" customWidth="1"/>
    <col min="2" max="2" width="10.85546875" style="63" customWidth="1"/>
    <col min="3" max="3" width="4.7109375" style="63" customWidth="1"/>
    <col min="4" max="4" width="24.140625" style="63" customWidth="1"/>
    <col min="5" max="8" width="8.7109375" style="63" customWidth="1"/>
    <col min="9" max="9" width="6.28515625" style="63" customWidth="1"/>
    <col min="10" max="10" width="4.7109375" style="63" customWidth="1"/>
    <col min="11" max="11" width="10.85546875" style="63" customWidth="1"/>
    <col min="12" max="12" width="4.7109375" style="63" customWidth="1"/>
    <col min="13" max="13" width="21.7109375" style="63" customWidth="1"/>
    <col min="14" max="14" width="7.5703125" style="63" customWidth="1"/>
    <col min="15" max="19" width="4.7109375" style="63" customWidth="1"/>
    <col min="20" max="20" width="8.7109375" style="63" customWidth="1"/>
    <col min="21" max="16384" width="9.140625" style="63"/>
  </cols>
  <sheetData>
    <row r="1" spans="1:22" ht="23.25" customHeight="1" x14ac:dyDescent="0.25">
      <c r="A1" s="60"/>
      <c r="B1" s="154" t="s">
        <v>1049</v>
      </c>
      <c r="C1" s="154"/>
      <c r="D1" s="154"/>
      <c r="E1" s="61"/>
      <c r="F1" s="61"/>
      <c r="G1" s="61"/>
      <c r="H1" s="61"/>
      <c r="I1" s="61"/>
      <c r="J1" s="61"/>
      <c r="K1" s="61"/>
      <c r="L1" s="61"/>
      <c r="M1" s="61"/>
      <c r="N1" s="61"/>
      <c r="O1" s="61"/>
      <c r="P1" s="61"/>
      <c r="Q1" s="61"/>
      <c r="R1" s="61"/>
      <c r="S1" s="61"/>
      <c r="T1" s="61"/>
      <c r="U1" s="62"/>
    </row>
    <row r="2" spans="1:22" ht="24.75" customHeight="1" x14ac:dyDescent="0.25">
      <c r="A2" s="64"/>
      <c r="B2" s="155"/>
      <c r="C2" s="155"/>
      <c r="D2" s="155"/>
      <c r="E2" s="65"/>
      <c r="F2" s="65"/>
      <c r="G2" s="65"/>
      <c r="H2" s="65"/>
      <c r="I2" s="65"/>
      <c r="J2" s="65"/>
      <c r="K2" s="65"/>
      <c r="L2" s="65"/>
      <c r="M2" s="65"/>
      <c r="N2" s="65"/>
      <c r="O2" s="65"/>
      <c r="P2" s="65"/>
      <c r="Q2" s="65"/>
      <c r="R2" s="65"/>
      <c r="S2" s="65"/>
      <c r="T2" s="65"/>
      <c r="U2" s="66"/>
    </row>
    <row r="3" spans="1:22" ht="21" x14ac:dyDescent="0.35">
      <c r="A3" s="67"/>
      <c r="B3" s="68"/>
      <c r="C3" s="68"/>
      <c r="D3" s="69"/>
      <c r="E3" s="69"/>
      <c r="F3" s="69"/>
      <c r="G3" s="69"/>
      <c r="H3" s="69"/>
      <c r="I3" s="69"/>
      <c r="J3" s="69"/>
      <c r="K3" s="69"/>
      <c r="L3" s="70" t="s">
        <v>430</v>
      </c>
      <c r="M3" s="71" t="s">
        <v>362</v>
      </c>
      <c r="N3" s="69"/>
      <c r="O3" s="69"/>
      <c r="P3" s="70" t="s">
        <v>381</v>
      </c>
      <c r="Q3" s="157" t="s">
        <v>414</v>
      </c>
      <c r="R3" s="157"/>
      <c r="S3" s="157"/>
      <c r="T3" s="157"/>
      <c r="U3" s="72"/>
    </row>
    <row r="4" spans="1:22" x14ac:dyDescent="0.25">
      <c r="A4" s="73"/>
      <c r="B4" s="74"/>
      <c r="C4" s="74"/>
      <c r="D4" s="74"/>
      <c r="E4" s="74"/>
      <c r="F4" s="74"/>
      <c r="G4" s="74"/>
      <c r="H4" s="74"/>
      <c r="I4" s="74"/>
      <c r="J4" s="74"/>
      <c r="K4" s="74"/>
      <c r="L4" s="74"/>
      <c r="M4" s="74"/>
      <c r="N4" s="74"/>
      <c r="O4" s="74"/>
      <c r="P4" s="74"/>
      <c r="Q4" s="74"/>
      <c r="R4" s="74"/>
      <c r="S4" s="74"/>
      <c r="T4" s="74"/>
      <c r="U4" s="75"/>
    </row>
    <row r="5" spans="1:22" ht="21" x14ac:dyDescent="0.35">
      <c r="A5" s="76"/>
      <c r="B5" s="74"/>
      <c r="C5" s="74"/>
      <c r="D5" s="77" t="s">
        <v>453</v>
      </c>
      <c r="E5" s="74"/>
      <c r="F5" s="78"/>
      <c r="G5" s="74"/>
      <c r="H5" s="78"/>
      <c r="I5" s="74"/>
      <c r="J5" s="78"/>
      <c r="K5" s="78"/>
      <c r="L5" s="78"/>
      <c r="M5" s="78"/>
      <c r="N5" s="78"/>
      <c r="O5" s="74"/>
      <c r="P5" s="74"/>
      <c r="Q5" s="74"/>
      <c r="R5" s="74"/>
      <c r="S5" s="74"/>
      <c r="T5" s="74"/>
      <c r="U5" s="75"/>
    </row>
    <row r="6" spans="1:22" ht="40.5" customHeight="1" x14ac:dyDescent="0.3">
      <c r="A6" s="79"/>
      <c r="B6" s="74"/>
      <c r="C6" s="74"/>
      <c r="D6" s="74"/>
      <c r="E6" s="74"/>
      <c r="F6" s="80"/>
      <c r="G6" s="81"/>
      <c r="H6" s="78"/>
      <c r="I6" s="78"/>
      <c r="J6" s="74"/>
      <c r="K6" s="74"/>
      <c r="L6" s="74"/>
      <c r="M6" s="74"/>
      <c r="N6" s="78"/>
      <c r="O6" s="78"/>
      <c r="P6" s="78"/>
      <c r="Q6" s="78"/>
      <c r="R6" s="78"/>
      <c r="S6" s="82"/>
      <c r="T6" s="74"/>
      <c r="U6" s="75"/>
    </row>
    <row r="7" spans="1:22" ht="15" customHeight="1" x14ac:dyDescent="0.3">
      <c r="A7" s="83"/>
      <c r="B7" s="84"/>
      <c r="C7" s="84"/>
      <c r="D7" s="84"/>
      <c r="E7" s="84"/>
      <c r="F7" s="84"/>
      <c r="G7" s="85"/>
      <c r="H7" s="85"/>
      <c r="I7" s="86"/>
      <c r="J7" s="84"/>
      <c r="K7" s="84"/>
      <c r="L7" s="84"/>
      <c r="M7" s="84"/>
      <c r="N7" s="84"/>
      <c r="O7" s="84"/>
      <c r="P7" s="84"/>
      <c r="Q7" s="84"/>
      <c r="R7" s="87" t="s">
        <v>448</v>
      </c>
      <c r="S7" s="158" t="s">
        <v>2862</v>
      </c>
      <c r="T7" s="159"/>
      <c r="U7" s="88"/>
    </row>
    <row r="8" spans="1:22" ht="20.100000000000001" customHeight="1" x14ac:dyDescent="0.35">
      <c r="A8" s="89"/>
      <c r="B8" s="90"/>
      <c r="C8" s="90"/>
      <c r="D8" s="84"/>
      <c r="E8" s="84"/>
      <c r="F8" s="84"/>
      <c r="G8" s="91"/>
      <c r="H8" s="84"/>
      <c r="I8" s="84"/>
      <c r="J8" s="84"/>
      <c r="K8" s="92"/>
      <c r="L8" s="92"/>
      <c r="M8" s="92"/>
      <c r="N8" s="92"/>
      <c r="O8" s="84"/>
      <c r="P8" s="84"/>
      <c r="Q8" s="84"/>
      <c r="R8" s="84"/>
      <c r="S8" s="93"/>
      <c r="T8" s="93"/>
      <c r="U8" s="88"/>
    </row>
    <row r="9" spans="1:22" ht="20.100000000000001" customHeight="1" x14ac:dyDescent="0.35">
      <c r="A9" s="89"/>
      <c r="B9" s="90"/>
      <c r="C9" s="90"/>
      <c r="D9" s="84"/>
      <c r="E9" s="134">
        <f>H!K12</f>
        <v>87</v>
      </c>
      <c r="F9" s="135" t="str">
        <f>IF(I_VIEW=1,"Countries with medals",IF(I_VIEW=2,"Sports with medals","Countries with medals"))</f>
        <v>Countries with medals</v>
      </c>
      <c r="G9" s="91"/>
      <c r="H9" s="84"/>
      <c r="I9" s="84"/>
      <c r="J9" s="84"/>
      <c r="K9" s="92"/>
      <c r="L9" s="92"/>
      <c r="M9" s="134">
        <f>H!T11</f>
        <v>1859</v>
      </c>
      <c r="N9" s="94" t="s">
        <v>461</v>
      </c>
      <c r="O9" s="84"/>
      <c r="P9" s="84"/>
      <c r="Q9" s="84"/>
      <c r="R9" s="160">
        <f>H!U11</f>
        <v>2026</v>
      </c>
      <c r="S9" s="160"/>
      <c r="T9" s="84" t="s">
        <v>460</v>
      </c>
      <c r="U9" s="88"/>
      <c r="V9" s="95"/>
    </row>
    <row r="10" spans="1:22" ht="20.100000000000001" customHeight="1" x14ac:dyDescent="0.35">
      <c r="A10" s="96"/>
      <c r="B10" s="136" t="str">
        <f>IF(I_VIEW=1,"TOP COUNTRIES",IF(I_VIEW=2,"TOP SPORTS","TOP COUNTRIES"))</f>
        <v>TOP COUNTRIES</v>
      </c>
      <c r="C10" s="98"/>
      <c r="D10" s="99"/>
      <c r="E10" s="100"/>
      <c r="F10" s="100"/>
      <c r="G10" s="100"/>
      <c r="H10" s="100"/>
      <c r="I10" s="99"/>
      <c r="J10" s="101"/>
      <c r="K10" s="97" t="s">
        <v>978</v>
      </c>
      <c r="L10" s="98"/>
      <c r="M10" s="99"/>
      <c r="N10" s="100"/>
      <c r="O10" s="100"/>
      <c r="P10" s="100"/>
      <c r="Q10" s="100"/>
      <c r="R10" s="99"/>
      <c r="S10" s="97"/>
      <c r="T10" s="98"/>
      <c r="U10" s="102"/>
    </row>
    <row r="11" spans="1:22" ht="27.75" customHeight="1" x14ac:dyDescent="0.3">
      <c r="A11" s="96"/>
      <c r="B11" s="103" t="s">
        <v>434</v>
      </c>
      <c r="C11" s="104"/>
      <c r="D11" s="137" t="str">
        <f>IF(I_VIEW=1,"COUNTRY",IF(I_VIEW=2,"SPORT","COUNTRY"))</f>
        <v>COUNTRY</v>
      </c>
      <c r="E11" s="106"/>
      <c r="F11" s="106"/>
      <c r="G11" s="106"/>
      <c r="H11" s="106" t="s">
        <v>402</v>
      </c>
      <c r="I11" s="107"/>
      <c r="J11" s="101"/>
      <c r="K11" s="103" t="s">
        <v>434</v>
      </c>
      <c r="L11" s="106"/>
      <c r="M11" s="105" t="s">
        <v>442</v>
      </c>
      <c r="N11" s="108"/>
      <c r="O11" s="108"/>
      <c r="P11" s="108"/>
      <c r="Q11" s="108"/>
      <c r="R11" s="108"/>
      <c r="S11" s="108"/>
      <c r="T11" s="103"/>
      <c r="U11" s="102"/>
    </row>
    <row r="12" spans="1:22" ht="24" customHeight="1" x14ac:dyDescent="0.3">
      <c r="A12" s="96"/>
      <c r="B12" s="144">
        <f>H!H14</f>
        <v>1</v>
      </c>
      <c r="C12" s="138" t="str">
        <f>IFERROR(INDEX(T_COUNTRIES[Int Olympic Committee code],MATCH(D12,T_COUNTRIES[Country],0)),"")</f>
        <v>USA</v>
      </c>
      <c r="D12" s="139" t="str">
        <f>H!L14</f>
        <v>United States</v>
      </c>
      <c r="E12" s="140">
        <f>IFERROR(IF($D12="","",IF(I_VIEW=1,INDEX(T_SV_MEDALS[GOLD],MATCH($D12,T_SV_MEDALS[COUNTRY],0)),IF(I_VIEW=2,INDEX(T_SPORTS[CV - Gold],MATCH($D12,T_SPORTS[SPORT],0)),INDEX(T_SV_MEDALS[SV_GOLD],MATCH($D12,T_SV_MEDALS[COUNTRY],0))))),0)</f>
        <v>46</v>
      </c>
      <c r="F12" s="140">
        <f>IFERROR(IF($D12="","",IF(I_VIEW=1,INDEX(T_SV_MEDALS[SILVER],MATCH($D12,T_SV_MEDALS[COUNTRY],0)),IF(I_VIEW=2,INDEX(T_SPORTS[CV - Silver],MATCH($D12,T_SPORTS[SPORT],0)),INDEX(T_SV_MEDALS[SV_SILVER],MATCH($D12,T_SV_MEDALS[COUNTRY],0))))),0)</f>
        <v>37</v>
      </c>
      <c r="G12" s="140">
        <f>IFERROR(IF($D12="","",IF(I_VIEW=1,INDEX(T_SV_MEDALS[BRONZE],MATCH($D12,T_SV_MEDALS[COUNTRY],0)),IF(I_VIEW=2,INDEX(T_SPORTS[CV - Bronze],MATCH($D12,T_SPORTS[SPORT],0)),INDEX(T_SV_MEDALS[SV_BRONZE],MATCH($D12,T_SV_MEDALS[COUNTRY],0))))),0)</f>
        <v>38</v>
      </c>
      <c r="H12" s="140">
        <f>IFERROR(IF($D12="","",IF(I_VIEW=1,INDEX(T_SV_MEDALS[TOTAL],MATCH($D12,T_SV_MEDALS[COUNTRY],0)),IF(I_VIEW=2,INDEX(T_SPORTS[CV - Total],MATCH($D12,T_SPORTS[SPORT],0)),INDEX(T_SV_MEDALS[SV_TOTAL],MATCH($D12,T_SV_MEDALS[COUNTRY],0))))),0)</f>
        <v>121</v>
      </c>
      <c r="I12" s="78"/>
      <c r="J12" s="101"/>
      <c r="K12" s="144">
        <f>H!R14</f>
        <v>1</v>
      </c>
      <c r="L12" s="141" t="str">
        <f>H!U14</f>
        <v>USA</v>
      </c>
      <c r="M12" s="139" t="str">
        <f>H!T14</f>
        <v>PHELPS Michael</v>
      </c>
      <c r="N12" s="142" t="str">
        <f>H!Y14</f>
        <v>n</v>
      </c>
      <c r="O12" s="142" t="str">
        <f>H!Z14</f>
        <v>n</v>
      </c>
      <c r="P12" s="142" t="str">
        <f>H!AA14</f>
        <v>n</v>
      </c>
      <c r="Q12" s="142" t="str">
        <f>H!AB14</f>
        <v>n</v>
      </c>
      <c r="R12" s="142" t="str">
        <f>H!AC14</f>
        <v>n</v>
      </c>
      <c r="S12" s="142" t="str">
        <f>H!AD14</f>
        <v>n</v>
      </c>
      <c r="T12" s="143">
        <f>H!AE14</f>
        <v>6</v>
      </c>
      <c r="U12" s="102"/>
    </row>
    <row r="13" spans="1:22" ht="24" customHeight="1" x14ac:dyDescent="0.3">
      <c r="A13" s="109"/>
      <c r="B13" s="144">
        <f>H!H15</f>
        <v>2</v>
      </c>
      <c r="C13" s="138" t="str">
        <f>IFERROR(INDEX(T_COUNTRIES[Int Olympic Committee code],MATCH(D13,T_COUNTRIES[Country],0)),"")</f>
        <v>CHN</v>
      </c>
      <c r="D13" s="139" t="str">
        <f>H!L15</f>
        <v>China</v>
      </c>
      <c r="E13" s="140">
        <f>IFERROR(IF($D13="","",IF(I_VIEW=1,INDEX(T_SV_MEDALS[GOLD],MATCH($D13,T_SV_MEDALS[COUNTRY],0)),IF(I_VIEW=2,INDEX(T_SPORTS[CV - Gold],MATCH($D13,T_SPORTS[SPORT],0)),INDEX(T_SV_MEDALS[SV_GOLD],MATCH($D13,T_SV_MEDALS[COUNTRY],0))))),0)</f>
        <v>26</v>
      </c>
      <c r="F13" s="140">
        <f>IFERROR(IF($D13="","",IF(I_VIEW=1,INDEX(T_SV_MEDALS[SILVER],MATCH($D13,T_SV_MEDALS[COUNTRY],0)),IF(I_VIEW=2,INDEX(T_SPORTS[CV - Silver],MATCH($D13,T_SPORTS[SPORT],0)),INDEX(T_SV_MEDALS[SV_SILVER],MATCH($D13,T_SV_MEDALS[COUNTRY],0))))),0)</f>
        <v>18</v>
      </c>
      <c r="G13" s="140">
        <f>IFERROR(IF($D13="","",IF(I_VIEW=1,INDEX(T_SV_MEDALS[BRONZE],MATCH($D13,T_SV_MEDALS[COUNTRY],0)),IF(I_VIEW=2,INDEX(T_SPORTS[CV - Bronze],MATCH($D13,T_SPORTS[SPORT],0)),INDEX(T_SV_MEDALS[SV_BRONZE],MATCH($D13,T_SV_MEDALS[COUNTRY],0))))),0)</f>
        <v>26</v>
      </c>
      <c r="H13" s="140">
        <f>IFERROR(IF($D13="","",IF(I_VIEW=1,INDEX(T_SV_MEDALS[TOTAL],MATCH($D13,T_SV_MEDALS[COUNTRY],0)),IF(I_VIEW=2,INDEX(T_SPORTS[CV - Total],MATCH($D13,T_SPORTS[SPORT],0)),INDEX(T_SV_MEDALS[SV_TOTAL],MATCH($D13,T_SV_MEDALS[COUNTRY],0))))),0)</f>
        <v>70</v>
      </c>
      <c r="I13" s="78"/>
      <c r="J13" s="101"/>
      <c r="K13" s="144">
        <f>H!R15</f>
        <v>2</v>
      </c>
      <c r="L13" s="141" t="str">
        <f>H!U15</f>
        <v>USA</v>
      </c>
      <c r="M13" s="139" t="str">
        <f>H!T15</f>
        <v>LEDECKY Katie</v>
      </c>
      <c r="N13" s="142" t="str">
        <f>H!Y15</f>
        <v>n</v>
      </c>
      <c r="O13" s="142" t="str">
        <f>H!Z15</f>
        <v>n</v>
      </c>
      <c r="P13" s="142" t="str">
        <f>H!AA15</f>
        <v>n</v>
      </c>
      <c r="Q13" s="142" t="str">
        <f>H!AB15</f>
        <v>n</v>
      </c>
      <c r="R13" s="142" t="str">
        <f>H!AC15</f>
        <v>n</v>
      </c>
      <c r="S13" s="142" t="str">
        <f>H!AD15</f>
        <v/>
      </c>
      <c r="T13" s="143">
        <f>H!AE15</f>
        <v>5</v>
      </c>
      <c r="U13" s="102"/>
    </row>
    <row r="14" spans="1:22" ht="24" customHeight="1" x14ac:dyDescent="0.3">
      <c r="A14" s="96"/>
      <c r="B14" s="144">
        <f>H!H16</f>
        <v>3</v>
      </c>
      <c r="C14" s="138" t="str">
        <f>IFERROR(INDEX(T_COUNTRIES[Int Olympic Committee code],MATCH(D14,T_COUNTRIES[Country],0)),"")</f>
        <v>GBR</v>
      </c>
      <c r="D14" s="139" t="str">
        <f>H!L16</f>
        <v>Great Britain</v>
      </c>
      <c r="E14" s="140">
        <f>IFERROR(IF($D14="","",IF(I_VIEW=1,INDEX(T_SV_MEDALS[GOLD],MATCH($D14,T_SV_MEDALS[COUNTRY],0)),IF(I_VIEW=2,INDEX(T_SPORTS[CV - Gold],MATCH($D14,T_SPORTS[SPORT],0)),INDEX(T_SV_MEDALS[SV_GOLD],MATCH($D14,T_SV_MEDALS[COUNTRY],0))))),0)</f>
        <v>27</v>
      </c>
      <c r="F14" s="140">
        <f>IFERROR(IF($D14="","",IF(I_VIEW=1,INDEX(T_SV_MEDALS[SILVER],MATCH($D14,T_SV_MEDALS[COUNTRY],0)),IF(I_VIEW=2,INDEX(T_SPORTS[CV - Silver],MATCH($D14,T_SPORTS[SPORT],0)),INDEX(T_SV_MEDALS[SV_SILVER],MATCH($D14,T_SV_MEDALS[COUNTRY],0))))),0)</f>
        <v>23</v>
      </c>
      <c r="G14" s="140">
        <f>IFERROR(IF($D14="","",IF(I_VIEW=1,INDEX(T_SV_MEDALS[BRONZE],MATCH($D14,T_SV_MEDALS[COUNTRY],0)),IF(I_VIEW=2,INDEX(T_SPORTS[CV - Bronze],MATCH($D14,T_SPORTS[SPORT],0)),INDEX(T_SV_MEDALS[SV_BRONZE],MATCH($D14,T_SV_MEDALS[COUNTRY],0))))),0)</f>
        <v>17</v>
      </c>
      <c r="H14" s="140">
        <f>IFERROR(IF($D14="","",IF(I_VIEW=1,INDEX(T_SV_MEDALS[TOTAL],MATCH($D14,T_SV_MEDALS[COUNTRY],0)),IF(I_VIEW=2,INDEX(T_SPORTS[CV - Total],MATCH($D14,T_SPORTS[SPORT],0)),INDEX(T_SV_MEDALS[SV_TOTAL],MATCH($D14,T_SV_MEDALS[COUNTRY],0))))),0)</f>
        <v>67</v>
      </c>
      <c r="I14" s="78"/>
      <c r="J14" s="101"/>
      <c r="K14" s="144">
        <f>H!R16</f>
        <v>3</v>
      </c>
      <c r="L14" s="141" t="str">
        <f>H!U16</f>
        <v>USA</v>
      </c>
      <c r="M14" s="139" t="str">
        <f>H!T16</f>
        <v>BILES Simone</v>
      </c>
      <c r="N14" s="142" t="str">
        <f>H!Y16</f>
        <v>n</v>
      </c>
      <c r="O14" s="142" t="str">
        <f>H!Z16</f>
        <v>n</v>
      </c>
      <c r="P14" s="142" t="str">
        <f>H!AA16</f>
        <v>n</v>
      </c>
      <c r="Q14" s="142" t="str">
        <f>H!AB16</f>
        <v>n</v>
      </c>
      <c r="R14" s="142" t="str">
        <f>H!AC16</f>
        <v>n</v>
      </c>
      <c r="S14" s="142" t="str">
        <f>H!AD16</f>
        <v/>
      </c>
      <c r="T14" s="143">
        <f>H!AE16</f>
        <v>5</v>
      </c>
      <c r="U14" s="102"/>
    </row>
    <row r="15" spans="1:22" ht="24" customHeight="1" x14ac:dyDescent="0.3">
      <c r="A15" s="96"/>
      <c r="B15" s="144">
        <f>H!H17</f>
        <v>4</v>
      </c>
      <c r="C15" s="138" t="str">
        <f>IFERROR(INDEX(T_COUNTRIES[Int Olympic Committee code],MATCH(D15,T_COUNTRIES[Country],0)),"")</f>
        <v>RUS</v>
      </c>
      <c r="D15" s="139" t="str">
        <f>H!L17</f>
        <v>Russian Federation</v>
      </c>
      <c r="E15" s="140">
        <f>IFERROR(IF($D15="","",IF(I_VIEW=1,INDEX(T_SV_MEDALS[GOLD],MATCH($D15,T_SV_MEDALS[COUNTRY],0)),IF(I_VIEW=2,INDEX(T_SPORTS[CV - Gold],MATCH($D15,T_SPORTS[SPORT],0)),INDEX(T_SV_MEDALS[SV_GOLD],MATCH($D15,T_SV_MEDALS[COUNTRY],0))))),0)</f>
        <v>19</v>
      </c>
      <c r="F15" s="140">
        <f>IFERROR(IF($D15="","",IF(I_VIEW=1,INDEX(T_SV_MEDALS[SILVER],MATCH($D15,T_SV_MEDALS[COUNTRY],0)),IF(I_VIEW=2,INDEX(T_SPORTS[CV - Silver],MATCH($D15,T_SPORTS[SPORT],0)),INDEX(T_SV_MEDALS[SV_SILVER],MATCH($D15,T_SV_MEDALS[COUNTRY],0))))),0)</f>
        <v>18</v>
      </c>
      <c r="G15" s="140">
        <f>IFERROR(IF($D15="","",IF(I_VIEW=1,INDEX(T_SV_MEDALS[BRONZE],MATCH($D15,T_SV_MEDALS[COUNTRY],0)),IF(I_VIEW=2,INDEX(T_SPORTS[CV - Bronze],MATCH($D15,T_SPORTS[SPORT],0)),INDEX(T_SV_MEDALS[SV_BRONZE],MATCH($D15,T_SV_MEDALS[COUNTRY],0))))),0)</f>
        <v>19</v>
      </c>
      <c r="H15" s="140">
        <f>IFERROR(IF($D15="","",IF(I_VIEW=1,INDEX(T_SV_MEDALS[TOTAL],MATCH($D15,T_SV_MEDALS[COUNTRY],0)),IF(I_VIEW=2,INDEX(T_SPORTS[CV - Total],MATCH($D15,T_SPORTS[SPORT],0)),INDEX(T_SV_MEDALS[SV_TOTAL],MATCH($D15,T_SV_MEDALS[COUNTRY],0))))),0)</f>
        <v>56</v>
      </c>
      <c r="I15" s="78"/>
      <c r="J15" s="101"/>
      <c r="K15" s="144">
        <f>H!R17</f>
        <v>4</v>
      </c>
      <c r="L15" s="141" t="str">
        <f>H!U17</f>
        <v>HUN</v>
      </c>
      <c r="M15" s="139" t="str">
        <f>H!T17</f>
        <v>HOSSZU Katinka</v>
      </c>
      <c r="N15" s="142" t="str">
        <f>H!Y17</f>
        <v>n</v>
      </c>
      <c r="O15" s="142" t="str">
        <f>H!Z17</f>
        <v>n</v>
      </c>
      <c r="P15" s="142" t="str">
        <f>H!AA17</f>
        <v>n</v>
      </c>
      <c r="Q15" s="142" t="str">
        <f>H!AB17</f>
        <v>n</v>
      </c>
      <c r="R15" s="142" t="str">
        <f>H!AC17</f>
        <v/>
      </c>
      <c r="S15" s="142" t="str">
        <f>H!AD17</f>
        <v/>
      </c>
      <c r="T15" s="143">
        <f>H!AE17</f>
        <v>4</v>
      </c>
      <c r="U15" s="102"/>
    </row>
    <row r="16" spans="1:22" ht="24" customHeight="1" x14ac:dyDescent="0.3">
      <c r="A16" s="96"/>
      <c r="B16" s="144">
        <f>H!H18</f>
        <v>5</v>
      </c>
      <c r="C16" s="138" t="str">
        <f>IFERROR(INDEX(T_COUNTRIES[Int Olympic Committee code],MATCH(D16,T_COUNTRIES[Country],0)),"")</f>
        <v>GER</v>
      </c>
      <c r="D16" s="139" t="str">
        <f>H!L18</f>
        <v>Germany</v>
      </c>
      <c r="E16" s="140">
        <f>IFERROR(IF($D16="","",IF(I_VIEW=1,INDEX(T_SV_MEDALS[GOLD],MATCH($D16,T_SV_MEDALS[COUNTRY],0)),IF(I_VIEW=2,INDEX(T_SPORTS[CV - Gold],MATCH($D16,T_SPORTS[SPORT],0)),INDEX(T_SV_MEDALS[SV_GOLD],MATCH($D16,T_SV_MEDALS[COUNTRY],0))))),0)</f>
        <v>17</v>
      </c>
      <c r="F16" s="140">
        <f>IFERROR(IF($D16="","",IF(I_VIEW=1,INDEX(T_SV_MEDALS[SILVER],MATCH($D16,T_SV_MEDALS[COUNTRY],0)),IF(I_VIEW=2,INDEX(T_SPORTS[CV - Silver],MATCH($D16,T_SPORTS[SPORT],0)),INDEX(T_SV_MEDALS[SV_SILVER],MATCH($D16,T_SV_MEDALS[COUNTRY],0))))),0)</f>
        <v>10</v>
      </c>
      <c r="G16" s="140">
        <f>IFERROR(IF($D16="","",IF(I_VIEW=1,INDEX(T_SV_MEDALS[BRONZE],MATCH($D16,T_SV_MEDALS[COUNTRY],0)),IF(I_VIEW=2,INDEX(T_SPORTS[CV - Bronze],MATCH($D16,T_SPORTS[SPORT],0)),INDEX(T_SV_MEDALS[SV_BRONZE],MATCH($D16,T_SV_MEDALS[COUNTRY],0))))),0)</f>
        <v>15</v>
      </c>
      <c r="H16" s="140">
        <f>IFERROR(IF($D16="","",IF(I_VIEW=1,INDEX(T_SV_MEDALS[TOTAL],MATCH($D16,T_SV_MEDALS[COUNTRY],0)),IF(I_VIEW=2,INDEX(T_SPORTS[CV - Total],MATCH($D16,T_SPORTS[SPORT],0)),INDEX(T_SV_MEDALS[SV_TOTAL],MATCH($D16,T_SV_MEDALS[COUNTRY],0))))),0)</f>
        <v>42</v>
      </c>
      <c r="I16" s="78"/>
      <c r="J16" s="101"/>
      <c r="K16" s="144">
        <f>H!R18</f>
        <v>5</v>
      </c>
      <c r="L16" s="141" t="str">
        <f>H!U18</f>
        <v>USA</v>
      </c>
      <c r="M16" s="139" t="str">
        <f>H!T18</f>
        <v>MANUEL Simone</v>
      </c>
      <c r="N16" s="142" t="str">
        <f>H!Y18</f>
        <v>n</v>
      </c>
      <c r="O16" s="142" t="str">
        <f>H!Z18</f>
        <v>n</v>
      </c>
      <c r="P16" s="142" t="str">
        <f>H!AA18</f>
        <v>n</v>
      </c>
      <c r="Q16" s="142" t="str">
        <f>H!AB18</f>
        <v>n</v>
      </c>
      <c r="R16" s="142" t="str">
        <f>H!AC18</f>
        <v/>
      </c>
      <c r="S16" s="142" t="str">
        <f>H!AD18</f>
        <v/>
      </c>
      <c r="T16" s="143">
        <f>H!AE18</f>
        <v>4</v>
      </c>
      <c r="U16" s="102"/>
    </row>
    <row r="17" spans="1:21" ht="24" customHeight="1" x14ac:dyDescent="0.35">
      <c r="A17" s="96"/>
      <c r="B17" s="145" t="str">
        <f>H!I20</f>
        <v/>
      </c>
      <c r="C17" s="110"/>
      <c r="D17" s="111"/>
      <c r="E17" s="111"/>
      <c r="F17" s="111"/>
      <c r="G17" s="111"/>
      <c r="H17" s="111"/>
      <c r="I17" s="111"/>
      <c r="J17" s="101"/>
      <c r="K17" s="145" t="str">
        <f>H!Q20</f>
        <v/>
      </c>
      <c r="L17" s="110"/>
      <c r="M17" s="110"/>
      <c r="N17" s="111"/>
      <c r="O17" s="111"/>
      <c r="P17" s="111"/>
      <c r="Q17" s="111"/>
      <c r="R17" s="111"/>
      <c r="S17" s="111"/>
      <c r="T17" s="111"/>
      <c r="U17" s="102"/>
    </row>
    <row r="18" spans="1:21" ht="20.100000000000001" customHeight="1" x14ac:dyDescent="0.35">
      <c r="A18" s="96"/>
      <c r="B18" s="112"/>
      <c r="C18" s="112"/>
      <c r="D18" s="112"/>
      <c r="E18" s="112"/>
      <c r="F18" s="112"/>
      <c r="G18" s="112"/>
      <c r="H18" s="112"/>
      <c r="I18" s="101"/>
      <c r="J18" s="101"/>
      <c r="K18" s="101"/>
      <c r="L18" s="101"/>
      <c r="M18" s="101"/>
      <c r="N18" s="101"/>
      <c r="O18" s="101"/>
      <c r="P18" s="101"/>
      <c r="Q18" s="101"/>
      <c r="R18" s="101"/>
      <c r="S18" s="101"/>
      <c r="T18" s="101"/>
      <c r="U18" s="102"/>
    </row>
    <row r="19" spans="1:21" ht="14.25" customHeight="1" x14ac:dyDescent="0.3">
      <c r="A19" s="96"/>
      <c r="B19" s="101"/>
      <c r="C19" s="101"/>
      <c r="D19" s="113"/>
      <c r="E19" s="113"/>
      <c r="F19" s="101"/>
      <c r="G19" s="101"/>
      <c r="H19" s="101"/>
      <c r="I19" s="101"/>
      <c r="J19" s="101"/>
      <c r="K19" s="101"/>
      <c r="L19" s="101"/>
      <c r="M19" s="101"/>
      <c r="N19" s="113"/>
      <c r="O19" s="113"/>
      <c r="P19" s="113"/>
      <c r="Q19" s="113"/>
      <c r="R19" s="101"/>
      <c r="S19" s="101"/>
      <c r="T19" s="101"/>
      <c r="U19" s="102"/>
    </row>
    <row r="20" spans="1:21" ht="18.75" customHeight="1" x14ac:dyDescent="0.35">
      <c r="A20" s="114"/>
      <c r="B20" s="156" t="str">
        <f>IF(I_VIEW=1,"IMPORTANCE OF EACH SPORT -  % OF TOTAL MEDALS BY SPORT",IF(I_VIEW=2,"SPORTS DOMINATED BY " &amp;I_CV_COUNTRY&amp;" - MEDALS WON AS % OF ALL MEDALS IN SPORT","COUNTRIES DEPENDING ON "&amp;I_SV_SPORT&amp;" - MEDALS WON AS % OF ALL SPORTS"))</f>
        <v>IMPORTANCE OF EACH SPORT -  % OF TOTAL MEDALS BY SPORT</v>
      </c>
      <c r="C20" s="156"/>
      <c r="D20" s="156"/>
      <c r="E20" s="156"/>
      <c r="F20" s="156"/>
      <c r="G20" s="156"/>
      <c r="H20" s="156"/>
      <c r="I20" s="156"/>
      <c r="J20" s="115"/>
      <c r="K20" s="97" t="s">
        <v>1002</v>
      </c>
      <c r="L20" s="98"/>
      <c r="M20" s="99"/>
      <c r="N20" s="100"/>
      <c r="O20" s="100"/>
      <c r="P20" s="100"/>
      <c r="Q20" s="100"/>
      <c r="R20" s="99"/>
      <c r="S20" s="97"/>
      <c r="T20" s="98"/>
      <c r="U20" s="116"/>
    </row>
    <row r="21" spans="1:21" ht="19.5" x14ac:dyDescent="0.35">
      <c r="A21" s="114"/>
      <c r="B21" s="113"/>
      <c r="C21" s="113"/>
      <c r="D21" s="113"/>
      <c r="E21" s="113"/>
      <c r="F21" s="113"/>
      <c r="G21" s="113"/>
      <c r="H21" s="113"/>
      <c r="I21" s="113"/>
      <c r="J21" s="113"/>
      <c r="K21" s="74"/>
      <c r="L21" s="74"/>
      <c r="M21" s="74"/>
      <c r="N21" s="74"/>
      <c r="O21" s="74"/>
      <c r="P21" s="74"/>
      <c r="Q21" s="74"/>
      <c r="R21" s="74"/>
      <c r="S21" s="74"/>
      <c r="T21" s="146" t="str">
        <f>IF(I_VIEW=3,I_SV_SPORT,"Choose Sport View to change Sport")</f>
        <v>Choose Sport View to change Sport</v>
      </c>
      <c r="U21" s="117"/>
    </row>
    <row r="22" spans="1:21" ht="18.75" x14ac:dyDescent="0.35">
      <c r="A22" s="114"/>
      <c r="B22" s="113"/>
      <c r="C22" s="113"/>
      <c r="D22" s="113"/>
      <c r="E22" s="113"/>
      <c r="F22" s="113"/>
      <c r="G22" s="113"/>
      <c r="H22" s="113"/>
      <c r="I22" s="113"/>
      <c r="J22" s="113"/>
      <c r="K22" s="74"/>
      <c r="L22" s="74"/>
      <c r="M22" s="74"/>
      <c r="N22" s="74"/>
      <c r="O22" s="74"/>
      <c r="P22" s="74"/>
      <c r="Q22" s="74"/>
      <c r="R22" s="74"/>
      <c r="S22" s="74"/>
      <c r="T22" s="146" t="str">
        <f>IFERROR(IF(I_VIEW=3,IF(C_EVENTNAME_ROW="","Choose a valid Event Name below",H!F5),""),"Choose a valid Event Name below")</f>
        <v/>
      </c>
      <c r="U22" s="118"/>
    </row>
    <row r="23" spans="1:21" ht="18.75" customHeight="1" x14ac:dyDescent="0.25">
      <c r="A23" s="114"/>
      <c r="B23" s="113"/>
      <c r="C23" s="113"/>
      <c r="D23" s="113"/>
      <c r="E23" s="113"/>
      <c r="F23" s="113"/>
      <c r="G23" s="113"/>
      <c r="H23" s="113"/>
      <c r="I23" s="113"/>
      <c r="J23" s="113"/>
      <c r="K23" s="74"/>
      <c r="L23" s="74"/>
      <c r="M23" s="119"/>
      <c r="N23" s="120" t="s">
        <v>1003</v>
      </c>
      <c r="O23" s="151" t="s">
        <v>753</v>
      </c>
      <c r="P23" s="152"/>
      <c r="Q23" s="152"/>
      <c r="R23" s="152"/>
      <c r="S23" s="152"/>
      <c r="T23" s="153"/>
      <c r="U23" s="121"/>
    </row>
    <row r="24" spans="1:21" ht="16.5" x14ac:dyDescent="0.3">
      <c r="A24" s="114"/>
      <c r="B24" s="113"/>
      <c r="C24" s="113"/>
      <c r="D24" s="113"/>
      <c r="E24" s="113"/>
      <c r="F24" s="113"/>
      <c r="G24" s="113"/>
      <c r="H24" s="113"/>
      <c r="I24" s="113"/>
      <c r="J24" s="113"/>
      <c r="K24" s="74"/>
      <c r="L24" s="74"/>
      <c r="M24" s="74"/>
      <c r="N24" s="122"/>
      <c r="O24" s="123"/>
      <c r="P24" s="123"/>
      <c r="Q24" s="123"/>
      <c r="R24" s="123"/>
      <c r="S24" s="123"/>
      <c r="T24" s="123"/>
      <c r="U24" s="124"/>
    </row>
    <row r="25" spans="1:21" x14ac:dyDescent="0.25">
      <c r="A25" s="114"/>
      <c r="B25" s="113"/>
      <c r="C25" s="113"/>
      <c r="D25" s="113"/>
      <c r="E25" s="113"/>
      <c r="F25" s="113"/>
      <c r="G25" s="113"/>
      <c r="H25" s="113"/>
      <c r="I25" s="113"/>
      <c r="J25" s="113"/>
      <c r="K25" s="74"/>
      <c r="L25" s="74"/>
      <c r="M25" s="74"/>
      <c r="N25" s="74"/>
      <c r="O25" s="74"/>
      <c r="P25" s="74"/>
      <c r="Q25" s="74"/>
      <c r="R25" s="74"/>
      <c r="S25" s="74"/>
      <c r="T25" s="74"/>
      <c r="U25" s="102"/>
    </row>
    <row r="26" spans="1:21" ht="18.75" x14ac:dyDescent="0.25">
      <c r="A26" s="114"/>
      <c r="B26" s="113"/>
      <c r="C26" s="113"/>
      <c r="D26" s="113"/>
      <c r="E26" s="113"/>
      <c r="F26" s="113"/>
      <c r="G26" s="113"/>
      <c r="H26" s="113"/>
      <c r="I26" s="113"/>
      <c r="J26" s="113"/>
      <c r="K26" s="74"/>
      <c r="L26" s="74"/>
      <c r="M26" s="147" t="str">
        <f>H!H25</f>
        <v>USA</v>
      </c>
      <c r="N26" s="148" t="str">
        <f>H!I25</f>
        <v>PHELPS Michael</v>
      </c>
      <c r="O26" s="125"/>
      <c r="P26" s="125"/>
      <c r="Q26" s="125"/>
      <c r="R26" s="125"/>
      <c r="S26" s="125"/>
      <c r="T26" s="126"/>
      <c r="U26" s="127"/>
    </row>
    <row r="27" spans="1:21" ht="18.75" x14ac:dyDescent="0.25">
      <c r="A27" s="114"/>
      <c r="B27" s="113"/>
      <c r="C27" s="113"/>
      <c r="D27" s="113"/>
      <c r="E27" s="113"/>
      <c r="F27" s="113"/>
      <c r="G27" s="113"/>
      <c r="H27" s="113"/>
      <c r="I27" s="113"/>
      <c r="J27" s="113"/>
      <c r="K27" s="74"/>
      <c r="L27" s="74"/>
      <c r="M27" s="147">
        <f>H!K25</f>
        <v>0</v>
      </c>
      <c r="N27" s="148">
        <f>H!L25</f>
        <v>0</v>
      </c>
      <c r="O27" s="125"/>
      <c r="P27" s="125"/>
      <c r="Q27" s="125"/>
      <c r="R27" s="125"/>
      <c r="S27" s="125"/>
      <c r="T27" s="126"/>
      <c r="U27" s="127"/>
    </row>
    <row r="28" spans="1:21" x14ac:dyDescent="0.25">
      <c r="A28" s="114"/>
      <c r="B28" s="113"/>
      <c r="C28" s="113"/>
      <c r="D28" s="113"/>
      <c r="E28" s="113"/>
      <c r="F28" s="113"/>
      <c r="G28" s="113"/>
      <c r="H28" s="113"/>
      <c r="I28" s="113"/>
      <c r="J28" s="113"/>
      <c r="K28" s="74"/>
      <c r="L28" s="74"/>
      <c r="M28" s="128"/>
      <c r="N28" s="74"/>
      <c r="O28" s="74"/>
      <c r="P28" s="74"/>
      <c r="Q28" s="74"/>
      <c r="R28" s="74"/>
      <c r="S28" s="74"/>
      <c r="T28" s="126"/>
      <c r="U28" s="102"/>
    </row>
    <row r="29" spans="1:21" x14ac:dyDescent="0.25">
      <c r="A29" s="114"/>
      <c r="B29" s="113"/>
      <c r="C29" s="113"/>
      <c r="D29" s="113"/>
      <c r="E29" s="113"/>
      <c r="F29" s="113"/>
      <c r="G29" s="113"/>
      <c r="H29" s="113"/>
      <c r="I29" s="113"/>
      <c r="J29" s="113"/>
      <c r="K29" s="74"/>
      <c r="L29" s="74"/>
      <c r="M29" s="128"/>
      <c r="N29" s="74"/>
      <c r="O29" s="74"/>
      <c r="P29" s="74"/>
      <c r="Q29" s="74"/>
      <c r="R29" s="74"/>
      <c r="S29" s="74"/>
      <c r="T29" s="126"/>
      <c r="U29" s="102"/>
    </row>
    <row r="30" spans="1:21" ht="18.75" x14ac:dyDescent="0.25">
      <c r="A30" s="114"/>
      <c r="B30" s="113"/>
      <c r="C30" s="113"/>
      <c r="D30" s="113"/>
      <c r="E30" s="113"/>
      <c r="F30" s="113"/>
      <c r="G30" s="113"/>
      <c r="H30" s="113"/>
      <c r="I30" s="113"/>
      <c r="J30" s="113"/>
      <c r="K30" s="74"/>
      <c r="L30" s="74"/>
      <c r="M30" s="147" t="str">
        <f>H!H26</f>
        <v>JPN</v>
      </c>
      <c r="N30" s="148" t="str">
        <f>H!I26</f>
        <v>SAKAI Masato</v>
      </c>
      <c r="O30" s="125"/>
      <c r="P30" s="125"/>
      <c r="Q30" s="125"/>
      <c r="R30" s="125"/>
      <c r="S30" s="125"/>
      <c r="T30" s="126"/>
      <c r="U30" s="127"/>
    </row>
    <row r="31" spans="1:21" ht="18.75" x14ac:dyDescent="0.25">
      <c r="A31" s="114"/>
      <c r="B31" s="113"/>
      <c r="C31" s="113"/>
      <c r="D31" s="113"/>
      <c r="E31" s="113"/>
      <c r="F31" s="113"/>
      <c r="G31" s="113"/>
      <c r="H31" s="113"/>
      <c r="I31" s="113"/>
      <c r="J31" s="113"/>
      <c r="K31" s="74"/>
      <c r="L31" s="74"/>
      <c r="M31" s="147">
        <f>H!K26</f>
        <v>0</v>
      </c>
      <c r="N31" s="148">
        <f>H!L26</f>
        <v>0</v>
      </c>
      <c r="O31" s="125"/>
      <c r="P31" s="125"/>
      <c r="Q31" s="125"/>
      <c r="R31" s="125"/>
      <c r="S31" s="125"/>
      <c r="T31" s="126"/>
      <c r="U31" s="127"/>
    </row>
    <row r="32" spans="1:21" ht="18.75" x14ac:dyDescent="0.25">
      <c r="A32" s="114"/>
      <c r="B32" s="113"/>
      <c r="C32" s="113"/>
      <c r="D32" s="113"/>
      <c r="E32" s="113"/>
      <c r="F32" s="113"/>
      <c r="G32" s="113"/>
      <c r="H32" s="113"/>
      <c r="I32" s="113"/>
      <c r="J32" s="113"/>
      <c r="K32" s="74"/>
      <c r="L32" s="74"/>
      <c r="M32" s="147">
        <f>H!N26</f>
        <v>0</v>
      </c>
      <c r="N32" s="148">
        <f>H!O26</f>
        <v>0</v>
      </c>
      <c r="O32" s="125"/>
      <c r="P32" s="125"/>
      <c r="Q32" s="125"/>
      <c r="R32" s="125"/>
      <c r="S32" s="125"/>
      <c r="T32" s="126"/>
      <c r="U32" s="127"/>
    </row>
    <row r="33" spans="1:21" x14ac:dyDescent="0.25">
      <c r="A33" s="114"/>
      <c r="B33" s="113"/>
      <c r="C33" s="113"/>
      <c r="D33" s="113"/>
      <c r="E33" s="113"/>
      <c r="F33" s="113"/>
      <c r="G33" s="113"/>
      <c r="H33" s="113"/>
      <c r="I33" s="113"/>
      <c r="J33" s="113"/>
      <c r="K33" s="74"/>
      <c r="L33" s="74"/>
      <c r="M33" s="128"/>
      <c r="N33" s="74"/>
      <c r="O33" s="74"/>
      <c r="P33" s="74"/>
      <c r="Q33" s="74"/>
      <c r="R33" s="74"/>
      <c r="S33" s="74"/>
      <c r="T33" s="126"/>
      <c r="U33" s="129"/>
    </row>
    <row r="34" spans="1:21" ht="18.75" x14ac:dyDescent="0.25">
      <c r="A34" s="114"/>
      <c r="B34" s="113"/>
      <c r="C34" s="113"/>
      <c r="D34" s="113"/>
      <c r="E34" s="113"/>
      <c r="F34" s="113"/>
      <c r="G34" s="113"/>
      <c r="H34" s="113"/>
      <c r="I34" s="113"/>
      <c r="J34" s="113"/>
      <c r="K34" s="74"/>
      <c r="L34" s="74"/>
      <c r="M34" s="147" t="str">
        <f>H!H27</f>
        <v>HUN</v>
      </c>
      <c r="N34" s="148" t="str">
        <f>H!I27</f>
        <v>KENDERESI Tamas</v>
      </c>
      <c r="O34" s="125"/>
      <c r="P34" s="125"/>
      <c r="Q34" s="125"/>
      <c r="R34" s="125"/>
      <c r="S34" s="125"/>
      <c r="T34" s="126"/>
      <c r="U34" s="127"/>
    </row>
    <row r="35" spans="1:21" ht="18.75" x14ac:dyDescent="0.25">
      <c r="A35" s="114"/>
      <c r="B35" s="113"/>
      <c r="C35" s="113"/>
      <c r="D35" s="113"/>
      <c r="E35" s="113"/>
      <c r="F35" s="113"/>
      <c r="G35" s="113"/>
      <c r="H35" s="113"/>
      <c r="I35" s="113"/>
      <c r="J35" s="113"/>
      <c r="K35" s="74"/>
      <c r="L35" s="74"/>
      <c r="M35" s="147">
        <f>H!K27</f>
        <v>0</v>
      </c>
      <c r="N35" s="148" t="str">
        <f>H!L27</f>
        <v/>
      </c>
      <c r="O35" s="125"/>
      <c r="P35" s="125"/>
      <c r="Q35" s="125"/>
      <c r="R35" s="125"/>
      <c r="S35" s="125"/>
      <c r="T35" s="125"/>
      <c r="U35" s="127"/>
    </row>
    <row r="36" spans="1:21" x14ac:dyDescent="0.25">
      <c r="A36" s="114"/>
      <c r="B36" s="113"/>
      <c r="C36" s="113"/>
      <c r="D36" s="113"/>
      <c r="E36" s="113"/>
      <c r="F36" s="113"/>
      <c r="G36" s="113"/>
      <c r="H36" s="113"/>
      <c r="I36" s="113"/>
      <c r="J36" s="113"/>
      <c r="K36" s="74"/>
      <c r="L36" s="74"/>
      <c r="M36" s="74"/>
      <c r="N36" s="74"/>
      <c r="O36" s="74"/>
      <c r="P36" s="74"/>
      <c r="Q36" s="74"/>
      <c r="R36" s="74"/>
      <c r="S36" s="74"/>
      <c r="T36" s="74"/>
      <c r="U36" s="129"/>
    </row>
    <row r="37" spans="1:21" x14ac:dyDescent="0.25">
      <c r="A37" s="114"/>
      <c r="B37" s="113"/>
      <c r="C37" s="113"/>
      <c r="D37" s="113"/>
      <c r="E37" s="113"/>
      <c r="F37" s="113"/>
      <c r="G37" s="113"/>
      <c r="H37" s="113"/>
      <c r="I37" s="113"/>
      <c r="J37" s="113"/>
      <c r="K37" s="74"/>
      <c r="L37" s="74"/>
      <c r="M37" s="74"/>
      <c r="N37" s="74"/>
      <c r="O37" s="74"/>
      <c r="P37" s="74"/>
      <c r="Q37" s="74"/>
      <c r="R37" s="74"/>
      <c r="S37" s="74"/>
      <c r="T37" s="74"/>
      <c r="U37" s="102"/>
    </row>
    <row r="38" spans="1:21" x14ac:dyDescent="0.25">
      <c r="A38" s="114"/>
      <c r="B38" s="113"/>
      <c r="C38" s="113"/>
      <c r="D38" s="113"/>
      <c r="E38" s="113"/>
      <c r="F38" s="113"/>
      <c r="G38" s="113"/>
      <c r="H38" s="113"/>
      <c r="I38" s="113"/>
      <c r="J38" s="113"/>
      <c r="K38" s="74"/>
      <c r="L38" s="74"/>
      <c r="M38" s="74"/>
      <c r="N38" s="74"/>
      <c r="O38" s="74"/>
      <c r="P38" s="74"/>
      <c r="Q38" s="74"/>
      <c r="R38" s="74"/>
      <c r="S38" s="74"/>
      <c r="T38" s="74"/>
      <c r="U38" s="102"/>
    </row>
    <row r="39" spans="1:21" x14ac:dyDescent="0.25">
      <c r="A39" s="114"/>
      <c r="B39" s="113"/>
      <c r="C39" s="113"/>
      <c r="D39" s="113"/>
      <c r="E39" s="113"/>
      <c r="F39" s="113"/>
      <c r="G39" s="113"/>
      <c r="H39" s="113"/>
      <c r="I39" s="113"/>
      <c r="J39" s="113"/>
      <c r="K39" s="113"/>
      <c r="L39" s="113"/>
      <c r="M39" s="113"/>
      <c r="N39" s="113"/>
      <c r="O39" s="113"/>
      <c r="P39" s="113"/>
      <c r="Q39" s="113"/>
      <c r="R39" s="113"/>
      <c r="S39" s="113"/>
      <c r="T39" s="113"/>
      <c r="U39" s="102"/>
    </row>
    <row r="40" spans="1:21" ht="15.75" thickBot="1" x14ac:dyDescent="0.3">
      <c r="A40" s="130"/>
      <c r="B40" s="131"/>
      <c r="C40" s="131"/>
      <c r="D40" s="131"/>
      <c r="E40" s="131"/>
      <c r="F40" s="131"/>
      <c r="G40" s="131"/>
      <c r="H40" s="131"/>
      <c r="I40" s="131"/>
      <c r="J40" s="131"/>
      <c r="K40" s="131"/>
      <c r="L40" s="131"/>
      <c r="M40" s="131"/>
      <c r="N40" s="131"/>
      <c r="O40" s="131"/>
      <c r="P40" s="131"/>
      <c r="Q40" s="131"/>
      <c r="R40" s="131"/>
      <c r="S40" s="131"/>
      <c r="T40" s="131"/>
      <c r="U40" s="132"/>
    </row>
    <row r="41" spans="1:21" ht="16.5" x14ac:dyDescent="0.3">
      <c r="R41" s="133"/>
      <c r="S41" s="133"/>
    </row>
    <row r="42" spans="1:21" ht="16.5" x14ac:dyDescent="0.3">
      <c r="B42" s="133"/>
    </row>
    <row r="43" spans="1:21" ht="26.1" customHeight="1" x14ac:dyDescent="0.3">
      <c r="B43" s="133"/>
      <c r="C43" s="133"/>
    </row>
    <row r="44" spans="1:21" ht="26.1" customHeight="1" x14ac:dyDescent="0.3">
      <c r="B44" s="133"/>
      <c r="C44" s="133"/>
    </row>
    <row r="45" spans="1:21" ht="26.1" customHeight="1" x14ac:dyDescent="0.3">
      <c r="B45" s="133"/>
      <c r="C45" s="133"/>
    </row>
  </sheetData>
  <sheetProtection sheet="1" objects="1" scenarios="1"/>
  <mergeCells count="6">
    <mergeCell ref="O23:T23"/>
    <mergeCell ref="B1:D2"/>
    <mergeCell ref="B20:I20"/>
    <mergeCell ref="Q3:T3"/>
    <mergeCell ref="S7:T7"/>
    <mergeCell ref="R9:S9"/>
  </mergeCells>
  <conditionalFormatting sqref="P3:T3">
    <cfRule type="expression" dxfId="93" priority="10">
      <formula>I_VIEW&lt;&gt;3</formula>
    </cfRule>
  </conditionalFormatting>
  <conditionalFormatting sqref="L3:M3">
    <cfRule type="expression" dxfId="92" priority="9">
      <formula>I_VIEW&lt;&gt;2</formula>
    </cfRule>
  </conditionalFormatting>
  <conditionalFormatting sqref="N26:S35">
    <cfRule type="expression" dxfId="91" priority="11">
      <formula>LEN($M26)&gt;1</formula>
    </cfRule>
  </conditionalFormatting>
  <dataValidations count="4">
    <dataValidation type="list" allowBlank="1" showInputMessage="1" showErrorMessage="1" sqref="O23:T23">
      <formula1>L_SV_EVENTNAMES</formula1>
    </dataValidation>
    <dataValidation type="list" allowBlank="1" showInputMessage="1" showErrorMessage="1" sqref="A6 Q3">
      <formula1>L_SPORTS</formula1>
    </dataValidation>
    <dataValidation type="list" allowBlank="1" showInputMessage="1" showErrorMessage="1" sqref="Q8:R8 S7:T7">
      <formula1>"Gold, Total"</formula1>
    </dataValidation>
    <dataValidation type="list" allowBlank="1" showInputMessage="1" showErrorMessage="1" sqref="M3">
      <formula1>L_COUNTRIES</formula1>
    </dataValidation>
  </dataValidations>
  <printOptions horizontalCentered="1" verticalCentered="1"/>
  <pageMargins left="0.25" right="0.25" top="0.5" bottom="0.5" header="0.3" footer="0.3"/>
  <pageSetup scale="71" orientation="landscape" horizontalDpi="4294967293" verticalDpi="0" r:id="rId1"/>
  <drawing r:id="rId2"/>
  <legacyDrawing r:id="rId3"/>
  <mc:AlternateContent xmlns:mc="http://schemas.openxmlformats.org/markup-compatibility/2006">
    <mc:Choice Requires="x14">
      <controls>
        <mc:AlternateContent xmlns:mc="http://schemas.openxmlformats.org/markup-compatibility/2006">
          <mc:Choice Requires="x14">
            <control shapeId="21466" r:id="rId4" name="Option Button 2010">
              <controlPr defaultSize="0" autoFill="0" autoLine="0" autoPict="0">
                <anchor moveWithCells="1">
                  <from>
                    <xdr:col>7</xdr:col>
                    <xdr:colOff>400050</xdr:colOff>
                    <xdr:row>0</xdr:row>
                    <xdr:rowOff>238125</xdr:rowOff>
                  </from>
                  <to>
                    <xdr:col>8</xdr:col>
                    <xdr:colOff>247650</xdr:colOff>
                    <xdr:row>1</xdr:row>
                    <xdr:rowOff>295275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467" r:id="rId5" name="Option Button 2011">
              <controlPr defaultSize="0" autoFill="0" autoLine="0" autoPict="0">
                <anchor moveWithCells="1">
                  <from>
                    <xdr:col>12</xdr:col>
                    <xdr:colOff>571500</xdr:colOff>
                    <xdr:row>0</xdr:row>
                    <xdr:rowOff>276225</xdr:rowOff>
                  </from>
                  <to>
                    <xdr:col>12</xdr:col>
                    <xdr:colOff>1009650</xdr:colOff>
                    <xdr:row>1</xdr:row>
                    <xdr:rowOff>257175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21468" r:id="rId6" name="Option Button 2012">
              <controlPr defaultSize="0" autoFill="0" autoLine="0" autoPict="0">
                <anchor moveWithCells="1">
                  <from>
                    <xdr:col>18</xdr:col>
                    <xdr:colOff>123825</xdr:colOff>
                    <xdr:row>0</xdr:row>
                    <xdr:rowOff>247650</xdr:rowOff>
                  </from>
                  <to>
                    <xdr:col>19</xdr:col>
                    <xdr:colOff>285750</xdr:colOff>
                    <xdr:row>1</xdr:row>
                    <xdr:rowOff>285750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35615" r:id="rId7" name="Scroll Bar 2847">
              <controlPr defaultSize="0" autoPict="0">
                <anchor moveWithCells="1">
                  <from>
                    <xdr:col>8</xdr:col>
                    <xdr:colOff>190500</xdr:colOff>
                    <xdr:row>10</xdr:row>
                    <xdr:rowOff>9525</xdr:rowOff>
                  </from>
                  <to>
                    <xdr:col>9</xdr:col>
                    <xdr:colOff>0</xdr:colOff>
                    <xdr:row>16</xdr:row>
                    <xdr:rowOff>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49468" r:id="rId8" name="Scroll Bar 4412">
              <controlPr defaultSize="0" autoPict="0">
                <anchor moveWithCells="1">
                  <from>
                    <xdr:col>8</xdr:col>
                    <xdr:colOff>95250</xdr:colOff>
                    <xdr:row>20</xdr:row>
                    <xdr:rowOff>47625</xdr:rowOff>
                  </from>
                  <to>
                    <xdr:col>9</xdr:col>
                    <xdr:colOff>9525</xdr:colOff>
                    <xdr:row>37</xdr:row>
                    <xdr:rowOff>114300</xdr:rowOff>
                  </to>
                </anchor>
              </controlPr>
            </control>
          </mc:Choice>
        </mc:AlternateContent>
        <mc:AlternateContent xmlns:mc="http://schemas.openxmlformats.org/markup-compatibility/2006">
          <mc:Choice Requires="x14">
            <control shapeId="68458" r:id="rId9" name="Scroll Bar 7018">
              <controlPr defaultSize="0" autoPict="0">
                <anchor moveWithCells="1">
                  <from>
                    <xdr:col>19</xdr:col>
                    <xdr:colOff>352425</xdr:colOff>
                    <xdr:row>10</xdr:row>
                    <xdr:rowOff>0</xdr:rowOff>
                  </from>
                  <to>
                    <xdr:col>20</xdr:col>
                    <xdr:colOff>9525</xdr:colOff>
                    <xdr:row>15</xdr:row>
                    <xdr:rowOff>285750</xdr:rowOff>
                  </to>
                </anchor>
              </controlPr>
            </control>
          </mc:Choice>
        </mc:AlternateContent>
      </controls>
    </mc:Choice>
  </mc:AlternateContent>
  <extLst>
    <ext xmlns:x14="http://schemas.microsoft.com/office/spreadsheetml/2009/9/main" uri="{78C0D931-6437-407d-A8EE-F0AAD7539E65}">
      <x14:conditionalFormattings>
        <x14:conditionalFormatting xmlns:xm="http://schemas.microsoft.com/office/excel/2006/main">
          <x14:cfRule type="expression" priority="4" stopIfTrue="1" id="{6E6932ED-BC5D-490C-9695-405CDD419ECE}">
            <xm:f>H!$V14&gt;=H!Y$13</xm:f>
            <x14:dxf>
              <font>
                <b/>
                <i val="0"/>
                <color theme="7" tint="-0.24994659260841701"/>
              </font>
            </x14:dxf>
          </x14:cfRule>
          <x14:cfRule type="expression" priority="5" stopIfTrue="1" id="{24F75918-B692-4C47-82D9-22F251FFF773}">
            <xm:f>H!$V14+H!$W14&gt;=H!Y$13</xm:f>
            <x14:dxf>
              <font>
                <b/>
                <i val="0"/>
                <color theme="0" tint="-0.34998626667073579"/>
              </font>
            </x14:dxf>
          </x14:cfRule>
          <x14:cfRule type="expression" priority="6" id="{EA7EE65C-068B-4105-93C2-48F40A9E1C7E}">
            <xm:f>H!$V14+H!$W14+H!$X14&gt;=H!Y$13</xm:f>
            <x14:dxf>
              <font>
                <b/>
                <i val="0"/>
                <color theme="5" tint="-0.24994659260841701"/>
              </font>
            </x14:dxf>
          </x14:cfRule>
          <xm:sqref>N12:S16</xm:sqref>
        </x14:conditionalFormatting>
      </x14:conditionalFormatting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50"/>
  </sheetPr>
  <dimension ref="A2:R211"/>
  <sheetViews>
    <sheetView zoomScale="90" zoomScaleNormal="90" workbookViewId="0">
      <selection activeCell="E1" sqref="E1"/>
    </sheetView>
  </sheetViews>
  <sheetFormatPr defaultRowHeight="15" x14ac:dyDescent="0.25"/>
  <cols>
    <col min="1" max="1" width="23.85546875" customWidth="1"/>
    <col min="2" max="2" width="17.28515625" bestFit="1" customWidth="1"/>
    <col min="3" max="3" width="11.5703125" bestFit="1" customWidth="1"/>
    <col min="4" max="4" width="12.42578125" bestFit="1" customWidth="1"/>
    <col min="5" max="5" width="13.7109375" bestFit="1" customWidth="1"/>
    <col min="6" max="6" width="12.140625" bestFit="1" customWidth="1"/>
    <col min="7" max="7" width="14.5703125" bestFit="1" customWidth="1"/>
    <col min="8" max="8" width="11.5703125" bestFit="1" customWidth="1"/>
    <col min="9" max="9" width="16" bestFit="1" customWidth="1"/>
    <col min="10" max="10" width="11.5703125" bestFit="1" customWidth="1"/>
    <col min="12" max="12" width="10.42578125" bestFit="1" customWidth="1"/>
    <col min="13" max="13" width="12.140625" bestFit="1" customWidth="1"/>
    <col min="14" max="14" width="14.5703125" bestFit="1" customWidth="1"/>
    <col min="15" max="15" width="12.5703125" customWidth="1"/>
    <col min="16" max="16" width="16" bestFit="1" customWidth="1"/>
    <col min="17" max="17" width="19.5703125" bestFit="1" customWidth="1"/>
    <col min="18" max="18" width="14.42578125" bestFit="1" customWidth="1"/>
  </cols>
  <sheetData>
    <row r="2" spans="1:18" x14ac:dyDescent="0.25">
      <c r="A2" t="s">
        <v>430</v>
      </c>
      <c r="B2" t="s">
        <v>977</v>
      </c>
      <c r="C2" t="s">
        <v>390</v>
      </c>
      <c r="D2" t="s">
        <v>864</v>
      </c>
      <c r="E2" t="s">
        <v>865</v>
      </c>
      <c r="F2" t="s">
        <v>402</v>
      </c>
      <c r="G2" t="s">
        <v>1001</v>
      </c>
      <c r="H2" t="s">
        <v>434</v>
      </c>
      <c r="I2" t="s">
        <v>1010</v>
      </c>
      <c r="J2" t="s">
        <v>443</v>
      </c>
      <c r="K2" t="s">
        <v>444</v>
      </c>
      <c r="L2" t="s">
        <v>445</v>
      </c>
      <c r="M2" t="s">
        <v>447</v>
      </c>
      <c r="N2" t="s">
        <v>449</v>
      </c>
      <c r="O2" t="s">
        <v>446</v>
      </c>
      <c r="P2" t="s">
        <v>1006</v>
      </c>
      <c r="Q2" t="s">
        <v>2779</v>
      </c>
      <c r="R2" t="s">
        <v>2780</v>
      </c>
    </row>
    <row r="3" spans="1:18" x14ac:dyDescent="0.25">
      <c r="A3" t="s">
        <v>2</v>
      </c>
      <c r="B3" t="s">
        <v>3</v>
      </c>
      <c r="C3" s="3">
        <f>IF(I_VIEW=2,"",COUNTIFS(T_2016_EVENT_RESULTS[Gold - Country],T_SV_MEDALS[[#This Row],[COUNTRY ABBR]])+COUNTIFS(T_2016_EVENT_RESULTS[Gold - Country - 2],T_SV_MEDALS[[#This Row],[COUNTRY ABBR]]))</f>
        <v>0</v>
      </c>
      <c r="D3" s="3">
        <f>IF(I_VIEW=2,"",COUNTIFS(T_2016_EVENT_RESULTS[Silver - Country],T_SV_MEDALS[[#This Row],[COUNTRY ABBR]])+COUNTIFS(T_2016_EVENT_RESULTS[Silver - Country - 2],T_SV_MEDALS[[#This Row],[COUNTRY ABBR]])+COUNTIFS(T_2016_EVENT_RESULTS[Silver - Country - 3],T_SV_MEDALS[[#This Row],[COUNTRY ABBR]]))</f>
        <v>0</v>
      </c>
      <c r="E3" s="3">
        <f>IF(I_VIEW=2,"",COUNTIFS(T_2016_EVENT_RESULTS[Bronze - Country],T_SV_MEDALS[[#This Row],[COUNTRY ABBR]])+COUNTIFS(T_2016_EVENT_RESULTS[Bronze - Country - 2],T_SV_MEDALS[[#This Row],[COUNTRY ABBR]]))</f>
        <v>0</v>
      </c>
      <c r="F3" s="3">
        <f>SUM(T_SV_MEDALS[[#This Row],[GOLD]:[BRONZE]])</f>
        <v>0</v>
      </c>
      <c r="G3" s="3" t="str">
        <f>IF(T_SV_MEDALS[[#This Row],[TOTAL]]=0,"",IF(I_RANK_METHOD="TOTAL",(T_SV_MEDALS[[#This Row],[TOTAL]]*10000000),0)+(T_SV_MEDALS[[#This Row],[GOLD]]*100000)+(T_SV_MEDALS[[#This Row],[SILVER]]*1000)+(T_SV_MEDALS[[#This Row],[BRONZE]]*10))</f>
        <v/>
      </c>
      <c r="H3" s="3" t="str">
        <f>IFERROR(IF(T_SV_MEDALS[[#This Row],[TOTAL]]=0,"",RANK(T_SV_MEDALS[[#This Row],[RANK VALUE]],T_SV_MEDALS[RANK VALUE])),"")</f>
        <v/>
      </c>
      <c r="I3" s="3" t="str">
        <f>IFERROR(IF(T_SV_MEDALS[[#This Row],[TOTAL]]=0,"",RANK(T_SV_MEDALS[[#This Row],[RANK VALUE]],T_SV_MEDALS[RANK VALUE])+COUNTIF($H$2:H2,H3)),"")</f>
        <v/>
      </c>
      <c r="J3" t="str">
        <f>IF(I_VIEW=3, COUNTIFS(T_2016_EVENT_RESULTS[SPORT],I_SV_SPORT,T_2016_EVENT_RESULTS[Gold - Country],T_SV_MEDALS[[#This Row],[COUNTRY ABBR]])+COUNTIFS(T_2016_EVENT_RESULTS[SPORT],I_SV_SPORT,T_2016_EVENT_RESULTS[Gold - Country - 2],T_SV_MEDALS[[#This Row],[COUNTRY ABBR]]),"")</f>
        <v/>
      </c>
      <c r="K3" t="str">
        <f>IF(I_VIEW=3, COUNTIFS(T_2016_EVENT_RESULTS[SPORT],I_SV_SPORT,T_2016_EVENT_RESULTS[Silver - Country],T_SV_MEDALS[[#This Row],[COUNTRY ABBR]])+COUNTIFS(T_2016_EVENT_RESULTS[SPORT],I_SV_SPORT,T_2016_EVENT_RESULTS[Silver - Country - 2],T_SV_MEDALS[[#This Row],[COUNTRY ABBR]])+COUNTIFS(T_2016_EVENT_RESULTS[SPORT],I_SV_SPORT,T_2016_EVENT_RESULTS[Silver - Country - 3],T_SV_MEDALS[[#This Row],[COUNTRY ABBR]]),"")</f>
        <v/>
      </c>
      <c r="L3" t="str">
        <f>IF(I_VIEW=3, COUNTIFS(T_2016_EVENT_RESULTS[SPORT],I_SV_SPORT,T_2016_EVENT_RESULTS[Bronze - Country],T_SV_MEDALS[[#This Row],[COUNTRY ABBR]])+COUNTIFS(T_2016_EVENT_RESULTS[SPORT],I_SV_SPORT,T_2016_EVENT_RESULTS[Bronze - Country - 2],T_SV_MEDALS[[#This Row],[COUNTRY ABBR]]),"")</f>
        <v/>
      </c>
      <c r="M3" s="3">
        <f>SUM(T_SV_MEDALS[[#This Row],[SV_GOLD]:[SV_BRONZE]])</f>
        <v>0</v>
      </c>
      <c r="N3" s="3" t="str">
        <f>IF(T_SV_MEDALS[[#This Row],[SV_TOTAL]]=0,"",IF(I_RANK_METHOD="TOTAL",(T_SV_MEDALS[[#This Row],[SV_TOTAL]]*10000000),0)+(T_SV_MEDALS[[#This Row],[SV_GOLD]]*100000)+(T_SV_MEDALS[[#This Row],[SV_SILVER]]*1000)+(T_SV_MEDALS[[#This Row],[SV_BRONZE]]*10))</f>
        <v/>
      </c>
      <c r="O3" s="3" t="str">
        <f>IFERROR(IF(T_SV_MEDALS[[#This Row],[SV_TOTAL]]=0,"",RANK(T_SV_MEDALS[[#This Row],[SV_RANK VALUE]],T_SV_MEDALS[SV_RANK VALUE])),"")</f>
        <v/>
      </c>
      <c r="P3" s="3" t="str">
        <f>IFERROR(IF(T_SV_MEDALS[[#This Row],[SV_TOTAL]]=0,"",RANK(T_SV_MEDALS[[#This Row],[SV_RANK VALUE]],T_SV_MEDALS[SV_RANK VALUE])+COUNTIF($O$2:O2,O3)),"")</f>
        <v/>
      </c>
      <c r="Q3" s="3" t="str">
        <f>IFERROR(T_SV_MEDALS[[#This Row],[SV_TOTAL]]/T_SV_MEDALS[[#This Row],[TOTAL]],"")</f>
        <v/>
      </c>
      <c r="R3" s="3" t="str">
        <f>IFERROR(IF(T_SV_MEDALS[[#This Row],[SV_TOTAL]]=0,"",RANK(T_SV_MEDALS[[#This Row],[Dependency - Rank Value]],T_SV_MEDALS[Dependency - Rank Value])+COUNTIF($Q$2:Q2,Q3)),"")</f>
        <v/>
      </c>
    </row>
    <row r="4" spans="1:18" x14ac:dyDescent="0.25">
      <c r="A4" t="s">
        <v>4</v>
      </c>
      <c r="B4" t="s">
        <v>5</v>
      </c>
      <c r="C4" s="3">
        <f>IF(I_VIEW=2,"",COUNTIFS(T_2016_EVENT_RESULTS[Gold - Country],T_SV_MEDALS[[#This Row],[COUNTRY ABBR]])+COUNTIFS(T_2016_EVENT_RESULTS[Gold - Country - 2],T_SV_MEDALS[[#This Row],[COUNTRY ABBR]]))</f>
        <v>0</v>
      </c>
      <c r="D4" s="3">
        <f>IF(I_VIEW=2,"",COUNTIFS(T_2016_EVENT_RESULTS[Silver - Country],T_SV_MEDALS[[#This Row],[COUNTRY ABBR]])+COUNTIFS(T_2016_EVENT_RESULTS[Silver - Country - 2],T_SV_MEDALS[[#This Row],[COUNTRY ABBR]])+COUNTIFS(T_2016_EVENT_RESULTS[Silver - Country - 3],T_SV_MEDALS[[#This Row],[COUNTRY ABBR]]))</f>
        <v>0</v>
      </c>
      <c r="E4" s="3">
        <f>IF(I_VIEW=2,"",COUNTIFS(T_2016_EVENT_RESULTS[Bronze - Country],T_SV_MEDALS[[#This Row],[COUNTRY ABBR]])+COUNTIFS(T_2016_EVENT_RESULTS[Bronze - Country - 2],T_SV_MEDALS[[#This Row],[COUNTRY ABBR]]))</f>
        <v>0</v>
      </c>
      <c r="F4" s="3">
        <f>SUM(T_SV_MEDALS[[#This Row],[GOLD]:[BRONZE]])</f>
        <v>0</v>
      </c>
      <c r="G4" s="3" t="str">
        <f>IF(T_SV_MEDALS[[#This Row],[TOTAL]]=0,"",IF(I_RANK_METHOD="TOTAL",(T_SV_MEDALS[[#This Row],[TOTAL]]*10000000),0)+(T_SV_MEDALS[[#This Row],[GOLD]]*100000)+(T_SV_MEDALS[[#This Row],[SILVER]]*1000)+(T_SV_MEDALS[[#This Row],[BRONZE]]*10))</f>
        <v/>
      </c>
      <c r="H4" s="3" t="str">
        <f>IFERROR(IF(T_SV_MEDALS[[#This Row],[TOTAL]]=0,"",RANK(T_SV_MEDALS[[#This Row],[RANK VALUE]],T_SV_MEDALS[RANK VALUE])),"")</f>
        <v/>
      </c>
      <c r="I4" s="3" t="str">
        <f>IFERROR(IF(T_SV_MEDALS[[#This Row],[TOTAL]]=0,"",RANK(T_SV_MEDALS[[#This Row],[RANK VALUE]],T_SV_MEDALS[RANK VALUE])+COUNTIF($H$2:H3,H4)),"")</f>
        <v/>
      </c>
      <c r="J4" t="str">
        <f>IF(I_VIEW=3, COUNTIFS(T_2016_EVENT_RESULTS[SPORT],I_SV_SPORT,T_2016_EVENT_RESULTS[Gold - Country],T_SV_MEDALS[[#This Row],[COUNTRY ABBR]])+COUNTIFS(T_2016_EVENT_RESULTS[SPORT],I_SV_SPORT,T_2016_EVENT_RESULTS[Gold - Country - 2],T_SV_MEDALS[[#This Row],[COUNTRY ABBR]]),"")</f>
        <v/>
      </c>
      <c r="K4" t="str">
        <f>IF(I_VIEW=3, COUNTIFS(T_2016_EVENT_RESULTS[SPORT],I_SV_SPORT,T_2016_EVENT_RESULTS[Silver - Country],T_SV_MEDALS[[#This Row],[COUNTRY ABBR]])+COUNTIFS(T_2016_EVENT_RESULTS[SPORT],I_SV_SPORT,T_2016_EVENT_RESULTS[Silver - Country - 2],T_SV_MEDALS[[#This Row],[COUNTRY ABBR]])+COUNTIFS(T_2016_EVENT_RESULTS[SPORT],I_SV_SPORT,T_2016_EVENT_RESULTS[Silver - Country - 3],T_SV_MEDALS[[#This Row],[COUNTRY ABBR]]),"")</f>
        <v/>
      </c>
      <c r="L4" t="str">
        <f>IF(I_VIEW=3, COUNTIFS(T_2016_EVENT_RESULTS[SPORT],I_SV_SPORT,T_2016_EVENT_RESULTS[Bronze - Country],T_SV_MEDALS[[#This Row],[COUNTRY ABBR]])+COUNTIFS(T_2016_EVENT_RESULTS[SPORT],I_SV_SPORT,T_2016_EVENT_RESULTS[Bronze - Country - 2],T_SV_MEDALS[[#This Row],[COUNTRY ABBR]]),"")</f>
        <v/>
      </c>
      <c r="M4" s="3">
        <f>SUM(T_SV_MEDALS[[#This Row],[SV_GOLD]:[SV_BRONZE]])</f>
        <v>0</v>
      </c>
      <c r="N4" s="3" t="str">
        <f>IF(T_SV_MEDALS[[#This Row],[SV_TOTAL]]=0,"",IF(I_RANK_METHOD="TOTAL",(T_SV_MEDALS[[#This Row],[SV_TOTAL]]*10000000),0)+(T_SV_MEDALS[[#This Row],[SV_GOLD]]*100000)+(T_SV_MEDALS[[#This Row],[SV_SILVER]]*1000)+(T_SV_MEDALS[[#This Row],[SV_BRONZE]]*10))</f>
        <v/>
      </c>
      <c r="O4" s="3" t="str">
        <f>IFERROR(IF(T_SV_MEDALS[[#This Row],[SV_TOTAL]]=0,"",RANK(T_SV_MEDALS[[#This Row],[SV_RANK VALUE]],T_SV_MEDALS[SV_RANK VALUE])),"")</f>
        <v/>
      </c>
      <c r="P4" s="3" t="str">
        <f>IFERROR(IF(T_SV_MEDALS[[#This Row],[SV_TOTAL]]=0,"",RANK(T_SV_MEDALS[[#This Row],[SV_RANK VALUE]],T_SV_MEDALS[SV_RANK VALUE])+COUNTIF($O$2:O3,O4)),"")</f>
        <v/>
      </c>
      <c r="Q4" s="3" t="str">
        <f>IFERROR(T_SV_MEDALS[[#This Row],[SV_TOTAL]]/T_SV_MEDALS[[#This Row],[TOTAL]],"")</f>
        <v/>
      </c>
      <c r="R4" s="3" t="str">
        <f>IFERROR(IF(T_SV_MEDALS[[#This Row],[SV_TOTAL]]=0,"",RANK(T_SV_MEDALS[[#This Row],[Dependency - Rank Value]],T_SV_MEDALS[Dependency - Rank Value])+COUNTIF($Q$2:Q3,Q4)),"")</f>
        <v/>
      </c>
    </row>
    <row r="5" spans="1:18" x14ac:dyDescent="0.25">
      <c r="A5" t="s">
        <v>6</v>
      </c>
      <c r="B5" t="s">
        <v>7</v>
      </c>
      <c r="C5" s="3">
        <f>IF(I_VIEW=2,"",COUNTIFS(T_2016_EVENT_RESULTS[Gold - Country],T_SV_MEDALS[[#This Row],[COUNTRY ABBR]])+COUNTIFS(T_2016_EVENT_RESULTS[Gold - Country - 2],T_SV_MEDALS[[#This Row],[COUNTRY ABBR]]))</f>
        <v>0</v>
      </c>
      <c r="D5" s="3">
        <f>IF(I_VIEW=2,"",COUNTIFS(T_2016_EVENT_RESULTS[Silver - Country],T_SV_MEDALS[[#This Row],[COUNTRY ABBR]])+COUNTIFS(T_2016_EVENT_RESULTS[Silver - Country - 2],T_SV_MEDALS[[#This Row],[COUNTRY ABBR]])+COUNTIFS(T_2016_EVENT_RESULTS[Silver - Country - 3],T_SV_MEDALS[[#This Row],[COUNTRY ABBR]]))</f>
        <v>2</v>
      </c>
      <c r="E5" s="3">
        <f>IF(I_VIEW=2,"",COUNTIFS(T_2016_EVENT_RESULTS[Bronze - Country],T_SV_MEDALS[[#This Row],[COUNTRY ABBR]])+COUNTIFS(T_2016_EVENT_RESULTS[Bronze - Country - 2],T_SV_MEDALS[[#This Row],[COUNTRY ABBR]]))</f>
        <v>0</v>
      </c>
      <c r="F5" s="3">
        <f>SUM(T_SV_MEDALS[[#This Row],[GOLD]:[BRONZE]])</f>
        <v>2</v>
      </c>
      <c r="G5" s="3">
        <f>IF(T_SV_MEDALS[[#This Row],[TOTAL]]=0,"",IF(I_RANK_METHOD="TOTAL",(T_SV_MEDALS[[#This Row],[TOTAL]]*10000000),0)+(T_SV_MEDALS[[#This Row],[GOLD]]*100000)+(T_SV_MEDALS[[#This Row],[SILVER]]*1000)+(T_SV_MEDALS[[#This Row],[BRONZE]]*10))</f>
        <v>20002000</v>
      </c>
      <c r="H5" s="3">
        <f>IFERROR(IF(T_SV_MEDALS[[#This Row],[TOTAL]]=0,"",RANK(T_SV_MEDALS[[#This Row],[RANK VALUE]],T_SV_MEDALS[RANK VALUE])),"")</f>
        <v>62</v>
      </c>
      <c r="I5" s="3">
        <f>IFERROR(IF(T_SV_MEDALS[[#This Row],[TOTAL]]=0,"",RANK(T_SV_MEDALS[[#This Row],[RANK VALUE]],T_SV_MEDALS[RANK VALUE])+COUNTIF($H$2:H4,H5)),"")</f>
        <v>62</v>
      </c>
      <c r="J5" t="str">
        <f>IF(I_VIEW=3, COUNTIFS(T_2016_EVENT_RESULTS[SPORT],I_SV_SPORT,T_2016_EVENT_RESULTS[Gold - Country],T_SV_MEDALS[[#This Row],[COUNTRY ABBR]])+COUNTIFS(T_2016_EVENT_RESULTS[SPORT],I_SV_SPORT,T_2016_EVENT_RESULTS[Gold - Country - 2],T_SV_MEDALS[[#This Row],[COUNTRY ABBR]]),"")</f>
        <v/>
      </c>
      <c r="K5" t="str">
        <f>IF(I_VIEW=3, COUNTIFS(T_2016_EVENT_RESULTS[SPORT],I_SV_SPORT,T_2016_EVENT_RESULTS[Silver - Country],T_SV_MEDALS[[#This Row],[COUNTRY ABBR]])+COUNTIFS(T_2016_EVENT_RESULTS[SPORT],I_SV_SPORT,T_2016_EVENT_RESULTS[Silver - Country - 2],T_SV_MEDALS[[#This Row],[COUNTRY ABBR]])+COUNTIFS(T_2016_EVENT_RESULTS[SPORT],I_SV_SPORT,T_2016_EVENT_RESULTS[Silver - Country - 3],T_SV_MEDALS[[#This Row],[COUNTRY ABBR]]),"")</f>
        <v/>
      </c>
      <c r="L5" t="str">
        <f>IF(I_VIEW=3, COUNTIFS(T_2016_EVENT_RESULTS[SPORT],I_SV_SPORT,T_2016_EVENT_RESULTS[Bronze - Country],T_SV_MEDALS[[#This Row],[COUNTRY ABBR]])+COUNTIFS(T_2016_EVENT_RESULTS[SPORT],I_SV_SPORT,T_2016_EVENT_RESULTS[Bronze - Country - 2],T_SV_MEDALS[[#This Row],[COUNTRY ABBR]]),"")</f>
        <v/>
      </c>
      <c r="M5" s="3">
        <f>SUM(T_SV_MEDALS[[#This Row],[SV_GOLD]:[SV_BRONZE]])</f>
        <v>0</v>
      </c>
      <c r="N5" s="3" t="str">
        <f>IF(T_SV_MEDALS[[#This Row],[SV_TOTAL]]=0,"",IF(I_RANK_METHOD="TOTAL",(T_SV_MEDALS[[#This Row],[SV_TOTAL]]*10000000),0)+(T_SV_MEDALS[[#This Row],[SV_GOLD]]*100000)+(T_SV_MEDALS[[#This Row],[SV_SILVER]]*1000)+(T_SV_MEDALS[[#This Row],[SV_BRONZE]]*10))</f>
        <v/>
      </c>
      <c r="O5" s="3" t="str">
        <f>IFERROR(IF(T_SV_MEDALS[[#This Row],[SV_TOTAL]]=0,"",RANK(T_SV_MEDALS[[#This Row],[SV_RANK VALUE]],T_SV_MEDALS[SV_RANK VALUE])),"")</f>
        <v/>
      </c>
      <c r="P5" s="3" t="str">
        <f>IFERROR(IF(T_SV_MEDALS[[#This Row],[SV_TOTAL]]=0,"",RANK(T_SV_MEDALS[[#This Row],[SV_RANK VALUE]],T_SV_MEDALS[SV_RANK VALUE])+COUNTIF($O$2:O4,O5)),"")</f>
        <v/>
      </c>
      <c r="Q5" s="3">
        <f>IFERROR(T_SV_MEDALS[[#This Row],[SV_TOTAL]]/T_SV_MEDALS[[#This Row],[TOTAL]],"")</f>
        <v>0</v>
      </c>
      <c r="R5" s="3" t="str">
        <f>IFERROR(IF(T_SV_MEDALS[[#This Row],[SV_TOTAL]]=0,"",RANK(T_SV_MEDALS[[#This Row],[Dependency - Rank Value]],T_SV_MEDALS[Dependency - Rank Value])+COUNTIF($Q$2:Q4,Q5)),"")</f>
        <v/>
      </c>
    </row>
    <row r="6" spans="1:18" x14ac:dyDescent="0.25">
      <c r="A6" t="s">
        <v>450</v>
      </c>
      <c r="B6" t="s">
        <v>8</v>
      </c>
      <c r="C6" s="3">
        <f>IF(I_VIEW=2,"",COUNTIFS(T_2016_EVENT_RESULTS[Gold - Country],T_SV_MEDALS[[#This Row],[COUNTRY ABBR]])+COUNTIFS(T_2016_EVENT_RESULTS[Gold - Country - 2],T_SV_MEDALS[[#This Row],[COUNTRY ABBR]]))</f>
        <v>0</v>
      </c>
      <c r="D6" s="3">
        <f>IF(I_VIEW=2,"",COUNTIFS(T_2016_EVENT_RESULTS[Silver - Country],T_SV_MEDALS[[#This Row],[COUNTRY ABBR]])+COUNTIFS(T_2016_EVENT_RESULTS[Silver - Country - 2],T_SV_MEDALS[[#This Row],[COUNTRY ABBR]])+COUNTIFS(T_2016_EVENT_RESULTS[Silver - Country - 3],T_SV_MEDALS[[#This Row],[COUNTRY ABBR]]))</f>
        <v>0</v>
      </c>
      <c r="E6" s="3">
        <f>IF(I_VIEW=2,"",COUNTIFS(T_2016_EVENT_RESULTS[Bronze - Country],T_SV_MEDALS[[#This Row],[COUNTRY ABBR]])+COUNTIFS(T_2016_EVENT_RESULTS[Bronze - Country - 2],T_SV_MEDALS[[#This Row],[COUNTRY ABBR]]))</f>
        <v>0</v>
      </c>
      <c r="F6" s="3">
        <f>SUM(T_SV_MEDALS[[#This Row],[GOLD]:[BRONZE]])</f>
        <v>0</v>
      </c>
      <c r="G6" s="3" t="str">
        <f>IF(T_SV_MEDALS[[#This Row],[TOTAL]]=0,"",IF(I_RANK_METHOD="TOTAL",(T_SV_MEDALS[[#This Row],[TOTAL]]*10000000),0)+(T_SV_MEDALS[[#This Row],[GOLD]]*100000)+(T_SV_MEDALS[[#This Row],[SILVER]]*1000)+(T_SV_MEDALS[[#This Row],[BRONZE]]*10))</f>
        <v/>
      </c>
      <c r="H6" s="3" t="str">
        <f>IFERROR(IF(T_SV_MEDALS[[#This Row],[TOTAL]]=0,"",RANK(T_SV_MEDALS[[#This Row],[RANK VALUE]],T_SV_MEDALS[RANK VALUE])),"")</f>
        <v/>
      </c>
      <c r="I6" s="3" t="str">
        <f>IFERROR(IF(T_SV_MEDALS[[#This Row],[TOTAL]]=0,"",RANK(T_SV_MEDALS[[#This Row],[RANK VALUE]],T_SV_MEDALS[RANK VALUE])+COUNTIF($H$2:H5,H6)),"")</f>
        <v/>
      </c>
      <c r="J6" t="str">
        <f>IF(I_VIEW=3, COUNTIFS(T_2016_EVENT_RESULTS[SPORT],I_SV_SPORT,T_2016_EVENT_RESULTS[Gold - Country],T_SV_MEDALS[[#This Row],[COUNTRY ABBR]])+COUNTIFS(T_2016_EVENT_RESULTS[SPORT],I_SV_SPORT,T_2016_EVENT_RESULTS[Gold - Country - 2],T_SV_MEDALS[[#This Row],[COUNTRY ABBR]]),"")</f>
        <v/>
      </c>
      <c r="K6" t="str">
        <f>IF(I_VIEW=3, COUNTIFS(T_2016_EVENT_RESULTS[SPORT],I_SV_SPORT,T_2016_EVENT_RESULTS[Silver - Country],T_SV_MEDALS[[#This Row],[COUNTRY ABBR]])+COUNTIFS(T_2016_EVENT_RESULTS[SPORT],I_SV_SPORT,T_2016_EVENT_RESULTS[Silver - Country - 2],T_SV_MEDALS[[#This Row],[COUNTRY ABBR]])+COUNTIFS(T_2016_EVENT_RESULTS[SPORT],I_SV_SPORT,T_2016_EVENT_RESULTS[Silver - Country - 3],T_SV_MEDALS[[#This Row],[COUNTRY ABBR]]),"")</f>
        <v/>
      </c>
      <c r="L6" t="str">
        <f>IF(I_VIEW=3, COUNTIFS(T_2016_EVENT_RESULTS[SPORT],I_SV_SPORT,T_2016_EVENT_RESULTS[Bronze - Country],T_SV_MEDALS[[#This Row],[COUNTRY ABBR]])+COUNTIFS(T_2016_EVENT_RESULTS[SPORT],I_SV_SPORT,T_2016_EVENT_RESULTS[Bronze - Country - 2],T_SV_MEDALS[[#This Row],[COUNTRY ABBR]]),"")</f>
        <v/>
      </c>
      <c r="M6" s="3">
        <f>SUM(T_SV_MEDALS[[#This Row],[SV_GOLD]:[SV_BRONZE]])</f>
        <v>0</v>
      </c>
      <c r="N6" s="3" t="str">
        <f>IF(T_SV_MEDALS[[#This Row],[SV_TOTAL]]=0,"",IF(I_RANK_METHOD="TOTAL",(T_SV_MEDALS[[#This Row],[SV_TOTAL]]*10000000),0)+(T_SV_MEDALS[[#This Row],[SV_GOLD]]*100000)+(T_SV_MEDALS[[#This Row],[SV_SILVER]]*1000)+(T_SV_MEDALS[[#This Row],[SV_BRONZE]]*10))</f>
        <v/>
      </c>
      <c r="O6" s="3" t="str">
        <f>IFERROR(IF(T_SV_MEDALS[[#This Row],[SV_TOTAL]]=0,"",RANK(T_SV_MEDALS[[#This Row],[SV_RANK VALUE]],T_SV_MEDALS[SV_RANK VALUE])),"")</f>
        <v/>
      </c>
      <c r="P6" s="3" t="str">
        <f>IFERROR(IF(T_SV_MEDALS[[#This Row],[SV_TOTAL]]=0,"",RANK(T_SV_MEDALS[[#This Row],[SV_RANK VALUE]],T_SV_MEDALS[SV_RANK VALUE])+COUNTIF($O$2:O5,O6)),"")</f>
        <v/>
      </c>
      <c r="Q6" s="3" t="str">
        <f>IFERROR(T_SV_MEDALS[[#This Row],[SV_TOTAL]]/T_SV_MEDALS[[#This Row],[TOTAL]],"")</f>
        <v/>
      </c>
      <c r="R6" s="3" t="str">
        <f>IFERROR(IF(T_SV_MEDALS[[#This Row],[SV_TOTAL]]=0,"",RANK(T_SV_MEDALS[[#This Row],[Dependency - Rank Value]],T_SV_MEDALS[Dependency - Rank Value])+COUNTIF($Q$2:Q5,Q6)),"")</f>
        <v/>
      </c>
    </row>
    <row r="7" spans="1:18" x14ac:dyDescent="0.25">
      <c r="A7" t="s">
        <v>9</v>
      </c>
      <c r="B7" t="s">
        <v>10</v>
      </c>
      <c r="C7" s="3">
        <f>IF(I_VIEW=2,"",COUNTIFS(T_2016_EVENT_RESULTS[Gold - Country],T_SV_MEDALS[[#This Row],[COUNTRY ABBR]])+COUNTIFS(T_2016_EVENT_RESULTS[Gold - Country - 2],T_SV_MEDALS[[#This Row],[COUNTRY ABBR]]))</f>
        <v>0</v>
      </c>
      <c r="D7" s="3">
        <f>IF(I_VIEW=2,"",COUNTIFS(T_2016_EVENT_RESULTS[Silver - Country],T_SV_MEDALS[[#This Row],[COUNTRY ABBR]])+COUNTIFS(T_2016_EVENT_RESULTS[Silver - Country - 2],T_SV_MEDALS[[#This Row],[COUNTRY ABBR]])+COUNTIFS(T_2016_EVENT_RESULTS[Silver - Country - 3],T_SV_MEDALS[[#This Row],[COUNTRY ABBR]]))</f>
        <v>0</v>
      </c>
      <c r="E7" s="3">
        <f>IF(I_VIEW=2,"",COUNTIFS(T_2016_EVENT_RESULTS[Bronze - Country],T_SV_MEDALS[[#This Row],[COUNTRY ABBR]])+COUNTIFS(T_2016_EVENT_RESULTS[Bronze - Country - 2],T_SV_MEDALS[[#This Row],[COUNTRY ABBR]]))</f>
        <v>0</v>
      </c>
      <c r="F7" s="3">
        <f>SUM(T_SV_MEDALS[[#This Row],[GOLD]:[BRONZE]])</f>
        <v>0</v>
      </c>
      <c r="G7" s="3" t="str">
        <f>IF(T_SV_MEDALS[[#This Row],[TOTAL]]=0,"",IF(I_RANK_METHOD="TOTAL",(T_SV_MEDALS[[#This Row],[TOTAL]]*10000000),0)+(T_SV_MEDALS[[#This Row],[GOLD]]*100000)+(T_SV_MEDALS[[#This Row],[SILVER]]*1000)+(T_SV_MEDALS[[#This Row],[BRONZE]]*10))</f>
        <v/>
      </c>
      <c r="H7" s="3" t="str">
        <f>IFERROR(IF(T_SV_MEDALS[[#This Row],[TOTAL]]=0,"",RANK(T_SV_MEDALS[[#This Row],[RANK VALUE]],T_SV_MEDALS[RANK VALUE])),"")</f>
        <v/>
      </c>
      <c r="I7" s="3" t="str">
        <f>IFERROR(IF(T_SV_MEDALS[[#This Row],[TOTAL]]=0,"",RANK(T_SV_MEDALS[[#This Row],[RANK VALUE]],T_SV_MEDALS[RANK VALUE])+COUNTIF($H$2:H6,H7)),"")</f>
        <v/>
      </c>
      <c r="J7" t="str">
        <f>IF(I_VIEW=3, COUNTIFS(T_2016_EVENT_RESULTS[SPORT],I_SV_SPORT,T_2016_EVENT_RESULTS[Gold - Country],T_SV_MEDALS[[#This Row],[COUNTRY ABBR]])+COUNTIFS(T_2016_EVENT_RESULTS[SPORT],I_SV_SPORT,T_2016_EVENT_RESULTS[Gold - Country - 2],T_SV_MEDALS[[#This Row],[COUNTRY ABBR]]),"")</f>
        <v/>
      </c>
      <c r="K7" t="str">
        <f>IF(I_VIEW=3, COUNTIFS(T_2016_EVENT_RESULTS[SPORT],I_SV_SPORT,T_2016_EVENT_RESULTS[Silver - Country],T_SV_MEDALS[[#This Row],[COUNTRY ABBR]])+COUNTIFS(T_2016_EVENT_RESULTS[SPORT],I_SV_SPORT,T_2016_EVENT_RESULTS[Silver - Country - 2],T_SV_MEDALS[[#This Row],[COUNTRY ABBR]])+COUNTIFS(T_2016_EVENT_RESULTS[SPORT],I_SV_SPORT,T_2016_EVENT_RESULTS[Silver - Country - 3],T_SV_MEDALS[[#This Row],[COUNTRY ABBR]]),"")</f>
        <v/>
      </c>
      <c r="L7" t="str">
        <f>IF(I_VIEW=3, COUNTIFS(T_2016_EVENT_RESULTS[SPORT],I_SV_SPORT,T_2016_EVENT_RESULTS[Bronze - Country],T_SV_MEDALS[[#This Row],[COUNTRY ABBR]])+COUNTIFS(T_2016_EVENT_RESULTS[SPORT],I_SV_SPORT,T_2016_EVENT_RESULTS[Bronze - Country - 2],T_SV_MEDALS[[#This Row],[COUNTRY ABBR]]),"")</f>
        <v/>
      </c>
      <c r="M7" s="3">
        <f>SUM(T_SV_MEDALS[[#This Row],[SV_GOLD]:[SV_BRONZE]])</f>
        <v>0</v>
      </c>
      <c r="N7" s="3" t="str">
        <f>IF(T_SV_MEDALS[[#This Row],[SV_TOTAL]]=0,"",IF(I_RANK_METHOD="TOTAL",(T_SV_MEDALS[[#This Row],[SV_TOTAL]]*10000000),0)+(T_SV_MEDALS[[#This Row],[SV_GOLD]]*100000)+(T_SV_MEDALS[[#This Row],[SV_SILVER]]*1000)+(T_SV_MEDALS[[#This Row],[SV_BRONZE]]*10))</f>
        <v/>
      </c>
      <c r="O7" s="3" t="str">
        <f>IFERROR(IF(T_SV_MEDALS[[#This Row],[SV_TOTAL]]=0,"",RANK(T_SV_MEDALS[[#This Row],[SV_RANK VALUE]],T_SV_MEDALS[SV_RANK VALUE])),"")</f>
        <v/>
      </c>
      <c r="P7" s="3" t="str">
        <f>IFERROR(IF(T_SV_MEDALS[[#This Row],[SV_TOTAL]]=0,"",RANK(T_SV_MEDALS[[#This Row],[SV_RANK VALUE]],T_SV_MEDALS[SV_RANK VALUE])+COUNTIF($O$2:O6,O7)),"")</f>
        <v/>
      </c>
      <c r="Q7" s="3" t="str">
        <f>IFERROR(T_SV_MEDALS[[#This Row],[SV_TOTAL]]/T_SV_MEDALS[[#This Row],[TOTAL]],"")</f>
        <v/>
      </c>
      <c r="R7" s="3" t="str">
        <f>IFERROR(IF(T_SV_MEDALS[[#This Row],[SV_TOTAL]]=0,"",RANK(T_SV_MEDALS[[#This Row],[Dependency - Rank Value]],T_SV_MEDALS[Dependency - Rank Value])+COUNTIF($Q$2:Q6,Q7)),"")</f>
        <v/>
      </c>
    </row>
    <row r="8" spans="1:18" x14ac:dyDescent="0.25">
      <c r="A8" t="s">
        <v>11</v>
      </c>
      <c r="B8" t="s">
        <v>12</v>
      </c>
      <c r="C8" s="3">
        <f>IF(I_VIEW=2,"",COUNTIFS(T_2016_EVENT_RESULTS[Gold - Country],T_SV_MEDALS[[#This Row],[COUNTRY ABBR]])+COUNTIFS(T_2016_EVENT_RESULTS[Gold - Country - 2],T_SV_MEDALS[[#This Row],[COUNTRY ABBR]]))</f>
        <v>0</v>
      </c>
      <c r="D8" s="3">
        <f>IF(I_VIEW=2,"",COUNTIFS(T_2016_EVENT_RESULTS[Silver - Country],T_SV_MEDALS[[#This Row],[COUNTRY ABBR]])+COUNTIFS(T_2016_EVENT_RESULTS[Silver - Country - 2],T_SV_MEDALS[[#This Row],[COUNTRY ABBR]])+COUNTIFS(T_2016_EVENT_RESULTS[Silver - Country - 3],T_SV_MEDALS[[#This Row],[COUNTRY ABBR]]))</f>
        <v>0</v>
      </c>
      <c r="E8" s="3">
        <f>IF(I_VIEW=2,"",COUNTIFS(T_2016_EVENT_RESULTS[Bronze - Country],T_SV_MEDALS[[#This Row],[COUNTRY ABBR]])+COUNTIFS(T_2016_EVENT_RESULTS[Bronze - Country - 2],T_SV_MEDALS[[#This Row],[COUNTRY ABBR]]))</f>
        <v>0</v>
      </c>
      <c r="F8" s="3">
        <f>SUM(T_SV_MEDALS[[#This Row],[GOLD]:[BRONZE]])</f>
        <v>0</v>
      </c>
      <c r="G8" s="3" t="str">
        <f>IF(T_SV_MEDALS[[#This Row],[TOTAL]]=0,"",IF(I_RANK_METHOD="TOTAL",(T_SV_MEDALS[[#This Row],[TOTAL]]*10000000),0)+(T_SV_MEDALS[[#This Row],[GOLD]]*100000)+(T_SV_MEDALS[[#This Row],[SILVER]]*1000)+(T_SV_MEDALS[[#This Row],[BRONZE]]*10))</f>
        <v/>
      </c>
      <c r="H8" s="3" t="str">
        <f>IFERROR(IF(T_SV_MEDALS[[#This Row],[TOTAL]]=0,"",RANK(T_SV_MEDALS[[#This Row],[RANK VALUE]],T_SV_MEDALS[RANK VALUE])),"")</f>
        <v/>
      </c>
      <c r="I8" s="3" t="str">
        <f>IFERROR(IF(T_SV_MEDALS[[#This Row],[TOTAL]]=0,"",RANK(T_SV_MEDALS[[#This Row],[RANK VALUE]],T_SV_MEDALS[RANK VALUE])+COUNTIF($H$2:H7,H8)),"")</f>
        <v/>
      </c>
      <c r="J8" t="str">
        <f>IF(I_VIEW=3, COUNTIFS(T_2016_EVENT_RESULTS[SPORT],I_SV_SPORT,T_2016_EVENT_RESULTS[Gold - Country],T_SV_MEDALS[[#This Row],[COUNTRY ABBR]])+COUNTIFS(T_2016_EVENT_RESULTS[SPORT],I_SV_SPORT,T_2016_EVENT_RESULTS[Gold - Country - 2],T_SV_MEDALS[[#This Row],[COUNTRY ABBR]]),"")</f>
        <v/>
      </c>
      <c r="K8" t="str">
        <f>IF(I_VIEW=3, COUNTIFS(T_2016_EVENT_RESULTS[SPORT],I_SV_SPORT,T_2016_EVENT_RESULTS[Silver - Country],T_SV_MEDALS[[#This Row],[COUNTRY ABBR]])+COUNTIFS(T_2016_EVENT_RESULTS[SPORT],I_SV_SPORT,T_2016_EVENT_RESULTS[Silver - Country - 2],T_SV_MEDALS[[#This Row],[COUNTRY ABBR]])+COUNTIFS(T_2016_EVENT_RESULTS[SPORT],I_SV_SPORT,T_2016_EVENT_RESULTS[Silver - Country - 3],T_SV_MEDALS[[#This Row],[COUNTRY ABBR]]),"")</f>
        <v/>
      </c>
      <c r="L8" t="str">
        <f>IF(I_VIEW=3, COUNTIFS(T_2016_EVENT_RESULTS[SPORT],I_SV_SPORT,T_2016_EVENT_RESULTS[Bronze - Country],T_SV_MEDALS[[#This Row],[COUNTRY ABBR]])+COUNTIFS(T_2016_EVENT_RESULTS[SPORT],I_SV_SPORT,T_2016_EVENT_RESULTS[Bronze - Country - 2],T_SV_MEDALS[[#This Row],[COUNTRY ABBR]]),"")</f>
        <v/>
      </c>
      <c r="M8" s="3">
        <f>SUM(T_SV_MEDALS[[#This Row],[SV_GOLD]:[SV_BRONZE]])</f>
        <v>0</v>
      </c>
      <c r="N8" s="3" t="str">
        <f>IF(T_SV_MEDALS[[#This Row],[SV_TOTAL]]=0,"",IF(I_RANK_METHOD="TOTAL",(T_SV_MEDALS[[#This Row],[SV_TOTAL]]*10000000),0)+(T_SV_MEDALS[[#This Row],[SV_GOLD]]*100000)+(T_SV_MEDALS[[#This Row],[SV_SILVER]]*1000)+(T_SV_MEDALS[[#This Row],[SV_BRONZE]]*10))</f>
        <v/>
      </c>
      <c r="O8" s="3" t="str">
        <f>IFERROR(IF(T_SV_MEDALS[[#This Row],[SV_TOTAL]]=0,"",RANK(T_SV_MEDALS[[#This Row],[SV_RANK VALUE]],T_SV_MEDALS[SV_RANK VALUE])),"")</f>
        <v/>
      </c>
      <c r="P8" s="3" t="str">
        <f>IFERROR(IF(T_SV_MEDALS[[#This Row],[SV_TOTAL]]=0,"",RANK(T_SV_MEDALS[[#This Row],[SV_RANK VALUE]],T_SV_MEDALS[SV_RANK VALUE])+COUNTIF($O$2:O7,O8)),"")</f>
        <v/>
      </c>
      <c r="Q8" s="3" t="str">
        <f>IFERROR(T_SV_MEDALS[[#This Row],[SV_TOTAL]]/T_SV_MEDALS[[#This Row],[TOTAL]],"")</f>
        <v/>
      </c>
      <c r="R8" s="3" t="str">
        <f>IFERROR(IF(T_SV_MEDALS[[#This Row],[SV_TOTAL]]=0,"",RANK(T_SV_MEDALS[[#This Row],[Dependency - Rank Value]],T_SV_MEDALS[Dependency - Rank Value])+COUNTIF($Q$2:Q7,Q8)),"")</f>
        <v/>
      </c>
    </row>
    <row r="9" spans="1:18" x14ac:dyDescent="0.25">
      <c r="A9" t="s">
        <v>13</v>
      </c>
      <c r="B9" t="s">
        <v>14</v>
      </c>
      <c r="C9" s="3">
        <f>IF(I_VIEW=2,"",COUNTIFS(T_2016_EVENT_RESULTS[Gold - Country],T_SV_MEDALS[[#This Row],[COUNTRY ABBR]])+COUNTIFS(T_2016_EVENT_RESULTS[Gold - Country - 2],T_SV_MEDALS[[#This Row],[COUNTRY ABBR]]))</f>
        <v>0</v>
      </c>
      <c r="D9" s="3">
        <f>IF(I_VIEW=2,"",COUNTIFS(T_2016_EVENT_RESULTS[Silver - Country],T_SV_MEDALS[[#This Row],[COUNTRY ABBR]])+COUNTIFS(T_2016_EVENT_RESULTS[Silver - Country - 2],T_SV_MEDALS[[#This Row],[COUNTRY ABBR]])+COUNTIFS(T_2016_EVENT_RESULTS[Silver - Country - 3],T_SV_MEDALS[[#This Row],[COUNTRY ABBR]]))</f>
        <v>0</v>
      </c>
      <c r="E9" s="3">
        <f>IF(I_VIEW=2,"",COUNTIFS(T_2016_EVENT_RESULTS[Bronze - Country],T_SV_MEDALS[[#This Row],[COUNTRY ABBR]])+COUNTIFS(T_2016_EVENT_RESULTS[Bronze - Country - 2],T_SV_MEDALS[[#This Row],[COUNTRY ABBR]]))</f>
        <v>0</v>
      </c>
      <c r="F9" s="3">
        <f>SUM(T_SV_MEDALS[[#This Row],[GOLD]:[BRONZE]])</f>
        <v>0</v>
      </c>
      <c r="G9" s="3" t="str">
        <f>IF(T_SV_MEDALS[[#This Row],[TOTAL]]=0,"",IF(I_RANK_METHOD="TOTAL",(T_SV_MEDALS[[#This Row],[TOTAL]]*10000000),0)+(T_SV_MEDALS[[#This Row],[GOLD]]*100000)+(T_SV_MEDALS[[#This Row],[SILVER]]*1000)+(T_SV_MEDALS[[#This Row],[BRONZE]]*10))</f>
        <v/>
      </c>
      <c r="H9" s="3" t="str">
        <f>IFERROR(IF(T_SV_MEDALS[[#This Row],[TOTAL]]=0,"",RANK(T_SV_MEDALS[[#This Row],[RANK VALUE]],T_SV_MEDALS[RANK VALUE])),"")</f>
        <v/>
      </c>
      <c r="I9" s="3" t="str">
        <f>IFERROR(IF(T_SV_MEDALS[[#This Row],[TOTAL]]=0,"",RANK(T_SV_MEDALS[[#This Row],[RANK VALUE]],T_SV_MEDALS[RANK VALUE])+COUNTIF($H$2:H8,H9)),"")</f>
        <v/>
      </c>
      <c r="J9" t="str">
        <f>IF(I_VIEW=3, COUNTIFS(T_2016_EVENT_RESULTS[SPORT],I_SV_SPORT,T_2016_EVENT_RESULTS[Gold - Country],T_SV_MEDALS[[#This Row],[COUNTRY ABBR]])+COUNTIFS(T_2016_EVENT_RESULTS[SPORT],I_SV_SPORT,T_2016_EVENT_RESULTS[Gold - Country - 2],T_SV_MEDALS[[#This Row],[COUNTRY ABBR]]),"")</f>
        <v/>
      </c>
      <c r="K9" t="str">
        <f>IF(I_VIEW=3, COUNTIFS(T_2016_EVENT_RESULTS[SPORT],I_SV_SPORT,T_2016_EVENT_RESULTS[Silver - Country],T_SV_MEDALS[[#This Row],[COUNTRY ABBR]])+COUNTIFS(T_2016_EVENT_RESULTS[SPORT],I_SV_SPORT,T_2016_EVENT_RESULTS[Silver - Country - 2],T_SV_MEDALS[[#This Row],[COUNTRY ABBR]])+COUNTIFS(T_2016_EVENT_RESULTS[SPORT],I_SV_SPORT,T_2016_EVENT_RESULTS[Silver - Country - 3],T_SV_MEDALS[[#This Row],[COUNTRY ABBR]]),"")</f>
        <v/>
      </c>
      <c r="L9" t="str">
        <f>IF(I_VIEW=3, COUNTIFS(T_2016_EVENT_RESULTS[SPORT],I_SV_SPORT,T_2016_EVENT_RESULTS[Bronze - Country],T_SV_MEDALS[[#This Row],[COUNTRY ABBR]])+COUNTIFS(T_2016_EVENT_RESULTS[SPORT],I_SV_SPORT,T_2016_EVENT_RESULTS[Bronze - Country - 2],T_SV_MEDALS[[#This Row],[COUNTRY ABBR]]),"")</f>
        <v/>
      </c>
      <c r="M9" s="3">
        <f>SUM(T_SV_MEDALS[[#This Row],[SV_GOLD]:[SV_BRONZE]])</f>
        <v>0</v>
      </c>
      <c r="N9" s="3" t="str">
        <f>IF(T_SV_MEDALS[[#This Row],[SV_TOTAL]]=0,"",IF(I_RANK_METHOD="TOTAL",(T_SV_MEDALS[[#This Row],[SV_TOTAL]]*10000000),0)+(T_SV_MEDALS[[#This Row],[SV_GOLD]]*100000)+(T_SV_MEDALS[[#This Row],[SV_SILVER]]*1000)+(T_SV_MEDALS[[#This Row],[SV_BRONZE]]*10))</f>
        <v/>
      </c>
      <c r="O9" s="3" t="str">
        <f>IFERROR(IF(T_SV_MEDALS[[#This Row],[SV_TOTAL]]=0,"",RANK(T_SV_MEDALS[[#This Row],[SV_RANK VALUE]],T_SV_MEDALS[SV_RANK VALUE])),"")</f>
        <v/>
      </c>
      <c r="P9" s="3" t="str">
        <f>IFERROR(IF(T_SV_MEDALS[[#This Row],[SV_TOTAL]]=0,"",RANK(T_SV_MEDALS[[#This Row],[SV_RANK VALUE]],T_SV_MEDALS[SV_RANK VALUE])+COUNTIF($O$2:O8,O9)),"")</f>
        <v/>
      </c>
      <c r="Q9" s="3" t="str">
        <f>IFERROR(T_SV_MEDALS[[#This Row],[SV_TOTAL]]/T_SV_MEDALS[[#This Row],[TOTAL]],"")</f>
        <v/>
      </c>
      <c r="R9" s="3" t="str">
        <f>IFERROR(IF(T_SV_MEDALS[[#This Row],[SV_TOTAL]]=0,"",RANK(T_SV_MEDALS[[#This Row],[Dependency - Rank Value]],T_SV_MEDALS[Dependency - Rank Value])+COUNTIF($Q$2:Q8,Q9)),"")</f>
        <v/>
      </c>
    </row>
    <row r="10" spans="1:18" x14ac:dyDescent="0.25">
      <c r="A10" t="s">
        <v>15</v>
      </c>
      <c r="B10" t="s">
        <v>16</v>
      </c>
      <c r="C10" s="3">
        <f>IF(I_VIEW=2,"",COUNTIFS(T_2016_EVENT_RESULTS[Gold - Country],T_SV_MEDALS[[#This Row],[COUNTRY ABBR]])+COUNTIFS(T_2016_EVENT_RESULTS[Gold - Country - 2],T_SV_MEDALS[[#This Row],[COUNTRY ABBR]]))</f>
        <v>3</v>
      </c>
      <c r="D10" s="3">
        <f>IF(I_VIEW=2,"",COUNTIFS(T_2016_EVENT_RESULTS[Silver - Country],T_SV_MEDALS[[#This Row],[COUNTRY ABBR]])+COUNTIFS(T_2016_EVENT_RESULTS[Silver - Country - 2],T_SV_MEDALS[[#This Row],[COUNTRY ABBR]])+COUNTIFS(T_2016_EVENT_RESULTS[Silver - Country - 3],T_SV_MEDALS[[#This Row],[COUNTRY ABBR]]))</f>
        <v>1</v>
      </c>
      <c r="E10" s="3">
        <f>IF(I_VIEW=2,"",COUNTIFS(T_2016_EVENT_RESULTS[Bronze - Country],T_SV_MEDALS[[#This Row],[COUNTRY ABBR]])+COUNTIFS(T_2016_EVENT_RESULTS[Bronze - Country - 2],T_SV_MEDALS[[#This Row],[COUNTRY ABBR]]))</f>
        <v>0</v>
      </c>
      <c r="F10" s="3">
        <f>SUM(T_SV_MEDALS[[#This Row],[GOLD]:[BRONZE]])</f>
        <v>4</v>
      </c>
      <c r="G10" s="3">
        <f>IF(T_SV_MEDALS[[#This Row],[TOTAL]]=0,"",IF(I_RANK_METHOD="TOTAL",(T_SV_MEDALS[[#This Row],[TOTAL]]*10000000),0)+(T_SV_MEDALS[[#This Row],[GOLD]]*100000)+(T_SV_MEDALS[[#This Row],[SILVER]]*1000)+(T_SV_MEDALS[[#This Row],[BRONZE]]*10))</f>
        <v>40301000</v>
      </c>
      <c r="H10" s="3">
        <f>IFERROR(IF(T_SV_MEDALS[[#This Row],[TOTAL]]=0,"",RANK(T_SV_MEDALS[[#This Row],[RANK VALUE]],T_SV_MEDALS[RANK VALUE])),"")</f>
        <v>45</v>
      </c>
      <c r="I10" s="3">
        <f>IFERROR(IF(T_SV_MEDALS[[#This Row],[TOTAL]]=0,"",RANK(T_SV_MEDALS[[#This Row],[RANK VALUE]],T_SV_MEDALS[RANK VALUE])+COUNTIF($H$2:H9,H10)),"")</f>
        <v>45</v>
      </c>
      <c r="J10" t="str">
        <f>IF(I_VIEW=3, COUNTIFS(T_2016_EVENT_RESULTS[SPORT],I_SV_SPORT,T_2016_EVENT_RESULTS[Gold - Country],T_SV_MEDALS[[#This Row],[COUNTRY ABBR]])+COUNTIFS(T_2016_EVENT_RESULTS[SPORT],I_SV_SPORT,T_2016_EVENT_RESULTS[Gold - Country - 2],T_SV_MEDALS[[#This Row],[COUNTRY ABBR]]),"")</f>
        <v/>
      </c>
      <c r="K10" t="str">
        <f>IF(I_VIEW=3, COUNTIFS(T_2016_EVENT_RESULTS[SPORT],I_SV_SPORT,T_2016_EVENT_RESULTS[Silver - Country],T_SV_MEDALS[[#This Row],[COUNTRY ABBR]])+COUNTIFS(T_2016_EVENT_RESULTS[SPORT],I_SV_SPORT,T_2016_EVENT_RESULTS[Silver - Country - 2],T_SV_MEDALS[[#This Row],[COUNTRY ABBR]])+COUNTIFS(T_2016_EVENT_RESULTS[SPORT],I_SV_SPORT,T_2016_EVENT_RESULTS[Silver - Country - 3],T_SV_MEDALS[[#This Row],[COUNTRY ABBR]]),"")</f>
        <v/>
      </c>
      <c r="L10" t="str">
        <f>IF(I_VIEW=3, COUNTIFS(T_2016_EVENT_RESULTS[SPORT],I_SV_SPORT,T_2016_EVENT_RESULTS[Bronze - Country],T_SV_MEDALS[[#This Row],[COUNTRY ABBR]])+COUNTIFS(T_2016_EVENT_RESULTS[SPORT],I_SV_SPORT,T_2016_EVENT_RESULTS[Bronze - Country - 2],T_SV_MEDALS[[#This Row],[COUNTRY ABBR]]),"")</f>
        <v/>
      </c>
      <c r="M10" s="3">
        <f>SUM(T_SV_MEDALS[[#This Row],[SV_GOLD]:[SV_BRONZE]])</f>
        <v>0</v>
      </c>
      <c r="N10" s="3" t="str">
        <f>IF(T_SV_MEDALS[[#This Row],[SV_TOTAL]]=0,"",IF(I_RANK_METHOD="TOTAL",(T_SV_MEDALS[[#This Row],[SV_TOTAL]]*10000000),0)+(T_SV_MEDALS[[#This Row],[SV_GOLD]]*100000)+(T_SV_MEDALS[[#This Row],[SV_SILVER]]*1000)+(T_SV_MEDALS[[#This Row],[SV_BRONZE]]*10))</f>
        <v/>
      </c>
      <c r="O10" s="3" t="str">
        <f>IFERROR(IF(T_SV_MEDALS[[#This Row],[SV_TOTAL]]=0,"",RANK(T_SV_MEDALS[[#This Row],[SV_RANK VALUE]],T_SV_MEDALS[SV_RANK VALUE])),"")</f>
        <v/>
      </c>
      <c r="P10" s="3" t="str">
        <f>IFERROR(IF(T_SV_MEDALS[[#This Row],[SV_TOTAL]]=0,"",RANK(T_SV_MEDALS[[#This Row],[SV_RANK VALUE]],T_SV_MEDALS[SV_RANK VALUE])+COUNTIF($O$2:O9,O10)),"")</f>
        <v/>
      </c>
      <c r="Q10" s="3">
        <f>IFERROR(T_SV_MEDALS[[#This Row],[SV_TOTAL]]/T_SV_MEDALS[[#This Row],[TOTAL]],"")</f>
        <v>0</v>
      </c>
      <c r="R10" s="3" t="str">
        <f>IFERROR(IF(T_SV_MEDALS[[#This Row],[SV_TOTAL]]=0,"",RANK(T_SV_MEDALS[[#This Row],[Dependency - Rank Value]],T_SV_MEDALS[Dependency - Rank Value])+COUNTIF($Q$2:Q9,Q10)),"")</f>
        <v/>
      </c>
    </row>
    <row r="11" spans="1:18" x14ac:dyDescent="0.25">
      <c r="A11" t="s">
        <v>17</v>
      </c>
      <c r="B11" t="s">
        <v>18</v>
      </c>
      <c r="C11" s="3">
        <f>IF(I_VIEW=2,"",COUNTIFS(T_2016_EVENT_RESULTS[Gold - Country],T_SV_MEDALS[[#This Row],[COUNTRY ABBR]])+COUNTIFS(T_2016_EVENT_RESULTS[Gold - Country - 2],T_SV_MEDALS[[#This Row],[COUNTRY ABBR]]))</f>
        <v>1</v>
      </c>
      <c r="D11" s="3">
        <f>IF(I_VIEW=2,"",COUNTIFS(T_2016_EVENT_RESULTS[Silver - Country],T_SV_MEDALS[[#This Row],[COUNTRY ABBR]])+COUNTIFS(T_2016_EVENT_RESULTS[Silver - Country - 2],T_SV_MEDALS[[#This Row],[COUNTRY ABBR]])+COUNTIFS(T_2016_EVENT_RESULTS[Silver - Country - 3],T_SV_MEDALS[[#This Row],[COUNTRY ABBR]]))</f>
        <v>3</v>
      </c>
      <c r="E11" s="3">
        <f>IF(I_VIEW=2,"",COUNTIFS(T_2016_EVENT_RESULTS[Bronze - Country],T_SV_MEDALS[[#This Row],[COUNTRY ABBR]])+COUNTIFS(T_2016_EVENT_RESULTS[Bronze - Country - 2],T_SV_MEDALS[[#This Row],[COUNTRY ABBR]]))</f>
        <v>0</v>
      </c>
      <c r="F11" s="3">
        <f>SUM(T_SV_MEDALS[[#This Row],[GOLD]:[BRONZE]])</f>
        <v>4</v>
      </c>
      <c r="G11" s="3">
        <f>IF(T_SV_MEDALS[[#This Row],[TOTAL]]=0,"",IF(I_RANK_METHOD="TOTAL",(T_SV_MEDALS[[#This Row],[TOTAL]]*10000000),0)+(T_SV_MEDALS[[#This Row],[GOLD]]*100000)+(T_SV_MEDALS[[#This Row],[SILVER]]*1000)+(T_SV_MEDALS[[#This Row],[BRONZE]]*10))</f>
        <v>40103000</v>
      </c>
      <c r="H11" s="3">
        <f>IFERROR(IF(T_SV_MEDALS[[#This Row],[TOTAL]]=0,"",RANK(T_SV_MEDALS[[#This Row],[RANK VALUE]],T_SV_MEDALS[RANK VALUE])),"")</f>
        <v>47</v>
      </c>
      <c r="I11" s="3">
        <f>IFERROR(IF(T_SV_MEDALS[[#This Row],[TOTAL]]=0,"",RANK(T_SV_MEDALS[[#This Row],[RANK VALUE]],T_SV_MEDALS[RANK VALUE])+COUNTIF($H$2:H10,H11)),"")</f>
        <v>47</v>
      </c>
      <c r="J11" t="str">
        <f>IF(I_VIEW=3, COUNTIFS(T_2016_EVENT_RESULTS[SPORT],I_SV_SPORT,T_2016_EVENT_RESULTS[Gold - Country],T_SV_MEDALS[[#This Row],[COUNTRY ABBR]])+COUNTIFS(T_2016_EVENT_RESULTS[SPORT],I_SV_SPORT,T_2016_EVENT_RESULTS[Gold - Country - 2],T_SV_MEDALS[[#This Row],[COUNTRY ABBR]]),"")</f>
        <v/>
      </c>
      <c r="K11" t="str">
        <f>IF(I_VIEW=3, COUNTIFS(T_2016_EVENT_RESULTS[SPORT],I_SV_SPORT,T_2016_EVENT_RESULTS[Silver - Country],T_SV_MEDALS[[#This Row],[COUNTRY ABBR]])+COUNTIFS(T_2016_EVENT_RESULTS[SPORT],I_SV_SPORT,T_2016_EVENT_RESULTS[Silver - Country - 2],T_SV_MEDALS[[#This Row],[COUNTRY ABBR]])+COUNTIFS(T_2016_EVENT_RESULTS[SPORT],I_SV_SPORT,T_2016_EVENT_RESULTS[Silver - Country - 3],T_SV_MEDALS[[#This Row],[COUNTRY ABBR]]),"")</f>
        <v/>
      </c>
      <c r="L11" t="str">
        <f>IF(I_VIEW=3, COUNTIFS(T_2016_EVENT_RESULTS[SPORT],I_SV_SPORT,T_2016_EVENT_RESULTS[Bronze - Country],T_SV_MEDALS[[#This Row],[COUNTRY ABBR]])+COUNTIFS(T_2016_EVENT_RESULTS[SPORT],I_SV_SPORT,T_2016_EVENT_RESULTS[Bronze - Country - 2],T_SV_MEDALS[[#This Row],[COUNTRY ABBR]]),"")</f>
        <v/>
      </c>
      <c r="M11" s="3">
        <f>SUM(T_SV_MEDALS[[#This Row],[SV_GOLD]:[SV_BRONZE]])</f>
        <v>0</v>
      </c>
      <c r="N11" s="3" t="str">
        <f>IF(T_SV_MEDALS[[#This Row],[SV_TOTAL]]=0,"",IF(I_RANK_METHOD="TOTAL",(T_SV_MEDALS[[#This Row],[SV_TOTAL]]*10000000),0)+(T_SV_MEDALS[[#This Row],[SV_GOLD]]*100000)+(T_SV_MEDALS[[#This Row],[SV_SILVER]]*1000)+(T_SV_MEDALS[[#This Row],[SV_BRONZE]]*10))</f>
        <v/>
      </c>
      <c r="O11" s="3" t="str">
        <f>IFERROR(IF(T_SV_MEDALS[[#This Row],[SV_TOTAL]]=0,"",RANK(T_SV_MEDALS[[#This Row],[SV_RANK VALUE]],T_SV_MEDALS[SV_RANK VALUE])),"")</f>
        <v/>
      </c>
      <c r="P11" s="3" t="str">
        <f>IFERROR(IF(T_SV_MEDALS[[#This Row],[SV_TOTAL]]=0,"",RANK(T_SV_MEDALS[[#This Row],[SV_RANK VALUE]],T_SV_MEDALS[SV_RANK VALUE])+COUNTIF($O$2:O10,O11)),"")</f>
        <v/>
      </c>
      <c r="Q11" s="3">
        <f>IFERROR(T_SV_MEDALS[[#This Row],[SV_TOTAL]]/T_SV_MEDALS[[#This Row],[TOTAL]],"")</f>
        <v>0</v>
      </c>
      <c r="R11" s="3" t="str">
        <f>IFERROR(IF(T_SV_MEDALS[[#This Row],[SV_TOTAL]]=0,"",RANK(T_SV_MEDALS[[#This Row],[Dependency - Rank Value]],T_SV_MEDALS[Dependency - Rank Value])+COUNTIF($Q$2:Q10,Q11)),"")</f>
        <v/>
      </c>
    </row>
    <row r="12" spans="1:18" x14ac:dyDescent="0.25">
      <c r="A12" t="s">
        <v>451</v>
      </c>
      <c r="B12" t="s">
        <v>19</v>
      </c>
      <c r="C12" s="3">
        <f>IF(I_VIEW=2,"",COUNTIFS(T_2016_EVENT_RESULTS[Gold - Country],T_SV_MEDALS[[#This Row],[COUNTRY ABBR]])+COUNTIFS(T_2016_EVENT_RESULTS[Gold - Country - 2],T_SV_MEDALS[[#This Row],[COUNTRY ABBR]]))</f>
        <v>0</v>
      </c>
      <c r="D12" s="3">
        <f>IF(I_VIEW=2,"",COUNTIFS(T_2016_EVENT_RESULTS[Silver - Country],T_SV_MEDALS[[#This Row],[COUNTRY ABBR]])+COUNTIFS(T_2016_EVENT_RESULTS[Silver - Country - 2],T_SV_MEDALS[[#This Row],[COUNTRY ABBR]])+COUNTIFS(T_2016_EVENT_RESULTS[Silver - Country - 3],T_SV_MEDALS[[#This Row],[COUNTRY ABBR]]))</f>
        <v>0</v>
      </c>
      <c r="E12" s="3">
        <f>IF(I_VIEW=2,"",COUNTIFS(T_2016_EVENT_RESULTS[Bronze - Country],T_SV_MEDALS[[#This Row],[COUNTRY ABBR]])+COUNTIFS(T_2016_EVENT_RESULTS[Bronze - Country - 2],T_SV_MEDALS[[#This Row],[COUNTRY ABBR]]))</f>
        <v>0</v>
      </c>
      <c r="F12" s="3">
        <f>SUM(T_SV_MEDALS[[#This Row],[GOLD]:[BRONZE]])</f>
        <v>0</v>
      </c>
      <c r="G12" s="3" t="str">
        <f>IF(T_SV_MEDALS[[#This Row],[TOTAL]]=0,"",IF(I_RANK_METHOD="TOTAL",(T_SV_MEDALS[[#This Row],[TOTAL]]*10000000),0)+(T_SV_MEDALS[[#This Row],[GOLD]]*100000)+(T_SV_MEDALS[[#This Row],[SILVER]]*1000)+(T_SV_MEDALS[[#This Row],[BRONZE]]*10))</f>
        <v/>
      </c>
      <c r="H12" s="3" t="str">
        <f>IFERROR(IF(T_SV_MEDALS[[#This Row],[TOTAL]]=0,"",RANK(T_SV_MEDALS[[#This Row],[RANK VALUE]],T_SV_MEDALS[RANK VALUE])),"")</f>
        <v/>
      </c>
      <c r="I12" s="3" t="str">
        <f>IFERROR(IF(T_SV_MEDALS[[#This Row],[TOTAL]]=0,"",RANK(T_SV_MEDALS[[#This Row],[RANK VALUE]],T_SV_MEDALS[RANK VALUE])+COUNTIF($H$2:H11,H12)),"")</f>
        <v/>
      </c>
      <c r="J12" t="str">
        <f>IF(I_VIEW=3, COUNTIFS(T_2016_EVENT_RESULTS[SPORT],I_SV_SPORT,T_2016_EVENT_RESULTS[Gold - Country],T_SV_MEDALS[[#This Row],[COUNTRY ABBR]])+COUNTIFS(T_2016_EVENT_RESULTS[SPORT],I_SV_SPORT,T_2016_EVENT_RESULTS[Gold - Country - 2],T_SV_MEDALS[[#This Row],[COUNTRY ABBR]]),"")</f>
        <v/>
      </c>
      <c r="K12" t="str">
        <f>IF(I_VIEW=3, COUNTIFS(T_2016_EVENT_RESULTS[SPORT],I_SV_SPORT,T_2016_EVENT_RESULTS[Silver - Country],T_SV_MEDALS[[#This Row],[COUNTRY ABBR]])+COUNTIFS(T_2016_EVENT_RESULTS[SPORT],I_SV_SPORT,T_2016_EVENT_RESULTS[Silver - Country - 2],T_SV_MEDALS[[#This Row],[COUNTRY ABBR]])+COUNTIFS(T_2016_EVENT_RESULTS[SPORT],I_SV_SPORT,T_2016_EVENT_RESULTS[Silver - Country - 3],T_SV_MEDALS[[#This Row],[COUNTRY ABBR]]),"")</f>
        <v/>
      </c>
      <c r="L12" t="str">
        <f>IF(I_VIEW=3, COUNTIFS(T_2016_EVENT_RESULTS[SPORT],I_SV_SPORT,T_2016_EVENT_RESULTS[Bronze - Country],T_SV_MEDALS[[#This Row],[COUNTRY ABBR]])+COUNTIFS(T_2016_EVENT_RESULTS[SPORT],I_SV_SPORT,T_2016_EVENT_RESULTS[Bronze - Country - 2],T_SV_MEDALS[[#This Row],[COUNTRY ABBR]]),"")</f>
        <v/>
      </c>
      <c r="M12" s="3">
        <f>SUM(T_SV_MEDALS[[#This Row],[SV_GOLD]:[SV_BRONZE]])</f>
        <v>0</v>
      </c>
      <c r="N12" s="3" t="str">
        <f>IF(T_SV_MEDALS[[#This Row],[SV_TOTAL]]=0,"",IF(I_RANK_METHOD="TOTAL",(T_SV_MEDALS[[#This Row],[SV_TOTAL]]*10000000),0)+(T_SV_MEDALS[[#This Row],[SV_GOLD]]*100000)+(T_SV_MEDALS[[#This Row],[SV_SILVER]]*1000)+(T_SV_MEDALS[[#This Row],[SV_BRONZE]]*10))</f>
        <v/>
      </c>
      <c r="O12" s="3" t="str">
        <f>IFERROR(IF(T_SV_MEDALS[[#This Row],[SV_TOTAL]]=0,"",RANK(T_SV_MEDALS[[#This Row],[SV_RANK VALUE]],T_SV_MEDALS[SV_RANK VALUE])),"")</f>
        <v/>
      </c>
      <c r="P12" s="3" t="str">
        <f>IFERROR(IF(T_SV_MEDALS[[#This Row],[SV_TOTAL]]=0,"",RANK(T_SV_MEDALS[[#This Row],[SV_RANK VALUE]],T_SV_MEDALS[SV_RANK VALUE])+COUNTIF($O$2:O11,O12)),"")</f>
        <v/>
      </c>
      <c r="Q12" s="3" t="str">
        <f>IFERROR(T_SV_MEDALS[[#This Row],[SV_TOTAL]]/T_SV_MEDALS[[#This Row],[TOTAL]],"")</f>
        <v/>
      </c>
      <c r="R12" s="3" t="str">
        <f>IFERROR(IF(T_SV_MEDALS[[#This Row],[SV_TOTAL]]=0,"",RANK(T_SV_MEDALS[[#This Row],[Dependency - Rank Value]],T_SV_MEDALS[Dependency - Rank Value])+COUNTIF($Q$2:Q11,Q12)),"")</f>
        <v/>
      </c>
    </row>
    <row r="13" spans="1:18" x14ac:dyDescent="0.25">
      <c r="A13" t="s">
        <v>20</v>
      </c>
      <c r="B13" t="s">
        <v>21</v>
      </c>
      <c r="C13" s="3">
        <f>IF(I_VIEW=2,"",COUNTIFS(T_2016_EVENT_RESULTS[Gold - Country],T_SV_MEDALS[[#This Row],[COUNTRY ABBR]])+COUNTIFS(T_2016_EVENT_RESULTS[Gold - Country - 2],T_SV_MEDALS[[#This Row],[COUNTRY ABBR]]))</f>
        <v>8</v>
      </c>
      <c r="D13" s="3">
        <f>IF(I_VIEW=2,"",COUNTIFS(T_2016_EVENT_RESULTS[Silver - Country],T_SV_MEDALS[[#This Row],[COUNTRY ABBR]])+COUNTIFS(T_2016_EVENT_RESULTS[Silver - Country - 2],T_SV_MEDALS[[#This Row],[COUNTRY ABBR]])+COUNTIFS(T_2016_EVENT_RESULTS[Silver - Country - 3],T_SV_MEDALS[[#This Row],[COUNTRY ABBR]]))</f>
        <v>11</v>
      </c>
      <c r="E13" s="3">
        <f>IF(I_VIEW=2,"",COUNTIFS(T_2016_EVENT_RESULTS[Bronze - Country],T_SV_MEDALS[[#This Row],[COUNTRY ABBR]])+COUNTIFS(T_2016_EVENT_RESULTS[Bronze - Country - 2],T_SV_MEDALS[[#This Row],[COUNTRY ABBR]]))</f>
        <v>10</v>
      </c>
      <c r="F13" s="3">
        <f>SUM(T_SV_MEDALS[[#This Row],[GOLD]:[BRONZE]])</f>
        <v>29</v>
      </c>
      <c r="G13" s="3">
        <f>IF(T_SV_MEDALS[[#This Row],[TOTAL]]=0,"",IF(I_RANK_METHOD="TOTAL",(T_SV_MEDALS[[#This Row],[TOTAL]]*10000000),0)+(T_SV_MEDALS[[#This Row],[GOLD]]*100000)+(T_SV_MEDALS[[#This Row],[SILVER]]*1000)+(T_SV_MEDALS[[#This Row],[BRONZE]]*10))</f>
        <v>290811100</v>
      </c>
      <c r="H13" s="3">
        <f>IFERROR(IF(T_SV_MEDALS[[#This Row],[TOTAL]]=0,"",RANK(T_SV_MEDALS[[#This Row],[RANK VALUE]],T_SV_MEDALS[RANK VALUE])),"")</f>
        <v>8</v>
      </c>
      <c r="I13" s="3">
        <f>IFERROR(IF(T_SV_MEDALS[[#This Row],[TOTAL]]=0,"",RANK(T_SV_MEDALS[[#This Row],[RANK VALUE]],T_SV_MEDALS[RANK VALUE])+COUNTIF($H$2:H12,H13)),"")</f>
        <v>8</v>
      </c>
      <c r="J13" t="str">
        <f>IF(I_VIEW=3, COUNTIFS(T_2016_EVENT_RESULTS[SPORT],I_SV_SPORT,T_2016_EVENT_RESULTS[Gold - Country],T_SV_MEDALS[[#This Row],[COUNTRY ABBR]])+COUNTIFS(T_2016_EVENT_RESULTS[SPORT],I_SV_SPORT,T_2016_EVENT_RESULTS[Gold - Country - 2],T_SV_MEDALS[[#This Row],[COUNTRY ABBR]]),"")</f>
        <v/>
      </c>
      <c r="K13" t="str">
        <f>IF(I_VIEW=3, COUNTIFS(T_2016_EVENT_RESULTS[SPORT],I_SV_SPORT,T_2016_EVENT_RESULTS[Silver - Country],T_SV_MEDALS[[#This Row],[COUNTRY ABBR]])+COUNTIFS(T_2016_EVENT_RESULTS[SPORT],I_SV_SPORT,T_2016_EVENT_RESULTS[Silver - Country - 2],T_SV_MEDALS[[#This Row],[COUNTRY ABBR]])+COUNTIFS(T_2016_EVENT_RESULTS[SPORT],I_SV_SPORT,T_2016_EVENT_RESULTS[Silver - Country - 3],T_SV_MEDALS[[#This Row],[COUNTRY ABBR]]),"")</f>
        <v/>
      </c>
      <c r="L13" t="str">
        <f>IF(I_VIEW=3, COUNTIFS(T_2016_EVENT_RESULTS[SPORT],I_SV_SPORT,T_2016_EVENT_RESULTS[Bronze - Country],T_SV_MEDALS[[#This Row],[COUNTRY ABBR]])+COUNTIFS(T_2016_EVENT_RESULTS[SPORT],I_SV_SPORT,T_2016_EVENT_RESULTS[Bronze - Country - 2],T_SV_MEDALS[[#This Row],[COUNTRY ABBR]]),"")</f>
        <v/>
      </c>
      <c r="M13" s="3">
        <f>SUM(T_SV_MEDALS[[#This Row],[SV_GOLD]:[SV_BRONZE]])</f>
        <v>0</v>
      </c>
      <c r="N13" s="3" t="str">
        <f>IF(T_SV_MEDALS[[#This Row],[SV_TOTAL]]=0,"",IF(I_RANK_METHOD="TOTAL",(T_SV_MEDALS[[#This Row],[SV_TOTAL]]*10000000),0)+(T_SV_MEDALS[[#This Row],[SV_GOLD]]*100000)+(T_SV_MEDALS[[#This Row],[SV_SILVER]]*1000)+(T_SV_MEDALS[[#This Row],[SV_BRONZE]]*10))</f>
        <v/>
      </c>
      <c r="O13" s="3" t="str">
        <f>IFERROR(IF(T_SV_MEDALS[[#This Row],[SV_TOTAL]]=0,"",RANK(T_SV_MEDALS[[#This Row],[SV_RANK VALUE]],T_SV_MEDALS[SV_RANK VALUE])),"")</f>
        <v/>
      </c>
      <c r="P13" s="3" t="str">
        <f>IFERROR(IF(T_SV_MEDALS[[#This Row],[SV_TOTAL]]=0,"",RANK(T_SV_MEDALS[[#This Row],[SV_RANK VALUE]],T_SV_MEDALS[SV_RANK VALUE])+COUNTIF($O$2:O12,O13)),"")</f>
        <v/>
      </c>
      <c r="Q13" s="3">
        <f>IFERROR(T_SV_MEDALS[[#This Row],[SV_TOTAL]]/T_SV_MEDALS[[#This Row],[TOTAL]],"")</f>
        <v>0</v>
      </c>
      <c r="R13" s="3" t="str">
        <f>IFERROR(IF(T_SV_MEDALS[[#This Row],[SV_TOTAL]]=0,"",RANK(T_SV_MEDALS[[#This Row],[Dependency - Rank Value]],T_SV_MEDALS[Dependency - Rank Value])+COUNTIF($Q$2:Q12,Q13)),"")</f>
        <v/>
      </c>
    </row>
    <row r="14" spans="1:18" x14ac:dyDescent="0.25">
      <c r="A14" t="s">
        <v>22</v>
      </c>
      <c r="B14" t="s">
        <v>23</v>
      </c>
      <c r="C14" s="3">
        <f>IF(I_VIEW=2,"",COUNTIFS(T_2016_EVENT_RESULTS[Gold - Country],T_SV_MEDALS[[#This Row],[COUNTRY ABBR]])+COUNTIFS(T_2016_EVENT_RESULTS[Gold - Country - 2],T_SV_MEDALS[[#This Row],[COUNTRY ABBR]]))</f>
        <v>0</v>
      </c>
      <c r="D14" s="3">
        <f>IF(I_VIEW=2,"",COUNTIFS(T_2016_EVENT_RESULTS[Silver - Country],T_SV_MEDALS[[#This Row],[COUNTRY ABBR]])+COUNTIFS(T_2016_EVENT_RESULTS[Silver - Country - 2],T_SV_MEDALS[[#This Row],[COUNTRY ABBR]])+COUNTIFS(T_2016_EVENT_RESULTS[Silver - Country - 3],T_SV_MEDALS[[#This Row],[COUNTRY ABBR]]))</f>
        <v>0</v>
      </c>
      <c r="E14" s="3">
        <f>IF(I_VIEW=2,"",COUNTIFS(T_2016_EVENT_RESULTS[Bronze - Country],T_SV_MEDALS[[#This Row],[COUNTRY ABBR]])+COUNTIFS(T_2016_EVENT_RESULTS[Bronze - Country - 2],T_SV_MEDALS[[#This Row],[COUNTRY ABBR]]))</f>
        <v>1</v>
      </c>
      <c r="F14" s="3">
        <f>SUM(T_SV_MEDALS[[#This Row],[GOLD]:[BRONZE]])</f>
        <v>1</v>
      </c>
      <c r="G14" s="3">
        <f>IF(T_SV_MEDALS[[#This Row],[TOTAL]]=0,"",IF(I_RANK_METHOD="TOTAL",(T_SV_MEDALS[[#This Row],[TOTAL]]*10000000),0)+(T_SV_MEDALS[[#This Row],[GOLD]]*100000)+(T_SV_MEDALS[[#This Row],[SILVER]]*1000)+(T_SV_MEDALS[[#This Row],[BRONZE]]*10))</f>
        <v>10000010</v>
      </c>
      <c r="H14" s="3">
        <f>IFERROR(IF(T_SV_MEDALS[[#This Row],[TOTAL]]=0,"",RANK(T_SV_MEDALS[[#This Row],[RANK VALUE]],T_SV_MEDALS[RANK VALUE])),"")</f>
        <v>78</v>
      </c>
      <c r="I14" s="3">
        <f>IFERROR(IF(T_SV_MEDALS[[#This Row],[TOTAL]]=0,"",RANK(T_SV_MEDALS[[#This Row],[RANK VALUE]],T_SV_MEDALS[RANK VALUE])+COUNTIF($H$2:H13,H14)),"")</f>
        <v>78</v>
      </c>
      <c r="J14" t="str">
        <f>IF(I_VIEW=3, COUNTIFS(T_2016_EVENT_RESULTS[SPORT],I_SV_SPORT,T_2016_EVENT_RESULTS[Gold - Country],T_SV_MEDALS[[#This Row],[COUNTRY ABBR]])+COUNTIFS(T_2016_EVENT_RESULTS[SPORT],I_SV_SPORT,T_2016_EVENT_RESULTS[Gold - Country - 2],T_SV_MEDALS[[#This Row],[COUNTRY ABBR]]),"")</f>
        <v/>
      </c>
      <c r="K14" t="str">
        <f>IF(I_VIEW=3, COUNTIFS(T_2016_EVENT_RESULTS[SPORT],I_SV_SPORT,T_2016_EVENT_RESULTS[Silver - Country],T_SV_MEDALS[[#This Row],[COUNTRY ABBR]])+COUNTIFS(T_2016_EVENT_RESULTS[SPORT],I_SV_SPORT,T_2016_EVENT_RESULTS[Silver - Country - 2],T_SV_MEDALS[[#This Row],[COUNTRY ABBR]])+COUNTIFS(T_2016_EVENT_RESULTS[SPORT],I_SV_SPORT,T_2016_EVENT_RESULTS[Silver - Country - 3],T_SV_MEDALS[[#This Row],[COUNTRY ABBR]]),"")</f>
        <v/>
      </c>
      <c r="L14" t="str">
        <f>IF(I_VIEW=3, COUNTIFS(T_2016_EVENT_RESULTS[SPORT],I_SV_SPORT,T_2016_EVENT_RESULTS[Bronze - Country],T_SV_MEDALS[[#This Row],[COUNTRY ABBR]])+COUNTIFS(T_2016_EVENT_RESULTS[SPORT],I_SV_SPORT,T_2016_EVENT_RESULTS[Bronze - Country - 2],T_SV_MEDALS[[#This Row],[COUNTRY ABBR]]),"")</f>
        <v/>
      </c>
      <c r="M14" s="3">
        <f>SUM(T_SV_MEDALS[[#This Row],[SV_GOLD]:[SV_BRONZE]])</f>
        <v>0</v>
      </c>
      <c r="N14" s="3" t="str">
        <f>IF(T_SV_MEDALS[[#This Row],[SV_TOTAL]]=0,"",IF(I_RANK_METHOD="TOTAL",(T_SV_MEDALS[[#This Row],[SV_TOTAL]]*10000000),0)+(T_SV_MEDALS[[#This Row],[SV_GOLD]]*100000)+(T_SV_MEDALS[[#This Row],[SV_SILVER]]*1000)+(T_SV_MEDALS[[#This Row],[SV_BRONZE]]*10))</f>
        <v/>
      </c>
      <c r="O14" s="3" t="str">
        <f>IFERROR(IF(T_SV_MEDALS[[#This Row],[SV_TOTAL]]=0,"",RANK(T_SV_MEDALS[[#This Row],[SV_RANK VALUE]],T_SV_MEDALS[SV_RANK VALUE])),"")</f>
        <v/>
      </c>
      <c r="P14" s="3" t="str">
        <f>IFERROR(IF(T_SV_MEDALS[[#This Row],[SV_TOTAL]]=0,"",RANK(T_SV_MEDALS[[#This Row],[SV_RANK VALUE]],T_SV_MEDALS[SV_RANK VALUE])+COUNTIF($O$2:O13,O14)),"")</f>
        <v/>
      </c>
      <c r="Q14" s="3">
        <f>IFERROR(T_SV_MEDALS[[#This Row],[SV_TOTAL]]/T_SV_MEDALS[[#This Row],[TOTAL]],"")</f>
        <v>0</v>
      </c>
      <c r="R14" s="3" t="str">
        <f>IFERROR(IF(T_SV_MEDALS[[#This Row],[SV_TOTAL]]=0,"",RANK(T_SV_MEDALS[[#This Row],[Dependency - Rank Value]],T_SV_MEDALS[Dependency - Rank Value])+COUNTIF($Q$2:Q13,Q14)),"")</f>
        <v/>
      </c>
    </row>
    <row r="15" spans="1:18" x14ac:dyDescent="0.25">
      <c r="A15" t="s">
        <v>24</v>
      </c>
      <c r="B15" t="s">
        <v>25</v>
      </c>
      <c r="C15" s="3">
        <f>IF(I_VIEW=2,"",COUNTIFS(T_2016_EVENT_RESULTS[Gold - Country],T_SV_MEDALS[[#This Row],[COUNTRY ABBR]])+COUNTIFS(T_2016_EVENT_RESULTS[Gold - Country - 2],T_SV_MEDALS[[#This Row],[COUNTRY ABBR]]))</f>
        <v>1</v>
      </c>
      <c r="D15" s="3">
        <f>IF(I_VIEW=2,"",COUNTIFS(T_2016_EVENT_RESULTS[Silver - Country],T_SV_MEDALS[[#This Row],[COUNTRY ABBR]])+COUNTIFS(T_2016_EVENT_RESULTS[Silver - Country - 2],T_SV_MEDALS[[#This Row],[COUNTRY ABBR]])+COUNTIFS(T_2016_EVENT_RESULTS[Silver - Country - 3],T_SV_MEDALS[[#This Row],[COUNTRY ABBR]]))</f>
        <v>7</v>
      </c>
      <c r="E15" s="3">
        <f>IF(I_VIEW=2,"",COUNTIFS(T_2016_EVENT_RESULTS[Bronze - Country],T_SV_MEDALS[[#This Row],[COUNTRY ABBR]])+COUNTIFS(T_2016_EVENT_RESULTS[Bronze - Country - 2],T_SV_MEDALS[[#This Row],[COUNTRY ABBR]]))</f>
        <v>10</v>
      </c>
      <c r="F15" s="3">
        <f>SUM(T_SV_MEDALS[[#This Row],[GOLD]:[BRONZE]])</f>
        <v>18</v>
      </c>
      <c r="G15" s="3">
        <f>IF(T_SV_MEDALS[[#This Row],[TOTAL]]=0,"",IF(I_RANK_METHOD="TOTAL",(T_SV_MEDALS[[#This Row],[TOTAL]]*10000000),0)+(T_SV_MEDALS[[#This Row],[GOLD]]*100000)+(T_SV_MEDALS[[#This Row],[SILVER]]*1000)+(T_SV_MEDALS[[#This Row],[BRONZE]]*10))</f>
        <v>180107100</v>
      </c>
      <c r="H15" s="3">
        <f>IFERROR(IF(T_SV_MEDALS[[#This Row],[TOTAL]]=0,"",RANK(T_SV_MEDALS[[#This Row],[RANK VALUE]],T_SV_MEDALS[RANK VALUE])),"")</f>
        <v>15</v>
      </c>
      <c r="I15" s="3">
        <f>IFERROR(IF(T_SV_MEDALS[[#This Row],[TOTAL]]=0,"",RANK(T_SV_MEDALS[[#This Row],[RANK VALUE]],T_SV_MEDALS[RANK VALUE])+COUNTIF($H$2:H14,H15)),"")</f>
        <v>15</v>
      </c>
      <c r="J15" t="str">
        <f>IF(I_VIEW=3, COUNTIFS(T_2016_EVENT_RESULTS[SPORT],I_SV_SPORT,T_2016_EVENT_RESULTS[Gold - Country],T_SV_MEDALS[[#This Row],[COUNTRY ABBR]])+COUNTIFS(T_2016_EVENT_RESULTS[SPORT],I_SV_SPORT,T_2016_EVENT_RESULTS[Gold - Country - 2],T_SV_MEDALS[[#This Row],[COUNTRY ABBR]]),"")</f>
        <v/>
      </c>
      <c r="K15" t="str">
        <f>IF(I_VIEW=3, COUNTIFS(T_2016_EVENT_RESULTS[SPORT],I_SV_SPORT,T_2016_EVENT_RESULTS[Silver - Country],T_SV_MEDALS[[#This Row],[COUNTRY ABBR]])+COUNTIFS(T_2016_EVENT_RESULTS[SPORT],I_SV_SPORT,T_2016_EVENT_RESULTS[Silver - Country - 2],T_SV_MEDALS[[#This Row],[COUNTRY ABBR]])+COUNTIFS(T_2016_EVENT_RESULTS[SPORT],I_SV_SPORT,T_2016_EVENT_RESULTS[Silver - Country - 3],T_SV_MEDALS[[#This Row],[COUNTRY ABBR]]),"")</f>
        <v/>
      </c>
      <c r="L15" t="str">
        <f>IF(I_VIEW=3, COUNTIFS(T_2016_EVENT_RESULTS[SPORT],I_SV_SPORT,T_2016_EVENT_RESULTS[Bronze - Country],T_SV_MEDALS[[#This Row],[COUNTRY ABBR]])+COUNTIFS(T_2016_EVENT_RESULTS[SPORT],I_SV_SPORT,T_2016_EVENT_RESULTS[Bronze - Country - 2],T_SV_MEDALS[[#This Row],[COUNTRY ABBR]]),"")</f>
        <v/>
      </c>
      <c r="M15" s="3">
        <f>SUM(T_SV_MEDALS[[#This Row],[SV_GOLD]:[SV_BRONZE]])</f>
        <v>0</v>
      </c>
      <c r="N15" s="3" t="str">
        <f>IF(T_SV_MEDALS[[#This Row],[SV_TOTAL]]=0,"",IF(I_RANK_METHOD="TOTAL",(T_SV_MEDALS[[#This Row],[SV_TOTAL]]*10000000),0)+(T_SV_MEDALS[[#This Row],[SV_GOLD]]*100000)+(T_SV_MEDALS[[#This Row],[SV_SILVER]]*1000)+(T_SV_MEDALS[[#This Row],[SV_BRONZE]]*10))</f>
        <v/>
      </c>
      <c r="O15" s="3" t="str">
        <f>IFERROR(IF(T_SV_MEDALS[[#This Row],[SV_TOTAL]]=0,"",RANK(T_SV_MEDALS[[#This Row],[SV_RANK VALUE]],T_SV_MEDALS[SV_RANK VALUE])),"")</f>
        <v/>
      </c>
      <c r="P15" s="3" t="str">
        <f>IFERROR(IF(T_SV_MEDALS[[#This Row],[SV_TOTAL]]=0,"",RANK(T_SV_MEDALS[[#This Row],[SV_RANK VALUE]],T_SV_MEDALS[SV_RANK VALUE])+COUNTIF($O$2:O14,O15)),"")</f>
        <v/>
      </c>
      <c r="Q15" s="3">
        <f>IFERROR(T_SV_MEDALS[[#This Row],[SV_TOTAL]]/T_SV_MEDALS[[#This Row],[TOTAL]],"")</f>
        <v>0</v>
      </c>
      <c r="R15" s="3" t="str">
        <f>IFERROR(IF(T_SV_MEDALS[[#This Row],[SV_TOTAL]]=0,"",RANK(T_SV_MEDALS[[#This Row],[Dependency - Rank Value]],T_SV_MEDALS[Dependency - Rank Value])+COUNTIF($Q$2:Q14,Q15)),"")</f>
        <v/>
      </c>
    </row>
    <row r="16" spans="1:18" x14ac:dyDescent="0.25">
      <c r="A16" t="s">
        <v>26</v>
      </c>
      <c r="B16" t="s">
        <v>27</v>
      </c>
      <c r="C16" s="3">
        <f>IF(I_VIEW=2,"",COUNTIFS(T_2016_EVENT_RESULTS[Gold - Country],T_SV_MEDALS[[#This Row],[COUNTRY ABBR]])+COUNTIFS(T_2016_EVENT_RESULTS[Gold - Country - 2],T_SV_MEDALS[[#This Row],[COUNTRY ABBR]]))</f>
        <v>1</v>
      </c>
      <c r="D16" s="3">
        <f>IF(I_VIEW=2,"",COUNTIFS(T_2016_EVENT_RESULTS[Silver - Country],T_SV_MEDALS[[#This Row],[COUNTRY ABBR]])+COUNTIFS(T_2016_EVENT_RESULTS[Silver - Country - 2],T_SV_MEDALS[[#This Row],[COUNTRY ABBR]])+COUNTIFS(T_2016_EVENT_RESULTS[Silver - Country - 3],T_SV_MEDALS[[#This Row],[COUNTRY ABBR]]))</f>
        <v>0</v>
      </c>
      <c r="E16" s="3">
        <f>IF(I_VIEW=2,"",COUNTIFS(T_2016_EVENT_RESULTS[Bronze - Country],T_SV_MEDALS[[#This Row],[COUNTRY ABBR]])+COUNTIFS(T_2016_EVENT_RESULTS[Bronze - Country - 2],T_SV_MEDALS[[#This Row],[COUNTRY ABBR]]))</f>
        <v>1</v>
      </c>
      <c r="F16" s="3">
        <f>SUM(T_SV_MEDALS[[#This Row],[GOLD]:[BRONZE]])</f>
        <v>2</v>
      </c>
      <c r="G16" s="3">
        <f>IF(T_SV_MEDALS[[#This Row],[TOTAL]]=0,"",IF(I_RANK_METHOD="TOTAL",(T_SV_MEDALS[[#This Row],[TOTAL]]*10000000),0)+(T_SV_MEDALS[[#This Row],[GOLD]]*100000)+(T_SV_MEDALS[[#This Row],[SILVER]]*1000)+(T_SV_MEDALS[[#This Row],[BRONZE]]*10))</f>
        <v>20100010</v>
      </c>
      <c r="H16" s="3">
        <f>IFERROR(IF(T_SV_MEDALS[[#This Row],[TOTAL]]=0,"",RANK(T_SV_MEDALS[[#This Row],[RANK VALUE]],T_SV_MEDALS[RANK VALUE])),"")</f>
        <v>59</v>
      </c>
      <c r="I16" s="3">
        <f>IFERROR(IF(T_SV_MEDALS[[#This Row],[TOTAL]]=0,"",RANK(T_SV_MEDALS[[#This Row],[RANK VALUE]],T_SV_MEDALS[RANK VALUE])+COUNTIF($H$2:H15,H16)),"")</f>
        <v>59</v>
      </c>
      <c r="J16" t="str">
        <f>IF(I_VIEW=3, COUNTIFS(T_2016_EVENT_RESULTS[SPORT],I_SV_SPORT,T_2016_EVENT_RESULTS[Gold - Country],T_SV_MEDALS[[#This Row],[COUNTRY ABBR]])+COUNTIFS(T_2016_EVENT_RESULTS[SPORT],I_SV_SPORT,T_2016_EVENT_RESULTS[Gold - Country - 2],T_SV_MEDALS[[#This Row],[COUNTRY ABBR]]),"")</f>
        <v/>
      </c>
      <c r="K16" t="str">
        <f>IF(I_VIEW=3, COUNTIFS(T_2016_EVENT_RESULTS[SPORT],I_SV_SPORT,T_2016_EVENT_RESULTS[Silver - Country],T_SV_MEDALS[[#This Row],[COUNTRY ABBR]])+COUNTIFS(T_2016_EVENT_RESULTS[SPORT],I_SV_SPORT,T_2016_EVENT_RESULTS[Silver - Country - 2],T_SV_MEDALS[[#This Row],[COUNTRY ABBR]])+COUNTIFS(T_2016_EVENT_RESULTS[SPORT],I_SV_SPORT,T_2016_EVENT_RESULTS[Silver - Country - 3],T_SV_MEDALS[[#This Row],[COUNTRY ABBR]]),"")</f>
        <v/>
      </c>
      <c r="L16" t="str">
        <f>IF(I_VIEW=3, COUNTIFS(T_2016_EVENT_RESULTS[SPORT],I_SV_SPORT,T_2016_EVENT_RESULTS[Bronze - Country],T_SV_MEDALS[[#This Row],[COUNTRY ABBR]])+COUNTIFS(T_2016_EVENT_RESULTS[SPORT],I_SV_SPORT,T_2016_EVENT_RESULTS[Bronze - Country - 2],T_SV_MEDALS[[#This Row],[COUNTRY ABBR]]),"")</f>
        <v/>
      </c>
      <c r="M16" s="3">
        <f>SUM(T_SV_MEDALS[[#This Row],[SV_GOLD]:[SV_BRONZE]])</f>
        <v>0</v>
      </c>
      <c r="N16" s="3" t="str">
        <f>IF(T_SV_MEDALS[[#This Row],[SV_TOTAL]]=0,"",IF(I_RANK_METHOD="TOTAL",(T_SV_MEDALS[[#This Row],[SV_TOTAL]]*10000000),0)+(T_SV_MEDALS[[#This Row],[SV_GOLD]]*100000)+(T_SV_MEDALS[[#This Row],[SV_SILVER]]*1000)+(T_SV_MEDALS[[#This Row],[SV_BRONZE]]*10))</f>
        <v/>
      </c>
      <c r="O16" s="3" t="str">
        <f>IFERROR(IF(T_SV_MEDALS[[#This Row],[SV_TOTAL]]=0,"",RANK(T_SV_MEDALS[[#This Row],[SV_RANK VALUE]],T_SV_MEDALS[SV_RANK VALUE])),"")</f>
        <v/>
      </c>
      <c r="P16" s="3" t="str">
        <f>IFERROR(IF(T_SV_MEDALS[[#This Row],[SV_TOTAL]]=0,"",RANK(T_SV_MEDALS[[#This Row],[SV_RANK VALUE]],T_SV_MEDALS[SV_RANK VALUE])+COUNTIF($O$2:O15,O16)),"")</f>
        <v/>
      </c>
      <c r="Q16" s="3">
        <f>IFERROR(T_SV_MEDALS[[#This Row],[SV_TOTAL]]/T_SV_MEDALS[[#This Row],[TOTAL]],"")</f>
        <v>0</v>
      </c>
      <c r="R16" s="3" t="str">
        <f>IFERROR(IF(T_SV_MEDALS[[#This Row],[SV_TOTAL]]=0,"",RANK(T_SV_MEDALS[[#This Row],[Dependency - Rank Value]],T_SV_MEDALS[Dependency - Rank Value])+COUNTIF($Q$2:Q15,Q16)),"")</f>
        <v/>
      </c>
    </row>
    <row r="17" spans="1:18" x14ac:dyDescent="0.25">
      <c r="A17" t="s">
        <v>28</v>
      </c>
      <c r="B17" t="s">
        <v>29</v>
      </c>
      <c r="C17" s="3">
        <f>IF(I_VIEW=2,"",COUNTIFS(T_2016_EVENT_RESULTS[Gold - Country],T_SV_MEDALS[[#This Row],[COUNTRY ABBR]])+COUNTIFS(T_2016_EVENT_RESULTS[Gold - Country - 2],T_SV_MEDALS[[#This Row],[COUNTRY ABBR]]))</f>
        <v>1</v>
      </c>
      <c r="D17" s="3">
        <f>IF(I_VIEW=2,"",COUNTIFS(T_2016_EVENT_RESULTS[Silver - Country],T_SV_MEDALS[[#This Row],[COUNTRY ABBR]])+COUNTIFS(T_2016_EVENT_RESULTS[Silver - Country - 2],T_SV_MEDALS[[#This Row],[COUNTRY ABBR]])+COUNTIFS(T_2016_EVENT_RESULTS[Silver - Country - 3],T_SV_MEDALS[[#This Row],[COUNTRY ABBR]]))</f>
        <v>1</v>
      </c>
      <c r="E17" s="3">
        <f>IF(I_VIEW=2,"",COUNTIFS(T_2016_EVENT_RESULTS[Bronze - Country],T_SV_MEDALS[[#This Row],[COUNTRY ABBR]])+COUNTIFS(T_2016_EVENT_RESULTS[Bronze - Country - 2],T_SV_MEDALS[[#This Row],[COUNTRY ABBR]]))</f>
        <v>0</v>
      </c>
      <c r="F17" s="3">
        <f>SUM(T_SV_MEDALS[[#This Row],[GOLD]:[BRONZE]])</f>
        <v>2</v>
      </c>
      <c r="G17" s="3">
        <f>IF(T_SV_MEDALS[[#This Row],[TOTAL]]=0,"",IF(I_RANK_METHOD="TOTAL",(T_SV_MEDALS[[#This Row],[TOTAL]]*10000000),0)+(T_SV_MEDALS[[#This Row],[GOLD]]*100000)+(T_SV_MEDALS[[#This Row],[SILVER]]*1000)+(T_SV_MEDALS[[#This Row],[BRONZE]]*10))</f>
        <v>20101000</v>
      </c>
      <c r="H17" s="3">
        <f>IFERROR(IF(T_SV_MEDALS[[#This Row],[TOTAL]]=0,"",RANK(T_SV_MEDALS[[#This Row],[RANK VALUE]],T_SV_MEDALS[RANK VALUE])),"")</f>
        <v>57</v>
      </c>
      <c r="I17" s="3">
        <f>IFERROR(IF(T_SV_MEDALS[[#This Row],[TOTAL]]=0,"",RANK(T_SV_MEDALS[[#This Row],[RANK VALUE]],T_SV_MEDALS[RANK VALUE])+COUNTIF($H$2:H16,H17)),"")</f>
        <v>57</v>
      </c>
      <c r="J17" t="str">
        <f>IF(I_VIEW=3, COUNTIFS(T_2016_EVENT_RESULTS[SPORT],I_SV_SPORT,T_2016_EVENT_RESULTS[Gold - Country],T_SV_MEDALS[[#This Row],[COUNTRY ABBR]])+COUNTIFS(T_2016_EVENT_RESULTS[SPORT],I_SV_SPORT,T_2016_EVENT_RESULTS[Gold - Country - 2],T_SV_MEDALS[[#This Row],[COUNTRY ABBR]]),"")</f>
        <v/>
      </c>
      <c r="K17" t="str">
        <f>IF(I_VIEW=3, COUNTIFS(T_2016_EVENT_RESULTS[SPORT],I_SV_SPORT,T_2016_EVENT_RESULTS[Silver - Country],T_SV_MEDALS[[#This Row],[COUNTRY ABBR]])+COUNTIFS(T_2016_EVENT_RESULTS[SPORT],I_SV_SPORT,T_2016_EVENT_RESULTS[Silver - Country - 2],T_SV_MEDALS[[#This Row],[COUNTRY ABBR]])+COUNTIFS(T_2016_EVENT_RESULTS[SPORT],I_SV_SPORT,T_2016_EVENT_RESULTS[Silver - Country - 3],T_SV_MEDALS[[#This Row],[COUNTRY ABBR]]),"")</f>
        <v/>
      </c>
      <c r="L17" t="str">
        <f>IF(I_VIEW=3, COUNTIFS(T_2016_EVENT_RESULTS[SPORT],I_SV_SPORT,T_2016_EVENT_RESULTS[Bronze - Country],T_SV_MEDALS[[#This Row],[COUNTRY ABBR]])+COUNTIFS(T_2016_EVENT_RESULTS[SPORT],I_SV_SPORT,T_2016_EVENT_RESULTS[Bronze - Country - 2],T_SV_MEDALS[[#This Row],[COUNTRY ABBR]]),"")</f>
        <v/>
      </c>
      <c r="M17" s="3">
        <f>SUM(T_SV_MEDALS[[#This Row],[SV_GOLD]:[SV_BRONZE]])</f>
        <v>0</v>
      </c>
      <c r="N17" s="3" t="str">
        <f>IF(T_SV_MEDALS[[#This Row],[SV_TOTAL]]=0,"",IF(I_RANK_METHOD="TOTAL",(T_SV_MEDALS[[#This Row],[SV_TOTAL]]*10000000),0)+(T_SV_MEDALS[[#This Row],[SV_GOLD]]*100000)+(T_SV_MEDALS[[#This Row],[SV_SILVER]]*1000)+(T_SV_MEDALS[[#This Row],[SV_BRONZE]]*10))</f>
        <v/>
      </c>
      <c r="O17" s="3" t="str">
        <f>IFERROR(IF(T_SV_MEDALS[[#This Row],[SV_TOTAL]]=0,"",RANK(T_SV_MEDALS[[#This Row],[SV_RANK VALUE]],T_SV_MEDALS[SV_RANK VALUE])),"")</f>
        <v/>
      </c>
      <c r="P17" s="3" t="str">
        <f>IFERROR(IF(T_SV_MEDALS[[#This Row],[SV_TOTAL]]=0,"",RANK(T_SV_MEDALS[[#This Row],[SV_RANK VALUE]],T_SV_MEDALS[SV_RANK VALUE])+COUNTIF($O$2:O16,O17)),"")</f>
        <v/>
      </c>
      <c r="Q17" s="3">
        <f>IFERROR(T_SV_MEDALS[[#This Row],[SV_TOTAL]]/T_SV_MEDALS[[#This Row],[TOTAL]],"")</f>
        <v>0</v>
      </c>
      <c r="R17" s="3" t="str">
        <f>IFERROR(IF(T_SV_MEDALS[[#This Row],[SV_TOTAL]]=0,"",RANK(T_SV_MEDALS[[#This Row],[Dependency - Rank Value]],T_SV_MEDALS[Dependency - Rank Value])+COUNTIF($Q$2:Q16,Q17)),"")</f>
        <v/>
      </c>
    </row>
    <row r="18" spans="1:18" x14ac:dyDescent="0.25">
      <c r="A18" t="s">
        <v>30</v>
      </c>
      <c r="B18" t="s">
        <v>31</v>
      </c>
      <c r="C18" s="3">
        <f>IF(I_VIEW=2,"",COUNTIFS(T_2016_EVENT_RESULTS[Gold - Country],T_SV_MEDALS[[#This Row],[COUNTRY ABBR]])+COUNTIFS(T_2016_EVENT_RESULTS[Gold - Country - 2],T_SV_MEDALS[[#This Row],[COUNTRY ABBR]]))</f>
        <v>0</v>
      </c>
      <c r="D18" s="3">
        <f>IF(I_VIEW=2,"",COUNTIFS(T_2016_EVENT_RESULTS[Silver - Country],T_SV_MEDALS[[#This Row],[COUNTRY ABBR]])+COUNTIFS(T_2016_EVENT_RESULTS[Silver - Country - 2],T_SV_MEDALS[[#This Row],[COUNTRY ABBR]])+COUNTIFS(T_2016_EVENT_RESULTS[Silver - Country - 3],T_SV_MEDALS[[#This Row],[COUNTRY ABBR]]))</f>
        <v>0</v>
      </c>
      <c r="E18" s="3">
        <f>IF(I_VIEW=2,"",COUNTIFS(T_2016_EVENT_RESULTS[Bronze - Country],T_SV_MEDALS[[#This Row],[COUNTRY ABBR]])+COUNTIFS(T_2016_EVENT_RESULTS[Bronze - Country - 2],T_SV_MEDALS[[#This Row],[COUNTRY ABBR]]))</f>
        <v>0</v>
      </c>
      <c r="F18" s="3">
        <f>SUM(T_SV_MEDALS[[#This Row],[GOLD]:[BRONZE]])</f>
        <v>0</v>
      </c>
      <c r="G18" s="3" t="str">
        <f>IF(T_SV_MEDALS[[#This Row],[TOTAL]]=0,"",IF(I_RANK_METHOD="TOTAL",(T_SV_MEDALS[[#This Row],[TOTAL]]*10000000),0)+(T_SV_MEDALS[[#This Row],[GOLD]]*100000)+(T_SV_MEDALS[[#This Row],[SILVER]]*1000)+(T_SV_MEDALS[[#This Row],[BRONZE]]*10))</f>
        <v/>
      </c>
      <c r="H18" s="3" t="str">
        <f>IFERROR(IF(T_SV_MEDALS[[#This Row],[TOTAL]]=0,"",RANK(T_SV_MEDALS[[#This Row],[RANK VALUE]],T_SV_MEDALS[RANK VALUE])),"")</f>
        <v/>
      </c>
      <c r="I18" s="3" t="str">
        <f>IFERROR(IF(T_SV_MEDALS[[#This Row],[TOTAL]]=0,"",RANK(T_SV_MEDALS[[#This Row],[RANK VALUE]],T_SV_MEDALS[RANK VALUE])+COUNTIF($H$2:H17,H18)),"")</f>
        <v/>
      </c>
      <c r="J18" t="str">
        <f>IF(I_VIEW=3, COUNTIFS(T_2016_EVENT_RESULTS[SPORT],I_SV_SPORT,T_2016_EVENT_RESULTS[Gold - Country],T_SV_MEDALS[[#This Row],[COUNTRY ABBR]])+COUNTIFS(T_2016_EVENT_RESULTS[SPORT],I_SV_SPORT,T_2016_EVENT_RESULTS[Gold - Country - 2],T_SV_MEDALS[[#This Row],[COUNTRY ABBR]]),"")</f>
        <v/>
      </c>
      <c r="K18" t="str">
        <f>IF(I_VIEW=3, COUNTIFS(T_2016_EVENT_RESULTS[SPORT],I_SV_SPORT,T_2016_EVENT_RESULTS[Silver - Country],T_SV_MEDALS[[#This Row],[COUNTRY ABBR]])+COUNTIFS(T_2016_EVENT_RESULTS[SPORT],I_SV_SPORT,T_2016_EVENT_RESULTS[Silver - Country - 2],T_SV_MEDALS[[#This Row],[COUNTRY ABBR]])+COUNTIFS(T_2016_EVENT_RESULTS[SPORT],I_SV_SPORT,T_2016_EVENT_RESULTS[Silver - Country - 3],T_SV_MEDALS[[#This Row],[COUNTRY ABBR]]),"")</f>
        <v/>
      </c>
      <c r="L18" t="str">
        <f>IF(I_VIEW=3, COUNTIFS(T_2016_EVENT_RESULTS[SPORT],I_SV_SPORT,T_2016_EVENT_RESULTS[Bronze - Country],T_SV_MEDALS[[#This Row],[COUNTRY ABBR]])+COUNTIFS(T_2016_EVENT_RESULTS[SPORT],I_SV_SPORT,T_2016_EVENT_RESULTS[Bronze - Country - 2],T_SV_MEDALS[[#This Row],[COUNTRY ABBR]]),"")</f>
        <v/>
      </c>
      <c r="M18" s="3">
        <f>SUM(T_SV_MEDALS[[#This Row],[SV_GOLD]:[SV_BRONZE]])</f>
        <v>0</v>
      </c>
      <c r="N18" s="3" t="str">
        <f>IF(T_SV_MEDALS[[#This Row],[SV_TOTAL]]=0,"",IF(I_RANK_METHOD="TOTAL",(T_SV_MEDALS[[#This Row],[SV_TOTAL]]*10000000),0)+(T_SV_MEDALS[[#This Row],[SV_GOLD]]*100000)+(T_SV_MEDALS[[#This Row],[SV_SILVER]]*1000)+(T_SV_MEDALS[[#This Row],[SV_BRONZE]]*10))</f>
        <v/>
      </c>
      <c r="O18" s="3" t="str">
        <f>IFERROR(IF(T_SV_MEDALS[[#This Row],[SV_TOTAL]]=0,"",RANK(T_SV_MEDALS[[#This Row],[SV_RANK VALUE]],T_SV_MEDALS[SV_RANK VALUE])),"")</f>
        <v/>
      </c>
      <c r="P18" s="3" t="str">
        <f>IFERROR(IF(T_SV_MEDALS[[#This Row],[SV_TOTAL]]=0,"",RANK(T_SV_MEDALS[[#This Row],[SV_RANK VALUE]],T_SV_MEDALS[SV_RANK VALUE])+COUNTIF($O$2:O17,O18)),"")</f>
        <v/>
      </c>
      <c r="Q18" s="3" t="str">
        <f>IFERROR(T_SV_MEDALS[[#This Row],[SV_TOTAL]]/T_SV_MEDALS[[#This Row],[TOTAL]],"")</f>
        <v/>
      </c>
      <c r="R18" s="3" t="str">
        <f>IFERROR(IF(T_SV_MEDALS[[#This Row],[SV_TOTAL]]=0,"",RANK(T_SV_MEDALS[[#This Row],[Dependency - Rank Value]],T_SV_MEDALS[Dependency - Rank Value])+COUNTIF($Q$2:Q17,Q18)),"")</f>
        <v/>
      </c>
    </row>
    <row r="19" spans="1:18" x14ac:dyDescent="0.25">
      <c r="A19" t="s">
        <v>32</v>
      </c>
      <c r="B19" t="s">
        <v>33</v>
      </c>
      <c r="C19" s="3">
        <f>IF(I_VIEW=2,"",COUNTIFS(T_2016_EVENT_RESULTS[Gold - Country],T_SV_MEDALS[[#This Row],[COUNTRY ABBR]])+COUNTIFS(T_2016_EVENT_RESULTS[Gold - Country - 2],T_SV_MEDALS[[#This Row],[COUNTRY ABBR]]))</f>
        <v>0</v>
      </c>
      <c r="D19" s="3">
        <f>IF(I_VIEW=2,"",COUNTIFS(T_2016_EVENT_RESULTS[Silver - Country],T_SV_MEDALS[[#This Row],[COUNTRY ABBR]])+COUNTIFS(T_2016_EVENT_RESULTS[Silver - Country - 2],T_SV_MEDALS[[#This Row],[COUNTRY ABBR]])+COUNTIFS(T_2016_EVENT_RESULTS[Silver - Country - 3],T_SV_MEDALS[[#This Row],[COUNTRY ABBR]]))</f>
        <v>0</v>
      </c>
      <c r="E19" s="3">
        <f>IF(I_VIEW=2,"",COUNTIFS(T_2016_EVENT_RESULTS[Bronze - Country],T_SV_MEDALS[[#This Row],[COUNTRY ABBR]])+COUNTIFS(T_2016_EVENT_RESULTS[Bronze - Country - 2],T_SV_MEDALS[[#This Row],[COUNTRY ABBR]]))</f>
        <v>0</v>
      </c>
      <c r="F19" s="3">
        <f>SUM(T_SV_MEDALS[[#This Row],[GOLD]:[BRONZE]])</f>
        <v>0</v>
      </c>
      <c r="G19" s="3" t="str">
        <f>IF(T_SV_MEDALS[[#This Row],[TOTAL]]=0,"",IF(I_RANK_METHOD="TOTAL",(T_SV_MEDALS[[#This Row],[TOTAL]]*10000000),0)+(T_SV_MEDALS[[#This Row],[GOLD]]*100000)+(T_SV_MEDALS[[#This Row],[SILVER]]*1000)+(T_SV_MEDALS[[#This Row],[BRONZE]]*10))</f>
        <v/>
      </c>
      <c r="H19" s="3" t="str">
        <f>IFERROR(IF(T_SV_MEDALS[[#This Row],[TOTAL]]=0,"",RANK(T_SV_MEDALS[[#This Row],[RANK VALUE]],T_SV_MEDALS[RANK VALUE])),"")</f>
        <v/>
      </c>
      <c r="I19" s="3" t="str">
        <f>IFERROR(IF(T_SV_MEDALS[[#This Row],[TOTAL]]=0,"",RANK(T_SV_MEDALS[[#This Row],[RANK VALUE]],T_SV_MEDALS[RANK VALUE])+COUNTIF($H$2:H18,H19)),"")</f>
        <v/>
      </c>
      <c r="J19" t="str">
        <f>IF(I_VIEW=3, COUNTIFS(T_2016_EVENT_RESULTS[SPORT],I_SV_SPORT,T_2016_EVENT_RESULTS[Gold - Country],T_SV_MEDALS[[#This Row],[COUNTRY ABBR]])+COUNTIFS(T_2016_EVENT_RESULTS[SPORT],I_SV_SPORT,T_2016_EVENT_RESULTS[Gold - Country - 2],T_SV_MEDALS[[#This Row],[COUNTRY ABBR]]),"")</f>
        <v/>
      </c>
      <c r="K19" t="str">
        <f>IF(I_VIEW=3, COUNTIFS(T_2016_EVENT_RESULTS[SPORT],I_SV_SPORT,T_2016_EVENT_RESULTS[Silver - Country],T_SV_MEDALS[[#This Row],[COUNTRY ABBR]])+COUNTIFS(T_2016_EVENT_RESULTS[SPORT],I_SV_SPORT,T_2016_EVENT_RESULTS[Silver - Country - 2],T_SV_MEDALS[[#This Row],[COUNTRY ABBR]])+COUNTIFS(T_2016_EVENT_RESULTS[SPORT],I_SV_SPORT,T_2016_EVENT_RESULTS[Silver - Country - 3],T_SV_MEDALS[[#This Row],[COUNTRY ABBR]]),"")</f>
        <v/>
      </c>
      <c r="L19" t="str">
        <f>IF(I_VIEW=3, COUNTIFS(T_2016_EVENT_RESULTS[SPORT],I_SV_SPORT,T_2016_EVENT_RESULTS[Bronze - Country],T_SV_MEDALS[[#This Row],[COUNTRY ABBR]])+COUNTIFS(T_2016_EVENT_RESULTS[SPORT],I_SV_SPORT,T_2016_EVENT_RESULTS[Bronze - Country - 2],T_SV_MEDALS[[#This Row],[COUNTRY ABBR]]),"")</f>
        <v/>
      </c>
      <c r="M19" s="3">
        <f>SUM(T_SV_MEDALS[[#This Row],[SV_GOLD]:[SV_BRONZE]])</f>
        <v>0</v>
      </c>
      <c r="N19" s="3" t="str">
        <f>IF(T_SV_MEDALS[[#This Row],[SV_TOTAL]]=0,"",IF(I_RANK_METHOD="TOTAL",(T_SV_MEDALS[[#This Row],[SV_TOTAL]]*10000000),0)+(T_SV_MEDALS[[#This Row],[SV_GOLD]]*100000)+(T_SV_MEDALS[[#This Row],[SV_SILVER]]*1000)+(T_SV_MEDALS[[#This Row],[SV_BRONZE]]*10))</f>
        <v/>
      </c>
      <c r="O19" s="3" t="str">
        <f>IFERROR(IF(T_SV_MEDALS[[#This Row],[SV_TOTAL]]=0,"",RANK(T_SV_MEDALS[[#This Row],[SV_RANK VALUE]],T_SV_MEDALS[SV_RANK VALUE])),"")</f>
        <v/>
      </c>
      <c r="P19" s="3" t="str">
        <f>IFERROR(IF(T_SV_MEDALS[[#This Row],[SV_TOTAL]]=0,"",RANK(T_SV_MEDALS[[#This Row],[SV_RANK VALUE]],T_SV_MEDALS[SV_RANK VALUE])+COUNTIF($O$2:O18,O19)),"")</f>
        <v/>
      </c>
      <c r="Q19" s="3" t="str">
        <f>IFERROR(T_SV_MEDALS[[#This Row],[SV_TOTAL]]/T_SV_MEDALS[[#This Row],[TOTAL]],"")</f>
        <v/>
      </c>
      <c r="R19" s="3" t="str">
        <f>IFERROR(IF(T_SV_MEDALS[[#This Row],[SV_TOTAL]]=0,"",RANK(T_SV_MEDALS[[#This Row],[Dependency - Rank Value]],T_SV_MEDALS[Dependency - Rank Value])+COUNTIF($Q$2:Q18,Q19)),"")</f>
        <v/>
      </c>
    </row>
    <row r="20" spans="1:18" x14ac:dyDescent="0.25">
      <c r="A20" t="s">
        <v>34</v>
      </c>
      <c r="B20" t="s">
        <v>35</v>
      </c>
      <c r="C20" s="3">
        <f>IF(I_VIEW=2,"",COUNTIFS(T_2016_EVENT_RESULTS[Gold - Country],T_SV_MEDALS[[#This Row],[COUNTRY ABBR]])+COUNTIFS(T_2016_EVENT_RESULTS[Gold - Country - 2],T_SV_MEDALS[[#This Row],[COUNTRY ABBR]]))</f>
        <v>1</v>
      </c>
      <c r="D20" s="3">
        <f>IF(I_VIEW=2,"",COUNTIFS(T_2016_EVENT_RESULTS[Silver - Country],T_SV_MEDALS[[#This Row],[COUNTRY ABBR]])+COUNTIFS(T_2016_EVENT_RESULTS[Silver - Country - 2],T_SV_MEDALS[[#This Row],[COUNTRY ABBR]])+COUNTIFS(T_2016_EVENT_RESULTS[Silver - Country - 3],T_SV_MEDALS[[#This Row],[COUNTRY ABBR]]))</f>
        <v>4</v>
      </c>
      <c r="E20" s="3">
        <f>IF(I_VIEW=2,"",COUNTIFS(T_2016_EVENT_RESULTS[Bronze - Country],T_SV_MEDALS[[#This Row],[COUNTRY ABBR]])+COUNTIFS(T_2016_EVENT_RESULTS[Bronze - Country - 2],T_SV_MEDALS[[#This Row],[COUNTRY ABBR]]))</f>
        <v>4</v>
      </c>
      <c r="F20" s="3">
        <f>SUM(T_SV_MEDALS[[#This Row],[GOLD]:[BRONZE]])</f>
        <v>9</v>
      </c>
      <c r="G20" s="3">
        <f>IF(T_SV_MEDALS[[#This Row],[TOTAL]]=0,"",IF(I_RANK_METHOD="TOTAL",(T_SV_MEDALS[[#This Row],[TOTAL]]*10000000),0)+(T_SV_MEDALS[[#This Row],[GOLD]]*100000)+(T_SV_MEDALS[[#This Row],[SILVER]]*1000)+(T_SV_MEDALS[[#This Row],[BRONZE]]*10))</f>
        <v>90104040</v>
      </c>
      <c r="H20" s="3">
        <f>IFERROR(IF(T_SV_MEDALS[[#This Row],[TOTAL]]=0,"",RANK(T_SV_MEDALS[[#This Row],[RANK VALUE]],T_SV_MEDALS[RANK VALUE])),"")</f>
        <v>30</v>
      </c>
      <c r="I20" s="3">
        <f>IFERROR(IF(T_SV_MEDALS[[#This Row],[TOTAL]]=0,"",RANK(T_SV_MEDALS[[#This Row],[RANK VALUE]],T_SV_MEDALS[RANK VALUE])+COUNTIF($H$2:H19,H20)),"")</f>
        <v>30</v>
      </c>
      <c r="J20" t="str">
        <f>IF(I_VIEW=3, COUNTIFS(T_2016_EVENT_RESULTS[SPORT],I_SV_SPORT,T_2016_EVENT_RESULTS[Gold - Country],T_SV_MEDALS[[#This Row],[COUNTRY ABBR]])+COUNTIFS(T_2016_EVENT_RESULTS[SPORT],I_SV_SPORT,T_2016_EVENT_RESULTS[Gold - Country - 2],T_SV_MEDALS[[#This Row],[COUNTRY ABBR]]),"")</f>
        <v/>
      </c>
      <c r="K20" t="str">
        <f>IF(I_VIEW=3, COUNTIFS(T_2016_EVENT_RESULTS[SPORT],I_SV_SPORT,T_2016_EVENT_RESULTS[Silver - Country],T_SV_MEDALS[[#This Row],[COUNTRY ABBR]])+COUNTIFS(T_2016_EVENT_RESULTS[SPORT],I_SV_SPORT,T_2016_EVENT_RESULTS[Silver - Country - 2],T_SV_MEDALS[[#This Row],[COUNTRY ABBR]])+COUNTIFS(T_2016_EVENT_RESULTS[SPORT],I_SV_SPORT,T_2016_EVENT_RESULTS[Silver - Country - 3],T_SV_MEDALS[[#This Row],[COUNTRY ABBR]]),"")</f>
        <v/>
      </c>
      <c r="L20" t="str">
        <f>IF(I_VIEW=3, COUNTIFS(T_2016_EVENT_RESULTS[SPORT],I_SV_SPORT,T_2016_EVENT_RESULTS[Bronze - Country],T_SV_MEDALS[[#This Row],[COUNTRY ABBR]])+COUNTIFS(T_2016_EVENT_RESULTS[SPORT],I_SV_SPORT,T_2016_EVENT_RESULTS[Bronze - Country - 2],T_SV_MEDALS[[#This Row],[COUNTRY ABBR]]),"")</f>
        <v/>
      </c>
      <c r="M20" s="3">
        <f>SUM(T_SV_MEDALS[[#This Row],[SV_GOLD]:[SV_BRONZE]])</f>
        <v>0</v>
      </c>
      <c r="N20" s="3" t="str">
        <f>IF(T_SV_MEDALS[[#This Row],[SV_TOTAL]]=0,"",IF(I_RANK_METHOD="TOTAL",(T_SV_MEDALS[[#This Row],[SV_TOTAL]]*10000000),0)+(T_SV_MEDALS[[#This Row],[SV_GOLD]]*100000)+(T_SV_MEDALS[[#This Row],[SV_SILVER]]*1000)+(T_SV_MEDALS[[#This Row],[SV_BRONZE]]*10))</f>
        <v/>
      </c>
      <c r="O20" s="3" t="str">
        <f>IFERROR(IF(T_SV_MEDALS[[#This Row],[SV_TOTAL]]=0,"",RANK(T_SV_MEDALS[[#This Row],[SV_RANK VALUE]],T_SV_MEDALS[SV_RANK VALUE])),"")</f>
        <v/>
      </c>
      <c r="P20" s="3" t="str">
        <f>IFERROR(IF(T_SV_MEDALS[[#This Row],[SV_TOTAL]]=0,"",RANK(T_SV_MEDALS[[#This Row],[SV_RANK VALUE]],T_SV_MEDALS[SV_RANK VALUE])+COUNTIF($O$2:O19,O20)),"")</f>
        <v/>
      </c>
      <c r="Q20" s="3">
        <f>IFERROR(T_SV_MEDALS[[#This Row],[SV_TOTAL]]/T_SV_MEDALS[[#This Row],[TOTAL]],"")</f>
        <v>0</v>
      </c>
      <c r="R20" s="3" t="str">
        <f>IFERROR(IF(T_SV_MEDALS[[#This Row],[SV_TOTAL]]=0,"",RANK(T_SV_MEDALS[[#This Row],[Dependency - Rank Value]],T_SV_MEDALS[Dependency - Rank Value])+COUNTIF($Q$2:Q19,Q20)),"")</f>
        <v/>
      </c>
    </row>
    <row r="21" spans="1:18" x14ac:dyDescent="0.25">
      <c r="A21" t="s">
        <v>36</v>
      </c>
      <c r="B21" t="s">
        <v>37</v>
      </c>
      <c r="C21" s="3">
        <f>IF(I_VIEW=2,"",COUNTIFS(T_2016_EVENT_RESULTS[Gold - Country],T_SV_MEDALS[[#This Row],[COUNTRY ABBR]])+COUNTIFS(T_2016_EVENT_RESULTS[Gold - Country - 2],T_SV_MEDALS[[#This Row],[COUNTRY ABBR]]))</f>
        <v>2</v>
      </c>
      <c r="D21" s="3">
        <f>IF(I_VIEW=2,"",COUNTIFS(T_2016_EVENT_RESULTS[Silver - Country],T_SV_MEDALS[[#This Row],[COUNTRY ABBR]])+COUNTIFS(T_2016_EVENT_RESULTS[Silver - Country - 2],T_SV_MEDALS[[#This Row],[COUNTRY ABBR]])+COUNTIFS(T_2016_EVENT_RESULTS[Silver - Country - 3],T_SV_MEDALS[[#This Row],[COUNTRY ABBR]]))</f>
        <v>2</v>
      </c>
      <c r="E21" s="3">
        <f>IF(I_VIEW=2,"",COUNTIFS(T_2016_EVENT_RESULTS[Bronze - Country],T_SV_MEDALS[[#This Row],[COUNTRY ABBR]])+COUNTIFS(T_2016_EVENT_RESULTS[Bronze - Country - 2],T_SV_MEDALS[[#This Row],[COUNTRY ABBR]]))</f>
        <v>2</v>
      </c>
      <c r="F21" s="3">
        <f>SUM(T_SV_MEDALS[[#This Row],[GOLD]:[BRONZE]])</f>
        <v>6</v>
      </c>
      <c r="G21" s="3">
        <f>IF(T_SV_MEDALS[[#This Row],[TOTAL]]=0,"",IF(I_RANK_METHOD="TOTAL",(T_SV_MEDALS[[#This Row],[TOTAL]]*10000000),0)+(T_SV_MEDALS[[#This Row],[GOLD]]*100000)+(T_SV_MEDALS[[#This Row],[SILVER]]*1000)+(T_SV_MEDALS[[#This Row],[BRONZE]]*10))</f>
        <v>60202020</v>
      </c>
      <c r="H21" s="3">
        <f>IFERROR(IF(T_SV_MEDALS[[#This Row],[TOTAL]]=0,"",RANK(T_SV_MEDALS[[#This Row],[RANK VALUE]],T_SV_MEDALS[RANK VALUE])),"")</f>
        <v>40</v>
      </c>
      <c r="I21" s="3">
        <f>IFERROR(IF(T_SV_MEDALS[[#This Row],[TOTAL]]=0,"",RANK(T_SV_MEDALS[[#This Row],[RANK VALUE]],T_SV_MEDALS[RANK VALUE])+COUNTIF($H$2:H20,H21)),"")</f>
        <v>40</v>
      </c>
      <c r="J21" t="str">
        <f>IF(I_VIEW=3, COUNTIFS(T_2016_EVENT_RESULTS[SPORT],I_SV_SPORT,T_2016_EVENT_RESULTS[Gold - Country],T_SV_MEDALS[[#This Row],[COUNTRY ABBR]])+COUNTIFS(T_2016_EVENT_RESULTS[SPORT],I_SV_SPORT,T_2016_EVENT_RESULTS[Gold - Country - 2],T_SV_MEDALS[[#This Row],[COUNTRY ABBR]]),"")</f>
        <v/>
      </c>
      <c r="K21" t="str">
        <f>IF(I_VIEW=3, COUNTIFS(T_2016_EVENT_RESULTS[SPORT],I_SV_SPORT,T_2016_EVENT_RESULTS[Silver - Country],T_SV_MEDALS[[#This Row],[COUNTRY ABBR]])+COUNTIFS(T_2016_EVENT_RESULTS[SPORT],I_SV_SPORT,T_2016_EVENT_RESULTS[Silver - Country - 2],T_SV_MEDALS[[#This Row],[COUNTRY ABBR]])+COUNTIFS(T_2016_EVENT_RESULTS[SPORT],I_SV_SPORT,T_2016_EVENT_RESULTS[Silver - Country - 3],T_SV_MEDALS[[#This Row],[COUNTRY ABBR]]),"")</f>
        <v/>
      </c>
      <c r="L21" t="str">
        <f>IF(I_VIEW=3, COUNTIFS(T_2016_EVENT_RESULTS[SPORT],I_SV_SPORT,T_2016_EVENT_RESULTS[Bronze - Country],T_SV_MEDALS[[#This Row],[COUNTRY ABBR]])+COUNTIFS(T_2016_EVENT_RESULTS[SPORT],I_SV_SPORT,T_2016_EVENT_RESULTS[Bronze - Country - 2],T_SV_MEDALS[[#This Row],[COUNTRY ABBR]]),"")</f>
        <v/>
      </c>
      <c r="M21" s="3">
        <f>SUM(T_SV_MEDALS[[#This Row],[SV_GOLD]:[SV_BRONZE]])</f>
        <v>0</v>
      </c>
      <c r="N21" s="3" t="str">
        <f>IF(T_SV_MEDALS[[#This Row],[SV_TOTAL]]=0,"",IF(I_RANK_METHOD="TOTAL",(T_SV_MEDALS[[#This Row],[SV_TOTAL]]*10000000),0)+(T_SV_MEDALS[[#This Row],[SV_GOLD]]*100000)+(T_SV_MEDALS[[#This Row],[SV_SILVER]]*1000)+(T_SV_MEDALS[[#This Row],[SV_BRONZE]]*10))</f>
        <v/>
      </c>
      <c r="O21" s="3" t="str">
        <f>IFERROR(IF(T_SV_MEDALS[[#This Row],[SV_TOTAL]]=0,"",RANK(T_SV_MEDALS[[#This Row],[SV_RANK VALUE]],T_SV_MEDALS[SV_RANK VALUE])),"")</f>
        <v/>
      </c>
      <c r="P21" s="3" t="str">
        <f>IFERROR(IF(T_SV_MEDALS[[#This Row],[SV_TOTAL]]=0,"",RANK(T_SV_MEDALS[[#This Row],[SV_RANK VALUE]],T_SV_MEDALS[SV_RANK VALUE])+COUNTIF($O$2:O20,O21)),"")</f>
        <v/>
      </c>
      <c r="Q21" s="3">
        <f>IFERROR(T_SV_MEDALS[[#This Row],[SV_TOTAL]]/T_SV_MEDALS[[#This Row],[TOTAL]],"")</f>
        <v>0</v>
      </c>
      <c r="R21" s="3" t="str">
        <f>IFERROR(IF(T_SV_MEDALS[[#This Row],[SV_TOTAL]]=0,"",RANK(T_SV_MEDALS[[#This Row],[Dependency - Rank Value]],T_SV_MEDALS[Dependency - Rank Value])+COUNTIF($Q$2:Q20,Q21)),"")</f>
        <v/>
      </c>
    </row>
    <row r="22" spans="1:18" x14ac:dyDescent="0.25">
      <c r="A22" t="s">
        <v>38</v>
      </c>
      <c r="B22" t="s">
        <v>39</v>
      </c>
      <c r="C22" s="3">
        <f>IF(I_VIEW=2,"",COUNTIFS(T_2016_EVENT_RESULTS[Gold - Country],T_SV_MEDALS[[#This Row],[COUNTRY ABBR]])+COUNTIFS(T_2016_EVENT_RESULTS[Gold - Country - 2],T_SV_MEDALS[[#This Row],[COUNTRY ABBR]]))</f>
        <v>0</v>
      </c>
      <c r="D22" s="3">
        <f>IF(I_VIEW=2,"",COUNTIFS(T_2016_EVENT_RESULTS[Silver - Country],T_SV_MEDALS[[#This Row],[COUNTRY ABBR]])+COUNTIFS(T_2016_EVENT_RESULTS[Silver - Country - 2],T_SV_MEDALS[[#This Row],[COUNTRY ABBR]])+COUNTIFS(T_2016_EVENT_RESULTS[Silver - Country - 3],T_SV_MEDALS[[#This Row],[COUNTRY ABBR]]))</f>
        <v>0</v>
      </c>
      <c r="E22" s="3">
        <f>IF(I_VIEW=2,"",COUNTIFS(T_2016_EVENT_RESULTS[Bronze - Country],T_SV_MEDALS[[#This Row],[COUNTRY ABBR]])+COUNTIFS(T_2016_EVENT_RESULTS[Bronze - Country - 2],T_SV_MEDALS[[#This Row],[COUNTRY ABBR]]))</f>
        <v>0</v>
      </c>
      <c r="F22" s="3">
        <f>SUM(T_SV_MEDALS[[#This Row],[GOLD]:[BRONZE]])</f>
        <v>0</v>
      </c>
      <c r="G22" s="3" t="str">
        <f>IF(T_SV_MEDALS[[#This Row],[TOTAL]]=0,"",IF(I_RANK_METHOD="TOTAL",(T_SV_MEDALS[[#This Row],[TOTAL]]*10000000),0)+(T_SV_MEDALS[[#This Row],[GOLD]]*100000)+(T_SV_MEDALS[[#This Row],[SILVER]]*1000)+(T_SV_MEDALS[[#This Row],[BRONZE]]*10))</f>
        <v/>
      </c>
      <c r="H22" s="3" t="str">
        <f>IFERROR(IF(T_SV_MEDALS[[#This Row],[TOTAL]]=0,"",RANK(T_SV_MEDALS[[#This Row],[RANK VALUE]],T_SV_MEDALS[RANK VALUE])),"")</f>
        <v/>
      </c>
      <c r="I22" s="3" t="str">
        <f>IFERROR(IF(T_SV_MEDALS[[#This Row],[TOTAL]]=0,"",RANK(T_SV_MEDALS[[#This Row],[RANK VALUE]],T_SV_MEDALS[RANK VALUE])+COUNTIF($H$2:H21,H22)),"")</f>
        <v/>
      </c>
      <c r="J22" t="str">
        <f>IF(I_VIEW=3, COUNTIFS(T_2016_EVENT_RESULTS[SPORT],I_SV_SPORT,T_2016_EVENT_RESULTS[Gold - Country],T_SV_MEDALS[[#This Row],[COUNTRY ABBR]])+COUNTIFS(T_2016_EVENT_RESULTS[SPORT],I_SV_SPORT,T_2016_EVENT_RESULTS[Gold - Country - 2],T_SV_MEDALS[[#This Row],[COUNTRY ABBR]]),"")</f>
        <v/>
      </c>
      <c r="K22" t="str">
        <f>IF(I_VIEW=3, COUNTIFS(T_2016_EVENT_RESULTS[SPORT],I_SV_SPORT,T_2016_EVENT_RESULTS[Silver - Country],T_SV_MEDALS[[#This Row],[COUNTRY ABBR]])+COUNTIFS(T_2016_EVENT_RESULTS[SPORT],I_SV_SPORT,T_2016_EVENT_RESULTS[Silver - Country - 2],T_SV_MEDALS[[#This Row],[COUNTRY ABBR]])+COUNTIFS(T_2016_EVENT_RESULTS[SPORT],I_SV_SPORT,T_2016_EVENT_RESULTS[Silver - Country - 3],T_SV_MEDALS[[#This Row],[COUNTRY ABBR]]),"")</f>
        <v/>
      </c>
      <c r="L22" t="str">
        <f>IF(I_VIEW=3, COUNTIFS(T_2016_EVENT_RESULTS[SPORT],I_SV_SPORT,T_2016_EVENT_RESULTS[Bronze - Country],T_SV_MEDALS[[#This Row],[COUNTRY ABBR]])+COUNTIFS(T_2016_EVENT_RESULTS[SPORT],I_SV_SPORT,T_2016_EVENT_RESULTS[Bronze - Country - 2],T_SV_MEDALS[[#This Row],[COUNTRY ABBR]]),"")</f>
        <v/>
      </c>
      <c r="M22" s="3">
        <f>SUM(T_SV_MEDALS[[#This Row],[SV_GOLD]:[SV_BRONZE]])</f>
        <v>0</v>
      </c>
      <c r="N22" s="3" t="str">
        <f>IF(T_SV_MEDALS[[#This Row],[SV_TOTAL]]=0,"",IF(I_RANK_METHOD="TOTAL",(T_SV_MEDALS[[#This Row],[SV_TOTAL]]*10000000),0)+(T_SV_MEDALS[[#This Row],[SV_GOLD]]*100000)+(T_SV_MEDALS[[#This Row],[SV_SILVER]]*1000)+(T_SV_MEDALS[[#This Row],[SV_BRONZE]]*10))</f>
        <v/>
      </c>
      <c r="O22" s="3" t="str">
        <f>IFERROR(IF(T_SV_MEDALS[[#This Row],[SV_TOTAL]]=0,"",RANK(T_SV_MEDALS[[#This Row],[SV_RANK VALUE]],T_SV_MEDALS[SV_RANK VALUE])),"")</f>
        <v/>
      </c>
      <c r="P22" s="3" t="str">
        <f>IFERROR(IF(T_SV_MEDALS[[#This Row],[SV_TOTAL]]=0,"",RANK(T_SV_MEDALS[[#This Row],[SV_RANK VALUE]],T_SV_MEDALS[SV_RANK VALUE])+COUNTIF($O$2:O21,O22)),"")</f>
        <v/>
      </c>
      <c r="Q22" s="3" t="str">
        <f>IFERROR(T_SV_MEDALS[[#This Row],[SV_TOTAL]]/T_SV_MEDALS[[#This Row],[TOTAL]],"")</f>
        <v/>
      </c>
      <c r="R22" s="3" t="str">
        <f>IFERROR(IF(T_SV_MEDALS[[#This Row],[SV_TOTAL]]=0,"",RANK(T_SV_MEDALS[[#This Row],[Dependency - Rank Value]],T_SV_MEDALS[Dependency - Rank Value])+COUNTIF($Q$2:Q21,Q22)),"")</f>
        <v/>
      </c>
    </row>
    <row r="23" spans="1:18" x14ac:dyDescent="0.25">
      <c r="A23" t="s">
        <v>41</v>
      </c>
      <c r="B23" t="s">
        <v>42</v>
      </c>
      <c r="C23" s="3">
        <f>IF(I_VIEW=2,"",COUNTIFS(T_2016_EVENT_RESULTS[Gold - Country],T_SV_MEDALS[[#This Row],[COUNTRY ABBR]])+COUNTIFS(T_2016_EVENT_RESULTS[Gold - Country - 2],T_SV_MEDALS[[#This Row],[COUNTRY ABBR]]))</f>
        <v>0</v>
      </c>
      <c r="D23" s="3">
        <f>IF(I_VIEW=2,"",COUNTIFS(T_2016_EVENT_RESULTS[Silver - Country],T_SV_MEDALS[[#This Row],[COUNTRY ABBR]])+COUNTIFS(T_2016_EVENT_RESULTS[Silver - Country - 2],T_SV_MEDALS[[#This Row],[COUNTRY ABBR]])+COUNTIFS(T_2016_EVENT_RESULTS[Silver - Country - 3],T_SV_MEDALS[[#This Row],[COUNTRY ABBR]]))</f>
        <v>0</v>
      </c>
      <c r="E23" s="3">
        <f>IF(I_VIEW=2,"",COUNTIFS(T_2016_EVENT_RESULTS[Bronze - Country],T_SV_MEDALS[[#This Row],[COUNTRY ABBR]])+COUNTIFS(T_2016_EVENT_RESULTS[Bronze - Country - 2],T_SV_MEDALS[[#This Row],[COUNTRY ABBR]]))</f>
        <v>0</v>
      </c>
      <c r="F23" s="3">
        <f>SUM(T_SV_MEDALS[[#This Row],[GOLD]:[BRONZE]])</f>
        <v>0</v>
      </c>
      <c r="G23" s="3" t="str">
        <f>IF(T_SV_MEDALS[[#This Row],[TOTAL]]=0,"",IF(I_RANK_METHOD="TOTAL",(T_SV_MEDALS[[#This Row],[TOTAL]]*10000000),0)+(T_SV_MEDALS[[#This Row],[GOLD]]*100000)+(T_SV_MEDALS[[#This Row],[SILVER]]*1000)+(T_SV_MEDALS[[#This Row],[BRONZE]]*10))</f>
        <v/>
      </c>
      <c r="H23" s="3" t="str">
        <f>IFERROR(IF(T_SV_MEDALS[[#This Row],[TOTAL]]=0,"",RANK(T_SV_MEDALS[[#This Row],[RANK VALUE]],T_SV_MEDALS[RANK VALUE])),"")</f>
        <v/>
      </c>
      <c r="I23" s="3" t="str">
        <f>IFERROR(IF(T_SV_MEDALS[[#This Row],[TOTAL]]=0,"",RANK(T_SV_MEDALS[[#This Row],[RANK VALUE]],T_SV_MEDALS[RANK VALUE])+COUNTIF($H$2:H22,H23)),"")</f>
        <v/>
      </c>
      <c r="J23" t="str">
        <f>IF(I_VIEW=3, COUNTIFS(T_2016_EVENT_RESULTS[SPORT],I_SV_SPORT,T_2016_EVENT_RESULTS[Gold - Country],T_SV_MEDALS[[#This Row],[COUNTRY ABBR]])+COUNTIFS(T_2016_EVENT_RESULTS[SPORT],I_SV_SPORT,T_2016_EVENT_RESULTS[Gold - Country - 2],T_SV_MEDALS[[#This Row],[COUNTRY ABBR]]),"")</f>
        <v/>
      </c>
      <c r="K23" t="str">
        <f>IF(I_VIEW=3, COUNTIFS(T_2016_EVENT_RESULTS[SPORT],I_SV_SPORT,T_2016_EVENT_RESULTS[Silver - Country],T_SV_MEDALS[[#This Row],[COUNTRY ABBR]])+COUNTIFS(T_2016_EVENT_RESULTS[SPORT],I_SV_SPORT,T_2016_EVENT_RESULTS[Silver - Country - 2],T_SV_MEDALS[[#This Row],[COUNTRY ABBR]])+COUNTIFS(T_2016_EVENT_RESULTS[SPORT],I_SV_SPORT,T_2016_EVENT_RESULTS[Silver - Country - 3],T_SV_MEDALS[[#This Row],[COUNTRY ABBR]]),"")</f>
        <v/>
      </c>
      <c r="L23" t="str">
        <f>IF(I_VIEW=3, COUNTIFS(T_2016_EVENT_RESULTS[SPORT],I_SV_SPORT,T_2016_EVENT_RESULTS[Bronze - Country],T_SV_MEDALS[[#This Row],[COUNTRY ABBR]])+COUNTIFS(T_2016_EVENT_RESULTS[SPORT],I_SV_SPORT,T_2016_EVENT_RESULTS[Bronze - Country - 2],T_SV_MEDALS[[#This Row],[COUNTRY ABBR]]),"")</f>
        <v/>
      </c>
      <c r="M23" s="3">
        <f>SUM(T_SV_MEDALS[[#This Row],[SV_GOLD]:[SV_BRONZE]])</f>
        <v>0</v>
      </c>
      <c r="N23" s="3" t="str">
        <f>IF(T_SV_MEDALS[[#This Row],[SV_TOTAL]]=0,"",IF(I_RANK_METHOD="TOTAL",(T_SV_MEDALS[[#This Row],[SV_TOTAL]]*10000000),0)+(T_SV_MEDALS[[#This Row],[SV_GOLD]]*100000)+(T_SV_MEDALS[[#This Row],[SV_SILVER]]*1000)+(T_SV_MEDALS[[#This Row],[SV_BRONZE]]*10))</f>
        <v/>
      </c>
      <c r="O23" s="3" t="str">
        <f>IFERROR(IF(T_SV_MEDALS[[#This Row],[SV_TOTAL]]=0,"",RANK(T_SV_MEDALS[[#This Row],[SV_RANK VALUE]],T_SV_MEDALS[SV_RANK VALUE])),"")</f>
        <v/>
      </c>
      <c r="P23" s="3" t="str">
        <f>IFERROR(IF(T_SV_MEDALS[[#This Row],[SV_TOTAL]]=0,"",RANK(T_SV_MEDALS[[#This Row],[SV_RANK VALUE]],T_SV_MEDALS[SV_RANK VALUE])+COUNTIF($O$2:O22,O23)),"")</f>
        <v/>
      </c>
      <c r="Q23" s="3" t="str">
        <f>IFERROR(T_SV_MEDALS[[#This Row],[SV_TOTAL]]/T_SV_MEDALS[[#This Row],[TOTAL]],"")</f>
        <v/>
      </c>
      <c r="R23" s="3" t="str">
        <f>IFERROR(IF(T_SV_MEDALS[[#This Row],[SV_TOTAL]]=0,"",RANK(T_SV_MEDALS[[#This Row],[Dependency - Rank Value]],T_SV_MEDALS[Dependency - Rank Value])+COUNTIF($Q$2:Q22,Q23)),"")</f>
        <v/>
      </c>
    </row>
    <row r="24" spans="1:18" x14ac:dyDescent="0.25">
      <c r="A24" t="s">
        <v>454</v>
      </c>
      <c r="B24" t="s">
        <v>40</v>
      </c>
      <c r="C24" s="3">
        <f>IF(I_VIEW=2,"",COUNTIFS(T_2016_EVENT_RESULTS[Gold - Country],T_SV_MEDALS[[#This Row],[COUNTRY ABBR]])+COUNTIFS(T_2016_EVENT_RESULTS[Gold - Country - 2],T_SV_MEDALS[[#This Row],[COUNTRY ABBR]]))</f>
        <v>0</v>
      </c>
      <c r="D24" s="3">
        <f>IF(I_VIEW=2,"",COUNTIFS(T_2016_EVENT_RESULTS[Silver - Country],T_SV_MEDALS[[#This Row],[COUNTRY ABBR]])+COUNTIFS(T_2016_EVENT_RESULTS[Silver - Country - 2],T_SV_MEDALS[[#This Row],[COUNTRY ABBR]])+COUNTIFS(T_2016_EVENT_RESULTS[Silver - Country - 3],T_SV_MEDALS[[#This Row],[COUNTRY ABBR]]))</f>
        <v>0</v>
      </c>
      <c r="E24" s="3">
        <f>IF(I_VIEW=2,"",COUNTIFS(T_2016_EVENT_RESULTS[Bronze - Country],T_SV_MEDALS[[#This Row],[COUNTRY ABBR]])+COUNTIFS(T_2016_EVENT_RESULTS[Bronze - Country - 2],T_SV_MEDALS[[#This Row],[COUNTRY ABBR]]))</f>
        <v>0</v>
      </c>
      <c r="F24" s="3">
        <f>SUM(T_SV_MEDALS[[#This Row],[GOLD]:[BRONZE]])</f>
        <v>0</v>
      </c>
      <c r="G24" s="3" t="str">
        <f>IF(T_SV_MEDALS[[#This Row],[TOTAL]]=0,"",IF(I_RANK_METHOD="TOTAL",(T_SV_MEDALS[[#This Row],[TOTAL]]*10000000),0)+(T_SV_MEDALS[[#This Row],[GOLD]]*100000)+(T_SV_MEDALS[[#This Row],[SILVER]]*1000)+(T_SV_MEDALS[[#This Row],[BRONZE]]*10))</f>
        <v/>
      </c>
      <c r="H24" s="3" t="str">
        <f>IFERROR(IF(T_SV_MEDALS[[#This Row],[TOTAL]]=0,"",RANK(T_SV_MEDALS[[#This Row],[RANK VALUE]],T_SV_MEDALS[RANK VALUE])),"")</f>
        <v/>
      </c>
      <c r="I24" s="3" t="str">
        <f>IFERROR(IF(T_SV_MEDALS[[#This Row],[TOTAL]]=0,"",RANK(T_SV_MEDALS[[#This Row],[RANK VALUE]],T_SV_MEDALS[RANK VALUE])+COUNTIF($H$2:H23,H24)),"")</f>
        <v/>
      </c>
      <c r="J24" t="str">
        <f>IF(I_VIEW=3, COUNTIFS(T_2016_EVENT_RESULTS[SPORT],I_SV_SPORT,T_2016_EVENT_RESULTS[Gold - Country],T_SV_MEDALS[[#This Row],[COUNTRY ABBR]])+COUNTIFS(T_2016_EVENT_RESULTS[SPORT],I_SV_SPORT,T_2016_EVENT_RESULTS[Gold - Country - 2],T_SV_MEDALS[[#This Row],[COUNTRY ABBR]]),"")</f>
        <v/>
      </c>
      <c r="K24" t="str">
        <f>IF(I_VIEW=3, COUNTIFS(T_2016_EVENT_RESULTS[SPORT],I_SV_SPORT,T_2016_EVENT_RESULTS[Silver - Country],T_SV_MEDALS[[#This Row],[COUNTRY ABBR]])+COUNTIFS(T_2016_EVENT_RESULTS[SPORT],I_SV_SPORT,T_2016_EVENT_RESULTS[Silver - Country - 2],T_SV_MEDALS[[#This Row],[COUNTRY ABBR]])+COUNTIFS(T_2016_EVENT_RESULTS[SPORT],I_SV_SPORT,T_2016_EVENT_RESULTS[Silver - Country - 3],T_SV_MEDALS[[#This Row],[COUNTRY ABBR]]),"")</f>
        <v/>
      </c>
      <c r="L24" t="str">
        <f>IF(I_VIEW=3, COUNTIFS(T_2016_EVENT_RESULTS[SPORT],I_SV_SPORT,T_2016_EVENT_RESULTS[Bronze - Country],T_SV_MEDALS[[#This Row],[COUNTRY ABBR]])+COUNTIFS(T_2016_EVENT_RESULTS[SPORT],I_SV_SPORT,T_2016_EVENT_RESULTS[Bronze - Country - 2],T_SV_MEDALS[[#This Row],[COUNTRY ABBR]]),"")</f>
        <v/>
      </c>
      <c r="M24" s="3">
        <f>SUM(T_SV_MEDALS[[#This Row],[SV_GOLD]:[SV_BRONZE]])</f>
        <v>0</v>
      </c>
      <c r="N24" s="3" t="str">
        <f>IF(T_SV_MEDALS[[#This Row],[SV_TOTAL]]=0,"",IF(I_RANK_METHOD="TOTAL",(T_SV_MEDALS[[#This Row],[SV_TOTAL]]*10000000),0)+(T_SV_MEDALS[[#This Row],[SV_GOLD]]*100000)+(T_SV_MEDALS[[#This Row],[SV_SILVER]]*1000)+(T_SV_MEDALS[[#This Row],[SV_BRONZE]]*10))</f>
        <v/>
      </c>
      <c r="O24" s="3" t="str">
        <f>IFERROR(IF(T_SV_MEDALS[[#This Row],[SV_TOTAL]]=0,"",RANK(T_SV_MEDALS[[#This Row],[SV_RANK VALUE]],T_SV_MEDALS[SV_RANK VALUE])),"")</f>
        <v/>
      </c>
      <c r="P24" s="3" t="str">
        <f>IFERROR(IF(T_SV_MEDALS[[#This Row],[SV_TOTAL]]=0,"",RANK(T_SV_MEDALS[[#This Row],[SV_RANK VALUE]],T_SV_MEDALS[SV_RANK VALUE])+COUNTIF($O$2:O23,O24)),"")</f>
        <v/>
      </c>
      <c r="Q24" s="3" t="str">
        <f>IFERROR(T_SV_MEDALS[[#This Row],[SV_TOTAL]]/T_SV_MEDALS[[#This Row],[TOTAL]],"")</f>
        <v/>
      </c>
      <c r="R24" s="3" t="str">
        <f>IFERROR(IF(T_SV_MEDALS[[#This Row],[SV_TOTAL]]=0,"",RANK(T_SV_MEDALS[[#This Row],[Dependency - Rank Value]],T_SV_MEDALS[Dependency - Rank Value])+COUNTIF($Q$2:Q23,Q24)),"")</f>
        <v/>
      </c>
    </row>
    <row r="25" spans="1:18" x14ac:dyDescent="0.25">
      <c r="A25" t="s">
        <v>43</v>
      </c>
      <c r="B25" t="s">
        <v>44</v>
      </c>
      <c r="C25" s="3">
        <f>IF(I_VIEW=2,"",COUNTIFS(T_2016_EVENT_RESULTS[Gold - Country],T_SV_MEDALS[[#This Row],[COUNTRY ABBR]])+COUNTIFS(T_2016_EVENT_RESULTS[Gold - Country - 2],T_SV_MEDALS[[#This Row],[COUNTRY ABBR]]))</f>
        <v>0</v>
      </c>
      <c r="D25" s="3">
        <f>IF(I_VIEW=2,"",COUNTIFS(T_2016_EVENT_RESULTS[Silver - Country],T_SV_MEDALS[[#This Row],[COUNTRY ABBR]])+COUNTIFS(T_2016_EVENT_RESULTS[Silver - Country - 2],T_SV_MEDALS[[#This Row],[COUNTRY ABBR]])+COUNTIFS(T_2016_EVENT_RESULTS[Silver - Country - 3],T_SV_MEDALS[[#This Row],[COUNTRY ABBR]]))</f>
        <v>0</v>
      </c>
      <c r="E25" s="3">
        <f>IF(I_VIEW=2,"",COUNTIFS(T_2016_EVENT_RESULTS[Bronze - Country],T_SV_MEDALS[[#This Row],[COUNTRY ABBR]])+COUNTIFS(T_2016_EVENT_RESULTS[Bronze - Country - 2],T_SV_MEDALS[[#This Row],[COUNTRY ABBR]]))</f>
        <v>0</v>
      </c>
      <c r="F25" s="3">
        <f>SUM(T_SV_MEDALS[[#This Row],[GOLD]:[BRONZE]])</f>
        <v>0</v>
      </c>
      <c r="G25" s="3" t="str">
        <f>IF(T_SV_MEDALS[[#This Row],[TOTAL]]=0,"",IF(I_RANK_METHOD="TOTAL",(T_SV_MEDALS[[#This Row],[TOTAL]]*10000000),0)+(T_SV_MEDALS[[#This Row],[GOLD]]*100000)+(T_SV_MEDALS[[#This Row],[SILVER]]*1000)+(T_SV_MEDALS[[#This Row],[BRONZE]]*10))</f>
        <v/>
      </c>
      <c r="H25" s="3" t="str">
        <f>IFERROR(IF(T_SV_MEDALS[[#This Row],[TOTAL]]=0,"",RANK(T_SV_MEDALS[[#This Row],[RANK VALUE]],T_SV_MEDALS[RANK VALUE])),"")</f>
        <v/>
      </c>
      <c r="I25" s="3" t="str">
        <f>IFERROR(IF(T_SV_MEDALS[[#This Row],[TOTAL]]=0,"",RANK(T_SV_MEDALS[[#This Row],[RANK VALUE]],T_SV_MEDALS[RANK VALUE])+COUNTIF($H$2:H24,H25)),"")</f>
        <v/>
      </c>
      <c r="J25" t="str">
        <f>IF(I_VIEW=3, COUNTIFS(T_2016_EVENT_RESULTS[SPORT],I_SV_SPORT,T_2016_EVENT_RESULTS[Gold - Country],T_SV_MEDALS[[#This Row],[COUNTRY ABBR]])+COUNTIFS(T_2016_EVENT_RESULTS[SPORT],I_SV_SPORT,T_2016_EVENT_RESULTS[Gold - Country - 2],T_SV_MEDALS[[#This Row],[COUNTRY ABBR]]),"")</f>
        <v/>
      </c>
      <c r="K25" t="str">
        <f>IF(I_VIEW=3, COUNTIFS(T_2016_EVENT_RESULTS[SPORT],I_SV_SPORT,T_2016_EVENT_RESULTS[Silver - Country],T_SV_MEDALS[[#This Row],[COUNTRY ABBR]])+COUNTIFS(T_2016_EVENT_RESULTS[SPORT],I_SV_SPORT,T_2016_EVENT_RESULTS[Silver - Country - 2],T_SV_MEDALS[[#This Row],[COUNTRY ABBR]])+COUNTIFS(T_2016_EVENT_RESULTS[SPORT],I_SV_SPORT,T_2016_EVENT_RESULTS[Silver - Country - 3],T_SV_MEDALS[[#This Row],[COUNTRY ABBR]]),"")</f>
        <v/>
      </c>
      <c r="L25" t="str">
        <f>IF(I_VIEW=3, COUNTIFS(T_2016_EVENT_RESULTS[SPORT],I_SV_SPORT,T_2016_EVENT_RESULTS[Bronze - Country],T_SV_MEDALS[[#This Row],[COUNTRY ABBR]])+COUNTIFS(T_2016_EVENT_RESULTS[SPORT],I_SV_SPORT,T_2016_EVENT_RESULTS[Bronze - Country - 2],T_SV_MEDALS[[#This Row],[COUNTRY ABBR]]),"")</f>
        <v/>
      </c>
      <c r="M25" s="3">
        <f>SUM(T_SV_MEDALS[[#This Row],[SV_GOLD]:[SV_BRONZE]])</f>
        <v>0</v>
      </c>
      <c r="N25" s="3" t="str">
        <f>IF(T_SV_MEDALS[[#This Row],[SV_TOTAL]]=0,"",IF(I_RANK_METHOD="TOTAL",(T_SV_MEDALS[[#This Row],[SV_TOTAL]]*10000000),0)+(T_SV_MEDALS[[#This Row],[SV_GOLD]]*100000)+(T_SV_MEDALS[[#This Row],[SV_SILVER]]*1000)+(T_SV_MEDALS[[#This Row],[SV_BRONZE]]*10))</f>
        <v/>
      </c>
      <c r="O25" s="3" t="str">
        <f>IFERROR(IF(T_SV_MEDALS[[#This Row],[SV_TOTAL]]=0,"",RANK(T_SV_MEDALS[[#This Row],[SV_RANK VALUE]],T_SV_MEDALS[SV_RANK VALUE])),"")</f>
        <v/>
      </c>
      <c r="P25" s="3" t="str">
        <f>IFERROR(IF(T_SV_MEDALS[[#This Row],[SV_TOTAL]]=0,"",RANK(T_SV_MEDALS[[#This Row],[SV_RANK VALUE]],T_SV_MEDALS[SV_RANK VALUE])+COUNTIF($O$2:O24,O25)),"")</f>
        <v/>
      </c>
      <c r="Q25" s="3" t="str">
        <f>IFERROR(T_SV_MEDALS[[#This Row],[SV_TOTAL]]/T_SV_MEDALS[[#This Row],[TOTAL]],"")</f>
        <v/>
      </c>
      <c r="R25" s="3" t="str">
        <f>IFERROR(IF(T_SV_MEDALS[[#This Row],[SV_TOTAL]]=0,"",RANK(T_SV_MEDALS[[#This Row],[Dependency - Rank Value]],T_SV_MEDALS[Dependency - Rank Value])+COUNTIF($Q$2:Q24,Q25)),"")</f>
        <v/>
      </c>
    </row>
    <row r="26" spans="1:18" x14ac:dyDescent="0.25">
      <c r="A26" t="s">
        <v>45</v>
      </c>
      <c r="B26" t="s">
        <v>46</v>
      </c>
      <c r="C26" s="3">
        <f>IF(I_VIEW=2,"",COUNTIFS(T_2016_EVENT_RESULTS[Gold - Country],T_SV_MEDALS[[#This Row],[COUNTRY ABBR]])+COUNTIFS(T_2016_EVENT_RESULTS[Gold - Country - 2],T_SV_MEDALS[[#This Row],[COUNTRY ABBR]]))</f>
        <v>0</v>
      </c>
      <c r="D26" s="3">
        <f>IF(I_VIEW=2,"",COUNTIFS(T_2016_EVENT_RESULTS[Silver - Country],T_SV_MEDALS[[#This Row],[COUNTRY ABBR]])+COUNTIFS(T_2016_EVENT_RESULTS[Silver - Country - 2],T_SV_MEDALS[[#This Row],[COUNTRY ABBR]])+COUNTIFS(T_2016_EVENT_RESULTS[Silver - Country - 3],T_SV_MEDALS[[#This Row],[COUNTRY ABBR]]))</f>
        <v>0</v>
      </c>
      <c r="E26" s="3">
        <f>IF(I_VIEW=2,"",COUNTIFS(T_2016_EVENT_RESULTS[Bronze - Country],T_SV_MEDALS[[#This Row],[COUNTRY ABBR]])+COUNTIFS(T_2016_EVENT_RESULTS[Bronze - Country - 2],T_SV_MEDALS[[#This Row],[COUNTRY ABBR]]))</f>
        <v>0</v>
      </c>
      <c r="F26" s="3">
        <f>SUM(T_SV_MEDALS[[#This Row],[GOLD]:[BRONZE]])</f>
        <v>0</v>
      </c>
      <c r="G26" s="3" t="str">
        <f>IF(T_SV_MEDALS[[#This Row],[TOTAL]]=0,"",IF(I_RANK_METHOD="TOTAL",(T_SV_MEDALS[[#This Row],[TOTAL]]*10000000),0)+(T_SV_MEDALS[[#This Row],[GOLD]]*100000)+(T_SV_MEDALS[[#This Row],[SILVER]]*1000)+(T_SV_MEDALS[[#This Row],[BRONZE]]*10))</f>
        <v/>
      </c>
      <c r="H26" s="3" t="str">
        <f>IFERROR(IF(T_SV_MEDALS[[#This Row],[TOTAL]]=0,"",RANK(T_SV_MEDALS[[#This Row],[RANK VALUE]],T_SV_MEDALS[RANK VALUE])),"")</f>
        <v/>
      </c>
      <c r="I26" s="3" t="str">
        <f>IFERROR(IF(T_SV_MEDALS[[#This Row],[TOTAL]]=0,"",RANK(T_SV_MEDALS[[#This Row],[RANK VALUE]],T_SV_MEDALS[RANK VALUE])+COUNTIF($H$2:H25,H26)),"")</f>
        <v/>
      </c>
      <c r="J26" t="str">
        <f>IF(I_VIEW=3, COUNTIFS(T_2016_EVENT_RESULTS[SPORT],I_SV_SPORT,T_2016_EVENT_RESULTS[Gold - Country],T_SV_MEDALS[[#This Row],[COUNTRY ABBR]])+COUNTIFS(T_2016_EVENT_RESULTS[SPORT],I_SV_SPORT,T_2016_EVENT_RESULTS[Gold - Country - 2],T_SV_MEDALS[[#This Row],[COUNTRY ABBR]]),"")</f>
        <v/>
      </c>
      <c r="K26" t="str">
        <f>IF(I_VIEW=3, COUNTIFS(T_2016_EVENT_RESULTS[SPORT],I_SV_SPORT,T_2016_EVENT_RESULTS[Silver - Country],T_SV_MEDALS[[#This Row],[COUNTRY ABBR]])+COUNTIFS(T_2016_EVENT_RESULTS[SPORT],I_SV_SPORT,T_2016_EVENT_RESULTS[Silver - Country - 2],T_SV_MEDALS[[#This Row],[COUNTRY ABBR]])+COUNTIFS(T_2016_EVENT_RESULTS[SPORT],I_SV_SPORT,T_2016_EVENT_RESULTS[Silver - Country - 3],T_SV_MEDALS[[#This Row],[COUNTRY ABBR]]),"")</f>
        <v/>
      </c>
      <c r="L26" t="str">
        <f>IF(I_VIEW=3, COUNTIFS(T_2016_EVENT_RESULTS[SPORT],I_SV_SPORT,T_2016_EVENT_RESULTS[Bronze - Country],T_SV_MEDALS[[#This Row],[COUNTRY ABBR]])+COUNTIFS(T_2016_EVENT_RESULTS[SPORT],I_SV_SPORT,T_2016_EVENT_RESULTS[Bronze - Country - 2],T_SV_MEDALS[[#This Row],[COUNTRY ABBR]]),"")</f>
        <v/>
      </c>
      <c r="M26" s="3">
        <f>SUM(T_SV_MEDALS[[#This Row],[SV_GOLD]:[SV_BRONZE]])</f>
        <v>0</v>
      </c>
      <c r="N26" s="3" t="str">
        <f>IF(T_SV_MEDALS[[#This Row],[SV_TOTAL]]=0,"",IF(I_RANK_METHOD="TOTAL",(T_SV_MEDALS[[#This Row],[SV_TOTAL]]*10000000),0)+(T_SV_MEDALS[[#This Row],[SV_GOLD]]*100000)+(T_SV_MEDALS[[#This Row],[SV_SILVER]]*1000)+(T_SV_MEDALS[[#This Row],[SV_BRONZE]]*10))</f>
        <v/>
      </c>
      <c r="O26" s="3" t="str">
        <f>IFERROR(IF(T_SV_MEDALS[[#This Row],[SV_TOTAL]]=0,"",RANK(T_SV_MEDALS[[#This Row],[SV_RANK VALUE]],T_SV_MEDALS[SV_RANK VALUE])),"")</f>
        <v/>
      </c>
      <c r="P26" s="3" t="str">
        <f>IFERROR(IF(T_SV_MEDALS[[#This Row],[SV_TOTAL]]=0,"",RANK(T_SV_MEDALS[[#This Row],[SV_RANK VALUE]],T_SV_MEDALS[SV_RANK VALUE])+COUNTIF($O$2:O25,O26)),"")</f>
        <v/>
      </c>
      <c r="Q26" s="3" t="str">
        <f>IFERROR(T_SV_MEDALS[[#This Row],[SV_TOTAL]]/T_SV_MEDALS[[#This Row],[TOTAL]],"")</f>
        <v/>
      </c>
      <c r="R26" s="3" t="str">
        <f>IFERROR(IF(T_SV_MEDALS[[#This Row],[SV_TOTAL]]=0,"",RANK(T_SV_MEDALS[[#This Row],[Dependency - Rank Value]],T_SV_MEDALS[Dependency - Rank Value])+COUNTIF($Q$2:Q25,Q26)),"")</f>
        <v/>
      </c>
    </row>
    <row r="27" spans="1:18" x14ac:dyDescent="0.25">
      <c r="A27" t="s">
        <v>2768</v>
      </c>
      <c r="B27" t="s">
        <v>47</v>
      </c>
      <c r="C27" s="3">
        <f>IF(I_VIEW=2,"",COUNTIFS(T_2016_EVENT_RESULTS[Gold - Country],T_SV_MEDALS[[#This Row],[COUNTRY ABBR]])+COUNTIFS(T_2016_EVENT_RESULTS[Gold - Country - 2],T_SV_MEDALS[[#This Row],[COUNTRY ABBR]]))</f>
        <v>0</v>
      </c>
      <c r="D27" s="3">
        <f>IF(I_VIEW=2,"",COUNTIFS(T_2016_EVENT_RESULTS[Silver - Country],T_SV_MEDALS[[#This Row],[COUNTRY ABBR]])+COUNTIFS(T_2016_EVENT_RESULTS[Silver - Country - 2],T_SV_MEDALS[[#This Row],[COUNTRY ABBR]])+COUNTIFS(T_2016_EVENT_RESULTS[Silver - Country - 3],T_SV_MEDALS[[#This Row],[COUNTRY ABBR]]))</f>
        <v>0</v>
      </c>
      <c r="E27" s="3">
        <f>IF(I_VIEW=2,"",COUNTIFS(T_2016_EVENT_RESULTS[Bronze - Country],T_SV_MEDALS[[#This Row],[COUNTRY ABBR]])+COUNTIFS(T_2016_EVENT_RESULTS[Bronze - Country - 2],T_SV_MEDALS[[#This Row],[COUNTRY ABBR]]))</f>
        <v>0</v>
      </c>
      <c r="F27" s="3">
        <f>SUM(T_SV_MEDALS[[#This Row],[GOLD]:[BRONZE]])</f>
        <v>0</v>
      </c>
      <c r="G27" s="3" t="str">
        <f>IF(T_SV_MEDALS[[#This Row],[TOTAL]]=0,"",IF(I_RANK_METHOD="TOTAL",(T_SV_MEDALS[[#This Row],[TOTAL]]*10000000),0)+(T_SV_MEDALS[[#This Row],[GOLD]]*100000)+(T_SV_MEDALS[[#This Row],[SILVER]]*1000)+(T_SV_MEDALS[[#This Row],[BRONZE]]*10))</f>
        <v/>
      </c>
      <c r="H27" s="3" t="str">
        <f>IFERROR(IF(T_SV_MEDALS[[#This Row],[TOTAL]]=0,"",RANK(T_SV_MEDALS[[#This Row],[RANK VALUE]],T_SV_MEDALS[RANK VALUE])),"")</f>
        <v/>
      </c>
      <c r="I27" s="3" t="str">
        <f>IFERROR(IF(T_SV_MEDALS[[#This Row],[TOTAL]]=0,"",RANK(T_SV_MEDALS[[#This Row],[RANK VALUE]],T_SV_MEDALS[RANK VALUE])+COUNTIF($H$2:H26,H27)),"")</f>
        <v/>
      </c>
      <c r="J27" t="str">
        <f>IF(I_VIEW=3, COUNTIFS(T_2016_EVENT_RESULTS[SPORT],I_SV_SPORT,T_2016_EVENT_RESULTS[Gold - Country],T_SV_MEDALS[[#This Row],[COUNTRY ABBR]])+COUNTIFS(T_2016_EVENT_RESULTS[SPORT],I_SV_SPORT,T_2016_EVENT_RESULTS[Gold - Country - 2],T_SV_MEDALS[[#This Row],[COUNTRY ABBR]]),"")</f>
        <v/>
      </c>
      <c r="K27" t="str">
        <f>IF(I_VIEW=3, COUNTIFS(T_2016_EVENT_RESULTS[SPORT],I_SV_SPORT,T_2016_EVENT_RESULTS[Silver - Country],T_SV_MEDALS[[#This Row],[COUNTRY ABBR]])+COUNTIFS(T_2016_EVENT_RESULTS[SPORT],I_SV_SPORT,T_2016_EVENT_RESULTS[Silver - Country - 2],T_SV_MEDALS[[#This Row],[COUNTRY ABBR]])+COUNTIFS(T_2016_EVENT_RESULTS[SPORT],I_SV_SPORT,T_2016_EVENT_RESULTS[Silver - Country - 3],T_SV_MEDALS[[#This Row],[COUNTRY ABBR]]),"")</f>
        <v/>
      </c>
      <c r="L27" t="str">
        <f>IF(I_VIEW=3, COUNTIFS(T_2016_EVENT_RESULTS[SPORT],I_SV_SPORT,T_2016_EVENT_RESULTS[Bronze - Country],T_SV_MEDALS[[#This Row],[COUNTRY ABBR]])+COUNTIFS(T_2016_EVENT_RESULTS[SPORT],I_SV_SPORT,T_2016_EVENT_RESULTS[Bronze - Country - 2],T_SV_MEDALS[[#This Row],[COUNTRY ABBR]]),"")</f>
        <v/>
      </c>
      <c r="M27" s="3">
        <f>SUM(T_SV_MEDALS[[#This Row],[SV_GOLD]:[SV_BRONZE]])</f>
        <v>0</v>
      </c>
      <c r="N27" s="3" t="str">
        <f>IF(T_SV_MEDALS[[#This Row],[SV_TOTAL]]=0,"",IF(I_RANK_METHOD="TOTAL",(T_SV_MEDALS[[#This Row],[SV_TOTAL]]*10000000),0)+(T_SV_MEDALS[[#This Row],[SV_GOLD]]*100000)+(T_SV_MEDALS[[#This Row],[SV_SILVER]]*1000)+(T_SV_MEDALS[[#This Row],[SV_BRONZE]]*10))</f>
        <v/>
      </c>
      <c r="O27" s="3" t="str">
        <f>IFERROR(IF(T_SV_MEDALS[[#This Row],[SV_TOTAL]]=0,"",RANK(T_SV_MEDALS[[#This Row],[SV_RANK VALUE]],T_SV_MEDALS[SV_RANK VALUE])),"")</f>
        <v/>
      </c>
      <c r="P27" s="3" t="str">
        <f>IFERROR(IF(T_SV_MEDALS[[#This Row],[SV_TOTAL]]=0,"",RANK(T_SV_MEDALS[[#This Row],[SV_RANK VALUE]],T_SV_MEDALS[SV_RANK VALUE])+COUNTIF($O$2:O26,O27)),"")</f>
        <v/>
      </c>
      <c r="Q27" s="3" t="str">
        <f>IFERROR(T_SV_MEDALS[[#This Row],[SV_TOTAL]]/T_SV_MEDALS[[#This Row],[TOTAL]],"")</f>
        <v/>
      </c>
      <c r="R27" s="3" t="str">
        <f>IFERROR(IF(T_SV_MEDALS[[#This Row],[SV_TOTAL]]=0,"",RANK(T_SV_MEDALS[[#This Row],[Dependency - Rank Value]],T_SV_MEDALS[Dependency - Rank Value])+COUNTIF($Q$2:Q26,Q27)),"")</f>
        <v/>
      </c>
    </row>
    <row r="28" spans="1:18" x14ac:dyDescent="0.25">
      <c r="A28" t="s">
        <v>48</v>
      </c>
      <c r="B28" t="s">
        <v>49</v>
      </c>
      <c r="C28" s="3">
        <f>IF(I_VIEW=2,"",COUNTIFS(T_2016_EVENT_RESULTS[Gold - Country],T_SV_MEDALS[[#This Row],[COUNTRY ABBR]])+COUNTIFS(T_2016_EVENT_RESULTS[Gold - Country - 2],T_SV_MEDALS[[#This Row],[COUNTRY ABBR]]))</f>
        <v>0</v>
      </c>
      <c r="D28" s="3">
        <f>IF(I_VIEW=2,"",COUNTIFS(T_2016_EVENT_RESULTS[Silver - Country],T_SV_MEDALS[[#This Row],[COUNTRY ABBR]])+COUNTIFS(T_2016_EVENT_RESULTS[Silver - Country - 2],T_SV_MEDALS[[#This Row],[COUNTRY ABBR]])+COUNTIFS(T_2016_EVENT_RESULTS[Silver - Country - 3],T_SV_MEDALS[[#This Row],[COUNTRY ABBR]]))</f>
        <v>0</v>
      </c>
      <c r="E28" s="3">
        <f>IF(I_VIEW=2,"",COUNTIFS(T_2016_EVENT_RESULTS[Bronze - Country],T_SV_MEDALS[[#This Row],[COUNTRY ABBR]])+COUNTIFS(T_2016_EVENT_RESULTS[Bronze - Country - 2],T_SV_MEDALS[[#This Row],[COUNTRY ABBR]]))</f>
        <v>0</v>
      </c>
      <c r="F28" s="3">
        <f>SUM(T_SV_MEDALS[[#This Row],[GOLD]:[BRONZE]])</f>
        <v>0</v>
      </c>
      <c r="G28" s="3" t="str">
        <f>IF(T_SV_MEDALS[[#This Row],[TOTAL]]=0,"",IF(I_RANK_METHOD="TOTAL",(T_SV_MEDALS[[#This Row],[TOTAL]]*10000000),0)+(T_SV_MEDALS[[#This Row],[GOLD]]*100000)+(T_SV_MEDALS[[#This Row],[SILVER]]*1000)+(T_SV_MEDALS[[#This Row],[BRONZE]]*10))</f>
        <v/>
      </c>
      <c r="H28" s="3" t="str">
        <f>IFERROR(IF(T_SV_MEDALS[[#This Row],[TOTAL]]=0,"",RANK(T_SV_MEDALS[[#This Row],[RANK VALUE]],T_SV_MEDALS[RANK VALUE])),"")</f>
        <v/>
      </c>
      <c r="I28" s="3" t="str">
        <f>IFERROR(IF(T_SV_MEDALS[[#This Row],[TOTAL]]=0,"",RANK(T_SV_MEDALS[[#This Row],[RANK VALUE]],T_SV_MEDALS[RANK VALUE])+COUNTIF($H$2:H27,H28)),"")</f>
        <v/>
      </c>
      <c r="J28" t="str">
        <f>IF(I_VIEW=3, COUNTIFS(T_2016_EVENT_RESULTS[SPORT],I_SV_SPORT,T_2016_EVENT_RESULTS[Gold - Country],T_SV_MEDALS[[#This Row],[COUNTRY ABBR]])+COUNTIFS(T_2016_EVENT_RESULTS[SPORT],I_SV_SPORT,T_2016_EVENT_RESULTS[Gold - Country - 2],T_SV_MEDALS[[#This Row],[COUNTRY ABBR]]),"")</f>
        <v/>
      </c>
      <c r="K28" t="str">
        <f>IF(I_VIEW=3, COUNTIFS(T_2016_EVENT_RESULTS[SPORT],I_SV_SPORT,T_2016_EVENT_RESULTS[Silver - Country],T_SV_MEDALS[[#This Row],[COUNTRY ABBR]])+COUNTIFS(T_2016_EVENT_RESULTS[SPORT],I_SV_SPORT,T_2016_EVENT_RESULTS[Silver - Country - 2],T_SV_MEDALS[[#This Row],[COUNTRY ABBR]])+COUNTIFS(T_2016_EVENT_RESULTS[SPORT],I_SV_SPORT,T_2016_EVENT_RESULTS[Silver - Country - 3],T_SV_MEDALS[[#This Row],[COUNTRY ABBR]]),"")</f>
        <v/>
      </c>
      <c r="L28" t="str">
        <f>IF(I_VIEW=3, COUNTIFS(T_2016_EVENT_RESULTS[SPORT],I_SV_SPORT,T_2016_EVENT_RESULTS[Bronze - Country],T_SV_MEDALS[[#This Row],[COUNTRY ABBR]])+COUNTIFS(T_2016_EVENT_RESULTS[SPORT],I_SV_SPORT,T_2016_EVENT_RESULTS[Bronze - Country - 2],T_SV_MEDALS[[#This Row],[COUNTRY ABBR]]),"")</f>
        <v/>
      </c>
      <c r="M28" s="3">
        <f>SUM(T_SV_MEDALS[[#This Row],[SV_GOLD]:[SV_BRONZE]])</f>
        <v>0</v>
      </c>
      <c r="N28" s="3" t="str">
        <f>IF(T_SV_MEDALS[[#This Row],[SV_TOTAL]]=0,"",IF(I_RANK_METHOD="TOTAL",(T_SV_MEDALS[[#This Row],[SV_TOTAL]]*10000000),0)+(T_SV_MEDALS[[#This Row],[SV_GOLD]]*100000)+(T_SV_MEDALS[[#This Row],[SV_SILVER]]*1000)+(T_SV_MEDALS[[#This Row],[SV_BRONZE]]*10))</f>
        <v/>
      </c>
      <c r="O28" s="3" t="str">
        <f>IFERROR(IF(T_SV_MEDALS[[#This Row],[SV_TOTAL]]=0,"",RANK(T_SV_MEDALS[[#This Row],[SV_RANK VALUE]],T_SV_MEDALS[SV_RANK VALUE])),"")</f>
        <v/>
      </c>
      <c r="P28" s="3" t="str">
        <f>IFERROR(IF(T_SV_MEDALS[[#This Row],[SV_TOTAL]]=0,"",RANK(T_SV_MEDALS[[#This Row],[SV_RANK VALUE]],T_SV_MEDALS[SV_RANK VALUE])+COUNTIF($O$2:O27,O28)),"")</f>
        <v/>
      </c>
      <c r="Q28" s="3" t="str">
        <f>IFERROR(T_SV_MEDALS[[#This Row],[SV_TOTAL]]/T_SV_MEDALS[[#This Row],[TOTAL]],"")</f>
        <v/>
      </c>
      <c r="R28" s="3" t="str">
        <f>IFERROR(IF(T_SV_MEDALS[[#This Row],[SV_TOTAL]]=0,"",RANK(T_SV_MEDALS[[#This Row],[Dependency - Rank Value]],T_SV_MEDALS[Dependency - Rank Value])+COUNTIF($Q$2:Q27,Q28)),"")</f>
        <v/>
      </c>
    </row>
    <row r="29" spans="1:18" x14ac:dyDescent="0.25">
      <c r="A29" t="s">
        <v>50</v>
      </c>
      <c r="B29" t="s">
        <v>51</v>
      </c>
      <c r="C29" s="3">
        <f>IF(I_VIEW=2,"",COUNTIFS(T_2016_EVENT_RESULTS[Gold - Country],T_SV_MEDALS[[#This Row],[COUNTRY ABBR]])+COUNTIFS(T_2016_EVENT_RESULTS[Gold - Country - 2],T_SV_MEDALS[[#This Row],[COUNTRY ABBR]]))</f>
        <v>7</v>
      </c>
      <c r="D29" s="3">
        <f>IF(I_VIEW=2,"",COUNTIFS(T_2016_EVENT_RESULTS[Silver - Country],T_SV_MEDALS[[#This Row],[COUNTRY ABBR]])+COUNTIFS(T_2016_EVENT_RESULTS[Silver - Country - 2],T_SV_MEDALS[[#This Row],[COUNTRY ABBR]])+COUNTIFS(T_2016_EVENT_RESULTS[Silver - Country - 3],T_SV_MEDALS[[#This Row],[COUNTRY ABBR]]))</f>
        <v>6</v>
      </c>
      <c r="E29" s="3">
        <f>IF(I_VIEW=2,"",COUNTIFS(T_2016_EVENT_RESULTS[Bronze - Country],T_SV_MEDALS[[#This Row],[COUNTRY ABBR]])+COUNTIFS(T_2016_EVENT_RESULTS[Bronze - Country - 2],T_SV_MEDALS[[#This Row],[COUNTRY ABBR]]))</f>
        <v>6</v>
      </c>
      <c r="F29" s="3">
        <f>SUM(T_SV_MEDALS[[#This Row],[GOLD]:[BRONZE]])</f>
        <v>19</v>
      </c>
      <c r="G29" s="3">
        <f>IF(T_SV_MEDALS[[#This Row],[TOTAL]]=0,"",IF(I_RANK_METHOD="TOTAL",(T_SV_MEDALS[[#This Row],[TOTAL]]*10000000),0)+(T_SV_MEDALS[[#This Row],[GOLD]]*100000)+(T_SV_MEDALS[[#This Row],[SILVER]]*1000)+(T_SV_MEDALS[[#This Row],[BRONZE]]*10))</f>
        <v>190706060</v>
      </c>
      <c r="H29" s="3">
        <f>IFERROR(IF(T_SV_MEDALS[[#This Row],[TOTAL]]=0,"",RANK(T_SV_MEDALS[[#This Row],[RANK VALUE]],T_SV_MEDALS[RANK VALUE])),"")</f>
        <v>13</v>
      </c>
      <c r="I29" s="3">
        <f>IFERROR(IF(T_SV_MEDALS[[#This Row],[TOTAL]]=0,"",RANK(T_SV_MEDALS[[#This Row],[RANK VALUE]],T_SV_MEDALS[RANK VALUE])+COUNTIF($H$2:H28,H29)),"")</f>
        <v>13</v>
      </c>
      <c r="J29" t="str">
        <f>IF(I_VIEW=3, COUNTIFS(T_2016_EVENT_RESULTS[SPORT],I_SV_SPORT,T_2016_EVENT_RESULTS[Gold - Country],T_SV_MEDALS[[#This Row],[COUNTRY ABBR]])+COUNTIFS(T_2016_EVENT_RESULTS[SPORT],I_SV_SPORT,T_2016_EVENT_RESULTS[Gold - Country - 2],T_SV_MEDALS[[#This Row],[COUNTRY ABBR]]),"")</f>
        <v/>
      </c>
      <c r="K29" t="str">
        <f>IF(I_VIEW=3, COUNTIFS(T_2016_EVENT_RESULTS[SPORT],I_SV_SPORT,T_2016_EVENT_RESULTS[Silver - Country],T_SV_MEDALS[[#This Row],[COUNTRY ABBR]])+COUNTIFS(T_2016_EVENT_RESULTS[SPORT],I_SV_SPORT,T_2016_EVENT_RESULTS[Silver - Country - 2],T_SV_MEDALS[[#This Row],[COUNTRY ABBR]])+COUNTIFS(T_2016_EVENT_RESULTS[SPORT],I_SV_SPORT,T_2016_EVENT_RESULTS[Silver - Country - 3],T_SV_MEDALS[[#This Row],[COUNTRY ABBR]]),"")</f>
        <v/>
      </c>
      <c r="L29" t="str">
        <f>IF(I_VIEW=3, COUNTIFS(T_2016_EVENT_RESULTS[SPORT],I_SV_SPORT,T_2016_EVENT_RESULTS[Bronze - Country],T_SV_MEDALS[[#This Row],[COUNTRY ABBR]])+COUNTIFS(T_2016_EVENT_RESULTS[SPORT],I_SV_SPORT,T_2016_EVENT_RESULTS[Bronze - Country - 2],T_SV_MEDALS[[#This Row],[COUNTRY ABBR]]),"")</f>
        <v/>
      </c>
      <c r="M29" s="3">
        <f>SUM(T_SV_MEDALS[[#This Row],[SV_GOLD]:[SV_BRONZE]])</f>
        <v>0</v>
      </c>
      <c r="N29" s="3" t="str">
        <f>IF(T_SV_MEDALS[[#This Row],[SV_TOTAL]]=0,"",IF(I_RANK_METHOD="TOTAL",(T_SV_MEDALS[[#This Row],[SV_TOTAL]]*10000000),0)+(T_SV_MEDALS[[#This Row],[SV_GOLD]]*100000)+(T_SV_MEDALS[[#This Row],[SV_SILVER]]*1000)+(T_SV_MEDALS[[#This Row],[SV_BRONZE]]*10))</f>
        <v/>
      </c>
      <c r="O29" s="3" t="str">
        <f>IFERROR(IF(T_SV_MEDALS[[#This Row],[SV_TOTAL]]=0,"",RANK(T_SV_MEDALS[[#This Row],[SV_RANK VALUE]],T_SV_MEDALS[SV_RANK VALUE])),"")</f>
        <v/>
      </c>
      <c r="P29" s="3" t="str">
        <f>IFERROR(IF(T_SV_MEDALS[[#This Row],[SV_TOTAL]]=0,"",RANK(T_SV_MEDALS[[#This Row],[SV_RANK VALUE]],T_SV_MEDALS[SV_RANK VALUE])+COUNTIF($O$2:O28,O29)),"")</f>
        <v/>
      </c>
      <c r="Q29" s="3">
        <f>IFERROR(T_SV_MEDALS[[#This Row],[SV_TOTAL]]/T_SV_MEDALS[[#This Row],[TOTAL]],"")</f>
        <v>0</v>
      </c>
      <c r="R29" s="3" t="str">
        <f>IFERROR(IF(T_SV_MEDALS[[#This Row],[SV_TOTAL]]=0,"",RANK(T_SV_MEDALS[[#This Row],[Dependency - Rank Value]],T_SV_MEDALS[Dependency - Rank Value])+COUNTIF($Q$2:Q28,Q29)),"")</f>
        <v/>
      </c>
    </row>
    <row r="30" spans="1:18" x14ac:dyDescent="0.25">
      <c r="A30" t="s">
        <v>53</v>
      </c>
      <c r="B30" t="s">
        <v>54</v>
      </c>
      <c r="C30" s="3">
        <f>IF(I_VIEW=2,"",COUNTIFS(T_2016_EVENT_RESULTS[Gold - Country],T_SV_MEDALS[[#This Row],[COUNTRY ABBR]])+COUNTIFS(T_2016_EVENT_RESULTS[Gold - Country - 2],T_SV_MEDALS[[#This Row],[COUNTRY ABBR]]))</f>
        <v>0</v>
      </c>
      <c r="D30" s="3">
        <f>IF(I_VIEW=2,"",COUNTIFS(T_2016_EVENT_RESULTS[Silver - Country],T_SV_MEDALS[[#This Row],[COUNTRY ABBR]])+COUNTIFS(T_2016_EVENT_RESULTS[Silver - Country - 2],T_SV_MEDALS[[#This Row],[COUNTRY ABBR]])+COUNTIFS(T_2016_EVENT_RESULTS[Silver - Country - 3],T_SV_MEDALS[[#This Row],[COUNTRY ABBR]]))</f>
        <v>0</v>
      </c>
      <c r="E30" s="3">
        <f>IF(I_VIEW=2,"",COUNTIFS(T_2016_EVENT_RESULTS[Bronze - Country],T_SV_MEDALS[[#This Row],[COUNTRY ABBR]])+COUNTIFS(T_2016_EVENT_RESULTS[Bronze - Country - 2],T_SV_MEDALS[[#This Row],[COUNTRY ABBR]]))</f>
        <v>0</v>
      </c>
      <c r="F30" s="3">
        <f>SUM(T_SV_MEDALS[[#This Row],[GOLD]:[BRONZE]])</f>
        <v>0</v>
      </c>
      <c r="G30" s="3" t="str">
        <f>IF(T_SV_MEDALS[[#This Row],[TOTAL]]=0,"",IF(I_RANK_METHOD="TOTAL",(T_SV_MEDALS[[#This Row],[TOTAL]]*10000000),0)+(T_SV_MEDALS[[#This Row],[GOLD]]*100000)+(T_SV_MEDALS[[#This Row],[SILVER]]*1000)+(T_SV_MEDALS[[#This Row],[BRONZE]]*10))</f>
        <v/>
      </c>
      <c r="H30" s="3" t="str">
        <f>IFERROR(IF(T_SV_MEDALS[[#This Row],[TOTAL]]=0,"",RANK(T_SV_MEDALS[[#This Row],[RANK VALUE]],T_SV_MEDALS[RANK VALUE])),"")</f>
        <v/>
      </c>
      <c r="I30" s="3" t="str">
        <f>IFERROR(IF(T_SV_MEDALS[[#This Row],[TOTAL]]=0,"",RANK(T_SV_MEDALS[[#This Row],[RANK VALUE]],T_SV_MEDALS[RANK VALUE])+COUNTIF($H$2:H29,H30)),"")</f>
        <v/>
      </c>
      <c r="J30" t="str">
        <f>IF(I_VIEW=3, COUNTIFS(T_2016_EVENT_RESULTS[SPORT],I_SV_SPORT,T_2016_EVENT_RESULTS[Gold - Country],T_SV_MEDALS[[#This Row],[COUNTRY ABBR]])+COUNTIFS(T_2016_EVENT_RESULTS[SPORT],I_SV_SPORT,T_2016_EVENT_RESULTS[Gold - Country - 2],T_SV_MEDALS[[#This Row],[COUNTRY ABBR]]),"")</f>
        <v/>
      </c>
      <c r="K30" t="str">
        <f>IF(I_VIEW=3, COUNTIFS(T_2016_EVENT_RESULTS[SPORT],I_SV_SPORT,T_2016_EVENT_RESULTS[Silver - Country],T_SV_MEDALS[[#This Row],[COUNTRY ABBR]])+COUNTIFS(T_2016_EVENT_RESULTS[SPORT],I_SV_SPORT,T_2016_EVENT_RESULTS[Silver - Country - 2],T_SV_MEDALS[[#This Row],[COUNTRY ABBR]])+COUNTIFS(T_2016_EVENT_RESULTS[SPORT],I_SV_SPORT,T_2016_EVENT_RESULTS[Silver - Country - 3],T_SV_MEDALS[[#This Row],[COUNTRY ABBR]]),"")</f>
        <v/>
      </c>
      <c r="L30" t="str">
        <f>IF(I_VIEW=3, COUNTIFS(T_2016_EVENT_RESULTS[SPORT],I_SV_SPORT,T_2016_EVENT_RESULTS[Bronze - Country],T_SV_MEDALS[[#This Row],[COUNTRY ABBR]])+COUNTIFS(T_2016_EVENT_RESULTS[SPORT],I_SV_SPORT,T_2016_EVENT_RESULTS[Bronze - Country - 2],T_SV_MEDALS[[#This Row],[COUNTRY ABBR]]),"")</f>
        <v/>
      </c>
      <c r="M30" s="3">
        <f>SUM(T_SV_MEDALS[[#This Row],[SV_GOLD]:[SV_BRONZE]])</f>
        <v>0</v>
      </c>
      <c r="N30" s="3" t="str">
        <f>IF(T_SV_MEDALS[[#This Row],[SV_TOTAL]]=0,"",IF(I_RANK_METHOD="TOTAL",(T_SV_MEDALS[[#This Row],[SV_TOTAL]]*10000000),0)+(T_SV_MEDALS[[#This Row],[SV_GOLD]]*100000)+(T_SV_MEDALS[[#This Row],[SV_SILVER]]*1000)+(T_SV_MEDALS[[#This Row],[SV_BRONZE]]*10))</f>
        <v/>
      </c>
      <c r="O30" s="3" t="str">
        <f>IFERROR(IF(T_SV_MEDALS[[#This Row],[SV_TOTAL]]=0,"",RANK(T_SV_MEDALS[[#This Row],[SV_RANK VALUE]],T_SV_MEDALS[SV_RANK VALUE])),"")</f>
        <v/>
      </c>
      <c r="P30" s="3" t="str">
        <f>IFERROR(IF(T_SV_MEDALS[[#This Row],[SV_TOTAL]]=0,"",RANK(T_SV_MEDALS[[#This Row],[SV_RANK VALUE]],T_SV_MEDALS[SV_RANK VALUE])+COUNTIF($O$2:O29,O30)),"")</f>
        <v/>
      </c>
      <c r="Q30" s="3" t="str">
        <f>IFERROR(T_SV_MEDALS[[#This Row],[SV_TOTAL]]/T_SV_MEDALS[[#This Row],[TOTAL]],"")</f>
        <v/>
      </c>
      <c r="R30" s="3" t="str">
        <f>IFERROR(IF(T_SV_MEDALS[[#This Row],[SV_TOTAL]]=0,"",RANK(T_SV_MEDALS[[#This Row],[Dependency - Rank Value]],T_SV_MEDALS[Dependency - Rank Value])+COUNTIF($Q$2:Q29,Q30)),"")</f>
        <v/>
      </c>
    </row>
    <row r="31" spans="1:18" x14ac:dyDescent="0.25">
      <c r="A31" t="s">
        <v>55</v>
      </c>
      <c r="B31" t="s">
        <v>56</v>
      </c>
      <c r="C31" s="3">
        <f>IF(I_VIEW=2,"",COUNTIFS(T_2016_EVENT_RESULTS[Gold - Country],T_SV_MEDALS[[#This Row],[COUNTRY ABBR]])+COUNTIFS(T_2016_EVENT_RESULTS[Gold - Country - 2],T_SV_MEDALS[[#This Row],[COUNTRY ABBR]]))</f>
        <v>0</v>
      </c>
      <c r="D31" s="3">
        <f>IF(I_VIEW=2,"",COUNTIFS(T_2016_EVENT_RESULTS[Silver - Country],T_SV_MEDALS[[#This Row],[COUNTRY ABBR]])+COUNTIFS(T_2016_EVENT_RESULTS[Silver - Country - 2],T_SV_MEDALS[[#This Row],[COUNTRY ABBR]])+COUNTIFS(T_2016_EVENT_RESULTS[Silver - Country - 3],T_SV_MEDALS[[#This Row],[COUNTRY ABBR]]))</f>
        <v>1</v>
      </c>
      <c r="E31" s="3">
        <f>IF(I_VIEW=2,"",COUNTIFS(T_2016_EVENT_RESULTS[Bronze - Country],T_SV_MEDALS[[#This Row],[COUNTRY ABBR]])+COUNTIFS(T_2016_EVENT_RESULTS[Bronze - Country - 2],T_SV_MEDALS[[#This Row],[COUNTRY ABBR]]))</f>
        <v>2</v>
      </c>
      <c r="F31" s="3">
        <f>SUM(T_SV_MEDALS[[#This Row],[GOLD]:[BRONZE]])</f>
        <v>3</v>
      </c>
      <c r="G31" s="3">
        <f>IF(T_SV_MEDALS[[#This Row],[TOTAL]]=0,"",IF(I_RANK_METHOD="TOTAL",(T_SV_MEDALS[[#This Row],[TOTAL]]*10000000),0)+(T_SV_MEDALS[[#This Row],[GOLD]]*100000)+(T_SV_MEDALS[[#This Row],[SILVER]]*1000)+(T_SV_MEDALS[[#This Row],[BRONZE]]*10))</f>
        <v>30001020</v>
      </c>
      <c r="H31" s="3">
        <f>IFERROR(IF(T_SV_MEDALS[[#This Row],[TOTAL]]=0,"",RANK(T_SV_MEDALS[[#This Row],[RANK VALUE]],T_SV_MEDALS[RANK VALUE])),"")</f>
        <v>53</v>
      </c>
      <c r="I31" s="3">
        <f>IFERROR(IF(T_SV_MEDALS[[#This Row],[TOTAL]]=0,"",RANK(T_SV_MEDALS[[#This Row],[RANK VALUE]],T_SV_MEDALS[RANK VALUE])+COUNTIF($H$2:H30,H31)),"")</f>
        <v>53</v>
      </c>
      <c r="J31" t="str">
        <f>IF(I_VIEW=3, COUNTIFS(T_2016_EVENT_RESULTS[SPORT],I_SV_SPORT,T_2016_EVENT_RESULTS[Gold - Country],T_SV_MEDALS[[#This Row],[COUNTRY ABBR]])+COUNTIFS(T_2016_EVENT_RESULTS[SPORT],I_SV_SPORT,T_2016_EVENT_RESULTS[Gold - Country - 2],T_SV_MEDALS[[#This Row],[COUNTRY ABBR]]),"")</f>
        <v/>
      </c>
      <c r="K31" t="str">
        <f>IF(I_VIEW=3, COUNTIFS(T_2016_EVENT_RESULTS[SPORT],I_SV_SPORT,T_2016_EVENT_RESULTS[Silver - Country],T_SV_MEDALS[[#This Row],[COUNTRY ABBR]])+COUNTIFS(T_2016_EVENT_RESULTS[SPORT],I_SV_SPORT,T_2016_EVENT_RESULTS[Silver - Country - 2],T_SV_MEDALS[[#This Row],[COUNTRY ABBR]])+COUNTIFS(T_2016_EVENT_RESULTS[SPORT],I_SV_SPORT,T_2016_EVENT_RESULTS[Silver - Country - 3],T_SV_MEDALS[[#This Row],[COUNTRY ABBR]]),"")</f>
        <v/>
      </c>
      <c r="L31" t="str">
        <f>IF(I_VIEW=3, COUNTIFS(T_2016_EVENT_RESULTS[SPORT],I_SV_SPORT,T_2016_EVENT_RESULTS[Bronze - Country],T_SV_MEDALS[[#This Row],[COUNTRY ABBR]])+COUNTIFS(T_2016_EVENT_RESULTS[SPORT],I_SV_SPORT,T_2016_EVENT_RESULTS[Bronze - Country - 2],T_SV_MEDALS[[#This Row],[COUNTRY ABBR]]),"")</f>
        <v/>
      </c>
      <c r="M31" s="3">
        <f>SUM(T_SV_MEDALS[[#This Row],[SV_GOLD]:[SV_BRONZE]])</f>
        <v>0</v>
      </c>
      <c r="N31" s="3" t="str">
        <f>IF(T_SV_MEDALS[[#This Row],[SV_TOTAL]]=0,"",IF(I_RANK_METHOD="TOTAL",(T_SV_MEDALS[[#This Row],[SV_TOTAL]]*10000000),0)+(T_SV_MEDALS[[#This Row],[SV_GOLD]]*100000)+(T_SV_MEDALS[[#This Row],[SV_SILVER]]*1000)+(T_SV_MEDALS[[#This Row],[SV_BRONZE]]*10))</f>
        <v/>
      </c>
      <c r="O31" s="3" t="str">
        <f>IFERROR(IF(T_SV_MEDALS[[#This Row],[SV_TOTAL]]=0,"",RANK(T_SV_MEDALS[[#This Row],[SV_RANK VALUE]],T_SV_MEDALS[SV_RANK VALUE])),"")</f>
        <v/>
      </c>
      <c r="P31" s="3" t="str">
        <f>IFERROR(IF(T_SV_MEDALS[[#This Row],[SV_TOTAL]]=0,"",RANK(T_SV_MEDALS[[#This Row],[SV_RANK VALUE]],T_SV_MEDALS[SV_RANK VALUE])+COUNTIF($O$2:O30,O31)),"")</f>
        <v/>
      </c>
      <c r="Q31" s="3">
        <f>IFERROR(T_SV_MEDALS[[#This Row],[SV_TOTAL]]/T_SV_MEDALS[[#This Row],[TOTAL]],"")</f>
        <v>0</v>
      </c>
      <c r="R31" s="3" t="str">
        <f>IFERROR(IF(T_SV_MEDALS[[#This Row],[SV_TOTAL]]=0,"",RANK(T_SV_MEDALS[[#This Row],[Dependency - Rank Value]],T_SV_MEDALS[Dependency - Rank Value])+COUNTIF($Q$2:Q30,Q31)),"")</f>
        <v/>
      </c>
    </row>
    <row r="32" spans="1:18" x14ac:dyDescent="0.25">
      <c r="A32" t="s">
        <v>57</v>
      </c>
      <c r="B32" t="s">
        <v>58</v>
      </c>
      <c r="C32" s="3">
        <f>IF(I_VIEW=2,"",COUNTIFS(T_2016_EVENT_RESULTS[Gold - Country],T_SV_MEDALS[[#This Row],[COUNTRY ABBR]])+COUNTIFS(T_2016_EVENT_RESULTS[Gold - Country - 2],T_SV_MEDALS[[#This Row],[COUNTRY ABBR]]))</f>
        <v>0</v>
      </c>
      <c r="D32" s="3">
        <f>IF(I_VIEW=2,"",COUNTIFS(T_2016_EVENT_RESULTS[Silver - Country],T_SV_MEDALS[[#This Row],[COUNTRY ABBR]])+COUNTIFS(T_2016_EVENT_RESULTS[Silver - Country - 2],T_SV_MEDALS[[#This Row],[COUNTRY ABBR]])+COUNTIFS(T_2016_EVENT_RESULTS[Silver - Country - 3],T_SV_MEDALS[[#This Row],[COUNTRY ABBR]]))</f>
        <v>0</v>
      </c>
      <c r="E32" s="3">
        <f>IF(I_VIEW=2,"",COUNTIFS(T_2016_EVENT_RESULTS[Bronze - Country],T_SV_MEDALS[[#This Row],[COUNTRY ABBR]])+COUNTIFS(T_2016_EVENT_RESULTS[Bronze - Country - 2],T_SV_MEDALS[[#This Row],[COUNTRY ABBR]]))</f>
        <v>0</v>
      </c>
      <c r="F32" s="3">
        <f>SUM(T_SV_MEDALS[[#This Row],[GOLD]:[BRONZE]])</f>
        <v>0</v>
      </c>
      <c r="G32" s="3" t="str">
        <f>IF(T_SV_MEDALS[[#This Row],[TOTAL]]=0,"",IF(I_RANK_METHOD="TOTAL",(T_SV_MEDALS[[#This Row],[TOTAL]]*10000000),0)+(T_SV_MEDALS[[#This Row],[GOLD]]*100000)+(T_SV_MEDALS[[#This Row],[SILVER]]*1000)+(T_SV_MEDALS[[#This Row],[BRONZE]]*10))</f>
        <v/>
      </c>
      <c r="H32" s="3" t="str">
        <f>IFERROR(IF(T_SV_MEDALS[[#This Row],[TOTAL]]=0,"",RANK(T_SV_MEDALS[[#This Row],[RANK VALUE]],T_SV_MEDALS[RANK VALUE])),"")</f>
        <v/>
      </c>
      <c r="I32" s="3" t="str">
        <f>IFERROR(IF(T_SV_MEDALS[[#This Row],[TOTAL]]=0,"",RANK(T_SV_MEDALS[[#This Row],[RANK VALUE]],T_SV_MEDALS[RANK VALUE])+COUNTIF($H$2:H31,H32)),"")</f>
        <v/>
      </c>
      <c r="J32" t="str">
        <f>IF(I_VIEW=3, COUNTIFS(T_2016_EVENT_RESULTS[SPORT],I_SV_SPORT,T_2016_EVENT_RESULTS[Gold - Country],T_SV_MEDALS[[#This Row],[COUNTRY ABBR]])+COUNTIFS(T_2016_EVENT_RESULTS[SPORT],I_SV_SPORT,T_2016_EVENT_RESULTS[Gold - Country - 2],T_SV_MEDALS[[#This Row],[COUNTRY ABBR]]),"")</f>
        <v/>
      </c>
      <c r="K32" t="str">
        <f>IF(I_VIEW=3, COUNTIFS(T_2016_EVENT_RESULTS[SPORT],I_SV_SPORT,T_2016_EVENT_RESULTS[Silver - Country],T_SV_MEDALS[[#This Row],[COUNTRY ABBR]])+COUNTIFS(T_2016_EVENT_RESULTS[SPORT],I_SV_SPORT,T_2016_EVENT_RESULTS[Silver - Country - 2],T_SV_MEDALS[[#This Row],[COUNTRY ABBR]])+COUNTIFS(T_2016_EVENT_RESULTS[SPORT],I_SV_SPORT,T_2016_EVENT_RESULTS[Silver - Country - 3],T_SV_MEDALS[[#This Row],[COUNTRY ABBR]]),"")</f>
        <v/>
      </c>
      <c r="L32" t="str">
        <f>IF(I_VIEW=3, COUNTIFS(T_2016_EVENT_RESULTS[SPORT],I_SV_SPORT,T_2016_EVENT_RESULTS[Bronze - Country],T_SV_MEDALS[[#This Row],[COUNTRY ABBR]])+COUNTIFS(T_2016_EVENT_RESULTS[SPORT],I_SV_SPORT,T_2016_EVENT_RESULTS[Bronze - Country - 2],T_SV_MEDALS[[#This Row],[COUNTRY ABBR]]),"")</f>
        <v/>
      </c>
      <c r="M32" s="3">
        <f>SUM(T_SV_MEDALS[[#This Row],[SV_GOLD]:[SV_BRONZE]])</f>
        <v>0</v>
      </c>
      <c r="N32" s="3" t="str">
        <f>IF(T_SV_MEDALS[[#This Row],[SV_TOTAL]]=0,"",IF(I_RANK_METHOD="TOTAL",(T_SV_MEDALS[[#This Row],[SV_TOTAL]]*10000000),0)+(T_SV_MEDALS[[#This Row],[SV_GOLD]]*100000)+(T_SV_MEDALS[[#This Row],[SV_SILVER]]*1000)+(T_SV_MEDALS[[#This Row],[SV_BRONZE]]*10))</f>
        <v/>
      </c>
      <c r="O32" s="3" t="str">
        <f>IFERROR(IF(T_SV_MEDALS[[#This Row],[SV_TOTAL]]=0,"",RANK(T_SV_MEDALS[[#This Row],[SV_RANK VALUE]],T_SV_MEDALS[SV_RANK VALUE])),"")</f>
        <v/>
      </c>
      <c r="P32" s="3" t="str">
        <f>IFERROR(IF(T_SV_MEDALS[[#This Row],[SV_TOTAL]]=0,"",RANK(T_SV_MEDALS[[#This Row],[SV_RANK VALUE]],T_SV_MEDALS[SV_RANK VALUE])+COUNTIF($O$2:O31,O32)),"")</f>
        <v/>
      </c>
      <c r="Q32" s="3" t="str">
        <f>IFERROR(T_SV_MEDALS[[#This Row],[SV_TOTAL]]/T_SV_MEDALS[[#This Row],[TOTAL]],"")</f>
        <v/>
      </c>
      <c r="R32" s="3" t="str">
        <f>IFERROR(IF(T_SV_MEDALS[[#This Row],[SV_TOTAL]]=0,"",RANK(T_SV_MEDALS[[#This Row],[Dependency - Rank Value]],T_SV_MEDALS[Dependency - Rank Value])+COUNTIF($Q$2:Q31,Q32)),"")</f>
        <v/>
      </c>
    </row>
    <row r="33" spans="1:18" x14ac:dyDescent="0.25">
      <c r="A33" t="s">
        <v>59</v>
      </c>
      <c r="B33" t="s">
        <v>60</v>
      </c>
      <c r="C33" s="3">
        <f>IF(I_VIEW=2,"",COUNTIFS(T_2016_EVENT_RESULTS[Gold - Country],T_SV_MEDALS[[#This Row],[COUNTRY ABBR]])+COUNTIFS(T_2016_EVENT_RESULTS[Gold - Country - 2],T_SV_MEDALS[[#This Row],[COUNTRY ABBR]]))</f>
        <v>0</v>
      </c>
      <c r="D33" s="3">
        <f>IF(I_VIEW=2,"",COUNTIFS(T_2016_EVENT_RESULTS[Silver - Country],T_SV_MEDALS[[#This Row],[COUNTRY ABBR]])+COUNTIFS(T_2016_EVENT_RESULTS[Silver - Country - 2],T_SV_MEDALS[[#This Row],[COUNTRY ABBR]])+COUNTIFS(T_2016_EVENT_RESULTS[Silver - Country - 3],T_SV_MEDALS[[#This Row],[COUNTRY ABBR]]))</f>
        <v>1</v>
      </c>
      <c r="E33" s="3">
        <f>IF(I_VIEW=2,"",COUNTIFS(T_2016_EVENT_RESULTS[Bronze - Country],T_SV_MEDALS[[#This Row],[COUNTRY ABBR]])+COUNTIFS(T_2016_EVENT_RESULTS[Bronze - Country - 2],T_SV_MEDALS[[#This Row],[COUNTRY ABBR]]))</f>
        <v>0</v>
      </c>
      <c r="F33" s="3">
        <f>SUM(T_SV_MEDALS[[#This Row],[GOLD]:[BRONZE]])</f>
        <v>1</v>
      </c>
      <c r="G33" s="3">
        <f>IF(T_SV_MEDALS[[#This Row],[TOTAL]]=0,"",IF(I_RANK_METHOD="TOTAL",(T_SV_MEDALS[[#This Row],[TOTAL]]*10000000),0)+(T_SV_MEDALS[[#This Row],[GOLD]]*100000)+(T_SV_MEDALS[[#This Row],[SILVER]]*1000)+(T_SV_MEDALS[[#This Row],[BRONZE]]*10))</f>
        <v>10001000</v>
      </c>
      <c r="H33" s="3">
        <f>IFERROR(IF(T_SV_MEDALS[[#This Row],[TOTAL]]=0,"",RANK(T_SV_MEDALS[[#This Row],[RANK VALUE]],T_SV_MEDALS[RANK VALUE])),"")</f>
        <v>73</v>
      </c>
      <c r="I33" s="3">
        <f>IFERROR(IF(T_SV_MEDALS[[#This Row],[TOTAL]]=0,"",RANK(T_SV_MEDALS[[#This Row],[RANK VALUE]],T_SV_MEDALS[RANK VALUE])+COUNTIF($H$2:H32,H33)),"")</f>
        <v>73</v>
      </c>
      <c r="J33" t="str">
        <f>IF(I_VIEW=3, COUNTIFS(T_2016_EVENT_RESULTS[SPORT],I_SV_SPORT,T_2016_EVENT_RESULTS[Gold - Country],T_SV_MEDALS[[#This Row],[COUNTRY ABBR]])+COUNTIFS(T_2016_EVENT_RESULTS[SPORT],I_SV_SPORT,T_2016_EVENT_RESULTS[Gold - Country - 2],T_SV_MEDALS[[#This Row],[COUNTRY ABBR]]),"")</f>
        <v/>
      </c>
      <c r="K33" t="str">
        <f>IF(I_VIEW=3, COUNTIFS(T_2016_EVENT_RESULTS[SPORT],I_SV_SPORT,T_2016_EVENT_RESULTS[Silver - Country],T_SV_MEDALS[[#This Row],[COUNTRY ABBR]])+COUNTIFS(T_2016_EVENT_RESULTS[SPORT],I_SV_SPORT,T_2016_EVENT_RESULTS[Silver - Country - 2],T_SV_MEDALS[[#This Row],[COUNTRY ABBR]])+COUNTIFS(T_2016_EVENT_RESULTS[SPORT],I_SV_SPORT,T_2016_EVENT_RESULTS[Silver - Country - 3],T_SV_MEDALS[[#This Row],[COUNTRY ABBR]]),"")</f>
        <v/>
      </c>
      <c r="L33" t="str">
        <f>IF(I_VIEW=3, COUNTIFS(T_2016_EVENT_RESULTS[SPORT],I_SV_SPORT,T_2016_EVENT_RESULTS[Bronze - Country],T_SV_MEDALS[[#This Row],[COUNTRY ABBR]])+COUNTIFS(T_2016_EVENT_RESULTS[SPORT],I_SV_SPORT,T_2016_EVENT_RESULTS[Bronze - Country - 2],T_SV_MEDALS[[#This Row],[COUNTRY ABBR]]),"")</f>
        <v/>
      </c>
      <c r="M33" s="3">
        <f>SUM(T_SV_MEDALS[[#This Row],[SV_GOLD]:[SV_BRONZE]])</f>
        <v>0</v>
      </c>
      <c r="N33" s="3" t="str">
        <f>IF(T_SV_MEDALS[[#This Row],[SV_TOTAL]]=0,"",IF(I_RANK_METHOD="TOTAL",(T_SV_MEDALS[[#This Row],[SV_TOTAL]]*10000000),0)+(T_SV_MEDALS[[#This Row],[SV_GOLD]]*100000)+(T_SV_MEDALS[[#This Row],[SV_SILVER]]*1000)+(T_SV_MEDALS[[#This Row],[SV_BRONZE]]*10))</f>
        <v/>
      </c>
      <c r="O33" s="3" t="str">
        <f>IFERROR(IF(T_SV_MEDALS[[#This Row],[SV_TOTAL]]=0,"",RANK(T_SV_MEDALS[[#This Row],[SV_RANK VALUE]],T_SV_MEDALS[SV_RANK VALUE])),"")</f>
        <v/>
      </c>
      <c r="P33" s="3" t="str">
        <f>IFERROR(IF(T_SV_MEDALS[[#This Row],[SV_TOTAL]]=0,"",RANK(T_SV_MEDALS[[#This Row],[SV_RANK VALUE]],T_SV_MEDALS[SV_RANK VALUE])+COUNTIF($O$2:O32,O33)),"")</f>
        <v/>
      </c>
      <c r="Q33" s="3">
        <f>IFERROR(T_SV_MEDALS[[#This Row],[SV_TOTAL]]/T_SV_MEDALS[[#This Row],[TOTAL]],"")</f>
        <v>0</v>
      </c>
      <c r="R33" s="3" t="str">
        <f>IFERROR(IF(T_SV_MEDALS[[#This Row],[SV_TOTAL]]=0,"",RANK(T_SV_MEDALS[[#This Row],[Dependency - Rank Value]],T_SV_MEDALS[Dependency - Rank Value])+COUNTIF($Q$2:Q32,Q33)),"")</f>
        <v/>
      </c>
    </row>
    <row r="34" spans="1:18" x14ac:dyDescent="0.25">
      <c r="A34" t="s">
        <v>61</v>
      </c>
      <c r="B34" t="s">
        <v>62</v>
      </c>
      <c r="C34" s="3">
        <f>IF(I_VIEW=2,"",COUNTIFS(T_2016_EVENT_RESULTS[Gold - Country],T_SV_MEDALS[[#This Row],[COUNTRY ABBR]])+COUNTIFS(T_2016_EVENT_RESULTS[Gold - Country - 2],T_SV_MEDALS[[#This Row],[COUNTRY ABBR]]))</f>
        <v>0</v>
      </c>
      <c r="D34" s="3">
        <f>IF(I_VIEW=2,"",COUNTIFS(T_2016_EVENT_RESULTS[Silver - Country],T_SV_MEDALS[[#This Row],[COUNTRY ABBR]])+COUNTIFS(T_2016_EVENT_RESULTS[Silver - Country - 2],T_SV_MEDALS[[#This Row],[COUNTRY ABBR]])+COUNTIFS(T_2016_EVENT_RESULTS[Silver - Country - 3],T_SV_MEDALS[[#This Row],[COUNTRY ABBR]]))</f>
        <v>0</v>
      </c>
      <c r="E34" s="3">
        <f>IF(I_VIEW=2,"",COUNTIFS(T_2016_EVENT_RESULTS[Bronze - Country],T_SV_MEDALS[[#This Row],[COUNTRY ABBR]])+COUNTIFS(T_2016_EVENT_RESULTS[Bronze - Country - 2],T_SV_MEDALS[[#This Row],[COUNTRY ABBR]]))</f>
        <v>0</v>
      </c>
      <c r="F34" s="3">
        <f>SUM(T_SV_MEDALS[[#This Row],[GOLD]:[BRONZE]])</f>
        <v>0</v>
      </c>
      <c r="G34" s="3" t="str">
        <f>IF(T_SV_MEDALS[[#This Row],[TOTAL]]=0,"",IF(I_RANK_METHOD="TOTAL",(T_SV_MEDALS[[#This Row],[TOTAL]]*10000000),0)+(T_SV_MEDALS[[#This Row],[GOLD]]*100000)+(T_SV_MEDALS[[#This Row],[SILVER]]*1000)+(T_SV_MEDALS[[#This Row],[BRONZE]]*10))</f>
        <v/>
      </c>
      <c r="H34" s="3" t="str">
        <f>IFERROR(IF(T_SV_MEDALS[[#This Row],[TOTAL]]=0,"",RANK(T_SV_MEDALS[[#This Row],[RANK VALUE]],T_SV_MEDALS[RANK VALUE])),"")</f>
        <v/>
      </c>
      <c r="I34" s="3" t="str">
        <f>IFERROR(IF(T_SV_MEDALS[[#This Row],[TOTAL]]=0,"",RANK(T_SV_MEDALS[[#This Row],[RANK VALUE]],T_SV_MEDALS[RANK VALUE])+COUNTIF($H$2:H33,H34)),"")</f>
        <v/>
      </c>
      <c r="J34" t="str">
        <f>IF(I_VIEW=3, COUNTIFS(T_2016_EVENT_RESULTS[SPORT],I_SV_SPORT,T_2016_EVENT_RESULTS[Gold - Country],T_SV_MEDALS[[#This Row],[COUNTRY ABBR]])+COUNTIFS(T_2016_EVENT_RESULTS[SPORT],I_SV_SPORT,T_2016_EVENT_RESULTS[Gold - Country - 2],T_SV_MEDALS[[#This Row],[COUNTRY ABBR]]),"")</f>
        <v/>
      </c>
      <c r="K34" t="str">
        <f>IF(I_VIEW=3, COUNTIFS(T_2016_EVENT_RESULTS[SPORT],I_SV_SPORT,T_2016_EVENT_RESULTS[Silver - Country],T_SV_MEDALS[[#This Row],[COUNTRY ABBR]])+COUNTIFS(T_2016_EVENT_RESULTS[SPORT],I_SV_SPORT,T_2016_EVENT_RESULTS[Silver - Country - 2],T_SV_MEDALS[[#This Row],[COUNTRY ABBR]])+COUNTIFS(T_2016_EVENT_RESULTS[SPORT],I_SV_SPORT,T_2016_EVENT_RESULTS[Silver - Country - 3],T_SV_MEDALS[[#This Row],[COUNTRY ABBR]]),"")</f>
        <v/>
      </c>
      <c r="L34" t="str">
        <f>IF(I_VIEW=3, COUNTIFS(T_2016_EVENT_RESULTS[SPORT],I_SV_SPORT,T_2016_EVENT_RESULTS[Bronze - Country],T_SV_MEDALS[[#This Row],[COUNTRY ABBR]])+COUNTIFS(T_2016_EVENT_RESULTS[SPORT],I_SV_SPORT,T_2016_EVENT_RESULTS[Bronze - Country - 2],T_SV_MEDALS[[#This Row],[COUNTRY ABBR]]),"")</f>
        <v/>
      </c>
      <c r="M34" s="3">
        <f>SUM(T_SV_MEDALS[[#This Row],[SV_GOLD]:[SV_BRONZE]])</f>
        <v>0</v>
      </c>
      <c r="N34" s="3" t="str">
        <f>IF(T_SV_MEDALS[[#This Row],[SV_TOTAL]]=0,"",IF(I_RANK_METHOD="TOTAL",(T_SV_MEDALS[[#This Row],[SV_TOTAL]]*10000000),0)+(T_SV_MEDALS[[#This Row],[SV_GOLD]]*100000)+(T_SV_MEDALS[[#This Row],[SV_SILVER]]*1000)+(T_SV_MEDALS[[#This Row],[SV_BRONZE]]*10))</f>
        <v/>
      </c>
      <c r="O34" s="3" t="str">
        <f>IFERROR(IF(T_SV_MEDALS[[#This Row],[SV_TOTAL]]=0,"",RANK(T_SV_MEDALS[[#This Row],[SV_RANK VALUE]],T_SV_MEDALS[SV_RANK VALUE])),"")</f>
        <v/>
      </c>
      <c r="P34" s="3" t="str">
        <f>IFERROR(IF(T_SV_MEDALS[[#This Row],[SV_TOTAL]]=0,"",RANK(T_SV_MEDALS[[#This Row],[SV_RANK VALUE]],T_SV_MEDALS[SV_RANK VALUE])+COUNTIF($O$2:O33,O34)),"")</f>
        <v/>
      </c>
      <c r="Q34" s="3" t="str">
        <f>IFERROR(T_SV_MEDALS[[#This Row],[SV_TOTAL]]/T_SV_MEDALS[[#This Row],[TOTAL]],"")</f>
        <v/>
      </c>
      <c r="R34" s="3" t="str">
        <f>IFERROR(IF(T_SV_MEDALS[[#This Row],[SV_TOTAL]]=0,"",RANK(T_SV_MEDALS[[#This Row],[Dependency - Rank Value]],T_SV_MEDALS[Dependency - Rank Value])+COUNTIF($Q$2:Q33,Q34)),"")</f>
        <v/>
      </c>
    </row>
    <row r="35" spans="1:18" x14ac:dyDescent="0.25">
      <c r="A35" t="s">
        <v>63</v>
      </c>
      <c r="B35" t="s">
        <v>64</v>
      </c>
      <c r="C35" s="3">
        <f>IF(I_VIEW=2,"",COUNTIFS(T_2016_EVENT_RESULTS[Gold - Country],T_SV_MEDALS[[#This Row],[COUNTRY ABBR]])+COUNTIFS(T_2016_EVENT_RESULTS[Gold - Country - 2],T_SV_MEDALS[[#This Row],[COUNTRY ABBR]]))</f>
        <v>0</v>
      </c>
      <c r="D35" s="3">
        <f>IF(I_VIEW=2,"",COUNTIFS(T_2016_EVENT_RESULTS[Silver - Country],T_SV_MEDALS[[#This Row],[COUNTRY ABBR]])+COUNTIFS(T_2016_EVENT_RESULTS[Silver - Country - 2],T_SV_MEDALS[[#This Row],[COUNTRY ABBR]])+COUNTIFS(T_2016_EVENT_RESULTS[Silver - Country - 3],T_SV_MEDALS[[#This Row],[COUNTRY ABBR]]))</f>
        <v>0</v>
      </c>
      <c r="E35" s="3">
        <f>IF(I_VIEW=2,"",COUNTIFS(T_2016_EVENT_RESULTS[Bronze - Country],T_SV_MEDALS[[#This Row],[COUNTRY ABBR]])+COUNTIFS(T_2016_EVENT_RESULTS[Bronze - Country - 2],T_SV_MEDALS[[#This Row],[COUNTRY ABBR]]))</f>
        <v>0</v>
      </c>
      <c r="F35" s="3">
        <f>SUM(T_SV_MEDALS[[#This Row],[GOLD]:[BRONZE]])</f>
        <v>0</v>
      </c>
      <c r="G35" s="3" t="str">
        <f>IF(T_SV_MEDALS[[#This Row],[TOTAL]]=0,"",IF(I_RANK_METHOD="TOTAL",(T_SV_MEDALS[[#This Row],[TOTAL]]*10000000),0)+(T_SV_MEDALS[[#This Row],[GOLD]]*100000)+(T_SV_MEDALS[[#This Row],[SILVER]]*1000)+(T_SV_MEDALS[[#This Row],[BRONZE]]*10))</f>
        <v/>
      </c>
      <c r="H35" s="3" t="str">
        <f>IFERROR(IF(T_SV_MEDALS[[#This Row],[TOTAL]]=0,"",RANK(T_SV_MEDALS[[#This Row],[RANK VALUE]],T_SV_MEDALS[RANK VALUE])),"")</f>
        <v/>
      </c>
      <c r="I35" s="3" t="str">
        <f>IFERROR(IF(T_SV_MEDALS[[#This Row],[TOTAL]]=0,"",RANK(T_SV_MEDALS[[#This Row],[RANK VALUE]],T_SV_MEDALS[RANK VALUE])+COUNTIF($H$2:H34,H35)),"")</f>
        <v/>
      </c>
      <c r="J35" t="str">
        <f>IF(I_VIEW=3, COUNTIFS(T_2016_EVENT_RESULTS[SPORT],I_SV_SPORT,T_2016_EVENT_RESULTS[Gold - Country],T_SV_MEDALS[[#This Row],[COUNTRY ABBR]])+COUNTIFS(T_2016_EVENT_RESULTS[SPORT],I_SV_SPORT,T_2016_EVENT_RESULTS[Gold - Country - 2],T_SV_MEDALS[[#This Row],[COUNTRY ABBR]]),"")</f>
        <v/>
      </c>
      <c r="K35" t="str">
        <f>IF(I_VIEW=3, COUNTIFS(T_2016_EVENT_RESULTS[SPORT],I_SV_SPORT,T_2016_EVENT_RESULTS[Silver - Country],T_SV_MEDALS[[#This Row],[COUNTRY ABBR]])+COUNTIFS(T_2016_EVENT_RESULTS[SPORT],I_SV_SPORT,T_2016_EVENT_RESULTS[Silver - Country - 2],T_SV_MEDALS[[#This Row],[COUNTRY ABBR]])+COUNTIFS(T_2016_EVENT_RESULTS[SPORT],I_SV_SPORT,T_2016_EVENT_RESULTS[Silver - Country - 3],T_SV_MEDALS[[#This Row],[COUNTRY ABBR]]),"")</f>
        <v/>
      </c>
      <c r="L35" t="str">
        <f>IF(I_VIEW=3, COUNTIFS(T_2016_EVENT_RESULTS[SPORT],I_SV_SPORT,T_2016_EVENT_RESULTS[Bronze - Country],T_SV_MEDALS[[#This Row],[COUNTRY ABBR]])+COUNTIFS(T_2016_EVENT_RESULTS[SPORT],I_SV_SPORT,T_2016_EVENT_RESULTS[Bronze - Country - 2],T_SV_MEDALS[[#This Row],[COUNTRY ABBR]]),"")</f>
        <v/>
      </c>
      <c r="M35" s="3">
        <f>SUM(T_SV_MEDALS[[#This Row],[SV_GOLD]:[SV_BRONZE]])</f>
        <v>0</v>
      </c>
      <c r="N35" s="3" t="str">
        <f>IF(T_SV_MEDALS[[#This Row],[SV_TOTAL]]=0,"",IF(I_RANK_METHOD="TOTAL",(T_SV_MEDALS[[#This Row],[SV_TOTAL]]*10000000),0)+(T_SV_MEDALS[[#This Row],[SV_GOLD]]*100000)+(T_SV_MEDALS[[#This Row],[SV_SILVER]]*1000)+(T_SV_MEDALS[[#This Row],[SV_BRONZE]]*10))</f>
        <v/>
      </c>
      <c r="O35" s="3" t="str">
        <f>IFERROR(IF(T_SV_MEDALS[[#This Row],[SV_TOTAL]]=0,"",RANK(T_SV_MEDALS[[#This Row],[SV_RANK VALUE]],T_SV_MEDALS[SV_RANK VALUE])),"")</f>
        <v/>
      </c>
      <c r="P35" s="3" t="str">
        <f>IFERROR(IF(T_SV_MEDALS[[#This Row],[SV_TOTAL]]=0,"",RANK(T_SV_MEDALS[[#This Row],[SV_RANK VALUE]],T_SV_MEDALS[SV_RANK VALUE])+COUNTIF($O$2:O34,O35)),"")</f>
        <v/>
      </c>
      <c r="Q35" s="3" t="str">
        <f>IFERROR(T_SV_MEDALS[[#This Row],[SV_TOTAL]]/T_SV_MEDALS[[#This Row],[TOTAL]],"")</f>
        <v/>
      </c>
      <c r="R35" s="3" t="str">
        <f>IFERROR(IF(T_SV_MEDALS[[#This Row],[SV_TOTAL]]=0,"",RANK(T_SV_MEDALS[[#This Row],[Dependency - Rank Value]],T_SV_MEDALS[Dependency - Rank Value])+COUNTIF($Q$2:Q34,Q35)),"")</f>
        <v/>
      </c>
    </row>
    <row r="36" spans="1:18" x14ac:dyDescent="0.25">
      <c r="A36" t="s">
        <v>65</v>
      </c>
      <c r="B36" t="s">
        <v>66</v>
      </c>
      <c r="C36" s="3">
        <f>IF(I_VIEW=2,"",COUNTIFS(T_2016_EVENT_RESULTS[Gold - Country],T_SV_MEDALS[[#This Row],[COUNTRY ABBR]])+COUNTIFS(T_2016_EVENT_RESULTS[Gold - Country - 2],T_SV_MEDALS[[#This Row],[COUNTRY ABBR]]))</f>
        <v>4</v>
      </c>
      <c r="D36" s="3">
        <f>IF(I_VIEW=2,"",COUNTIFS(T_2016_EVENT_RESULTS[Silver - Country],T_SV_MEDALS[[#This Row],[COUNTRY ABBR]])+COUNTIFS(T_2016_EVENT_RESULTS[Silver - Country - 2],T_SV_MEDALS[[#This Row],[COUNTRY ABBR]])+COUNTIFS(T_2016_EVENT_RESULTS[Silver - Country - 3],T_SV_MEDALS[[#This Row],[COUNTRY ABBR]]))</f>
        <v>3</v>
      </c>
      <c r="E36" s="3">
        <f>IF(I_VIEW=2,"",COUNTIFS(T_2016_EVENT_RESULTS[Bronze - Country],T_SV_MEDALS[[#This Row],[COUNTRY ABBR]])+COUNTIFS(T_2016_EVENT_RESULTS[Bronze - Country - 2],T_SV_MEDALS[[#This Row],[COUNTRY ABBR]]))</f>
        <v>15</v>
      </c>
      <c r="F36" s="3">
        <f>SUM(T_SV_MEDALS[[#This Row],[GOLD]:[BRONZE]])</f>
        <v>22</v>
      </c>
      <c r="G36" s="3">
        <f>IF(T_SV_MEDALS[[#This Row],[TOTAL]]=0,"",IF(I_RANK_METHOD="TOTAL",(T_SV_MEDALS[[#This Row],[TOTAL]]*10000000),0)+(T_SV_MEDALS[[#This Row],[GOLD]]*100000)+(T_SV_MEDALS[[#This Row],[SILVER]]*1000)+(T_SV_MEDALS[[#This Row],[BRONZE]]*10))</f>
        <v>220403150</v>
      </c>
      <c r="H36" s="3">
        <f>IFERROR(IF(T_SV_MEDALS[[#This Row],[TOTAL]]=0,"",RANK(T_SV_MEDALS[[#This Row],[RANK VALUE]],T_SV_MEDALS[RANK VALUE])),"")</f>
        <v>10</v>
      </c>
      <c r="I36" s="3">
        <f>IFERROR(IF(T_SV_MEDALS[[#This Row],[TOTAL]]=0,"",RANK(T_SV_MEDALS[[#This Row],[RANK VALUE]],T_SV_MEDALS[RANK VALUE])+COUNTIF($H$2:H35,H36)),"")</f>
        <v>10</v>
      </c>
      <c r="J36" t="str">
        <f>IF(I_VIEW=3, COUNTIFS(T_2016_EVENT_RESULTS[SPORT],I_SV_SPORT,T_2016_EVENT_RESULTS[Gold - Country],T_SV_MEDALS[[#This Row],[COUNTRY ABBR]])+COUNTIFS(T_2016_EVENT_RESULTS[SPORT],I_SV_SPORT,T_2016_EVENT_RESULTS[Gold - Country - 2],T_SV_MEDALS[[#This Row],[COUNTRY ABBR]]),"")</f>
        <v/>
      </c>
      <c r="K36" t="str">
        <f>IF(I_VIEW=3, COUNTIFS(T_2016_EVENT_RESULTS[SPORT],I_SV_SPORT,T_2016_EVENT_RESULTS[Silver - Country],T_SV_MEDALS[[#This Row],[COUNTRY ABBR]])+COUNTIFS(T_2016_EVENT_RESULTS[SPORT],I_SV_SPORT,T_2016_EVENT_RESULTS[Silver - Country - 2],T_SV_MEDALS[[#This Row],[COUNTRY ABBR]])+COUNTIFS(T_2016_EVENT_RESULTS[SPORT],I_SV_SPORT,T_2016_EVENT_RESULTS[Silver - Country - 3],T_SV_MEDALS[[#This Row],[COUNTRY ABBR]]),"")</f>
        <v/>
      </c>
      <c r="L36" t="str">
        <f>IF(I_VIEW=3, COUNTIFS(T_2016_EVENT_RESULTS[SPORT],I_SV_SPORT,T_2016_EVENT_RESULTS[Bronze - Country],T_SV_MEDALS[[#This Row],[COUNTRY ABBR]])+COUNTIFS(T_2016_EVENT_RESULTS[SPORT],I_SV_SPORT,T_2016_EVENT_RESULTS[Bronze - Country - 2],T_SV_MEDALS[[#This Row],[COUNTRY ABBR]]),"")</f>
        <v/>
      </c>
      <c r="M36" s="3">
        <f>SUM(T_SV_MEDALS[[#This Row],[SV_GOLD]:[SV_BRONZE]])</f>
        <v>0</v>
      </c>
      <c r="N36" s="3" t="str">
        <f>IF(T_SV_MEDALS[[#This Row],[SV_TOTAL]]=0,"",IF(I_RANK_METHOD="TOTAL",(T_SV_MEDALS[[#This Row],[SV_TOTAL]]*10000000),0)+(T_SV_MEDALS[[#This Row],[SV_GOLD]]*100000)+(T_SV_MEDALS[[#This Row],[SV_SILVER]]*1000)+(T_SV_MEDALS[[#This Row],[SV_BRONZE]]*10))</f>
        <v/>
      </c>
      <c r="O36" s="3" t="str">
        <f>IFERROR(IF(T_SV_MEDALS[[#This Row],[SV_TOTAL]]=0,"",RANK(T_SV_MEDALS[[#This Row],[SV_RANK VALUE]],T_SV_MEDALS[SV_RANK VALUE])),"")</f>
        <v/>
      </c>
      <c r="P36" s="3" t="str">
        <f>IFERROR(IF(T_SV_MEDALS[[#This Row],[SV_TOTAL]]=0,"",RANK(T_SV_MEDALS[[#This Row],[SV_RANK VALUE]],T_SV_MEDALS[SV_RANK VALUE])+COUNTIF($O$2:O35,O36)),"")</f>
        <v/>
      </c>
      <c r="Q36" s="3">
        <f>IFERROR(T_SV_MEDALS[[#This Row],[SV_TOTAL]]/T_SV_MEDALS[[#This Row],[TOTAL]],"")</f>
        <v>0</v>
      </c>
      <c r="R36" s="3" t="str">
        <f>IFERROR(IF(T_SV_MEDALS[[#This Row],[SV_TOTAL]]=0,"",RANK(T_SV_MEDALS[[#This Row],[Dependency - Rank Value]],T_SV_MEDALS[Dependency - Rank Value])+COUNTIF($Q$2:Q35,Q36)),"")</f>
        <v/>
      </c>
    </row>
    <row r="37" spans="1:18" x14ac:dyDescent="0.25">
      <c r="A37" t="s">
        <v>67</v>
      </c>
      <c r="B37" t="s">
        <v>68</v>
      </c>
      <c r="C37" s="3">
        <f>IF(I_VIEW=2,"",COUNTIFS(T_2016_EVENT_RESULTS[Gold - Country],T_SV_MEDALS[[#This Row],[COUNTRY ABBR]])+COUNTIFS(T_2016_EVENT_RESULTS[Gold - Country - 2],T_SV_MEDALS[[#This Row],[COUNTRY ABBR]]))</f>
        <v>0</v>
      </c>
      <c r="D37" s="3">
        <f>IF(I_VIEW=2,"",COUNTIFS(T_2016_EVENT_RESULTS[Silver - Country],T_SV_MEDALS[[#This Row],[COUNTRY ABBR]])+COUNTIFS(T_2016_EVENT_RESULTS[Silver - Country - 2],T_SV_MEDALS[[#This Row],[COUNTRY ABBR]])+COUNTIFS(T_2016_EVENT_RESULTS[Silver - Country - 3],T_SV_MEDALS[[#This Row],[COUNTRY ABBR]]))</f>
        <v>0</v>
      </c>
      <c r="E37" s="3">
        <f>IF(I_VIEW=2,"",COUNTIFS(T_2016_EVENT_RESULTS[Bronze - Country],T_SV_MEDALS[[#This Row],[COUNTRY ABBR]])+COUNTIFS(T_2016_EVENT_RESULTS[Bronze - Country - 2],T_SV_MEDALS[[#This Row],[COUNTRY ABBR]]))</f>
        <v>0</v>
      </c>
      <c r="F37" s="3">
        <f>SUM(T_SV_MEDALS[[#This Row],[GOLD]:[BRONZE]])</f>
        <v>0</v>
      </c>
      <c r="G37" s="3" t="str">
        <f>IF(T_SV_MEDALS[[#This Row],[TOTAL]]=0,"",IF(I_RANK_METHOD="TOTAL",(T_SV_MEDALS[[#This Row],[TOTAL]]*10000000),0)+(T_SV_MEDALS[[#This Row],[GOLD]]*100000)+(T_SV_MEDALS[[#This Row],[SILVER]]*1000)+(T_SV_MEDALS[[#This Row],[BRONZE]]*10))</f>
        <v/>
      </c>
      <c r="H37" s="3" t="str">
        <f>IFERROR(IF(T_SV_MEDALS[[#This Row],[TOTAL]]=0,"",RANK(T_SV_MEDALS[[#This Row],[RANK VALUE]],T_SV_MEDALS[RANK VALUE])),"")</f>
        <v/>
      </c>
      <c r="I37" s="3" t="str">
        <f>IFERROR(IF(T_SV_MEDALS[[#This Row],[TOTAL]]=0,"",RANK(T_SV_MEDALS[[#This Row],[RANK VALUE]],T_SV_MEDALS[RANK VALUE])+COUNTIF($H$2:H36,H37)),"")</f>
        <v/>
      </c>
      <c r="J37" t="str">
        <f>IF(I_VIEW=3, COUNTIFS(T_2016_EVENT_RESULTS[SPORT],I_SV_SPORT,T_2016_EVENT_RESULTS[Gold - Country],T_SV_MEDALS[[#This Row],[COUNTRY ABBR]])+COUNTIFS(T_2016_EVENT_RESULTS[SPORT],I_SV_SPORT,T_2016_EVENT_RESULTS[Gold - Country - 2],T_SV_MEDALS[[#This Row],[COUNTRY ABBR]]),"")</f>
        <v/>
      </c>
      <c r="K37" t="str">
        <f>IF(I_VIEW=3, COUNTIFS(T_2016_EVENT_RESULTS[SPORT],I_SV_SPORT,T_2016_EVENT_RESULTS[Silver - Country],T_SV_MEDALS[[#This Row],[COUNTRY ABBR]])+COUNTIFS(T_2016_EVENT_RESULTS[SPORT],I_SV_SPORT,T_2016_EVENT_RESULTS[Silver - Country - 2],T_SV_MEDALS[[#This Row],[COUNTRY ABBR]])+COUNTIFS(T_2016_EVENT_RESULTS[SPORT],I_SV_SPORT,T_2016_EVENT_RESULTS[Silver - Country - 3],T_SV_MEDALS[[#This Row],[COUNTRY ABBR]]),"")</f>
        <v/>
      </c>
      <c r="L37" t="str">
        <f>IF(I_VIEW=3, COUNTIFS(T_2016_EVENT_RESULTS[SPORT],I_SV_SPORT,T_2016_EVENT_RESULTS[Bronze - Country],T_SV_MEDALS[[#This Row],[COUNTRY ABBR]])+COUNTIFS(T_2016_EVENT_RESULTS[SPORT],I_SV_SPORT,T_2016_EVENT_RESULTS[Bronze - Country - 2],T_SV_MEDALS[[#This Row],[COUNTRY ABBR]]),"")</f>
        <v/>
      </c>
      <c r="M37" s="3">
        <f>SUM(T_SV_MEDALS[[#This Row],[SV_GOLD]:[SV_BRONZE]])</f>
        <v>0</v>
      </c>
      <c r="N37" s="3" t="str">
        <f>IF(T_SV_MEDALS[[#This Row],[SV_TOTAL]]=0,"",IF(I_RANK_METHOD="TOTAL",(T_SV_MEDALS[[#This Row],[SV_TOTAL]]*10000000),0)+(T_SV_MEDALS[[#This Row],[SV_GOLD]]*100000)+(T_SV_MEDALS[[#This Row],[SV_SILVER]]*1000)+(T_SV_MEDALS[[#This Row],[SV_BRONZE]]*10))</f>
        <v/>
      </c>
      <c r="O37" s="3" t="str">
        <f>IFERROR(IF(T_SV_MEDALS[[#This Row],[SV_TOTAL]]=0,"",RANK(T_SV_MEDALS[[#This Row],[SV_RANK VALUE]],T_SV_MEDALS[SV_RANK VALUE])),"")</f>
        <v/>
      </c>
      <c r="P37" s="3" t="str">
        <f>IFERROR(IF(T_SV_MEDALS[[#This Row],[SV_TOTAL]]=0,"",RANK(T_SV_MEDALS[[#This Row],[SV_RANK VALUE]],T_SV_MEDALS[SV_RANK VALUE])+COUNTIF($O$2:O36,O37)),"")</f>
        <v/>
      </c>
      <c r="Q37" s="3" t="str">
        <f>IFERROR(T_SV_MEDALS[[#This Row],[SV_TOTAL]]/T_SV_MEDALS[[#This Row],[TOTAL]],"")</f>
        <v/>
      </c>
      <c r="R37" s="3" t="str">
        <f>IFERROR(IF(T_SV_MEDALS[[#This Row],[SV_TOTAL]]=0,"",RANK(T_SV_MEDALS[[#This Row],[Dependency - Rank Value]],T_SV_MEDALS[Dependency - Rank Value])+COUNTIF($Q$2:Q36,Q37)),"")</f>
        <v/>
      </c>
    </row>
    <row r="38" spans="1:18" x14ac:dyDescent="0.25">
      <c r="A38" t="s">
        <v>455</v>
      </c>
      <c r="B38" t="s">
        <v>69</v>
      </c>
      <c r="C38" s="3">
        <f>IF(I_VIEW=2,"",COUNTIFS(T_2016_EVENT_RESULTS[Gold - Country],T_SV_MEDALS[[#This Row],[COUNTRY ABBR]])+COUNTIFS(T_2016_EVENT_RESULTS[Gold - Country - 2],T_SV_MEDALS[[#This Row],[COUNTRY ABBR]]))</f>
        <v>0</v>
      </c>
      <c r="D38" s="3">
        <f>IF(I_VIEW=2,"",COUNTIFS(T_2016_EVENT_RESULTS[Silver - Country],T_SV_MEDALS[[#This Row],[COUNTRY ABBR]])+COUNTIFS(T_2016_EVENT_RESULTS[Silver - Country - 2],T_SV_MEDALS[[#This Row],[COUNTRY ABBR]])+COUNTIFS(T_2016_EVENT_RESULTS[Silver - Country - 3],T_SV_MEDALS[[#This Row],[COUNTRY ABBR]]))</f>
        <v>0</v>
      </c>
      <c r="E38" s="3">
        <f>IF(I_VIEW=2,"",COUNTIFS(T_2016_EVENT_RESULTS[Bronze - Country],T_SV_MEDALS[[#This Row],[COUNTRY ABBR]])+COUNTIFS(T_2016_EVENT_RESULTS[Bronze - Country - 2],T_SV_MEDALS[[#This Row],[COUNTRY ABBR]]))</f>
        <v>0</v>
      </c>
      <c r="F38" s="3">
        <f>SUM(T_SV_MEDALS[[#This Row],[GOLD]:[BRONZE]])</f>
        <v>0</v>
      </c>
      <c r="G38" s="3" t="str">
        <f>IF(T_SV_MEDALS[[#This Row],[TOTAL]]=0,"",IF(I_RANK_METHOD="TOTAL",(T_SV_MEDALS[[#This Row],[TOTAL]]*10000000),0)+(T_SV_MEDALS[[#This Row],[GOLD]]*100000)+(T_SV_MEDALS[[#This Row],[SILVER]]*1000)+(T_SV_MEDALS[[#This Row],[BRONZE]]*10))</f>
        <v/>
      </c>
      <c r="H38" s="3" t="str">
        <f>IFERROR(IF(T_SV_MEDALS[[#This Row],[TOTAL]]=0,"",RANK(T_SV_MEDALS[[#This Row],[RANK VALUE]],T_SV_MEDALS[RANK VALUE])),"")</f>
        <v/>
      </c>
      <c r="I38" s="3" t="str">
        <f>IFERROR(IF(T_SV_MEDALS[[#This Row],[TOTAL]]=0,"",RANK(T_SV_MEDALS[[#This Row],[RANK VALUE]],T_SV_MEDALS[RANK VALUE])+COUNTIF($H$2:H37,H38)),"")</f>
        <v/>
      </c>
      <c r="J38" t="str">
        <f>IF(I_VIEW=3, COUNTIFS(T_2016_EVENT_RESULTS[SPORT],I_SV_SPORT,T_2016_EVENT_RESULTS[Gold - Country],T_SV_MEDALS[[#This Row],[COUNTRY ABBR]])+COUNTIFS(T_2016_EVENT_RESULTS[SPORT],I_SV_SPORT,T_2016_EVENT_RESULTS[Gold - Country - 2],T_SV_MEDALS[[#This Row],[COUNTRY ABBR]]),"")</f>
        <v/>
      </c>
      <c r="K38" t="str">
        <f>IF(I_VIEW=3, COUNTIFS(T_2016_EVENT_RESULTS[SPORT],I_SV_SPORT,T_2016_EVENT_RESULTS[Silver - Country],T_SV_MEDALS[[#This Row],[COUNTRY ABBR]])+COUNTIFS(T_2016_EVENT_RESULTS[SPORT],I_SV_SPORT,T_2016_EVENT_RESULTS[Silver - Country - 2],T_SV_MEDALS[[#This Row],[COUNTRY ABBR]])+COUNTIFS(T_2016_EVENT_RESULTS[SPORT],I_SV_SPORT,T_2016_EVENT_RESULTS[Silver - Country - 3],T_SV_MEDALS[[#This Row],[COUNTRY ABBR]]),"")</f>
        <v/>
      </c>
      <c r="L38" t="str">
        <f>IF(I_VIEW=3, COUNTIFS(T_2016_EVENT_RESULTS[SPORT],I_SV_SPORT,T_2016_EVENT_RESULTS[Bronze - Country],T_SV_MEDALS[[#This Row],[COUNTRY ABBR]])+COUNTIFS(T_2016_EVENT_RESULTS[SPORT],I_SV_SPORT,T_2016_EVENT_RESULTS[Bronze - Country - 2],T_SV_MEDALS[[#This Row],[COUNTRY ABBR]]),"")</f>
        <v/>
      </c>
      <c r="M38" s="3">
        <f>SUM(T_SV_MEDALS[[#This Row],[SV_GOLD]:[SV_BRONZE]])</f>
        <v>0</v>
      </c>
      <c r="N38" s="3" t="str">
        <f>IF(T_SV_MEDALS[[#This Row],[SV_TOTAL]]=0,"",IF(I_RANK_METHOD="TOTAL",(T_SV_MEDALS[[#This Row],[SV_TOTAL]]*10000000),0)+(T_SV_MEDALS[[#This Row],[SV_GOLD]]*100000)+(T_SV_MEDALS[[#This Row],[SV_SILVER]]*1000)+(T_SV_MEDALS[[#This Row],[SV_BRONZE]]*10))</f>
        <v/>
      </c>
      <c r="O38" s="3" t="str">
        <f>IFERROR(IF(T_SV_MEDALS[[#This Row],[SV_TOTAL]]=0,"",RANK(T_SV_MEDALS[[#This Row],[SV_RANK VALUE]],T_SV_MEDALS[SV_RANK VALUE])),"")</f>
        <v/>
      </c>
      <c r="P38" s="3" t="str">
        <f>IFERROR(IF(T_SV_MEDALS[[#This Row],[SV_TOTAL]]=0,"",RANK(T_SV_MEDALS[[#This Row],[SV_RANK VALUE]],T_SV_MEDALS[SV_RANK VALUE])+COUNTIF($O$2:O37,O38)),"")</f>
        <v/>
      </c>
      <c r="Q38" s="3" t="str">
        <f>IFERROR(T_SV_MEDALS[[#This Row],[SV_TOTAL]]/T_SV_MEDALS[[#This Row],[TOTAL]],"")</f>
        <v/>
      </c>
      <c r="R38" s="3" t="str">
        <f>IFERROR(IF(T_SV_MEDALS[[#This Row],[SV_TOTAL]]=0,"",RANK(T_SV_MEDALS[[#This Row],[Dependency - Rank Value]],T_SV_MEDALS[Dependency - Rank Value])+COUNTIF($Q$2:Q37,Q38)),"")</f>
        <v/>
      </c>
    </row>
    <row r="39" spans="1:18" x14ac:dyDescent="0.25">
      <c r="A39" t="s">
        <v>70</v>
      </c>
      <c r="B39" t="s">
        <v>71</v>
      </c>
      <c r="C39" s="3">
        <f>IF(I_VIEW=2,"",COUNTIFS(T_2016_EVENT_RESULTS[Gold - Country],T_SV_MEDALS[[#This Row],[COUNTRY ABBR]])+COUNTIFS(T_2016_EVENT_RESULTS[Gold - Country - 2],T_SV_MEDALS[[#This Row],[COUNTRY ABBR]]))</f>
        <v>0</v>
      </c>
      <c r="D39" s="3">
        <f>IF(I_VIEW=2,"",COUNTIFS(T_2016_EVENT_RESULTS[Silver - Country],T_SV_MEDALS[[#This Row],[COUNTRY ABBR]])+COUNTIFS(T_2016_EVENT_RESULTS[Silver - Country - 2],T_SV_MEDALS[[#This Row],[COUNTRY ABBR]])+COUNTIFS(T_2016_EVENT_RESULTS[Silver - Country - 3],T_SV_MEDALS[[#This Row],[COUNTRY ABBR]]))</f>
        <v>0</v>
      </c>
      <c r="E39" s="3">
        <f>IF(I_VIEW=2,"",COUNTIFS(T_2016_EVENT_RESULTS[Bronze - Country],T_SV_MEDALS[[#This Row],[COUNTRY ABBR]])+COUNTIFS(T_2016_EVENT_RESULTS[Bronze - Country - 2],T_SV_MEDALS[[#This Row],[COUNTRY ABBR]]))</f>
        <v>0</v>
      </c>
      <c r="F39" s="3">
        <f>SUM(T_SV_MEDALS[[#This Row],[GOLD]:[BRONZE]])</f>
        <v>0</v>
      </c>
      <c r="G39" s="3" t="str">
        <f>IF(T_SV_MEDALS[[#This Row],[TOTAL]]=0,"",IF(I_RANK_METHOD="TOTAL",(T_SV_MEDALS[[#This Row],[TOTAL]]*10000000),0)+(T_SV_MEDALS[[#This Row],[GOLD]]*100000)+(T_SV_MEDALS[[#This Row],[SILVER]]*1000)+(T_SV_MEDALS[[#This Row],[BRONZE]]*10))</f>
        <v/>
      </c>
      <c r="H39" s="3" t="str">
        <f>IFERROR(IF(T_SV_MEDALS[[#This Row],[TOTAL]]=0,"",RANK(T_SV_MEDALS[[#This Row],[RANK VALUE]],T_SV_MEDALS[RANK VALUE])),"")</f>
        <v/>
      </c>
      <c r="I39" s="3" t="str">
        <f>IFERROR(IF(T_SV_MEDALS[[#This Row],[TOTAL]]=0,"",RANK(T_SV_MEDALS[[#This Row],[RANK VALUE]],T_SV_MEDALS[RANK VALUE])+COUNTIF($H$2:H38,H39)),"")</f>
        <v/>
      </c>
      <c r="J39" t="str">
        <f>IF(I_VIEW=3, COUNTIFS(T_2016_EVENT_RESULTS[SPORT],I_SV_SPORT,T_2016_EVENT_RESULTS[Gold - Country],T_SV_MEDALS[[#This Row],[COUNTRY ABBR]])+COUNTIFS(T_2016_EVENT_RESULTS[SPORT],I_SV_SPORT,T_2016_EVENT_RESULTS[Gold - Country - 2],T_SV_MEDALS[[#This Row],[COUNTRY ABBR]]),"")</f>
        <v/>
      </c>
      <c r="K39" t="str">
        <f>IF(I_VIEW=3, COUNTIFS(T_2016_EVENT_RESULTS[SPORT],I_SV_SPORT,T_2016_EVENT_RESULTS[Silver - Country],T_SV_MEDALS[[#This Row],[COUNTRY ABBR]])+COUNTIFS(T_2016_EVENT_RESULTS[SPORT],I_SV_SPORT,T_2016_EVENT_RESULTS[Silver - Country - 2],T_SV_MEDALS[[#This Row],[COUNTRY ABBR]])+COUNTIFS(T_2016_EVENT_RESULTS[SPORT],I_SV_SPORT,T_2016_EVENT_RESULTS[Silver - Country - 3],T_SV_MEDALS[[#This Row],[COUNTRY ABBR]]),"")</f>
        <v/>
      </c>
      <c r="L39" t="str">
        <f>IF(I_VIEW=3, COUNTIFS(T_2016_EVENT_RESULTS[SPORT],I_SV_SPORT,T_2016_EVENT_RESULTS[Bronze - Country],T_SV_MEDALS[[#This Row],[COUNTRY ABBR]])+COUNTIFS(T_2016_EVENT_RESULTS[SPORT],I_SV_SPORT,T_2016_EVENT_RESULTS[Bronze - Country - 2],T_SV_MEDALS[[#This Row],[COUNTRY ABBR]]),"")</f>
        <v/>
      </c>
      <c r="M39" s="3">
        <f>SUM(T_SV_MEDALS[[#This Row],[SV_GOLD]:[SV_BRONZE]])</f>
        <v>0</v>
      </c>
      <c r="N39" s="3" t="str">
        <f>IF(T_SV_MEDALS[[#This Row],[SV_TOTAL]]=0,"",IF(I_RANK_METHOD="TOTAL",(T_SV_MEDALS[[#This Row],[SV_TOTAL]]*10000000),0)+(T_SV_MEDALS[[#This Row],[SV_GOLD]]*100000)+(T_SV_MEDALS[[#This Row],[SV_SILVER]]*1000)+(T_SV_MEDALS[[#This Row],[SV_BRONZE]]*10))</f>
        <v/>
      </c>
      <c r="O39" s="3" t="str">
        <f>IFERROR(IF(T_SV_MEDALS[[#This Row],[SV_TOTAL]]=0,"",RANK(T_SV_MEDALS[[#This Row],[SV_RANK VALUE]],T_SV_MEDALS[SV_RANK VALUE])),"")</f>
        <v/>
      </c>
      <c r="P39" s="3" t="str">
        <f>IFERROR(IF(T_SV_MEDALS[[#This Row],[SV_TOTAL]]=0,"",RANK(T_SV_MEDALS[[#This Row],[SV_RANK VALUE]],T_SV_MEDALS[SV_RANK VALUE])+COUNTIF($O$2:O38,O39)),"")</f>
        <v/>
      </c>
      <c r="Q39" s="3" t="str">
        <f>IFERROR(T_SV_MEDALS[[#This Row],[SV_TOTAL]]/T_SV_MEDALS[[#This Row],[TOTAL]],"")</f>
        <v/>
      </c>
      <c r="R39" s="3" t="str">
        <f>IFERROR(IF(T_SV_MEDALS[[#This Row],[SV_TOTAL]]=0,"",RANK(T_SV_MEDALS[[#This Row],[Dependency - Rank Value]],T_SV_MEDALS[Dependency - Rank Value])+COUNTIF($Q$2:Q38,Q39)),"")</f>
        <v/>
      </c>
    </row>
    <row r="40" spans="1:18" x14ac:dyDescent="0.25">
      <c r="A40" t="s">
        <v>72</v>
      </c>
      <c r="B40" t="s">
        <v>73</v>
      </c>
      <c r="C40" s="3">
        <f>IF(I_VIEW=2,"",COUNTIFS(T_2016_EVENT_RESULTS[Gold - Country],T_SV_MEDALS[[#This Row],[COUNTRY ABBR]])+COUNTIFS(T_2016_EVENT_RESULTS[Gold - Country - 2],T_SV_MEDALS[[#This Row],[COUNTRY ABBR]]))</f>
        <v>0</v>
      </c>
      <c r="D40" s="3">
        <f>IF(I_VIEW=2,"",COUNTIFS(T_2016_EVENT_RESULTS[Silver - Country],T_SV_MEDALS[[#This Row],[COUNTRY ABBR]])+COUNTIFS(T_2016_EVENT_RESULTS[Silver - Country - 2],T_SV_MEDALS[[#This Row],[COUNTRY ABBR]])+COUNTIFS(T_2016_EVENT_RESULTS[Silver - Country - 3],T_SV_MEDALS[[#This Row],[COUNTRY ABBR]]))</f>
        <v>0</v>
      </c>
      <c r="E40" s="3">
        <f>IF(I_VIEW=2,"",COUNTIFS(T_2016_EVENT_RESULTS[Bronze - Country],T_SV_MEDALS[[#This Row],[COUNTRY ABBR]])+COUNTIFS(T_2016_EVENT_RESULTS[Bronze - Country - 2],T_SV_MEDALS[[#This Row],[COUNTRY ABBR]]))</f>
        <v>0</v>
      </c>
      <c r="F40" s="3">
        <f>SUM(T_SV_MEDALS[[#This Row],[GOLD]:[BRONZE]])</f>
        <v>0</v>
      </c>
      <c r="G40" s="3" t="str">
        <f>IF(T_SV_MEDALS[[#This Row],[TOTAL]]=0,"",IF(I_RANK_METHOD="TOTAL",(T_SV_MEDALS[[#This Row],[TOTAL]]*10000000),0)+(T_SV_MEDALS[[#This Row],[GOLD]]*100000)+(T_SV_MEDALS[[#This Row],[SILVER]]*1000)+(T_SV_MEDALS[[#This Row],[BRONZE]]*10))</f>
        <v/>
      </c>
      <c r="H40" s="3" t="str">
        <f>IFERROR(IF(T_SV_MEDALS[[#This Row],[TOTAL]]=0,"",RANK(T_SV_MEDALS[[#This Row],[RANK VALUE]],T_SV_MEDALS[RANK VALUE])),"")</f>
        <v/>
      </c>
      <c r="I40" s="3" t="str">
        <f>IFERROR(IF(T_SV_MEDALS[[#This Row],[TOTAL]]=0,"",RANK(T_SV_MEDALS[[#This Row],[RANK VALUE]],T_SV_MEDALS[RANK VALUE])+COUNTIF($H$2:H39,H40)),"")</f>
        <v/>
      </c>
      <c r="J40" t="str">
        <f>IF(I_VIEW=3, COUNTIFS(T_2016_EVENT_RESULTS[SPORT],I_SV_SPORT,T_2016_EVENT_RESULTS[Gold - Country],T_SV_MEDALS[[#This Row],[COUNTRY ABBR]])+COUNTIFS(T_2016_EVENT_RESULTS[SPORT],I_SV_SPORT,T_2016_EVENT_RESULTS[Gold - Country - 2],T_SV_MEDALS[[#This Row],[COUNTRY ABBR]]),"")</f>
        <v/>
      </c>
      <c r="K40" t="str">
        <f>IF(I_VIEW=3, COUNTIFS(T_2016_EVENT_RESULTS[SPORT],I_SV_SPORT,T_2016_EVENT_RESULTS[Silver - Country],T_SV_MEDALS[[#This Row],[COUNTRY ABBR]])+COUNTIFS(T_2016_EVENT_RESULTS[SPORT],I_SV_SPORT,T_2016_EVENT_RESULTS[Silver - Country - 2],T_SV_MEDALS[[#This Row],[COUNTRY ABBR]])+COUNTIFS(T_2016_EVENT_RESULTS[SPORT],I_SV_SPORT,T_2016_EVENT_RESULTS[Silver - Country - 3],T_SV_MEDALS[[#This Row],[COUNTRY ABBR]]),"")</f>
        <v/>
      </c>
      <c r="L40" t="str">
        <f>IF(I_VIEW=3, COUNTIFS(T_2016_EVENT_RESULTS[SPORT],I_SV_SPORT,T_2016_EVENT_RESULTS[Bronze - Country],T_SV_MEDALS[[#This Row],[COUNTRY ABBR]])+COUNTIFS(T_2016_EVENT_RESULTS[SPORT],I_SV_SPORT,T_2016_EVENT_RESULTS[Bronze - Country - 2],T_SV_MEDALS[[#This Row],[COUNTRY ABBR]]),"")</f>
        <v/>
      </c>
      <c r="M40" s="3">
        <f>SUM(T_SV_MEDALS[[#This Row],[SV_GOLD]:[SV_BRONZE]])</f>
        <v>0</v>
      </c>
      <c r="N40" s="3" t="str">
        <f>IF(T_SV_MEDALS[[#This Row],[SV_TOTAL]]=0,"",IF(I_RANK_METHOD="TOTAL",(T_SV_MEDALS[[#This Row],[SV_TOTAL]]*10000000),0)+(T_SV_MEDALS[[#This Row],[SV_GOLD]]*100000)+(T_SV_MEDALS[[#This Row],[SV_SILVER]]*1000)+(T_SV_MEDALS[[#This Row],[SV_BRONZE]]*10))</f>
        <v/>
      </c>
      <c r="O40" s="3" t="str">
        <f>IFERROR(IF(T_SV_MEDALS[[#This Row],[SV_TOTAL]]=0,"",RANK(T_SV_MEDALS[[#This Row],[SV_RANK VALUE]],T_SV_MEDALS[SV_RANK VALUE])),"")</f>
        <v/>
      </c>
      <c r="P40" s="3" t="str">
        <f>IFERROR(IF(T_SV_MEDALS[[#This Row],[SV_TOTAL]]=0,"",RANK(T_SV_MEDALS[[#This Row],[SV_RANK VALUE]],T_SV_MEDALS[SV_RANK VALUE])+COUNTIF($O$2:O39,O40)),"")</f>
        <v/>
      </c>
      <c r="Q40" s="3" t="str">
        <f>IFERROR(T_SV_MEDALS[[#This Row],[SV_TOTAL]]/T_SV_MEDALS[[#This Row],[TOTAL]],"")</f>
        <v/>
      </c>
      <c r="R40" s="3" t="str">
        <f>IFERROR(IF(T_SV_MEDALS[[#This Row],[SV_TOTAL]]=0,"",RANK(T_SV_MEDALS[[#This Row],[Dependency - Rank Value]],T_SV_MEDALS[Dependency - Rank Value])+COUNTIF($Q$2:Q39,Q40)),"")</f>
        <v/>
      </c>
    </row>
    <row r="41" spans="1:18" x14ac:dyDescent="0.25">
      <c r="A41" t="s">
        <v>74</v>
      </c>
      <c r="B41" t="s">
        <v>75</v>
      </c>
      <c r="C41" s="3">
        <f>IF(I_VIEW=2,"",COUNTIFS(T_2016_EVENT_RESULTS[Gold - Country],T_SV_MEDALS[[#This Row],[COUNTRY ABBR]])+COUNTIFS(T_2016_EVENT_RESULTS[Gold - Country - 2],T_SV_MEDALS[[#This Row],[COUNTRY ABBR]]))</f>
        <v>0</v>
      </c>
      <c r="D41" s="3">
        <f>IF(I_VIEW=2,"",COUNTIFS(T_2016_EVENT_RESULTS[Silver - Country],T_SV_MEDALS[[#This Row],[COUNTRY ABBR]])+COUNTIFS(T_2016_EVENT_RESULTS[Silver - Country - 2],T_SV_MEDALS[[#This Row],[COUNTRY ABBR]])+COUNTIFS(T_2016_EVENT_RESULTS[Silver - Country - 3],T_SV_MEDALS[[#This Row],[COUNTRY ABBR]]))</f>
        <v>0</v>
      </c>
      <c r="E41" s="3">
        <f>IF(I_VIEW=2,"",COUNTIFS(T_2016_EVENT_RESULTS[Bronze - Country],T_SV_MEDALS[[#This Row],[COUNTRY ABBR]])+COUNTIFS(T_2016_EVENT_RESULTS[Bronze - Country - 2],T_SV_MEDALS[[#This Row],[COUNTRY ABBR]]))</f>
        <v>0</v>
      </c>
      <c r="F41" s="3">
        <f>SUM(T_SV_MEDALS[[#This Row],[GOLD]:[BRONZE]])</f>
        <v>0</v>
      </c>
      <c r="G41" s="3" t="str">
        <f>IF(T_SV_MEDALS[[#This Row],[TOTAL]]=0,"",IF(I_RANK_METHOD="TOTAL",(T_SV_MEDALS[[#This Row],[TOTAL]]*10000000),0)+(T_SV_MEDALS[[#This Row],[GOLD]]*100000)+(T_SV_MEDALS[[#This Row],[SILVER]]*1000)+(T_SV_MEDALS[[#This Row],[BRONZE]]*10))</f>
        <v/>
      </c>
      <c r="H41" s="3" t="str">
        <f>IFERROR(IF(T_SV_MEDALS[[#This Row],[TOTAL]]=0,"",RANK(T_SV_MEDALS[[#This Row],[RANK VALUE]],T_SV_MEDALS[RANK VALUE])),"")</f>
        <v/>
      </c>
      <c r="I41" s="3" t="str">
        <f>IFERROR(IF(T_SV_MEDALS[[#This Row],[TOTAL]]=0,"",RANK(T_SV_MEDALS[[#This Row],[RANK VALUE]],T_SV_MEDALS[RANK VALUE])+COUNTIF($H$2:H40,H41)),"")</f>
        <v/>
      </c>
      <c r="J41" t="str">
        <f>IF(I_VIEW=3, COUNTIFS(T_2016_EVENT_RESULTS[SPORT],I_SV_SPORT,T_2016_EVENT_RESULTS[Gold - Country],T_SV_MEDALS[[#This Row],[COUNTRY ABBR]])+COUNTIFS(T_2016_EVENT_RESULTS[SPORT],I_SV_SPORT,T_2016_EVENT_RESULTS[Gold - Country - 2],T_SV_MEDALS[[#This Row],[COUNTRY ABBR]]),"")</f>
        <v/>
      </c>
      <c r="K41" t="str">
        <f>IF(I_VIEW=3, COUNTIFS(T_2016_EVENT_RESULTS[SPORT],I_SV_SPORT,T_2016_EVENT_RESULTS[Silver - Country],T_SV_MEDALS[[#This Row],[COUNTRY ABBR]])+COUNTIFS(T_2016_EVENT_RESULTS[SPORT],I_SV_SPORT,T_2016_EVENT_RESULTS[Silver - Country - 2],T_SV_MEDALS[[#This Row],[COUNTRY ABBR]])+COUNTIFS(T_2016_EVENT_RESULTS[SPORT],I_SV_SPORT,T_2016_EVENT_RESULTS[Silver - Country - 3],T_SV_MEDALS[[#This Row],[COUNTRY ABBR]]),"")</f>
        <v/>
      </c>
      <c r="L41" t="str">
        <f>IF(I_VIEW=3, COUNTIFS(T_2016_EVENT_RESULTS[SPORT],I_SV_SPORT,T_2016_EVENT_RESULTS[Bronze - Country],T_SV_MEDALS[[#This Row],[COUNTRY ABBR]])+COUNTIFS(T_2016_EVENT_RESULTS[SPORT],I_SV_SPORT,T_2016_EVENT_RESULTS[Bronze - Country - 2],T_SV_MEDALS[[#This Row],[COUNTRY ABBR]]),"")</f>
        <v/>
      </c>
      <c r="M41" s="3">
        <f>SUM(T_SV_MEDALS[[#This Row],[SV_GOLD]:[SV_BRONZE]])</f>
        <v>0</v>
      </c>
      <c r="N41" s="3" t="str">
        <f>IF(T_SV_MEDALS[[#This Row],[SV_TOTAL]]=0,"",IF(I_RANK_METHOD="TOTAL",(T_SV_MEDALS[[#This Row],[SV_TOTAL]]*10000000),0)+(T_SV_MEDALS[[#This Row],[SV_GOLD]]*100000)+(T_SV_MEDALS[[#This Row],[SV_SILVER]]*1000)+(T_SV_MEDALS[[#This Row],[SV_BRONZE]]*10))</f>
        <v/>
      </c>
      <c r="O41" s="3" t="str">
        <f>IFERROR(IF(T_SV_MEDALS[[#This Row],[SV_TOTAL]]=0,"",RANK(T_SV_MEDALS[[#This Row],[SV_RANK VALUE]],T_SV_MEDALS[SV_RANK VALUE])),"")</f>
        <v/>
      </c>
      <c r="P41" s="3" t="str">
        <f>IFERROR(IF(T_SV_MEDALS[[#This Row],[SV_TOTAL]]=0,"",RANK(T_SV_MEDALS[[#This Row],[SV_RANK VALUE]],T_SV_MEDALS[SV_RANK VALUE])+COUNTIF($O$2:O40,O41)),"")</f>
        <v/>
      </c>
      <c r="Q41" s="3" t="str">
        <f>IFERROR(T_SV_MEDALS[[#This Row],[SV_TOTAL]]/T_SV_MEDALS[[#This Row],[TOTAL]],"")</f>
        <v/>
      </c>
      <c r="R41" s="3" t="str">
        <f>IFERROR(IF(T_SV_MEDALS[[#This Row],[SV_TOTAL]]=0,"",RANK(T_SV_MEDALS[[#This Row],[Dependency - Rank Value]],T_SV_MEDALS[Dependency - Rank Value])+COUNTIF($Q$2:Q40,Q41)),"")</f>
        <v/>
      </c>
    </row>
    <row r="42" spans="1:18" x14ac:dyDescent="0.25">
      <c r="A42" t="s">
        <v>76</v>
      </c>
      <c r="B42" t="s">
        <v>77</v>
      </c>
      <c r="C42" s="3">
        <f>IF(I_VIEW=2,"",COUNTIFS(T_2016_EVENT_RESULTS[Gold - Country],T_SV_MEDALS[[#This Row],[COUNTRY ABBR]])+COUNTIFS(T_2016_EVENT_RESULTS[Gold - Country - 2],T_SV_MEDALS[[#This Row],[COUNTRY ABBR]]))</f>
        <v>26</v>
      </c>
      <c r="D42" s="3">
        <f>IF(I_VIEW=2,"",COUNTIFS(T_2016_EVENT_RESULTS[Silver - Country],T_SV_MEDALS[[#This Row],[COUNTRY ABBR]])+COUNTIFS(T_2016_EVENT_RESULTS[Silver - Country - 2],T_SV_MEDALS[[#This Row],[COUNTRY ABBR]])+COUNTIFS(T_2016_EVENT_RESULTS[Silver - Country - 3],T_SV_MEDALS[[#This Row],[COUNTRY ABBR]]))</f>
        <v>18</v>
      </c>
      <c r="E42" s="3">
        <f>IF(I_VIEW=2,"",COUNTIFS(T_2016_EVENT_RESULTS[Bronze - Country],T_SV_MEDALS[[#This Row],[COUNTRY ABBR]])+COUNTIFS(T_2016_EVENT_RESULTS[Bronze - Country - 2],T_SV_MEDALS[[#This Row],[COUNTRY ABBR]]))</f>
        <v>26</v>
      </c>
      <c r="F42" s="3">
        <f>SUM(T_SV_MEDALS[[#This Row],[GOLD]:[BRONZE]])</f>
        <v>70</v>
      </c>
      <c r="G42" s="3">
        <f>IF(T_SV_MEDALS[[#This Row],[TOTAL]]=0,"",IF(I_RANK_METHOD="TOTAL",(T_SV_MEDALS[[#This Row],[TOTAL]]*10000000),0)+(T_SV_MEDALS[[#This Row],[GOLD]]*100000)+(T_SV_MEDALS[[#This Row],[SILVER]]*1000)+(T_SV_MEDALS[[#This Row],[BRONZE]]*10))</f>
        <v>702618260</v>
      </c>
      <c r="H42" s="3">
        <f>IFERROR(IF(T_SV_MEDALS[[#This Row],[TOTAL]]=0,"",RANK(T_SV_MEDALS[[#This Row],[RANK VALUE]],T_SV_MEDALS[RANK VALUE])),"")</f>
        <v>2</v>
      </c>
      <c r="I42" s="3">
        <f>IFERROR(IF(T_SV_MEDALS[[#This Row],[TOTAL]]=0,"",RANK(T_SV_MEDALS[[#This Row],[RANK VALUE]],T_SV_MEDALS[RANK VALUE])+COUNTIF($H$2:H41,H42)),"")</f>
        <v>2</v>
      </c>
      <c r="J42" t="str">
        <f>IF(I_VIEW=3, COUNTIFS(T_2016_EVENT_RESULTS[SPORT],I_SV_SPORT,T_2016_EVENT_RESULTS[Gold - Country],T_SV_MEDALS[[#This Row],[COUNTRY ABBR]])+COUNTIFS(T_2016_EVENT_RESULTS[SPORT],I_SV_SPORT,T_2016_EVENT_RESULTS[Gold - Country - 2],T_SV_MEDALS[[#This Row],[COUNTRY ABBR]]),"")</f>
        <v/>
      </c>
      <c r="K42" t="str">
        <f>IF(I_VIEW=3, COUNTIFS(T_2016_EVENT_RESULTS[SPORT],I_SV_SPORT,T_2016_EVENT_RESULTS[Silver - Country],T_SV_MEDALS[[#This Row],[COUNTRY ABBR]])+COUNTIFS(T_2016_EVENT_RESULTS[SPORT],I_SV_SPORT,T_2016_EVENT_RESULTS[Silver - Country - 2],T_SV_MEDALS[[#This Row],[COUNTRY ABBR]])+COUNTIFS(T_2016_EVENT_RESULTS[SPORT],I_SV_SPORT,T_2016_EVENT_RESULTS[Silver - Country - 3],T_SV_MEDALS[[#This Row],[COUNTRY ABBR]]),"")</f>
        <v/>
      </c>
      <c r="L42" t="str">
        <f>IF(I_VIEW=3, COUNTIFS(T_2016_EVENT_RESULTS[SPORT],I_SV_SPORT,T_2016_EVENT_RESULTS[Bronze - Country],T_SV_MEDALS[[#This Row],[COUNTRY ABBR]])+COUNTIFS(T_2016_EVENT_RESULTS[SPORT],I_SV_SPORT,T_2016_EVENT_RESULTS[Bronze - Country - 2],T_SV_MEDALS[[#This Row],[COUNTRY ABBR]]),"")</f>
        <v/>
      </c>
      <c r="M42" s="3">
        <f>SUM(T_SV_MEDALS[[#This Row],[SV_GOLD]:[SV_BRONZE]])</f>
        <v>0</v>
      </c>
      <c r="N42" s="3" t="str">
        <f>IF(T_SV_MEDALS[[#This Row],[SV_TOTAL]]=0,"",IF(I_RANK_METHOD="TOTAL",(T_SV_MEDALS[[#This Row],[SV_TOTAL]]*10000000),0)+(T_SV_MEDALS[[#This Row],[SV_GOLD]]*100000)+(T_SV_MEDALS[[#This Row],[SV_SILVER]]*1000)+(T_SV_MEDALS[[#This Row],[SV_BRONZE]]*10))</f>
        <v/>
      </c>
      <c r="O42" s="3" t="str">
        <f>IFERROR(IF(T_SV_MEDALS[[#This Row],[SV_TOTAL]]=0,"",RANK(T_SV_MEDALS[[#This Row],[SV_RANK VALUE]],T_SV_MEDALS[SV_RANK VALUE])),"")</f>
        <v/>
      </c>
      <c r="P42" s="3" t="str">
        <f>IFERROR(IF(T_SV_MEDALS[[#This Row],[SV_TOTAL]]=0,"",RANK(T_SV_MEDALS[[#This Row],[SV_RANK VALUE]],T_SV_MEDALS[SV_RANK VALUE])+COUNTIF($O$2:O41,O42)),"")</f>
        <v/>
      </c>
      <c r="Q42" s="3">
        <f>IFERROR(T_SV_MEDALS[[#This Row],[SV_TOTAL]]/T_SV_MEDALS[[#This Row],[TOTAL]],"")</f>
        <v>0</v>
      </c>
      <c r="R42" s="3" t="str">
        <f>IFERROR(IF(T_SV_MEDALS[[#This Row],[SV_TOTAL]]=0,"",RANK(T_SV_MEDALS[[#This Row],[Dependency - Rank Value]],T_SV_MEDALS[Dependency - Rank Value])+COUNTIF($Q$2:Q41,Q42)),"")</f>
        <v/>
      </c>
    </row>
    <row r="43" spans="1:18" x14ac:dyDescent="0.25">
      <c r="A43" t="s">
        <v>428</v>
      </c>
      <c r="B43" t="s">
        <v>337</v>
      </c>
      <c r="C43" s="3">
        <f>IF(I_VIEW=2,"",COUNTIFS(T_2016_EVENT_RESULTS[Gold - Country],T_SV_MEDALS[[#This Row],[COUNTRY ABBR]])+COUNTIFS(T_2016_EVENT_RESULTS[Gold - Country - 2],T_SV_MEDALS[[#This Row],[COUNTRY ABBR]]))</f>
        <v>1</v>
      </c>
      <c r="D43" s="3">
        <f>IF(I_VIEW=2,"",COUNTIFS(T_2016_EVENT_RESULTS[Silver - Country],T_SV_MEDALS[[#This Row],[COUNTRY ABBR]])+COUNTIFS(T_2016_EVENT_RESULTS[Silver - Country - 2],T_SV_MEDALS[[#This Row],[COUNTRY ABBR]])+COUNTIFS(T_2016_EVENT_RESULTS[Silver - Country - 3],T_SV_MEDALS[[#This Row],[COUNTRY ABBR]]))</f>
        <v>0</v>
      </c>
      <c r="E43" s="3">
        <f>IF(I_VIEW=2,"",COUNTIFS(T_2016_EVENT_RESULTS[Bronze - Country],T_SV_MEDALS[[#This Row],[COUNTRY ABBR]])+COUNTIFS(T_2016_EVENT_RESULTS[Bronze - Country - 2],T_SV_MEDALS[[#This Row],[COUNTRY ABBR]]))</f>
        <v>2</v>
      </c>
      <c r="F43" s="3">
        <f>SUM(T_SV_MEDALS[[#This Row],[GOLD]:[BRONZE]])</f>
        <v>3</v>
      </c>
      <c r="G43" s="3">
        <f>IF(T_SV_MEDALS[[#This Row],[TOTAL]]=0,"",IF(I_RANK_METHOD="TOTAL",(T_SV_MEDALS[[#This Row],[TOTAL]]*10000000),0)+(T_SV_MEDALS[[#This Row],[GOLD]]*100000)+(T_SV_MEDALS[[#This Row],[SILVER]]*1000)+(T_SV_MEDALS[[#This Row],[BRONZE]]*10))</f>
        <v>30100020</v>
      </c>
      <c r="H43" s="3">
        <f>IFERROR(IF(T_SV_MEDALS[[#This Row],[TOTAL]]=0,"",RANK(T_SV_MEDALS[[#This Row],[RANK VALUE]],T_SV_MEDALS[RANK VALUE])),"")</f>
        <v>52</v>
      </c>
      <c r="I43" s="3">
        <f>IFERROR(IF(T_SV_MEDALS[[#This Row],[TOTAL]]=0,"",RANK(T_SV_MEDALS[[#This Row],[RANK VALUE]],T_SV_MEDALS[RANK VALUE])+COUNTIF($H$2:H42,H43)),"")</f>
        <v>52</v>
      </c>
      <c r="J43" t="str">
        <f>IF(I_VIEW=3, COUNTIFS(T_2016_EVENT_RESULTS[SPORT],I_SV_SPORT,T_2016_EVENT_RESULTS[Gold - Country],T_SV_MEDALS[[#This Row],[COUNTRY ABBR]])+COUNTIFS(T_2016_EVENT_RESULTS[SPORT],I_SV_SPORT,T_2016_EVENT_RESULTS[Gold - Country - 2],T_SV_MEDALS[[#This Row],[COUNTRY ABBR]]),"")</f>
        <v/>
      </c>
      <c r="K43" t="str">
        <f>IF(I_VIEW=3, COUNTIFS(T_2016_EVENT_RESULTS[SPORT],I_SV_SPORT,T_2016_EVENT_RESULTS[Silver - Country],T_SV_MEDALS[[#This Row],[COUNTRY ABBR]])+COUNTIFS(T_2016_EVENT_RESULTS[SPORT],I_SV_SPORT,T_2016_EVENT_RESULTS[Silver - Country - 2],T_SV_MEDALS[[#This Row],[COUNTRY ABBR]])+COUNTIFS(T_2016_EVENT_RESULTS[SPORT],I_SV_SPORT,T_2016_EVENT_RESULTS[Silver - Country - 3],T_SV_MEDALS[[#This Row],[COUNTRY ABBR]]),"")</f>
        <v/>
      </c>
      <c r="L43" t="str">
        <f>IF(I_VIEW=3, COUNTIFS(T_2016_EVENT_RESULTS[SPORT],I_SV_SPORT,T_2016_EVENT_RESULTS[Bronze - Country],T_SV_MEDALS[[#This Row],[COUNTRY ABBR]])+COUNTIFS(T_2016_EVENT_RESULTS[SPORT],I_SV_SPORT,T_2016_EVENT_RESULTS[Bronze - Country - 2],T_SV_MEDALS[[#This Row],[COUNTRY ABBR]]),"")</f>
        <v/>
      </c>
      <c r="M43" s="3">
        <f>SUM(T_SV_MEDALS[[#This Row],[SV_GOLD]:[SV_BRONZE]])</f>
        <v>0</v>
      </c>
      <c r="N43" s="3" t="str">
        <f>IF(T_SV_MEDALS[[#This Row],[SV_TOTAL]]=0,"",IF(I_RANK_METHOD="TOTAL",(T_SV_MEDALS[[#This Row],[SV_TOTAL]]*10000000),0)+(T_SV_MEDALS[[#This Row],[SV_GOLD]]*100000)+(T_SV_MEDALS[[#This Row],[SV_SILVER]]*1000)+(T_SV_MEDALS[[#This Row],[SV_BRONZE]]*10))</f>
        <v/>
      </c>
      <c r="O43" s="3" t="str">
        <f>IFERROR(IF(T_SV_MEDALS[[#This Row],[SV_TOTAL]]=0,"",RANK(T_SV_MEDALS[[#This Row],[SV_RANK VALUE]],T_SV_MEDALS[SV_RANK VALUE])),"")</f>
        <v/>
      </c>
      <c r="P43" s="3" t="str">
        <f>IFERROR(IF(T_SV_MEDALS[[#This Row],[SV_TOTAL]]=0,"",RANK(T_SV_MEDALS[[#This Row],[SV_RANK VALUE]],T_SV_MEDALS[SV_RANK VALUE])+COUNTIF($O$2:O42,O43)),"")</f>
        <v/>
      </c>
      <c r="Q43" s="3">
        <f>IFERROR(T_SV_MEDALS[[#This Row],[SV_TOTAL]]/T_SV_MEDALS[[#This Row],[TOTAL]],"")</f>
        <v>0</v>
      </c>
      <c r="R43" s="3" t="str">
        <f>IFERROR(IF(T_SV_MEDALS[[#This Row],[SV_TOTAL]]=0,"",RANK(T_SV_MEDALS[[#This Row],[Dependency - Rank Value]],T_SV_MEDALS[Dependency - Rank Value])+COUNTIF($Q$2:Q42,Q43)),"")</f>
        <v/>
      </c>
    </row>
    <row r="44" spans="1:18" x14ac:dyDescent="0.25">
      <c r="A44" t="s">
        <v>78</v>
      </c>
      <c r="B44" t="s">
        <v>79</v>
      </c>
      <c r="C44" s="3">
        <f>IF(I_VIEW=2,"",COUNTIFS(T_2016_EVENT_RESULTS[Gold - Country],T_SV_MEDALS[[#This Row],[COUNTRY ABBR]])+COUNTIFS(T_2016_EVENT_RESULTS[Gold - Country - 2],T_SV_MEDALS[[#This Row],[COUNTRY ABBR]]))</f>
        <v>3</v>
      </c>
      <c r="D44" s="3">
        <f>IF(I_VIEW=2,"",COUNTIFS(T_2016_EVENT_RESULTS[Silver - Country],T_SV_MEDALS[[#This Row],[COUNTRY ABBR]])+COUNTIFS(T_2016_EVENT_RESULTS[Silver - Country - 2],T_SV_MEDALS[[#This Row],[COUNTRY ABBR]])+COUNTIFS(T_2016_EVENT_RESULTS[Silver - Country - 3],T_SV_MEDALS[[#This Row],[COUNTRY ABBR]]))</f>
        <v>2</v>
      </c>
      <c r="E44" s="3">
        <f>IF(I_VIEW=2,"",COUNTIFS(T_2016_EVENT_RESULTS[Bronze - Country],T_SV_MEDALS[[#This Row],[COUNTRY ABBR]])+COUNTIFS(T_2016_EVENT_RESULTS[Bronze - Country - 2],T_SV_MEDALS[[#This Row],[COUNTRY ABBR]]))</f>
        <v>3</v>
      </c>
      <c r="F44" s="3">
        <f>SUM(T_SV_MEDALS[[#This Row],[GOLD]:[BRONZE]])</f>
        <v>8</v>
      </c>
      <c r="G44" s="3">
        <f>IF(T_SV_MEDALS[[#This Row],[TOTAL]]=0,"",IF(I_RANK_METHOD="TOTAL",(T_SV_MEDALS[[#This Row],[TOTAL]]*10000000),0)+(T_SV_MEDALS[[#This Row],[GOLD]]*100000)+(T_SV_MEDALS[[#This Row],[SILVER]]*1000)+(T_SV_MEDALS[[#This Row],[BRONZE]]*10))</f>
        <v>80302030</v>
      </c>
      <c r="H44" s="3">
        <f>IFERROR(IF(T_SV_MEDALS[[#This Row],[TOTAL]]=0,"",RANK(T_SV_MEDALS[[#This Row],[RANK VALUE]],T_SV_MEDALS[RANK VALUE])),"")</f>
        <v>31</v>
      </c>
      <c r="I44" s="3">
        <f>IFERROR(IF(T_SV_MEDALS[[#This Row],[TOTAL]]=0,"",RANK(T_SV_MEDALS[[#This Row],[RANK VALUE]],T_SV_MEDALS[RANK VALUE])+COUNTIF($H$2:H43,H44)),"")</f>
        <v>31</v>
      </c>
      <c r="J44" t="str">
        <f>IF(I_VIEW=3, COUNTIFS(T_2016_EVENT_RESULTS[SPORT],I_SV_SPORT,T_2016_EVENT_RESULTS[Gold - Country],T_SV_MEDALS[[#This Row],[COUNTRY ABBR]])+COUNTIFS(T_2016_EVENT_RESULTS[SPORT],I_SV_SPORT,T_2016_EVENT_RESULTS[Gold - Country - 2],T_SV_MEDALS[[#This Row],[COUNTRY ABBR]]),"")</f>
        <v/>
      </c>
      <c r="K44" t="str">
        <f>IF(I_VIEW=3, COUNTIFS(T_2016_EVENT_RESULTS[SPORT],I_SV_SPORT,T_2016_EVENT_RESULTS[Silver - Country],T_SV_MEDALS[[#This Row],[COUNTRY ABBR]])+COUNTIFS(T_2016_EVENT_RESULTS[SPORT],I_SV_SPORT,T_2016_EVENT_RESULTS[Silver - Country - 2],T_SV_MEDALS[[#This Row],[COUNTRY ABBR]])+COUNTIFS(T_2016_EVENT_RESULTS[SPORT],I_SV_SPORT,T_2016_EVENT_RESULTS[Silver - Country - 3],T_SV_MEDALS[[#This Row],[COUNTRY ABBR]]),"")</f>
        <v/>
      </c>
      <c r="L44" t="str">
        <f>IF(I_VIEW=3, COUNTIFS(T_2016_EVENT_RESULTS[SPORT],I_SV_SPORT,T_2016_EVENT_RESULTS[Bronze - Country],T_SV_MEDALS[[#This Row],[COUNTRY ABBR]])+COUNTIFS(T_2016_EVENT_RESULTS[SPORT],I_SV_SPORT,T_2016_EVENT_RESULTS[Bronze - Country - 2],T_SV_MEDALS[[#This Row],[COUNTRY ABBR]]),"")</f>
        <v/>
      </c>
      <c r="M44" s="3">
        <f>SUM(T_SV_MEDALS[[#This Row],[SV_GOLD]:[SV_BRONZE]])</f>
        <v>0</v>
      </c>
      <c r="N44" s="3" t="str">
        <f>IF(T_SV_MEDALS[[#This Row],[SV_TOTAL]]=0,"",IF(I_RANK_METHOD="TOTAL",(T_SV_MEDALS[[#This Row],[SV_TOTAL]]*10000000),0)+(T_SV_MEDALS[[#This Row],[SV_GOLD]]*100000)+(T_SV_MEDALS[[#This Row],[SV_SILVER]]*1000)+(T_SV_MEDALS[[#This Row],[SV_BRONZE]]*10))</f>
        <v/>
      </c>
      <c r="O44" s="3" t="str">
        <f>IFERROR(IF(T_SV_MEDALS[[#This Row],[SV_TOTAL]]=0,"",RANK(T_SV_MEDALS[[#This Row],[SV_RANK VALUE]],T_SV_MEDALS[SV_RANK VALUE])),"")</f>
        <v/>
      </c>
      <c r="P44" s="3" t="str">
        <f>IFERROR(IF(T_SV_MEDALS[[#This Row],[SV_TOTAL]]=0,"",RANK(T_SV_MEDALS[[#This Row],[SV_RANK VALUE]],T_SV_MEDALS[SV_RANK VALUE])+COUNTIF($O$2:O43,O44)),"")</f>
        <v/>
      </c>
      <c r="Q44" s="3">
        <f>IFERROR(T_SV_MEDALS[[#This Row],[SV_TOTAL]]/T_SV_MEDALS[[#This Row],[TOTAL]],"")</f>
        <v>0</v>
      </c>
      <c r="R44" s="3" t="str">
        <f>IFERROR(IF(T_SV_MEDALS[[#This Row],[SV_TOTAL]]=0,"",RANK(T_SV_MEDALS[[#This Row],[Dependency - Rank Value]],T_SV_MEDALS[Dependency - Rank Value])+COUNTIF($Q$2:Q43,Q44)),"")</f>
        <v/>
      </c>
    </row>
    <row r="45" spans="1:18" x14ac:dyDescent="0.25">
      <c r="A45" t="s">
        <v>80</v>
      </c>
      <c r="B45" t="s">
        <v>81</v>
      </c>
      <c r="C45" s="3">
        <f>IF(I_VIEW=2,"",COUNTIFS(T_2016_EVENT_RESULTS[Gold - Country],T_SV_MEDALS[[#This Row],[COUNTRY ABBR]])+COUNTIFS(T_2016_EVENT_RESULTS[Gold - Country - 2],T_SV_MEDALS[[#This Row],[COUNTRY ABBR]]))</f>
        <v>0</v>
      </c>
      <c r="D45" s="3">
        <f>IF(I_VIEW=2,"",COUNTIFS(T_2016_EVENT_RESULTS[Silver - Country],T_SV_MEDALS[[#This Row],[COUNTRY ABBR]])+COUNTIFS(T_2016_EVENT_RESULTS[Silver - Country - 2],T_SV_MEDALS[[#This Row],[COUNTRY ABBR]])+COUNTIFS(T_2016_EVENT_RESULTS[Silver - Country - 3],T_SV_MEDALS[[#This Row],[COUNTRY ABBR]]))</f>
        <v>0</v>
      </c>
      <c r="E45" s="3">
        <f>IF(I_VIEW=2,"",COUNTIFS(T_2016_EVENT_RESULTS[Bronze - Country],T_SV_MEDALS[[#This Row],[COUNTRY ABBR]])+COUNTIFS(T_2016_EVENT_RESULTS[Bronze - Country - 2],T_SV_MEDALS[[#This Row],[COUNTRY ABBR]]))</f>
        <v>0</v>
      </c>
      <c r="F45" s="3">
        <f>SUM(T_SV_MEDALS[[#This Row],[GOLD]:[BRONZE]])</f>
        <v>0</v>
      </c>
      <c r="G45" s="3" t="str">
        <f>IF(T_SV_MEDALS[[#This Row],[TOTAL]]=0,"",IF(I_RANK_METHOD="TOTAL",(T_SV_MEDALS[[#This Row],[TOTAL]]*10000000),0)+(T_SV_MEDALS[[#This Row],[GOLD]]*100000)+(T_SV_MEDALS[[#This Row],[SILVER]]*1000)+(T_SV_MEDALS[[#This Row],[BRONZE]]*10))</f>
        <v/>
      </c>
      <c r="H45" s="3" t="str">
        <f>IFERROR(IF(T_SV_MEDALS[[#This Row],[TOTAL]]=0,"",RANK(T_SV_MEDALS[[#This Row],[RANK VALUE]],T_SV_MEDALS[RANK VALUE])),"")</f>
        <v/>
      </c>
      <c r="I45" s="3" t="str">
        <f>IFERROR(IF(T_SV_MEDALS[[#This Row],[TOTAL]]=0,"",RANK(T_SV_MEDALS[[#This Row],[RANK VALUE]],T_SV_MEDALS[RANK VALUE])+COUNTIF($H$2:H44,H45)),"")</f>
        <v/>
      </c>
      <c r="J45" t="str">
        <f>IF(I_VIEW=3, COUNTIFS(T_2016_EVENT_RESULTS[SPORT],I_SV_SPORT,T_2016_EVENT_RESULTS[Gold - Country],T_SV_MEDALS[[#This Row],[COUNTRY ABBR]])+COUNTIFS(T_2016_EVENT_RESULTS[SPORT],I_SV_SPORT,T_2016_EVENT_RESULTS[Gold - Country - 2],T_SV_MEDALS[[#This Row],[COUNTRY ABBR]]),"")</f>
        <v/>
      </c>
      <c r="K45" t="str">
        <f>IF(I_VIEW=3, COUNTIFS(T_2016_EVENT_RESULTS[SPORT],I_SV_SPORT,T_2016_EVENT_RESULTS[Silver - Country],T_SV_MEDALS[[#This Row],[COUNTRY ABBR]])+COUNTIFS(T_2016_EVENT_RESULTS[SPORT],I_SV_SPORT,T_2016_EVENT_RESULTS[Silver - Country - 2],T_SV_MEDALS[[#This Row],[COUNTRY ABBR]])+COUNTIFS(T_2016_EVENT_RESULTS[SPORT],I_SV_SPORT,T_2016_EVENT_RESULTS[Silver - Country - 3],T_SV_MEDALS[[#This Row],[COUNTRY ABBR]]),"")</f>
        <v/>
      </c>
      <c r="L45" t="str">
        <f>IF(I_VIEW=3, COUNTIFS(T_2016_EVENT_RESULTS[SPORT],I_SV_SPORT,T_2016_EVENT_RESULTS[Bronze - Country],T_SV_MEDALS[[#This Row],[COUNTRY ABBR]])+COUNTIFS(T_2016_EVENT_RESULTS[SPORT],I_SV_SPORT,T_2016_EVENT_RESULTS[Bronze - Country - 2],T_SV_MEDALS[[#This Row],[COUNTRY ABBR]]),"")</f>
        <v/>
      </c>
      <c r="M45" s="3">
        <f>SUM(T_SV_MEDALS[[#This Row],[SV_GOLD]:[SV_BRONZE]])</f>
        <v>0</v>
      </c>
      <c r="N45" s="3" t="str">
        <f>IF(T_SV_MEDALS[[#This Row],[SV_TOTAL]]=0,"",IF(I_RANK_METHOD="TOTAL",(T_SV_MEDALS[[#This Row],[SV_TOTAL]]*10000000),0)+(T_SV_MEDALS[[#This Row],[SV_GOLD]]*100000)+(T_SV_MEDALS[[#This Row],[SV_SILVER]]*1000)+(T_SV_MEDALS[[#This Row],[SV_BRONZE]]*10))</f>
        <v/>
      </c>
      <c r="O45" s="3" t="str">
        <f>IFERROR(IF(T_SV_MEDALS[[#This Row],[SV_TOTAL]]=0,"",RANK(T_SV_MEDALS[[#This Row],[SV_RANK VALUE]],T_SV_MEDALS[SV_RANK VALUE])),"")</f>
        <v/>
      </c>
      <c r="P45" s="3" t="str">
        <f>IFERROR(IF(T_SV_MEDALS[[#This Row],[SV_TOTAL]]=0,"",RANK(T_SV_MEDALS[[#This Row],[SV_RANK VALUE]],T_SV_MEDALS[SV_RANK VALUE])+COUNTIF($O$2:O44,O45)),"")</f>
        <v/>
      </c>
      <c r="Q45" s="3" t="str">
        <f>IFERROR(T_SV_MEDALS[[#This Row],[SV_TOTAL]]/T_SV_MEDALS[[#This Row],[TOTAL]],"")</f>
        <v/>
      </c>
      <c r="R45" s="3" t="str">
        <f>IFERROR(IF(T_SV_MEDALS[[#This Row],[SV_TOTAL]]=0,"",RANK(T_SV_MEDALS[[#This Row],[Dependency - Rank Value]],T_SV_MEDALS[Dependency - Rank Value])+COUNTIF($Q$2:Q44,Q45)),"")</f>
        <v/>
      </c>
    </row>
    <row r="46" spans="1:18" x14ac:dyDescent="0.25">
      <c r="A46" t="s">
        <v>82</v>
      </c>
      <c r="B46" t="s">
        <v>83</v>
      </c>
      <c r="C46" s="3">
        <f>IF(I_VIEW=2,"",COUNTIFS(T_2016_EVENT_RESULTS[Gold - Country],T_SV_MEDALS[[#This Row],[COUNTRY ABBR]])+COUNTIFS(T_2016_EVENT_RESULTS[Gold - Country - 2],T_SV_MEDALS[[#This Row],[COUNTRY ABBR]]))</f>
        <v>0</v>
      </c>
      <c r="D46" s="3">
        <f>IF(I_VIEW=2,"",COUNTIFS(T_2016_EVENT_RESULTS[Silver - Country],T_SV_MEDALS[[#This Row],[COUNTRY ABBR]])+COUNTIFS(T_2016_EVENT_RESULTS[Silver - Country - 2],T_SV_MEDALS[[#This Row],[COUNTRY ABBR]])+COUNTIFS(T_2016_EVENT_RESULTS[Silver - Country - 3],T_SV_MEDALS[[#This Row],[COUNTRY ABBR]]))</f>
        <v>0</v>
      </c>
      <c r="E46" s="3">
        <f>IF(I_VIEW=2,"",COUNTIFS(T_2016_EVENT_RESULTS[Bronze - Country],T_SV_MEDALS[[#This Row],[COUNTRY ABBR]])+COUNTIFS(T_2016_EVENT_RESULTS[Bronze - Country - 2],T_SV_MEDALS[[#This Row],[COUNTRY ABBR]]))</f>
        <v>0</v>
      </c>
      <c r="F46" s="3">
        <f>SUM(T_SV_MEDALS[[#This Row],[GOLD]:[BRONZE]])</f>
        <v>0</v>
      </c>
      <c r="G46" s="3" t="str">
        <f>IF(T_SV_MEDALS[[#This Row],[TOTAL]]=0,"",IF(I_RANK_METHOD="TOTAL",(T_SV_MEDALS[[#This Row],[TOTAL]]*10000000),0)+(T_SV_MEDALS[[#This Row],[GOLD]]*100000)+(T_SV_MEDALS[[#This Row],[SILVER]]*1000)+(T_SV_MEDALS[[#This Row],[BRONZE]]*10))</f>
        <v/>
      </c>
      <c r="H46" s="3" t="str">
        <f>IFERROR(IF(T_SV_MEDALS[[#This Row],[TOTAL]]=0,"",RANK(T_SV_MEDALS[[#This Row],[RANK VALUE]],T_SV_MEDALS[RANK VALUE])),"")</f>
        <v/>
      </c>
      <c r="I46" s="3" t="str">
        <f>IFERROR(IF(T_SV_MEDALS[[#This Row],[TOTAL]]=0,"",RANK(T_SV_MEDALS[[#This Row],[RANK VALUE]],T_SV_MEDALS[RANK VALUE])+COUNTIF($H$2:H45,H46)),"")</f>
        <v/>
      </c>
      <c r="J46" t="str">
        <f>IF(I_VIEW=3, COUNTIFS(T_2016_EVENT_RESULTS[SPORT],I_SV_SPORT,T_2016_EVENT_RESULTS[Gold - Country],T_SV_MEDALS[[#This Row],[COUNTRY ABBR]])+COUNTIFS(T_2016_EVENT_RESULTS[SPORT],I_SV_SPORT,T_2016_EVENT_RESULTS[Gold - Country - 2],T_SV_MEDALS[[#This Row],[COUNTRY ABBR]]),"")</f>
        <v/>
      </c>
      <c r="K46" t="str">
        <f>IF(I_VIEW=3, COUNTIFS(T_2016_EVENT_RESULTS[SPORT],I_SV_SPORT,T_2016_EVENT_RESULTS[Silver - Country],T_SV_MEDALS[[#This Row],[COUNTRY ABBR]])+COUNTIFS(T_2016_EVENT_RESULTS[SPORT],I_SV_SPORT,T_2016_EVENT_RESULTS[Silver - Country - 2],T_SV_MEDALS[[#This Row],[COUNTRY ABBR]])+COUNTIFS(T_2016_EVENT_RESULTS[SPORT],I_SV_SPORT,T_2016_EVENT_RESULTS[Silver - Country - 3],T_SV_MEDALS[[#This Row],[COUNTRY ABBR]]),"")</f>
        <v/>
      </c>
      <c r="L46" t="str">
        <f>IF(I_VIEW=3, COUNTIFS(T_2016_EVENT_RESULTS[SPORT],I_SV_SPORT,T_2016_EVENT_RESULTS[Bronze - Country],T_SV_MEDALS[[#This Row],[COUNTRY ABBR]])+COUNTIFS(T_2016_EVENT_RESULTS[SPORT],I_SV_SPORT,T_2016_EVENT_RESULTS[Bronze - Country - 2],T_SV_MEDALS[[#This Row],[COUNTRY ABBR]]),"")</f>
        <v/>
      </c>
      <c r="M46" s="3">
        <f>SUM(T_SV_MEDALS[[#This Row],[SV_GOLD]:[SV_BRONZE]])</f>
        <v>0</v>
      </c>
      <c r="N46" s="3" t="str">
        <f>IF(T_SV_MEDALS[[#This Row],[SV_TOTAL]]=0,"",IF(I_RANK_METHOD="TOTAL",(T_SV_MEDALS[[#This Row],[SV_TOTAL]]*10000000),0)+(T_SV_MEDALS[[#This Row],[SV_GOLD]]*100000)+(T_SV_MEDALS[[#This Row],[SV_SILVER]]*1000)+(T_SV_MEDALS[[#This Row],[SV_BRONZE]]*10))</f>
        <v/>
      </c>
      <c r="O46" s="3" t="str">
        <f>IFERROR(IF(T_SV_MEDALS[[#This Row],[SV_TOTAL]]=0,"",RANK(T_SV_MEDALS[[#This Row],[SV_RANK VALUE]],T_SV_MEDALS[SV_RANK VALUE])),"")</f>
        <v/>
      </c>
      <c r="P46" s="3" t="str">
        <f>IFERROR(IF(T_SV_MEDALS[[#This Row],[SV_TOTAL]]=0,"",RANK(T_SV_MEDALS[[#This Row],[SV_RANK VALUE]],T_SV_MEDALS[SV_RANK VALUE])+COUNTIF($O$2:O45,O46)),"")</f>
        <v/>
      </c>
      <c r="Q46" s="3" t="str">
        <f>IFERROR(T_SV_MEDALS[[#This Row],[SV_TOTAL]]/T_SV_MEDALS[[#This Row],[TOTAL]],"")</f>
        <v/>
      </c>
      <c r="R46" s="3" t="str">
        <f>IFERROR(IF(T_SV_MEDALS[[#This Row],[SV_TOTAL]]=0,"",RANK(T_SV_MEDALS[[#This Row],[Dependency - Rank Value]],T_SV_MEDALS[Dependency - Rank Value])+COUNTIF($Q$2:Q45,Q46)),"")</f>
        <v/>
      </c>
    </row>
    <row r="47" spans="1:18" x14ac:dyDescent="0.25">
      <c r="A47" t="s">
        <v>85</v>
      </c>
      <c r="B47" t="s">
        <v>86</v>
      </c>
      <c r="C47" s="3">
        <f>IF(I_VIEW=2,"",COUNTIFS(T_2016_EVENT_RESULTS[Gold - Country],T_SV_MEDALS[[#This Row],[COUNTRY ABBR]])+COUNTIFS(T_2016_EVENT_RESULTS[Gold - Country - 2],T_SV_MEDALS[[#This Row],[COUNTRY ABBR]]))</f>
        <v>0</v>
      </c>
      <c r="D47" s="3">
        <f>IF(I_VIEW=2,"",COUNTIFS(T_2016_EVENT_RESULTS[Silver - Country],T_SV_MEDALS[[#This Row],[COUNTRY ABBR]])+COUNTIFS(T_2016_EVENT_RESULTS[Silver - Country - 2],T_SV_MEDALS[[#This Row],[COUNTRY ABBR]])+COUNTIFS(T_2016_EVENT_RESULTS[Silver - Country - 3],T_SV_MEDALS[[#This Row],[COUNTRY ABBR]]))</f>
        <v>0</v>
      </c>
      <c r="E47" s="3">
        <f>IF(I_VIEW=2,"",COUNTIFS(T_2016_EVENT_RESULTS[Bronze - Country],T_SV_MEDALS[[#This Row],[COUNTRY ABBR]])+COUNTIFS(T_2016_EVENT_RESULTS[Bronze - Country - 2],T_SV_MEDALS[[#This Row],[COUNTRY ABBR]]))</f>
        <v>0</v>
      </c>
      <c r="F47" s="3">
        <f>SUM(T_SV_MEDALS[[#This Row],[GOLD]:[BRONZE]])</f>
        <v>0</v>
      </c>
      <c r="G47" s="3" t="str">
        <f>IF(T_SV_MEDALS[[#This Row],[TOTAL]]=0,"",IF(I_RANK_METHOD="TOTAL",(T_SV_MEDALS[[#This Row],[TOTAL]]*10000000),0)+(T_SV_MEDALS[[#This Row],[GOLD]]*100000)+(T_SV_MEDALS[[#This Row],[SILVER]]*1000)+(T_SV_MEDALS[[#This Row],[BRONZE]]*10))</f>
        <v/>
      </c>
      <c r="H47" s="3" t="str">
        <f>IFERROR(IF(T_SV_MEDALS[[#This Row],[TOTAL]]=0,"",RANK(T_SV_MEDALS[[#This Row],[RANK VALUE]],T_SV_MEDALS[RANK VALUE])),"")</f>
        <v/>
      </c>
      <c r="I47" s="3" t="str">
        <f>IFERROR(IF(T_SV_MEDALS[[#This Row],[TOTAL]]=0,"",RANK(T_SV_MEDALS[[#This Row],[RANK VALUE]],T_SV_MEDALS[RANK VALUE])+COUNTIF($H$2:H46,H47)),"")</f>
        <v/>
      </c>
      <c r="J47" t="str">
        <f>IF(I_VIEW=3, COUNTIFS(T_2016_EVENT_RESULTS[SPORT],I_SV_SPORT,T_2016_EVENT_RESULTS[Gold - Country],T_SV_MEDALS[[#This Row],[COUNTRY ABBR]])+COUNTIFS(T_2016_EVENT_RESULTS[SPORT],I_SV_SPORT,T_2016_EVENT_RESULTS[Gold - Country - 2],T_SV_MEDALS[[#This Row],[COUNTRY ABBR]]),"")</f>
        <v/>
      </c>
      <c r="K47" t="str">
        <f>IF(I_VIEW=3, COUNTIFS(T_2016_EVENT_RESULTS[SPORT],I_SV_SPORT,T_2016_EVENT_RESULTS[Silver - Country],T_SV_MEDALS[[#This Row],[COUNTRY ABBR]])+COUNTIFS(T_2016_EVENT_RESULTS[SPORT],I_SV_SPORT,T_2016_EVENT_RESULTS[Silver - Country - 2],T_SV_MEDALS[[#This Row],[COUNTRY ABBR]])+COUNTIFS(T_2016_EVENT_RESULTS[SPORT],I_SV_SPORT,T_2016_EVENT_RESULTS[Silver - Country - 3],T_SV_MEDALS[[#This Row],[COUNTRY ABBR]]),"")</f>
        <v/>
      </c>
      <c r="L47" t="str">
        <f>IF(I_VIEW=3, COUNTIFS(T_2016_EVENT_RESULTS[SPORT],I_SV_SPORT,T_2016_EVENT_RESULTS[Bronze - Country],T_SV_MEDALS[[#This Row],[COUNTRY ABBR]])+COUNTIFS(T_2016_EVENT_RESULTS[SPORT],I_SV_SPORT,T_2016_EVENT_RESULTS[Bronze - Country - 2],T_SV_MEDALS[[#This Row],[COUNTRY ABBR]]),"")</f>
        <v/>
      </c>
      <c r="M47" s="3">
        <f>SUM(T_SV_MEDALS[[#This Row],[SV_GOLD]:[SV_BRONZE]])</f>
        <v>0</v>
      </c>
      <c r="N47" s="3" t="str">
        <f>IF(T_SV_MEDALS[[#This Row],[SV_TOTAL]]=0,"",IF(I_RANK_METHOD="TOTAL",(T_SV_MEDALS[[#This Row],[SV_TOTAL]]*10000000),0)+(T_SV_MEDALS[[#This Row],[SV_GOLD]]*100000)+(T_SV_MEDALS[[#This Row],[SV_SILVER]]*1000)+(T_SV_MEDALS[[#This Row],[SV_BRONZE]]*10))</f>
        <v/>
      </c>
      <c r="O47" s="3" t="str">
        <f>IFERROR(IF(T_SV_MEDALS[[#This Row],[SV_TOTAL]]=0,"",RANK(T_SV_MEDALS[[#This Row],[SV_RANK VALUE]],T_SV_MEDALS[SV_RANK VALUE])),"")</f>
        <v/>
      </c>
      <c r="P47" s="3" t="str">
        <f>IFERROR(IF(T_SV_MEDALS[[#This Row],[SV_TOTAL]]=0,"",RANK(T_SV_MEDALS[[#This Row],[SV_RANK VALUE]],T_SV_MEDALS[SV_RANK VALUE])+COUNTIF($O$2:O46,O47)),"")</f>
        <v/>
      </c>
      <c r="Q47" s="3" t="str">
        <f>IFERROR(T_SV_MEDALS[[#This Row],[SV_TOTAL]]/T_SV_MEDALS[[#This Row],[TOTAL]],"")</f>
        <v/>
      </c>
      <c r="R47" s="3" t="str">
        <f>IFERROR(IF(T_SV_MEDALS[[#This Row],[SV_TOTAL]]=0,"",RANK(T_SV_MEDALS[[#This Row],[Dependency - Rank Value]],T_SV_MEDALS[Dependency - Rank Value])+COUNTIF($Q$2:Q46,Q47)),"")</f>
        <v/>
      </c>
    </row>
    <row r="48" spans="1:18" x14ac:dyDescent="0.25">
      <c r="A48" t="s">
        <v>87</v>
      </c>
      <c r="B48" t="s">
        <v>88</v>
      </c>
      <c r="C48" s="3">
        <f>IF(I_VIEW=2,"",COUNTIFS(T_2016_EVENT_RESULTS[Gold - Country],T_SV_MEDALS[[#This Row],[COUNTRY ABBR]])+COUNTIFS(T_2016_EVENT_RESULTS[Gold - Country - 2],T_SV_MEDALS[[#This Row],[COUNTRY ABBR]]))</f>
        <v>0</v>
      </c>
      <c r="D48" s="3">
        <f>IF(I_VIEW=2,"",COUNTIFS(T_2016_EVENT_RESULTS[Silver - Country],T_SV_MEDALS[[#This Row],[COUNTRY ABBR]])+COUNTIFS(T_2016_EVENT_RESULTS[Silver - Country - 2],T_SV_MEDALS[[#This Row],[COUNTRY ABBR]])+COUNTIFS(T_2016_EVENT_RESULTS[Silver - Country - 3],T_SV_MEDALS[[#This Row],[COUNTRY ABBR]]))</f>
        <v>0</v>
      </c>
      <c r="E48" s="3">
        <f>IF(I_VIEW=2,"",COUNTIFS(T_2016_EVENT_RESULTS[Bronze - Country],T_SV_MEDALS[[#This Row],[COUNTRY ABBR]])+COUNTIFS(T_2016_EVENT_RESULTS[Bronze - Country - 2],T_SV_MEDALS[[#This Row],[COUNTRY ABBR]]))</f>
        <v>0</v>
      </c>
      <c r="F48" s="3">
        <f>SUM(T_SV_MEDALS[[#This Row],[GOLD]:[BRONZE]])</f>
        <v>0</v>
      </c>
      <c r="G48" s="3" t="str">
        <f>IF(T_SV_MEDALS[[#This Row],[TOTAL]]=0,"",IF(I_RANK_METHOD="TOTAL",(T_SV_MEDALS[[#This Row],[TOTAL]]*10000000),0)+(T_SV_MEDALS[[#This Row],[GOLD]]*100000)+(T_SV_MEDALS[[#This Row],[SILVER]]*1000)+(T_SV_MEDALS[[#This Row],[BRONZE]]*10))</f>
        <v/>
      </c>
      <c r="H48" s="3" t="str">
        <f>IFERROR(IF(T_SV_MEDALS[[#This Row],[TOTAL]]=0,"",RANK(T_SV_MEDALS[[#This Row],[RANK VALUE]],T_SV_MEDALS[RANK VALUE])),"")</f>
        <v/>
      </c>
      <c r="I48" s="3" t="str">
        <f>IFERROR(IF(T_SV_MEDALS[[#This Row],[TOTAL]]=0,"",RANK(T_SV_MEDALS[[#This Row],[RANK VALUE]],T_SV_MEDALS[RANK VALUE])+COUNTIF($H$2:H47,H48)),"")</f>
        <v/>
      </c>
      <c r="J48" t="str">
        <f>IF(I_VIEW=3, COUNTIFS(T_2016_EVENT_RESULTS[SPORT],I_SV_SPORT,T_2016_EVENT_RESULTS[Gold - Country],T_SV_MEDALS[[#This Row],[COUNTRY ABBR]])+COUNTIFS(T_2016_EVENT_RESULTS[SPORT],I_SV_SPORT,T_2016_EVENT_RESULTS[Gold - Country - 2],T_SV_MEDALS[[#This Row],[COUNTRY ABBR]]),"")</f>
        <v/>
      </c>
      <c r="K48" t="str">
        <f>IF(I_VIEW=3, COUNTIFS(T_2016_EVENT_RESULTS[SPORT],I_SV_SPORT,T_2016_EVENT_RESULTS[Silver - Country],T_SV_MEDALS[[#This Row],[COUNTRY ABBR]])+COUNTIFS(T_2016_EVENT_RESULTS[SPORT],I_SV_SPORT,T_2016_EVENT_RESULTS[Silver - Country - 2],T_SV_MEDALS[[#This Row],[COUNTRY ABBR]])+COUNTIFS(T_2016_EVENT_RESULTS[SPORT],I_SV_SPORT,T_2016_EVENT_RESULTS[Silver - Country - 3],T_SV_MEDALS[[#This Row],[COUNTRY ABBR]]),"")</f>
        <v/>
      </c>
      <c r="L48" t="str">
        <f>IF(I_VIEW=3, COUNTIFS(T_2016_EVENT_RESULTS[SPORT],I_SV_SPORT,T_2016_EVENT_RESULTS[Bronze - Country],T_SV_MEDALS[[#This Row],[COUNTRY ABBR]])+COUNTIFS(T_2016_EVENT_RESULTS[SPORT],I_SV_SPORT,T_2016_EVENT_RESULTS[Bronze - Country - 2],T_SV_MEDALS[[#This Row],[COUNTRY ABBR]]),"")</f>
        <v/>
      </c>
      <c r="M48" s="3">
        <f>SUM(T_SV_MEDALS[[#This Row],[SV_GOLD]:[SV_BRONZE]])</f>
        <v>0</v>
      </c>
      <c r="N48" s="3" t="str">
        <f>IF(T_SV_MEDALS[[#This Row],[SV_TOTAL]]=0,"",IF(I_RANK_METHOD="TOTAL",(T_SV_MEDALS[[#This Row],[SV_TOTAL]]*10000000),0)+(T_SV_MEDALS[[#This Row],[SV_GOLD]]*100000)+(T_SV_MEDALS[[#This Row],[SV_SILVER]]*1000)+(T_SV_MEDALS[[#This Row],[SV_BRONZE]]*10))</f>
        <v/>
      </c>
      <c r="O48" s="3" t="str">
        <f>IFERROR(IF(T_SV_MEDALS[[#This Row],[SV_TOTAL]]=0,"",RANK(T_SV_MEDALS[[#This Row],[SV_RANK VALUE]],T_SV_MEDALS[SV_RANK VALUE])),"")</f>
        <v/>
      </c>
      <c r="P48" s="3" t="str">
        <f>IFERROR(IF(T_SV_MEDALS[[#This Row],[SV_TOTAL]]=0,"",RANK(T_SV_MEDALS[[#This Row],[SV_RANK VALUE]],T_SV_MEDALS[SV_RANK VALUE])+COUNTIF($O$2:O47,O48)),"")</f>
        <v/>
      </c>
      <c r="Q48" s="3" t="str">
        <f>IFERROR(T_SV_MEDALS[[#This Row],[SV_TOTAL]]/T_SV_MEDALS[[#This Row],[TOTAL]],"")</f>
        <v/>
      </c>
      <c r="R48" s="3" t="str">
        <f>IFERROR(IF(T_SV_MEDALS[[#This Row],[SV_TOTAL]]=0,"",RANK(T_SV_MEDALS[[#This Row],[Dependency - Rank Value]],T_SV_MEDALS[Dependency - Rank Value])+COUNTIF($Q$2:Q47,Q48)),"")</f>
        <v/>
      </c>
    </row>
    <row r="49" spans="1:18" x14ac:dyDescent="0.25">
      <c r="A49" t="s">
        <v>89</v>
      </c>
      <c r="B49" t="s">
        <v>90</v>
      </c>
      <c r="C49" s="3">
        <f>IF(I_VIEW=2,"",COUNTIFS(T_2016_EVENT_RESULTS[Gold - Country],T_SV_MEDALS[[#This Row],[COUNTRY ABBR]])+COUNTIFS(T_2016_EVENT_RESULTS[Gold - Country - 2],T_SV_MEDALS[[#This Row],[COUNTRY ABBR]]))</f>
        <v>1</v>
      </c>
      <c r="D49" s="3">
        <f>IF(I_VIEW=2,"",COUNTIFS(T_2016_EVENT_RESULTS[Silver - Country],T_SV_MEDALS[[#This Row],[COUNTRY ABBR]])+COUNTIFS(T_2016_EVENT_RESULTS[Silver - Country - 2],T_SV_MEDALS[[#This Row],[COUNTRY ABBR]])+COUNTIFS(T_2016_EVENT_RESULTS[Silver - Country - 3],T_SV_MEDALS[[#This Row],[COUNTRY ABBR]]))</f>
        <v>0</v>
      </c>
      <c r="E49" s="3">
        <f>IF(I_VIEW=2,"",COUNTIFS(T_2016_EVENT_RESULTS[Bronze - Country],T_SV_MEDALS[[#This Row],[COUNTRY ABBR]])+COUNTIFS(T_2016_EVENT_RESULTS[Bronze - Country - 2],T_SV_MEDALS[[#This Row],[COUNTRY ABBR]]))</f>
        <v>1</v>
      </c>
      <c r="F49" s="3">
        <f>SUM(T_SV_MEDALS[[#This Row],[GOLD]:[BRONZE]])</f>
        <v>2</v>
      </c>
      <c r="G49" s="3">
        <f>IF(T_SV_MEDALS[[#This Row],[TOTAL]]=0,"",IF(I_RANK_METHOD="TOTAL",(T_SV_MEDALS[[#This Row],[TOTAL]]*10000000),0)+(T_SV_MEDALS[[#This Row],[GOLD]]*100000)+(T_SV_MEDALS[[#This Row],[SILVER]]*1000)+(T_SV_MEDALS[[#This Row],[BRONZE]]*10))</f>
        <v>20100010</v>
      </c>
      <c r="H49" s="3">
        <f>IFERROR(IF(T_SV_MEDALS[[#This Row],[TOTAL]]=0,"",RANK(T_SV_MEDALS[[#This Row],[RANK VALUE]],T_SV_MEDALS[RANK VALUE])),"")</f>
        <v>59</v>
      </c>
      <c r="I49" s="3">
        <f>IFERROR(IF(T_SV_MEDALS[[#This Row],[TOTAL]]=0,"",RANK(T_SV_MEDALS[[#This Row],[RANK VALUE]],T_SV_MEDALS[RANK VALUE])+COUNTIF($H$2:H48,H49)),"")</f>
        <v>60</v>
      </c>
      <c r="J49" t="str">
        <f>IF(I_VIEW=3, COUNTIFS(T_2016_EVENT_RESULTS[SPORT],I_SV_SPORT,T_2016_EVENT_RESULTS[Gold - Country],T_SV_MEDALS[[#This Row],[COUNTRY ABBR]])+COUNTIFS(T_2016_EVENT_RESULTS[SPORT],I_SV_SPORT,T_2016_EVENT_RESULTS[Gold - Country - 2],T_SV_MEDALS[[#This Row],[COUNTRY ABBR]]),"")</f>
        <v/>
      </c>
      <c r="K49" t="str">
        <f>IF(I_VIEW=3, COUNTIFS(T_2016_EVENT_RESULTS[SPORT],I_SV_SPORT,T_2016_EVENT_RESULTS[Silver - Country],T_SV_MEDALS[[#This Row],[COUNTRY ABBR]])+COUNTIFS(T_2016_EVENT_RESULTS[SPORT],I_SV_SPORT,T_2016_EVENT_RESULTS[Silver - Country - 2],T_SV_MEDALS[[#This Row],[COUNTRY ABBR]])+COUNTIFS(T_2016_EVENT_RESULTS[SPORT],I_SV_SPORT,T_2016_EVENT_RESULTS[Silver - Country - 3],T_SV_MEDALS[[#This Row],[COUNTRY ABBR]]),"")</f>
        <v/>
      </c>
      <c r="L49" t="str">
        <f>IF(I_VIEW=3, COUNTIFS(T_2016_EVENT_RESULTS[SPORT],I_SV_SPORT,T_2016_EVENT_RESULTS[Bronze - Country],T_SV_MEDALS[[#This Row],[COUNTRY ABBR]])+COUNTIFS(T_2016_EVENT_RESULTS[SPORT],I_SV_SPORT,T_2016_EVENT_RESULTS[Bronze - Country - 2],T_SV_MEDALS[[#This Row],[COUNTRY ABBR]]),"")</f>
        <v/>
      </c>
      <c r="M49" s="3">
        <f>SUM(T_SV_MEDALS[[#This Row],[SV_GOLD]:[SV_BRONZE]])</f>
        <v>0</v>
      </c>
      <c r="N49" s="3" t="str">
        <f>IF(T_SV_MEDALS[[#This Row],[SV_TOTAL]]=0,"",IF(I_RANK_METHOD="TOTAL",(T_SV_MEDALS[[#This Row],[SV_TOTAL]]*10000000),0)+(T_SV_MEDALS[[#This Row],[SV_GOLD]]*100000)+(T_SV_MEDALS[[#This Row],[SV_SILVER]]*1000)+(T_SV_MEDALS[[#This Row],[SV_BRONZE]]*10))</f>
        <v/>
      </c>
      <c r="O49" s="3" t="str">
        <f>IFERROR(IF(T_SV_MEDALS[[#This Row],[SV_TOTAL]]=0,"",RANK(T_SV_MEDALS[[#This Row],[SV_RANK VALUE]],T_SV_MEDALS[SV_RANK VALUE])),"")</f>
        <v/>
      </c>
      <c r="P49" s="3" t="str">
        <f>IFERROR(IF(T_SV_MEDALS[[#This Row],[SV_TOTAL]]=0,"",RANK(T_SV_MEDALS[[#This Row],[SV_RANK VALUE]],T_SV_MEDALS[SV_RANK VALUE])+COUNTIF($O$2:O48,O49)),"")</f>
        <v/>
      </c>
      <c r="Q49" s="3">
        <f>IFERROR(T_SV_MEDALS[[#This Row],[SV_TOTAL]]/T_SV_MEDALS[[#This Row],[TOTAL]],"")</f>
        <v>0</v>
      </c>
      <c r="R49" s="3" t="str">
        <f>IFERROR(IF(T_SV_MEDALS[[#This Row],[SV_TOTAL]]=0,"",RANK(T_SV_MEDALS[[#This Row],[Dependency - Rank Value]],T_SV_MEDALS[Dependency - Rank Value])+COUNTIF($Q$2:Q48,Q49)),"")</f>
        <v/>
      </c>
    </row>
    <row r="50" spans="1:18" x14ac:dyDescent="0.25">
      <c r="A50" t="s">
        <v>91</v>
      </c>
      <c r="B50" t="s">
        <v>92</v>
      </c>
      <c r="C50" s="3">
        <f>IF(I_VIEW=2,"",COUNTIFS(T_2016_EVENT_RESULTS[Gold - Country],T_SV_MEDALS[[#This Row],[COUNTRY ABBR]])+COUNTIFS(T_2016_EVENT_RESULTS[Gold - Country - 2],T_SV_MEDALS[[#This Row],[COUNTRY ABBR]]))</f>
        <v>5</v>
      </c>
      <c r="D50" s="3">
        <f>IF(I_VIEW=2,"",COUNTIFS(T_2016_EVENT_RESULTS[Silver - Country],T_SV_MEDALS[[#This Row],[COUNTRY ABBR]])+COUNTIFS(T_2016_EVENT_RESULTS[Silver - Country - 2],T_SV_MEDALS[[#This Row],[COUNTRY ABBR]])+COUNTIFS(T_2016_EVENT_RESULTS[Silver - Country - 3],T_SV_MEDALS[[#This Row],[COUNTRY ABBR]]))</f>
        <v>3</v>
      </c>
      <c r="E50" s="3">
        <f>IF(I_VIEW=2,"",COUNTIFS(T_2016_EVENT_RESULTS[Bronze - Country],T_SV_MEDALS[[#This Row],[COUNTRY ABBR]])+COUNTIFS(T_2016_EVENT_RESULTS[Bronze - Country - 2],T_SV_MEDALS[[#This Row],[COUNTRY ABBR]]))</f>
        <v>2</v>
      </c>
      <c r="F50" s="3">
        <f>SUM(T_SV_MEDALS[[#This Row],[GOLD]:[BRONZE]])</f>
        <v>10</v>
      </c>
      <c r="G50" s="3">
        <f>IF(T_SV_MEDALS[[#This Row],[TOTAL]]=0,"",IF(I_RANK_METHOD="TOTAL",(T_SV_MEDALS[[#This Row],[TOTAL]]*10000000),0)+(T_SV_MEDALS[[#This Row],[GOLD]]*100000)+(T_SV_MEDALS[[#This Row],[SILVER]]*1000)+(T_SV_MEDALS[[#This Row],[BRONZE]]*10))</f>
        <v>100503020</v>
      </c>
      <c r="H50" s="3">
        <f>IFERROR(IF(T_SV_MEDALS[[#This Row],[TOTAL]]=0,"",RANK(T_SV_MEDALS[[#This Row],[RANK VALUE]],T_SV_MEDALS[RANK VALUE])),"")</f>
        <v>27</v>
      </c>
      <c r="I50" s="3">
        <f>IFERROR(IF(T_SV_MEDALS[[#This Row],[TOTAL]]=0,"",RANK(T_SV_MEDALS[[#This Row],[RANK VALUE]],T_SV_MEDALS[RANK VALUE])+COUNTIF($H$2:H49,H50)),"")</f>
        <v>27</v>
      </c>
      <c r="J50" t="str">
        <f>IF(I_VIEW=3, COUNTIFS(T_2016_EVENT_RESULTS[SPORT],I_SV_SPORT,T_2016_EVENT_RESULTS[Gold - Country],T_SV_MEDALS[[#This Row],[COUNTRY ABBR]])+COUNTIFS(T_2016_EVENT_RESULTS[SPORT],I_SV_SPORT,T_2016_EVENT_RESULTS[Gold - Country - 2],T_SV_MEDALS[[#This Row],[COUNTRY ABBR]]),"")</f>
        <v/>
      </c>
      <c r="K50" t="str">
        <f>IF(I_VIEW=3, COUNTIFS(T_2016_EVENT_RESULTS[SPORT],I_SV_SPORT,T_2016_EVENT_RESULTS[Silver - Country],T_SV_MEDALS[[#This Row],[COUNTRY ABBR]])+COUNTIFS(T_2016_EVENT_RESULTS[SPORT],I_SV_SPORT,T_2016_EVENT_RESULTS[Silver - Country - 2],T_SV_MEDALS[[#This Row],[COUNTRY ABBR]])+COUNTIFS(T_2016_EVENT_RESULTS[SPORT],I_SV_SPORT,T_2016_EVENT_RESULTS[Silver - Country - 3],T_SV_MEDALS[[#This Row],[COUNTRY ABBR]]),"")</f>
        <v/>
      </c>
      <c r="L50" t="str">
        <f>IF(I_VIEW=3, COUNTIFS(T_2016_EVENT_RESULTS[SPORT],I_SV_SPORT,T_2016_EVENT_RESULTS[Bronze - Country],T_SV_MEDALS[[#This Row],[COUNTRY ABBR]])+COUNTIFS(T_2016_EVENT_RESULTS[SPORT],I_SV_SPORT,T_2016_EVENT_RESULTS[Bronze - Country - 2],T_SV_MEDALS[[#This Row],[COUNTRY ABBR]]),"")</f>
        <v/>
      </c>
      <c r="M50" s="3">
        <f>SUM(T_SV_MEDALS[[#This Row],[SV_GOLD]:[SV_BRONZE]])</f>
        <v>0</v>
      </c>
      <c r="N50" s="3" t="str">
        <f>IF(T_SV_MEDALS[[#This Row],[SV_TOTAL]]=0,"",IF(I_RANK_METHOD="TOTAL",(T_SV_MEDALS[[#This Row],[SV_TOTAL]]*10000000),0)+(T_SV_MEDALS[[#This Row],[SV_GOLD]]*100000)+(T_SV_MEDALS[[#This Row],[SV_SILVER]]*1000)+(T_SV_MEDALS[[#This Row],[SV_BRONZE]]*10))</f>
        <v/>
      </c>
      <c r="O50" s="3" t="str">
        <f>IFERROR(IF(T_SV_MEDALS[[#This Row],[SV_TOTAL]]=0,"",RANK(T_SV_MEDALS[[#This Row],[SV_RANK VALUE]],T_SV_MEDALS[SV_RANK VALUE])),"")</f>
        <v/>
      </c>
      <c r="P50" s="3" t="str">
        <f>IFERROR(IF(T_SV_MEDALS[[#This Row],[SV_TOTAL]]=0,"",RANK(T_SV_MEDALS[[#This Row],[SV_RANK VALUE]],T_SV_MEDALS[SV_RANK VALUE])+COUNTIF($O$2:O49,O50)),"")</f>
        <v/>
      </c>
      <c r="Q50" s="3">
        <f>IFERROR(T_SV_MEDALS[[#This Row],[SV_TOTAL]]/T_SV_MEDALS[[#This Row],[TOTAL]],"")</f>
        <v>0</v>
      </c>
      <c r="R50" s="3" t="str">
        <f>IFERROR(IF(T_SV_MEDALS[[#This Row],[SV_TOTAL]]=0,"",RANK(T_SV_MEDALS[[#This Row],[Dependency - Rank Value]],T_SV_MEDALS[Dependency - Rank Value])+COUNTIF($Q$2:Q49,Q50)),"")</f>
        <v/>
      </c>
    </row>
    <row r="51" spans="1:18" x14ac:dyDescent="0.25">
      <c r="A51" t="s">
        <v>93</v>
      </c>
      <c r="B51" t="s">
        <v>94</v>
      </c>
      <c r="C51" s="3">
        <f>IF(I_VIEW=2,"",COUNTIFS(T_2016_EVENT_RESULTS[Gold - Country],T_SV_MEDALS[[#This Row],[COUNTRY ABBR]])+COUNTIFS(T_2016_EVENT_RESULTS[Gold - Country - 2],T_SV_MEDALS[[#This Row],[COUNTRY ABBR]]))</f>
        <v>5</v>
      </c>
      <c r="D51" s="3">
        <f>IF(I_VIEW=2,"",COUNTIFS(T_2016_EVENT_RESULTS[Silver - Country],T_SV_MEDALS[[#This Row],[COUNTRY ABBR]])+COUNTIFS(T_2016_EVENT_RESULTS[Silver - Country - 2],T_SV_MEDALS[[#This Row],[COUNTRY ABBR]])+COUNTIFS(T_2016_EVENT_RESULTS[Silver - Country - 3],T_SV_MEDALS[[#This Row],[COUNTRY ABBR]]))</f>
        <v>2</v>
      </c>
      <c r="E51" s="3">
        <f>IF(I_VIEW=2,"",COUNTIFS(T_2016_EVENT_RESULTS[Bronze - Country],T_SV_MEDALS[[#This Row],[COUNTRY ABBR]])+COUNTIFS(T_2016_EVENT_RESULTS[Bronze - Country - 2],T_SV_MEDALS[[#This Row],[COUNTRY ABBR]]))</f>
        <v>4</v>
      </c>
      <c r="F51" s="3">
        <f>SUM(T_SV_MEDALS[[#This Row],[GOLD]:[BRONZE]])</f>
        <v>11</v>
      </c>
      <c r="G51" s="3">
        <f>IF(T_SV_MEDALS[[#This Row],[TOTAL]]=0,"",IF(I_RANK_METHOD="TOTAL",(T_SV_MEDALS[[#This Row],[TOTAL]]*10000000),0)+(T_SV_MEDALS[[#This Row],[GOLD]]*100000)+(T_SV_MEDALS[[#This Row],[SILVER]]*1000)+(T_SV_MEDALS[[#This Row],[BRONZE]]*10))</f>
        <v>110502040</v>
      </c>
      <c r="H51" s="3">
        <f>IFERROR(IF(T_SV_MEDALS[[#This Row],[TOTAL]]=0,"",RANK(T_SV_MEDALS[[#This Row],[RANK VALUE]],T_SV_MEDALS[RANK VALUE])),"")</f>
        <v>23</v>
      </c>
      <c r="I51" s="3">
        <f>IFERROR(IF(T_SV_MEDALS[[#This Row],[TOTAL]]=0,"",RANK(T_SV_MEDALS[[#This Row],[RANK VALUE]],T_SV_MEDALS[RANK VALUE])+COUNTIF($H$2:H50,H51)),"")</f>
        <v>23</v>
      </c>
      <c r="J51" t="str">
        <f>IF(I_VIEW=3, COUNTIFS(T_2016_EVENT_RESULTS[SPORT],I_SV_SPORT,T_2016_EVENT_RESULTS[Gold - Country],T_SV_MEDALS[[#This Row],[COUNTRY ABBR]])+COUNTIFS(T_2016_EVENT_RESULTS[SPORT],I_SV_SPORT,T_2016_EVENT_RESULTS[Gold - Country - 2],T_SV_MEDALS[[#This Row],[COUNTRY ABBR]]),"")</f>
        <v/>
      </c>
      <c r="K51" t="str">
        <f>IF(I_VIEW=3, COUNTIFS(T_2016_EVENT_RESULTS[SPORT],I_SV_SPORT,T_2016_EVENT_RESULTS[Silver - Country],T_SV_MEDALS[[#This Row],[COUNTRY ABBR]])+COUNTIFS(T_2016_EVENT_RESULTS[SPORT],I_SV_SPORT,T_2016_EVENT_RESULTS[Silver - Country - 2],T_SV_MEDALS[[#This Row],[COUNTRY ABBR]])+COUNTIFS(T_2016_EVENT_RESULTS[SPORT],I_SV_SPORT,T_2016_EVENT_RESULTS[Silver - Country - 3],T_SV_MEDALS[[#This Row],[COUNTRY ABBR]]),"")</f>
        <v/>
      </c>
      <c r="L51" t="str">
        <f>IF(I_VIEW=3, COUNTIFS(T_2016_EVENT_RESULTS[SPORT],I_SV_SPORT,T_2016_EVENT_RESULTS[Bronze - Country],T_SV_MEDALS[[#This Row],[COUNTRY ABBR]])+COUNTIFS(T_2016_EVENT_RESULTS[SPORT],I_SV_SPORT,T_2016_EVENT_RESULTS[Bronze - Country - 2],T_SV_MEDALS[[#This Row],[COUNTRY ABBR]]),"")</f>
        <v/>
      </c>
      <c r="M51" s="3">
        <f>SUM(T_SV_MEDALS[[#This Row],[SV_GOLD]:[SV_BRONZE]])</f>
        <v>0</v>
      </c>
      <c r="N51" s="3" t="str">
        <f>IF(T_SV_MEDALS[[#This Row],[SV_TOTAL]]=0,"",IF(I_RANK_METHOD="TOTAL",(T_SV_MEDALS[[#This Row],[SV_TOTAL]]*10000000),0)+(T_SV_MEDALS[[#This Row],[SV_GOLD]]*100000)+(T_SV_MEDALS[[#This Row],[SV_SILVER]]*1000)+(T_SV_MEDALS[[#This Row],[SV_BRONZE]]*10))</f>
        <v/>
      </c>
      <c r="O51" s="3" t="str">
        <f>IFERROR(IF(T_SV_MEDALS[[#This Row],[SV_TOTAL]]=0,"",RANK(T_SV_MEDALS[[#This Row],[SV_RANK VALUE]],T_SV_MEDALS[SV_RANK VALUE])),"")</f>
        <v/>
      </c>
      <c r="P51" s="3" t="str">
        <f>IFERROR(IF(T_SV_MEDALS[[#This Row],[SV_TOTAL]]=0,"",RANK(T_SV_MEDALS[[#This Row],[SV_RANK VALUE]],T_SV_MEDALS[SV_RANK VALUE])+COUNTIF($O$2:O50,O51)),"")</f>
        <v/>
      </c>
      <c r="Q51" s="3">
        <f>IFERROR(T_SV_MEDALS[[#This Row],[SV_TOTAL]]/T_SV_MEDALS[[#This Row],[TOTAL]],"")</f>
        <v>0</v>
      </c>
      <c r="R51" s="3" t="str">
        <f>IFERROR(IF(T_SV_MEDALS[[#This Row],[SV_TOTAL]]=0,"",RANK(T_SV_MEDALS[[#This Row],[Dependency - Rank Value]],T_SV_MEDALS[Dependency - Rank Value])+COUNTIF($Q$2:Q50,Q51)),"")</f>
        <v/>
      </c>
    </row>
    <row r="52" spans="1:18" x14ac:dyDescent="0.25">
      <c r="A52" t="s">
        <v>95</v>
      </c>
      <c r="B52" t="s">
        <v>96</v>
      </c>
      <c r="C52" s="3">
        <f>IF(I_VIEW=2,"",COUNTIFS(T_2016_EVENT_RESULTS[Gold - Country],T_SV_MEDALS[[#This Row],[COUNTRY ABBR]])+COUNTIFS(T_2016_EVENT_RESULTS[Gold - Country - 2],T_SV_MEDALS[[#This Row],[COUNTRY ABBR]]))</f>
        <v>0</v>
      </c>
      <c r="D52" s="3">
        <f>IF(I_VIEW=2,"",COUNTIFS(T_2016_EVENT_RESULTS[Silver - Country],T_SV_MEDALS[[#This Row],[COUNTRY ABBR]])+COUNTIFS(T_2016_EVENT_RESULTS[Silver - Country - 2],T_SV_MEDALS[[#This Row],[COUNTRY ABBR]])+COUNTIFS(T_2016_EVENT_RESULTS[Silver - Country - 3],T_SV_MEDALS[[#This Row],[COUNTRY ABBR]]))</f>
        <v>0</v>
      </c>
      <c r="E52" s="3">
        <f>IF(I_VIEW=2,"",COUNTIFS(T_2016_EVENT_RESULTS[Bronze - Country],T_SV_MEDALS[[#This Row],[COUNTRY ABBR]])+COUNTIFS(T_2016_EVENT_RESULTS[Bronze - Country - 2],T_SV_MEDALS[[#This Row],[COUNTRY ABBR]]))</f>
        <v>0</v>
      </c>
      <c r="F52" s="3">
        <f>SUM(T_SV_MEDALS[[#This Row],[GOLD]:[BRONZE]])</f>
        <v>0</v>
      </c>
      <c r="G52" s="3" t="str">
        <f>IF(T_SV_MEDALS[[#This Row],[TOTAL]]=0,"",IF(I_RANK_METHOD="TOTAL",(T_SV_MEDALS[[#This Row],[TOTAL]]*10000000),0)+(T_SV_MEDALS[[#This Row],[GOLD]]*100000)+(T_SV_MEDALS[[#This Row],[SILVER]]*1000)+(T_SV_MEDALS[[#This Row],[BRONZE]]*10))</f>
        <v/>
      </c>
      <c r="H52" s="3" t="str">
        <f>IFERROR(IF(T_SV_MEDALS[[#This Row],[TOTAL]]=0,"",RANK(T_SV_MEDALS[[#This Row],[RANK VALUE]],T_SV_MEDALS[RANK VALUE])),"")</f>
        <v/>
      </c>
      <c r="I52" s="3" t="str">
        <f>IFERROR(IF(T_SV_MEDALS[[#This Row],[TOTAL]]=0,"",RANK(T_SV_MEDALS[[#This Row],[RANK VALUE]],T_SV_MEDALS[RANK VALUE])+COUNTIF($H$2:H51,H52)),"")</f>
        <v/>
      </c>
      <c r="J52" t="str">
        <f>IF(I_VIEW=3, COUNTIFS(T_2016_EVENT_RESULTS[SPORT],I_SV_SPORT,T_2016_EVENT_RESULTS[Gold - Country],T_SV_MEDALS[[#This Row],[COUNTRY ABBR]])+COUNTIFS(T_2016_EVENT_RESULTS[SPORT],I_SV_SPORT,T_2016_EVENT_RESULTS[Gold - Country - 2],T_SV_MEDALS[[#This Row],[COUNTRY ABBR]]),"")</f>
        <v/>
      </c>
      <c r="K52" t="str">
        <f>IF(I_VIEW=3, COUNTIFS(T_2016_EVENT_RESULTS[SPORT],I_SV_SPORT,T_2016_EVENT_RESULTS[Silver - Country],T_SV_MEDALS[[#This Row],[COUNTRY ABBR]])+COUNTIFS(T_2016_EVENT_RESULTS[SPORT],I_SV_SPORT,T_2016_EVENT_RESULTS[Silver - Country - 2],T_SV_MEDALS[[#This Row],[COUNTRY ABBR]])+COUNTIFS(T_2016_EVENT_RESULTS[SPORT],I_SV_SPORT,T_2016_EVENT_RESULTS[Silver - Country - 3],T_SV_MEDALS[[#This Row],[COUNTRY ABBR]]),"")</f>
        <v/>
      </c>
      <c r="L52" t="str">
        <f>IF(I_VIEW=3, COUNTIFS(T_2016_EVENT_RESULTS[SPORT],I_SV_SPORT,T_2016_EVENT_RESULTS[Bronze - Country],T_SV_MEDALS[[#This Row],[COUNTRY ABBR]])+COUNTIFS(T_2016_EVENT_RESULTS[SPORT],I_SV_SPORT,T_2016_EVENT_RESULTS[Bronze - Country - 2],T_SV_MEDALS[[#This Row],[COUNTRY ABBR]]),"")</f>
        <v/>
      </c>
      <c r="M52" s="3">
        <f>SUM(T_SV_MEDALS[[#This Row],[SV_GOLD]:[SV_BRONZE]])</f>
        <v>0</v>
      </c>
      <c r="N52" s="3" t="str">
        <f>IF(T_SV_MEDALS[[#This Row],[SV_TOTAL]]=0,"",IF(I_RANK_METHOD="TOTAL",(T_SV_MEDALS[[#This Row],[SV_TOTAL]]*10000000),0)+(T_SV_MEDALS[[#This Row],[SV_GOLD]]*100000)+(T_SV_MEDALS[[#This Row],[SV_SILVER]]*1000)+(T_SV_MEDALS[[#This Row],[SV_BRONZE]]*10))</f>
        <v/>
      </c>
      <c r="O52" s="3" t="str">
        <f>IFERROR(IF(T_SV_MEDALS[[#This Row],[SV_TOTAL]]=0,"",RANK(T_SV_MEDALS[[#This Row],[SV_RANK VALUE]],T_SV_MEDALS[SV_RANK VALUE])),"")</f>
        <v/>
      </c>
      <c r="P52" s="3" t="str">
        <f>IFERROR(IF(T_SV_MEDALS[[#This Row],[SV_TOTAL]]=0,"",RANK(T_SV_MEDALS[[#This Row],[SV_RANK VALUE]],T_SV_MEDALS[SV_RANK VALUE])+COUNTIF($O$2:O51,O52)),"")</f>
        <v/>
      </c>
      <c r="Q52" s="3" t="str">
        <f>IFERROR(T_SV_MEDALS[[#This Row],[SV_TOTAL]]/T_SV_MEDALS[[#This Row],[TOTAL]],"")</f>
        <v/>
      </c>
      <c r="R52" s="3" t="str">
        <f>IFERROR(IF(T_SV_MEDALS[[#This Row],[SV_TOTAL]]=0,"",RANK(T_SV_MEDALS[[#This Row],[Dependency - Rank Value]],T_SV_MEDALS[Dependency - Rank Value])+COUNTIF($Q$2:Q51,Q52)),"")</f>
        <v/>
      </c>
    </row>
    <row r="53" spans="1:18" x14ac:dyDescent="0.25">
      <c r="A53" t="s">
        <v>97</v>
      </c>
      <c r="B53" t="s">
        <v>98</v>
      </c>
      <c r="C53" s="3">
        <f>IF(I_VIEW=2,"",COUNTIFS(T_2016_EVENT_RESULTS[Gold - Country],T_SV_MEDALS[[#This Row],[COUNTRY ABBR]])+COUNTIFS(T_2016_EVENT_RESULTS[Gold - Country - 2],T_SV_MEDALS[[#This Row],[COUNTRY ABBR]]))</f>
        <v>1</v>
      </c>
      <c r="D53" s="3">
        <f>IF(I_VIEW=2,"",COUNTIFS(T_2016_EVENT_RESULTS[Silver - Country],T_SV_MEDALS[[#This Row],[COUNTRY ABBR]])+COUNTIFS(T_2016_EVENT_RESULTS[Silver - Country - 2],T_SV_MEDALS[[#This Row],[COUNTRY ABBR]])+COUNTIFS(T_2016_EVENT_RESULTS[Silver - Country - 3],T_SV_MEDALS[[#This Row],[COUNTRY ABBR]]))</f>
        <v>2</v>
      </c>
      <c r="E53" s="3">
        <f>IF(I_VIEW=2,"",COUNTIFS(T_2016_EVENT_RESULTS[Bronze - Country],T_SV_MEDALS[[#This Row],[COUNTRY ABBR]])+COUNTIFS(T_2016_EVENT_RESULTS[Bronze - Country - 2],T_SV_MEDALS[[#This Row],[COUNTRY ABBR]]))</f>
        <v>7</v>
      </c>
      <c r="F53" s="3">
        <f>SUM(T_SV_MEDALS[[#This Row],[GOLD]:[BRONZE]])</f>
        <v>10</v>
      </c>
      <c r="G53" s="3">
        <f>IF(T_SV_MEDALS[[#This Row],[TOTAL]]=0,"",IF(I_RANK_METHOD="TOTAL",(T_SV_MEDALS[[#This Row],[TOTAL]]*10000000),0)+(T_SV_MEDALS[[#This Row],[GOLD]]*100000)+(T_SV_MEDALS[[#This Row],[SILVER]]*1000)+(T_SV_MEDALS[[#This Row],[BRONZE]]*10))</f>
        <v>100102070</v>
      </c>
      <c r="H53" s="3">
        <f>IFERROR(IF(T_SV_MEDALS[[#This Row],[TOTAL]]=0,"",RANK(T_SV_MEDALS[[#This Row],[RANK VALUE]],T_SV_MEDALS[RANK VALUE])),"")</f>
        <v>29</v>
      </c>
      <c r="I53" s="3">
        <f>IFERROR(IF(T_SV_MEDALS[[#This Row],[TOTAL]]=0,"",RANK(T_SV_MEDALS[[#This Row],[RANK VALUE]],T_SV_MEDALS[RANK VALUE])+COUNTIF($H$2:H52,H53)),"")</f>
        <v>29</v>
      </c>
      <c r="J53" t="str">
        <f>IF(I_VIEW=3, COUNTIFS(T_2016_EVENT_RESULTS[SPORT],I_SV_SPORT,T_2016_EVENT_RESULTS[Gold - Country],T_SV_MEDALS[[#This Row],[COUNTRY ABBR]])+COUNTIFS(T_2016_EVENT_RESULTS[SPORT],I_SV_SPORT,T_2016_EVENT_RESULTS[Gold - Country - 2],T_SV_MEDALS[[#This Row],[COUNTRY ABBR]]),"")</f>
        <v/>
      </c>
      <c r="K53" t="str">
        <f>IF(I_VIEW=3, COUNTIFS(T_2016_EVENT_RESULTS[SPORT],I_SV_SPORT,T_2016_EVENT_RESULTS[Silver - Country],T_SV_MEDALS[[#This Row],[COUNTRY ABBR]])+COUNTIFS(T_2016_EVENT_RESULTS[SPORT],I_SV_SPORT,T_2016_EVENT_RESULTS[Silver - Country - 2],T_SV_MEDALS[[#This Row],[COUNTRY ABBR]])+COUNTIFS(T_2016_EVENT_RESULTS[SPORT],I_SV_SPORT,T_2016_EVENT_RESULTS[Silver - Country - 3],T_SV_MEDALS[[#This Row],[COUNTRY ABBR]]),"")</f>
        <v/>
      </c>
      <c r="L53" t="str">
        <f>IF(I_VIEW=3, COUNTIFS(T_2016_EVENT_RESULTS[SPORT],I_SV_SPORT,T_2016_EVENT_RESULTS[Bronze - Country],T_SV_MEDALS[[#This Row],[COUNTRY ABBR]])+COUNTIFS(T_2016_EVENT_RESULTS[SPORT],I_SV_SPORT,T_2016_EVENT_RESULTS[Bronze - Country - 2],T_SV_MEDALS[[#This Row],[COUNTRY ABBR]]),"")</f>
        <v/>
      </c>
      <c r="M53" s="3">
        <f>SUM(T_SV_MEDALS[[#This Row],[SV_GOLD]:[SV_BRONZE]])</f>
        <v>0</v>
      </c>
      <c r="N53" s="3" t="str">
        <f>IF(T_SV_MEDALS[[#This Row],[SV_TOTAL]]=0,"",IF(I_RANK_METHOD="TOTAL",(T_SV_MEDALS[[#This Row],[SV_TOTAL]]*10000000),0)+(T_SV_MEDALS[[#This Row],[SV_GOLD]]*100000)+(T_SV_MEDALS[[#This Row],[SV_SILVER]]*1000)+(T_SV_MEDALS[[#This Row],[SV_BRONZE]]*10))</f>
        <v/>
      </c>
      <c r="O53" s="3" t="str">
        <f>IFERROR(IF(T_SV_MEDALS[[#This Row],[SV_TOTAL]]=0,"",RANK(T_SV_MEDALS[[#This Row],[SV_RANK VALUE]],T_SV_MEDALS[SV_RANK VALUE])),"")</f>
        <v/>
      </c>
      <c r="P53" s="3" t="str">
        <f>IFERROR(IF(T_SV_MEDALS[[#This Row],[SV_TOTAL]]=0,"",RANK(T_SV_MEDALS[[#This Row],[SV_RANK VALUE]],T_SV_MEDALS[SV_RANK VALUE])+COUNTIF($O$2:O52,O53)),"")</f>
        <v/>
      </c>
      <c r="Q53" s="3">
        <f>IFERROR(T_SV_MEDALS[[#This Row],[SV_TOTAL]]/T_SV_MEDALS[[#This Row],[TOTAL]],"")</f>
        <v>0</v>
      </c>
      <c r="R53" s="3" t="str">
        <f>IFERROR(IF(T_SV_MEDALS[[#This Row],[SV_TOTAL]]=0,"",RANK(T_SV_MEDALS[[#This Row],[Dependency - Rank Value]],T_SV_MEDALS[Dependency - Rank Value])+COUNTIF($Q$2:Q52,Q53)),"")</f>
        <v/>
      </c>
    </row>
    <row r="54" spans="1:18" x14ac:dyDescent="0.25">
      <c r="A54" t="s">
        <v>99</v>
      </c>
      <c r="B54" t="s">
        <v>100</v>
      </c>
      <c r="C54" s="3">
        <f>IF(I_VIEW=2,"",COUNTIFS(T_2016_EVENT_RESULTS[Gold - Country],T_SV_MEDALS[[#This Row],[COUNTRY ABBR]])+COUNTIFS(T_2016_EVENT_RESULTS[Gold - Country - 2],T_SV_MEDALS[[#This Row],[COUNTRY ABBR]]))</f>
        <v>2</v>
      </c>
      <c r="D54" s="3">
        <f>IF(I_VIEW=2,"",COUNTIFS(T_2016_EVENT_RESULTS[Silver - Country],T_SV_MEDALS[[#This Row],[COUNTRY ABBR]])+COUNTIFS(T_2016_EVENT_RESULTS[Silver - Country - 2],T_SV_MEDALS[[#This Row],[COUNTRY ABBR]])+COUNTIFS(T_2016_EVENT_RESULTS[Silver - Country - 3],T_SV_MEDALS[[#This Row],[COUNTRY ABBR]]))</f>
        <v>6</v>
      </c>
      <c r="E54" s="3">
        <f>IF(I_VIEW=2,"",COUNTIFS(T_2016_EVENT_RESULTS[Bronze - Country],T_SV_MEDALS[[#This Row],[COUNTRY ABBR]])+COUNTIFS(T_2016_EVENT_RESULTS[Bronze - Country - 2],T_SV_MEDALS[[#This Row],[COUNTRY ABBR]]))</f>
        <v>7</v>
      </c>
      <c r="F54" s="3">
        <f>SUM(T_SV_MEDALS[[#This Row],[GOLD]:[BRONZE]])</f>
        <v>15</v>
      </c>
      <c r="G54" s="3">
        <f>IF(T_SV_MEDALS[[#This Row],[TOTAL]]=0,"",IF(I_RANK_METHOD="TOTAL",(T_SV_MEDALS[[#This Row],[TOTAL]]*10000000),0)+(T_SV_MEDALS[[#This Row],[GOLD]]*100000)+(T_SV_MEDALS[[#This Row],[SILVER]]*1000)+(T_SV_MEDALS[[#This Row],[BRONZE]]*10))</f>
        <v>150206070</v>
      </c>
      <c r="H54" s="3">
        <f>IFERROR(IF(T_SV_MEDALS[[#This Row],[TOTAL]]=0,"",RANK(T_SV_MEDALS[[#This Row],[RANK VALUE]],T_SV_MEDALS[RANK VALUE])),"")</f>
        <v>19</v>
      </c>
      <c r="I54" s="3">
        <f>IFERROR(IF(T_SV_MEDALS[[#This Row],[TOTAL]]=0,"",RANK(T_SV_MEDALS[[#This Row],[RANK VALUE]],T_SV_MEDALS[RANK VALUE])+COUNTIF($H$2:H53,H54)),"")</f>
        <v>19</v>
      </c>
      <c r="J54" t="str">
        <f>IF(I_VIEW=3, COUNTIFS(T_2016_EVENT_RESULTS[SPORT],I_SV_SPORT,T_2016_EVENT_RESULTS[Gold - Country],T_SV_MEDALS[[#This Row],[COUNTRY ABBR]])+COUNTIFS(T_2016_EVENT_RESULTS[SPORT],I_SV_SPORT,T_2016_EVENT_RESULTS[Gold - Country - 2],T_SV_MEDALS[[#This Row],[COUNTRY ABBR]]),"")</f>
        <v/>
      </c>
      <c r="K54" t="str">
        <f>IF(I_VIEW=3, COUNTIFS(T_2016_EVENT_RESULTS[SPORT],I_SV_SPORT,T_2016_EVENT_RESULTS[Silver - Country],T_SV_MEDALS[[#This Row],[COUNTRY ABBR]])+COUNTIFS(T_2016_EVENT_RESULTS[SPORT],I_SV_SPORT,T_2016_EVENT_RESULTS[Silver - Country - 2],T_SV_MEDALS[[#This Row],[COUNTRY ABBR]])+COUNTIFS(T_2016_EVENT_RESULTS[SPORT],I_SV_SPORT,T_2016_EVENT_RESULTS[Silver - Country - 3],T_SV_MEDALS[[#This Row],[COUNTRY ABBR]]),"")</f>
        <v/>
      </c>
      <c r="L54" t="str">
        <f>IF(I_VIEW=3, COUNTIFS(T_2016_EVENT_RESULTS[SPORT],I_SV_SPORT,T_2016_EVENT_RESULTS[Bronze - Country],T_SV_MEDALS[[#This Row],[COUNTRY ABBR]])+COUNTIFS(T_2016_EVENT_RESULTS[SPORT],I_SV_SPORT,T_2016_EVENT_RESULTS[Bronze - Country - 2],T_SV_MEDALS[[#This Row],[COUNTRY ABBR]]),"")</f>
        <v/>
      </c>
      <c r="M54" s="3">
        <f>SUM(T_SV_MEDALS[[#This Row],[SV_GOLD]:[SV_BRONZE]])</f>
        <v>0</v>
      </c>
      <c r="N54" s="3" t="str">
        <f>IF(T_SV_MEDALS[[#This Row],[SV_TOTAL]]=0,"",IF(I_RANK_METHOD="TOTAL",(T_SV_MEDALS[[#This Row],[SV_TOTAL]]*10000000),0)+(T_SV_MEDALS[[#This Row],[SV_GOLD]]*100000)+(T_SV_MEDALS[[#This Row],[SV_SILVER]]*1000)+(T_SV_MEDALS[[#This Row],[SV_BRONZE]]*10))</f>
        <v/>
      </c>
      <c r="O54" s="3" t="str">
        <f>IFERROR(IF(T_SV_MEDALS[[#This Row],[SV_TOTAL]]=0,"",RANK(T_SV_MEDALS[[#This Row],[SV_RANK VALUE]],T_SV_MEDALS[SV_RANK VALUE])),"")</f>
        <v/>
      </c>
      <c r="P54" s="3" t="str">
        <f>IFERROR(IF(T_SV_MEDALS[[#This Row],[SV_TOTAL]]=0,"",RANK(T_SV_MEDALS[[#This Row],[SV_RANK VALUE]],T_SV_MEDALS[SV_RANK VALUE])+COUNTIF($O$2:O53,O54)),"")</f>
        <v/>
      </c>
      <c r="Q54" s="3">
        <f>IFERROR(T_SV_MEDALS[[#This Row],[SV_TOTAL]]/T_SV_MEDALS[[#This Row],[TOTAL]],"")</f>
        <v>0</v>
      </c>
      <c r="R54" s="3" t="str">
        <f>IFERROR(IF(T_SV_MEDALS[[#This Row],[SV_TOTAL]]=0,"",RANK(T_SV_MEDALS[[#This Row],[Dependency - Rank Value]],T_SV_MEDALS[Dependency - Rank Value])+COUNTIF($Q$2:Q53,Q54)),"")</f>
        <v/>
      </c>
    </row>
    <row r="55" spans="1:18" x14ac:dyDescent="0.25">
      <c r="A55" t="s">
        <v>101</v>
      </c>
      <c r="B55" t="s">
        <v>102</v>
      </c>
      <c r="C55" s="3">
        <f>IF(I_VIEW=2,"",COUNTIFS(T_2016_EVENT_RESULTS[Gold - Country],T_SV_MEDALS[[#This Row],[COUNTRY ABBR]])+COUNTIFS(T_2016_EVENT_RESULTS[Gold - Country - 2],T_SV_MEDALS[[#This Row],[COUNTRY ABBR]]))</f>
        <v>0</v>
      </c>
      <c r="D55" s="3">
        <f>IF(I_VIEW=2,"",COUNTIFS(T_2016_EVENT_RESULTS[Silver - Country],T_SV_MEDALS[[#This Row],[COUNTRY ABBR]])+COUNTIFS(T_2016_EVENT_RESULTS[Silver - Country - 2],T_SV_MEDALS[[#This Row],[COUNTRY ABBR]])+COUNTIFS(T_2016_EVENT_RESULTS[Silver - Country - 3],T_SV_MEDALS[[#This Row],[COUNTRY ABBR]]))</f>
        <v>0</v>
      </c>
      <c r="E55" s="3">
        <f>IF(I_VIEW=2,"",COUNTIFS(T_2016_EVENT_RESULTS[Bronze - Country],T_SV_MEDALS[[#This Row],[COUNTRY ABBR]])+COUNTIFS(T_2016_EVENT_RESULTS[Bronze - Country - 2],T_SV_MEDALS[[#This Row],[COUNTRY ABBR]]))</f>
        <v>0</v>
      </c>
      <c r="F55" s="3">
        <f>SUM(T_SV_MEDALS[[#This Row],[GOLD]:[BRONZE]])</f>
        <v>0</v>
      </c>
      <c r="G55" s="3" t="str">
        <f>IF(T_SV_MEDALS[[#This Row],[TOTAL]]=0,"",IF(I_RANK_METHOD="TOTAL",(T_SV_MEDALS[[#This Row],[TOTAL]]*10000000),0)+(T_SV_MEDALS[[#This Row],[GOLD]]*100000)+(T_SV_MEDALS[[#This Row],[SILVER]]*1000)+(T_SV_MEDALS[[#This Row],[BRONZE]]*10))</f>
        <v/>
      </c>
      <c r="H55" s="3" t="str">
        <f>IFERROR(IF(T_SV_MEDALS[[#This Row],[TOTAL]]=0,"",RANK(T_SV_MEDALS[[#This Row],[RANK VALUE]],T_SV_MEDALS[RANK VALUE])),"")</f>
        <v/>
      </c>
      <c r="I55" s="3" t="str">
        <f>IFERROR(IF(T_SV_MEDALS[[#This Row],[TOTAL]]=0,"",RANK(T_SV_MEDALS[[#This Row],[RANK VALUE]],T_SV_MEDALS[RANK VALUE])+COUNTIF($H$2:H54,H55)),"")</f>
        <v/>
      </c>
      <c r="J55" t="str">
        <f>IF(I_VIEW=3, COUNTIFS(T_2016_EVENT_RESULTS[SPORT],I_SV_SPORT,T_2016_EVENT_RESULTS[Gold - Country],T_SV_MEDALS[[#This Row],[COUNTRY ABBR]])+COUNTIFS(T_2016_EVENT_RESULTS[SPORT],I_SV_SPORT,T_2016_EVENT_RESULTS[Gold - Country - 2],T_SV_MEDALS[[#This Row],[COUNTRY ABBR]]),"")</f>
        <v/>
      </c>
      <c r="K55" t="str">
        <f>IF(I_VIEW=3, COUNTIFS(T_2016_EVENT_RESULTS[SPORT],I_SV_SPORT,T_2016_EVENT_RESULTS[Silver - Country],T_SV_MEDALS[[#This Row],[COUNTRY ABBR]])+COUNTIFS(T_2016_EVENT_RESULTS[SPORT],I_SV_SPORT,T_2016_EVENT_RESULTS[Silver - Country - 2],T_SV_MEDALS[[#This Row],[COUNTRY ABBR]])+COUNTIFS(T_2016_EVENT_RESULTS[SPORT],I_SV_SPORT,T_2016_EVENT_RESULTS[Silver - Country - 3],T_SV_MEDALS[[#This Row],[COUNTRY ABBR]]),"")</f>
        <v/>
      </c>
      <c r="L55" t="str">
        <f>IF(I_VIEW=3, COUNTIFS(T_2016_EVENT_RESULTS[SPORT],I_SV_SPORT,T_2016_EVENT_RESULTS[Bronze - Country],T_SV_MEDALS[[#This Row],[COUNTRY ABBR]])+COUNTIFS(T_2016_EVENT_RESULTS[SPORT],I_SV_SPORT,T_2016_EVENT_RESULTS[Bronze - Country - 2],T_SV_MEDALS[[#This Row],[COUNTRY ABBR]]),"")</f>
        <v/>
      </c>
      <c r="M55" s="3">
        <f>SUM(T_SV_MEDALS[[#This Row],[SV_GOLD]:[SV_BRONZE]])</f>
        <v>0</v>
      </c>
      <c r="N55" s="3" t="str">
        <f>IF(T_SV_MEDALS[[#This Row],[SV_TOTAL]]=0,"",IF(I_RANK_METHOD="TOTAL",(T_SV_MEDALS[[#This Row],[SV_TOTAL]]*10000000),0)+(T_SV_MEDALS[[#This Row],[SV_GOLD]]*100000)+(T_SV_MEDALS[[#This Row],[SV_SILVER]]*1000)+(T_SV_MEDALS[[#This Row],[SV_BRONZE]]*10))</f>
        <v/>
      </c>
      <c r="O55" s="3" t="str">
        <f>IFERROR(IF(T_SV_MEDALS[[#This Row],[SV_TOTAL]]=0,"",RANK(T_SV_MEDALS[[#This Row],[SV_RANK VALUE]],T_SV_MEDALS[SV_RANK VALUE])),"")</f>
        <v/>
      </c>
      <c r="P55" s="3" t="str">
        <f>IFERROR(IF(T_SV_MEDALS[[#This Row],[SV_TOTAL]]=0,"",RANK(T_SV_MEDALS[[#This Row],[SV_RANK VALUE]],T_SV_MEDALS[SV_RANK VALUE])+COUNTIF($O$2:O54,O55)),"")</f>
        <v/>
      </c>
      <c r="Q55" s="3" t="str">
        <f>IFERROR(T_SV_MEDALS[[#This Row],[SV_TOTAL]]/T_SV_MEDALS[[#This Row],[TOTAL]],"")</f>
        <v/>
      </c>
      <c r="R55" s="3" t="str">
        <f>IFERROR(IF(T_SV_MEDALS[[#This Row],[SV_TOTAL]]=0,"",RANK(T_SV_MEDALS[[#This Row],[Dependency - Rank Value]],T_SV_MEDALS[Dependency - Rank Value])+COUNTIF($Q$2:Q54,Q55)),"")</f>
        <v/>
      </c>
    </row>
    <row r="56" spans="1:18" x14ac:dyDescent="0.25">
      <c r="A56" t="s">
        <v>103</v>
      </c>
      <c r="B56" t="s">
        <v>104</v>
      </c>
      <c r="C56" s="3">
        <f>IF(I_VIEW=2,"",COUNTIFS(T_2016_EVENT_RESULTS[Gold - Country],T_SV_MEDALS[[#This Row],[COUNTRY ABBR]])+COUNTIFS(T_2016_EVENT_RESULTS[Gold - Country - 2],T_SV_MEDALS[[#This Row],[COUNTRY ABBR]]))</f>
        <v>0</v>
      </c>
      <c r="D56" s="3">
        <f>IF(I_VIEW=2,"",COUNTIFS(T_2016_EVENT_RESULTS[Silver - Country],T_SV_MEDALS[[#This Row],[COUNTRY ABBR]])+COUNTIFS(T_2016_EVENT_RESULTS[Silver - Country - 2],T_SV_MEDALS[[#This Row],[COUNTRY ABBR]])+COUNTIFS(T_2016_EVENT_RESULTS[Silver - Country - 3],T_SV_MEDALS[[#This Row],[COUNTRY ABBR]]))</f>
        <v>0</v>
      </c>
      <c r="E56" s="3">
        <f>IF(I_VIEW=2,"",COUNTIFS(T_2016_EVENT_RESULTS[Bronze - Country],T_SV_MEDALS[[#This Row],[COUNTRY ABBR]])+COUNTIFS(T_2016_EVENT_RESULTS[Bronze - Country - 2],T_SV_MEDALS[[#This Row],[COUNTRY ABBR]]))</f>
        <v>0</v>
      </c>
      <c r="F56" s="3">
        <f>SUM(T_SV_MEDALS[[#This Row],[GOLD]:[BRONZE]])</f>
        <v>0</v>
      </c>
      <c r="G56" s="3" t="str">
        <f>IF(T_SV_MEDALS[[#This Row],[TOTAL]]=0,"",IF(I_RANK_METHOD="TOTAL",(T_SV_MEDALS[[#This Row],[TOTAL]]*10000000),0)+(T_SV_MEDALS[[#This Row],[GOLD]]*100000)+(T_SV_MEDALS[[#This Row],[SILVER]]*1000)+(T_SV_MEDALS[[#This Row],[BRONZE]]*10))</f>
        <v/>
      </c>
      <c r="H56" s="3" t="str">
        <f>IFERROR(IF(T_SV_MEDALS[[#This Row],[TOTAL]]=0,"",RANK(T_SV_MEDALS[[#This Row],[RANK VALUE]],T_SV_MEDALS[RANK VALUE])),"")</f>
        <v/>
      </c>
      <c r="I56" s="3" t="str">
        <f>IFERROR(IF(T_SV_MEDALS[[#This Row],[TOTAL]]=0,"",RANK(T_SV_MEDALS[[#This Row],[RANK VALUE]],T_SV_MEDALS[RANK VALUE])+COUNTIF($H$2:H55,H56)),"")</f>
        <v/>
      </c>
      <c r="J56" t="str">
        <f>IF(I_VIEW=3, COUNTIFS(T_2016_EVENT_RESULTS[SPORT],I_SV_SPORT,T_2016_EVENT_RESULTS[Gold - Country],T_SV_MEDALS[[#This Row],[COUNTRY ABBR]])+COUNTIFS(T_2016_EVENT_RESULTS[SPORT],I_SV_SPORT,T_2016_EVENT_RESULTS[Gold - Country - 2],T_SV_MEDALS[[#This Row],[COUNTRY ABBR]]),"")</f>
        <v/>
      </c>
      <c r="K56" t="str">
        <f>IF(I_VIEW=3, COUNTIFS(T_2016_EVENT_RESULTS[SPORT],I_SV_SPORT,T_2016_EVENT_RESULTS[Silver - Country],T_SV_MEDALS[[#This Row],[COUNTRY ABBR]])+COUNTIFS(T_2016_EVENT_RESULTS[SPORT],I_SV_SPORT,T_2016_EVENT_RESULTS[Silver - Country - 2],T_SV_MEDALS[[#This Row],[COUNTRY ABBR]])+COUNTIFS(T_2016_EVENT_RESULTS[SPORT],I_SV_SPORT,T_2016_EVENT_RESULTS[Silver - Country - 3],T_SV_MEDALS[[#This Row],[COUNTRY ABBR]]),"")</f>
        <v/>
      </c>
      <c r="L56" t="str">
        <f>IF(I_VIEW=3, COUNTIFS(T_2016_EVENT_RESULTS[SPORT],I_SV_SPORT,T_2016_EVENT_RESULTS[Bronze - Country],T_SV_MEDALS[[#This Row],[COUNTRY ABBR]])+COUNTIFS(T_2016_EVENT_RESULTS[SPORT],I_SV_SPORT,T_2016_EVENT_RESULTS[Bronze - Country - 2],T_SV_MEDALS[[#This Row],[COUNTRY ABBR]]),"")</f>
        <v/>
      </c>
      <c r="M56" s="3">
        <f>SUM(T_SV_MEDALS[[#This Row],[SV_GOLD]:[SV_BRONZE]])</f>
        <v>0</v>
      </c>
      <c r="N56" s="3" t="str">
        <f>IF(T_SV_MEDALS[[#This Row],[SV_TOTAL]]=0,"",IF(I_RANK_METHOD="TOTAL",(T_SV_MEDALS[[#This Row],[SV_TOTAL]]*10000000),0)+(T_SV_MEDALS[[#This Row],[SV_GOLD]]*100000)+(T_SV_MEDALS[[#This Row],[SV_SILVER]]*1000)+(T_SV_MEDALS[[#This Row],[SV_BRONZE]]*10))</f>
        <v/>
      </c>
      <c r="O56" s="3" t="str">
        <f>IFERROR(IF(T_SV_MEDALS[[#This Row],[SV_TOTAL]]=0,"",RANK(T_SV_MEDALS[[#This Row],[SV_RANK VALUE]],T_SV_MEDALS[SV_RANK VALUE])),"")</f>
        <v/>
      </c>
      <c r="P56" s="3" t="str">
        <f>IFERROR(IF(T_SV_MEDALS[[#This Row],[SV_TOTAL]]=0,"",RANK(T_SV_MEDALS[[#This Row],[SV_RANK VALUE]],T_SV_MEDALS[SV_RANK VALUE])+COUNTIF($O$2:O55,O56)),"")</f>
        <v/>
      </c>
      <c r="Q56" s="3" t="str">
        <f>IFERROR(T_SV_MEDALS[[#This Row],[SV_TOTAL]]/T_SV_MEDALS[[#This Row],[TOTAL]],"")</f>
        <v/>
      </c>
      <c r="R56" s="3" t="str">
        <f>IFERROR(IF(T_SV_MEDALS[[#This Row],[SV_TOTAL]]=0,"",RANK(T_SV_MEDALS[[#This Row],[Dependency - Rank Value]],T_SV_MEDALS[Dependency - Rank Value])+COUNTIF($Q$2:Q55,Q56)),"")</f>
        <v/>
      </c>
    </row>
    <row r="57" spans="1:18" x14ac:dyDescent="0.25">
      <c r="A57" t="s">
        <v>105</v>
      </c>
      <c r="B57" t="s">
        <v>106</v>
      </c>
      <c r="C57" s="3">
        <f>IF(I_VIEW=2,"",COUNTIFS(T_2016_EVENT_RESULTS[Gold - Country],T_SV_MEDALS[[#This Row],[COUNTRY ABBR]])+COUNTIFS(T_2016_EVENT_RESULTS[Gold - Country - 2],T_SV_MEDALS[[#This Row],[COUNTRY ABBR]]))</f>
        <v>0</v>
      </c>
      <c r="D57" s="3">
        <f>IF(I_VIEW=2,"",COUNTIFS(T_2016_EVENT_RESULTS[Silver - Country],T_SV_MEDALS[[#This Row],[COUNTRY ABBR]])+COUNTIFS(T_2016_EVENT_RESULTS[Silver - Country - 2],T_SV_MEDALS[[#This Row],[COUNTRY ABBR]])+COUNTIFS(T_2016_EVENT_RESULTS[Silver - Country - 3],T_SV_MEDALS[[#This Row],[COUNTRY ABBR]]))</f>
        <v>0</v>
      </c>
      <c r="E57" s="3">
        <f>IF(I_VIEW=2,"",COUNTIFS(T_2016_EVENT_RESULTS[Bronze - Country],T_SV_MEDALS[[#This Row],[COUNTRY ABBR]])+COUNTIFS(T_2016_EVENT_RESULTS[Bronze - Country - 2],T_SV_MEDALS[[#This Row],[COUNTRY ABBR]]))</f>
        <v>1</v>
      </c>
      <c r="F57" s="3">
        <f>SUM(T_SV_MEDALS[[#This Row],[GOLD]:[BRONZE]])</f>
        <v>1</v>
      </c>
      <c r="G57" s="3">
        <f>IF(T_SV_MEDALS[[#This Row],[TOTAL]]=0,"",IF(I_RANK_METHOD="TOTAL",(T_SV_MEDALS[[#This Row],[TOTAL]]*10000000),0)+(T_SV_MEDALS[[#This Row],[GOLD]]*100000)+(T_SV_MEDALS[[#This Row],[SILVER]]*1000)+(T_SV_MEDALS[[#This Row],[BRONZE]]*10))</f>
        <v>10000010</v>
      </c>
      <c r="H57" s="3">
        <f>IFERROR(IF(T_SV_MEDALS[[#This Row],[TOTAL]]=0,"",RANK(T_SV_MEDALS[[#This Row],[RANK VALUE]],T_SV_MEDALS[RANK VALUE])),"")</f>
        <v>78</v>
      </c>
      <c r="I57" s="3">
        <f>IFERROR(IF(T_SV_MEDALS[[#This Row],[TOTAL]]=0,"",RANK(T_SV_MEDALS[[#This Row],[RANK VALUE]],T_SV_MEDALS[RANK VALUE])+COUNTIF($H$2:H56,H57)),"")</f>
        <v>79</v>
      </c>
      <c r="J57" t="str">
        <f>IF(I_VIEW=3, COUNTIFS(T_2016_EVENT_RESULTS[SPORT],I_SV_SPORT,T_2016_EVENT_RESULTS[Gold - Country],T_SV_MEDALS[[#This Row],[COUNTRY ABBR]])+COUNTIFS(T_2016_EVENT_RESULTS[SPORT],I_SV_SPORT,T_2016_EVENT_RESULTS[Gold - Country - 2],T_SV_MEDALS[[#This Row],[COUNTRY ABBR]]),"")</f>
        <v/>
      </c>
      <c r="K57" t="str">
        <f>IF(I_VIEW=3, COUNTIFS(T_2016_EVENT_RESULTS[SPORT],I_SV_SPORT,T_2016_EVENT_RESULTS[Silver - Country],T_SV_MEDALS[[#This Row],[COUNTRY ABBR]])+COUNTIFS(T_2016_EVENT_RESULTS[SPORT],I_SV_SPORT,T_2016_EVENT_RESULTS[Silver - Country - 2],T_SV_MEDALS[[#This Row],[COUNTRY ABBR]])+COUNTIFS(T_2016_EVENT_RESULTS[SPORT],I_SV_SPORT,T_2016_EVENT_RESULTS[Silver - Country - 3],T_SV_MEDALS[[#This Row],[COUNTRY ABBR]]),"")</f>
        <v/>
      </c>
      <c r="L57" t="str">
        <f>IF(I_VIEW=3, COUNTIFS(T_2016_EVENT_RESULTS[SPORT],I_SV_SPORT,T_2016_EVENT_RESULTS[Bronze - Country],T_SV_MEDALS[[#This Row],[COUNTRY ABBR]])+COUNTIFS(T_2016_EVENT_RESULTS[SPORT],I_SV_SPORT,T_2016_EVENT_RESULTS[Bronze - Country - 2],T_SV_MEDALS[[#This Row],[COUNTRY ABBR]]),"")</f>
        <v/>
      </c>
      <c r="M57" s="3">
        <f>SUM(T_SV_MEDALS[[#This Row],[SV_GOLD]:[SV_BRONZE]])</f>
        <v>0</v>
      </c>
      <c r="N57" s="3" t="str">
        <f>IF(T_SV_MEDALS[[#This Row],[SV_TOTAL]]=0,"",IF(I_RANK_METHOD="TOTAL",(T_SV_MEDALS[[#This Row],[SV_TOTAL]]*10000000),0)+(T_SV_MEDALS[[#This Row],[SV_GOLD]]*100000)+(T_SV_MEDALS[[#This Row],[SV_SILVER]]*1000)+(T_SV_MEDALS[[#This Row],[SV_BRONZE]]*10))</f>
        <v/>
      </c>
      <c r="O57" s="3" t="str">
        <f>IFERROR(IF(T_SV_MEDALS[[#This Row],[SV_TOTAL]]=0,"",RANK(T_SV_MEDALS[[#This Row],[SV_RANK VALUE]],T_SV_MEDALS[SV_RANK VALUE])),"")</f>
        <v/>
      </c>
      <c r="P57" s="3" t="str">
        <f>IFERROR(IF(T_SV_MEDALS[[#This Row],[SV_TOTAL]]=0,"",RANK(T_SV_MEDALS[[#This Row],[SV_RANK VALUE]],T_SV_MEDALS[SV_RANK VALUE])+COUNTIF($O$2:O56,O57)),"")</f>
        <v/>
      </c>
      <c r="Q57" s="3">
        <f>IFERROR(T_SV_MEDALS[[#This Row],[SV_TOTAL]]/T_SV_MEDALS[[#This Row],[TOTAL]],"")</f>
        <v>0</v>
      </c>
      <c r="R57" s="3" t="str">
        <f>IFERROR(IF(T_SV_MEDALS[[#This Row],[SV_TOTAL]]=0,"",RANK(T_SV_MEDALS[[#This Row],[Dependency - Rank Value]],T_SV_MEDALS[Dependency - Rank Value])+COUNTIF($Q$2:Q56,Q57)),"")</f>
        <v/>
      </c>
    </row>
    <row r="58" spans="1:18" x14ac:dyDescent="0.25">
      <c r="A58" t="s">
        <v>2771</v>
      </c>
      <c r="B58" t="s">
        <v>186</v>
      </c>
      <c r="C58" s="3">
        <f>IF(I_VIEW=2,"",COUNTIFS(T_2016_EVENT_RESULTS[Gold - Country],T_SV_MEDALS[[#This Row],[COUNTRY ABBR]])+COUNTIFS(T_2016_EVENT_RESULTS[Gold - Country - 2],T_SV_MEDALS[[#This Row],[COUNTRY ABBR]]))</f>
        <v>2</v>
      </c>
      <c r="D58" s="3">
        <f>IF(I_VIEW=2,"",COUNTIFS(T_2016_EVENT_RESULTS[Silver - Country],T_SV_MEDALS[[#This Row],[COUNTRY ABBR]])+COUNTIFS(T_2016_EVENT_RESULTS[Silver - Country - 2],T_SV_MEDALS[[#This Row],[COUNTRY ABBR]])+COUNTIFS(T_2016_EVENT_RESULTS[Silver - Country - 3],T_SV_MEDALS[[#This Row],[COUNTRY ABBR]]))</f>
        <v>3</v>
      </c>
      <c r="E58" s="3">
        <f>IF(I_VIEW=2,"",COUNTIFS(T_2016_EVENT_RESULTS[Bronze - Country],T_SV_MEDALS[[#This Row],[COUNTRY ABBR]])+COUNTIFS(T_2016_EVENT_RESULTS[Bronze - Country - 2],T_SV_MEDALS[[#This Row],[COUNTRY ABBR]]))</f>
        <v>2</v>
      </c>
      <c r="F58" s="3">
        <f>SUM(T_SV_MEDALS[[#This Row],[GOLD]:[BRONZE]])</f>
        <v>7</v>
      </c>
      <c r="G58" s="3">
        <f>IF(T_SV_MEDALS[[#This Row],[TOTAL]]=0,"",IF(I_RANK_METHOD="TOTAL",(T_SV_MEDALS[[#This Row],[TOTAL]]*10000000),0)+(T_SV_MEDALS[[#This Row],[GOLD]]*100000)+(T_SV_MEDALS[[#This Row],[SILVER]]*1000)+(T_SV_MEDALS[[#This Row],[BRONZE]]*10))</f>
        <v>70203020</v>
      </c>
      <c r="H58" s="3">
        <f>IFERROR(IF(T_SV_MEDALS[[#This Row],[TOTAL]]=0,"",RANK(T_SV_MEDALS[[#This Row],[RANK VALUE]],T_SV_MEDALS[RANK VALUE])),"")</f>
        <v>37</v>
      </c>
      <c r="I58" s="3">
        <f>IFERROR(IF(T_SV_MEDALS[[#This Row],[TOTAL]]=0,"",RANK(T_SV_MEDALS[[#This Row],[RANK VALUE]],T_SV_MEDALS[RANK VALUE])+COUNTIF($H$2:H57,H58)),"")</f>
        <v>37</v>
      </c>
      <c r="J58" t="str">
        <f>IF(I_VIEW=3, COUNTIFS(T_2016_EVENT_RESULTS[SPORT],I_SV_SPORT,T_2016_EVENT_RESULTS[Gold - Country],T_SV_MEDALS[[#This Row],[COUNTRY ABBR]])+COUNTIFS(T_2016_EVENT_RESULTS[SPORT],I_SV_SPORT,T_2016_EVENT_RESULTS[Gold - Country - 2],T_SV_MEDALS[[#This Row],[COUNTRY ABBR]]),"")</f>
        <v/>
      </c>
      <c r="K58" t="str">
        <f>IF(I_VIEW=3, COUNTIFS(T_2016_EVENT_RESULTS[SPORT],I_SV_SPORT,T_2016_EVENT_RESULTS[Silver - Country],T_SV_MEDALS[[#This Row],[COUNTRY ABBR]])+COUNTIFS(T_2016_EVENT_RESULTS[SPORT],I_SV_SPORT,T_2016_EVENT_RESULTS[Silver - Country - 2],T_SV_MEDALS[[#This Row],[COUNTRY ABBR]])+COUNTIFS(T_2016_EVENT_RESULTS[SPORT],I_SV_SPORT,T_2016_EVENT_RESULTS[Silver - Country - 3],T_SV_MEDALS[[#This Row],[COUNTRY ABBR]]),"")</f>
        <v/>
      </c>
      <c r="L58" t="str">
        <f>IF(I_VIEW=3, COUNTIFS(T_2016_EVENT_RESULTS[SPORT],I_SV_SPORT,T_2016_EVENT_RESULTS[Bronze - Country],T_SV_MEDALS[[#This Row],[COUNTRY ABBR]])+COUNTIFS(T_2016_EVENT_RESULTS[SPORT],I_SV_SPORT,T_2016_EVENT_RESULTS[Bronze - Country - 2],T_SV_MEDALS[[#This Row],[COUNTRY ABBR]]),"")</f>
        <v/>
      </c>
      <c r="M58" s="3">
        <f>SUM(T_SV_MEDALS[[#This Row],[SV_GOLD]:[SV_BRONZE]])</f>
        <v>0</v>
      </c>
      <c r="N58" s="3" t="str">
        <f>IF(T_SV_MEDALS[[#This Row],[SV_TOTAL]]=0,"",IF(I_RANK_METHOD="TOTAL",(T_SV_MEDALS[[#This Row],[SV_TOTAL]]*10000000),0)+(T_SV_MEDALS[[#This Row],[SV_GOLD]]*100000)+(T_SV_MEDALS[[#This Row],[SV_SILVER]]*1000)+(T_SV_MEDALS[[#This Row],[SV_BRONZE]]*10))</f>
        <v/>
      </c>
      <c r="O58" s="3" t="str">
        <f>IFERROR(IF(T_SV_MEDALS[[#This Row],[SV_TOTAL]]=0,"",RANK(T_SV_MEDALS[[#This Row],[SV_RANK VALUE]],T_SV_MEDALS[SV_RANK VALUE])),"")</f>
        <v/>
      </c>
      <c r="P58" s="3" t="str">
        <f>IFERROR(IF(T_SV_MEDALS[[#This Row],[SV_TOTAL]]=0,"",RANK(T_SV_MEDALS[[#This Row],[SV_RANK VALUE]],T_SV_MEDALS[SV_RANK VALUE])+COUNTIF($O$2:O57,O58)),"")</f>
        <v/>
      </c>
      <c r="Q58" s="3">
        <f>IFERROR(T_SV_MEDALS[[#This Row],[SV_TOTAL]]/T_SV_MEDALS[[#This Row],[TOTAL]],"")</f>
        <v>0</v>
      </c>
      <c r="R58" s="3" t="str">
        <f>IFERROR(IF(T_SV_MEDALS[[#This Row],[SV_TOTAL]]=0,"",RANK(T_SV_MEDALS[[#This Row],[Dependency - Rank Value]],T_SV_MEDALS[Dependency - Rank Value])+COUNTIF($Q$2:Q57,Q58)),"")</f>
        <v/>
      </c>
    </row>
    <row r="59" spans="1:18" x14ac:dyDescent="0.25">
      <c r="A59" t="s">
        <v>2770</v>
      </c>
      <c r="B59" t="s">
        <v>84</v>
      </c>
      <c r="C59" s="3">
        <f>IF(I_VIEW=2,"",COUNTIFS(T_2016_EVENT_RESULTS[Gold - Country],T_SV_MEDALS[[#This Row],[COUNTRY ABBR]])+COUNTIFS(T_2016_EVENT_RESULTS[Gold - Country - 2],T_SV_MEDALS[[#This Row],[COUNTRY ABBR]]))</f>
        <v>0</v>
      </c>
      <c r="D59" s="3">
        <f>IF(I_VIEW=2,"",COUNTIFS(T_2016_EVENT_RESULTS[Silver - Country],T_SV_MEDALS[[#This Row],[COUNTRY ABBR]])+COUNTIFS(T_2016_EVENT_RESULTS[Silver - Country - 2],T_SV_MEDALS[[#This Row],[COUNTRY ABBR]])+COUNTIFS(T_2016_EVENT_RESULTS[Silver - Country - 3],T_SV_MEDALS[[#This Row],[COUNTRY ABBR]]))</f>
        <v>0</v>
      </c>
      <c r="E59" s="3">
        <f>IF(I_VIEW=2,"",COUNTIFS(T_2016_EVENT_RESULTS[Bronze - Country],T_SV_MEDALS[[#This Row],[COUNTRY ABBR]])+COUNTIFS(T_2016_EVENT_RESULTS[Bronze - Country - 2],T_SV_MEDALS[[#This Row],[COUNTRY ABBR]]))</f>
        <v>0</v>
      </c>
      <c r="F59" s="3">
        <f>SUM(T_SV_MEDALS[[#This Row],[GOLD]:[BRONZE]])</f>
        <v>0</v>
      </c>
      <c r="G59" s="3" t="str">
        <f>IF(T_SV_MEDALS[[#This Row],[TOTAL]]=0,"",IF(I_RANK_METHOD="TOTAL",(T_SV_MEDALS[[#This Row],[TOTAL]]*10000000),0)+(T_SV_MEDALS[[#This Row],[GOLD]]*100000)+(T_SV_MEDALS[[#This Row],[SILVER]]*1000)+(T_SV_MEDALS[[#This Row],[BRONZE]]*10))</f>
        <v/>
      </c>
      <c r="H59" s="3" t="str">
        <f>IFERROR(IF(T_SV_MEDALS[[#This Row],[TOTAL]]=0,"",RANK(T_SV_MEDALS[[#This Row],[RANK VALUE]],T_SV_MEDALS[RANK VALUE])),"")</f>
        <v/>
      </c>
      <c r="I59" s="3" t="str">
        <f>IFERROR(IF(T_SV_MEDALS[[#This Row],[TOTAL]]=0,"",RANK(T_SV_MEDALS[[#This Row],[RANK VALUE]],T_SV_MEDALS[RANK VALUE])+COUNTIF($H$2:H58,H59)),"")</f>
        <v/>
      </c>
      <c r="J59" t="str">
        <f>IF(I_VIEW=3, COUNTIFS(T_2016_EVENT_RESULTS[SPORT],I_SV_SPORT,T_2016_EVENT_RESULTS[Gold - Country],T_SV_MEDALS[[#This Row],[COUNTRY ABBR]])+COUNTIFS(T_2016_EVENT_RESULTS[SPORT],I_SV_SPORT,T_2016_EVENT_RESULTS[Gold - Country - 2],T_SV_MEDALS[[#This Row],[COUNTRY ABBR]]),"")</f>
        <v/>
      </c>
      <c r="K59" t="str">
        <f>IF(I_VIEW=3, COUNTIFS(T_2016_EVENT_RESULTS[SPORT],I_SV_SPORT,T_2016_EVENT_RESULTS[Silver - Country],T_SV_MEDALS[[#This Row],[COUNTRY ABBR]])+COUNTIFS(T_2016_EVENT_RESULTS[SPORT],I_SV_SPORT,T_2016_EVENT_RESULTS[Silver - Country - 2],T_SV_MEDALS[[#This Row],[COUNTRY ABBR]])+COUNTIFS(T_2016_EVENT_RESULTS[SPORT],I_SV_SPORT,T_2016_EVENT_RESULTS[Silver - Country - 3],T_SV_MEDALS[[#This Row],[COUNTRY ABBR]]),"")</f>
        <v/>
      </c>
      <c r="L59" t="str">
        <f>IF(I_VIEW=3, COUNTIFS(T_2016_EVENT_RESULTS[SPORT],I_SV_SPORT,T_2016_EVENT_RESULTS[Bronze - Country],T_SV_MEDALS[[#This Row],[COUNTRY ABBR]])+COUNTIFS(T_2016_EVENT_RESULTS[SPORT],I_SV_SPORT,T_2016_EVENT_RESULTS[Bronze - Country - 2],T_SV_MEDALS[[#This Row],[COUNTRY ABBR]]),"")</f>
        <v/>
      </c>
      <c r="M59" s="3">
        <f>SUM(T_SV_MEDALS[[#This Row],[SV_GOLD]:[SV_BRONZE]])</f>
        <v>0</v>
      </c>
      <c r="N59" s="3" t="str">
        <f>IF(T_SV_MEDALS[[#This Row],[SV_TOTAL]]=0,"",IF(I_RANK_METHOD="TOTAL",(T_SV_MEDALS[[#This Row],[SV_TOTAL]]*10000000),0)+(T_SV_MEDALS[[#This Row],[SV_GOLD]]*100000)+(T_SV_MEDALS[[#This Row],[SV_SILVER]]*1000)+(T_SV_MEDALS[[#This Row],[SV_BRONZE]]*10))</f>
        <v/>
      </c>
      <c r="O59" s="3" t="str">
        <f>IFERROR(IF(T_SV_MEDALS[[#This Row],[SV_TOTAL]]=0,"",RANK(T_SV_MEDALS[[#This Row],[SV_RANK VALUE]],T_SV_MEDALS[SV_RANK VALUE])),"")</f>
        <v/>
      </c>
      <c r="P59" s="3" t="str">
        <f>IFERROR(IF(T_SV_MEDALS[[#This Row],[SV_TOTAL]]=0,"",RANK(T_SV_MEDALS[[#This Row],[SV_RANK VALUE]],T_SV_MEDALS[SV_RANK VALUE])+COUNTIF($O$2:O58,O59)),"")</f>
        <v/>
      </c>
      <c r="Q59" s="3" t="str">
        <f>IFERROR(T_SV_MEDALS[[#This Row],[SV_TOTAL]]/T_SV_MEDALS[[#This Row],[TOTAL]],"")</f>
        <v/>
      </c>
      <c r="R59" s="3" t="str">
        <f>IFERROR(IF(T_SV_MEDALS[[#This Row],[SV_TOTAL]]=0,"",RANK(T_SV_MEDALS[[#This Row],[Dependency - Rank Value]],T_SV_MEDALS[Dependency - Rank Value])+COUNTIF($Q$2:Q58,Q59)),"")</f>
        <v/>
      </c>
    </row>
    <row r="60" spans="1:18" x14ac:dyDescent="0.25">
      <c r="A60" t="s">
        <v>107</v>
      </c>
      <c r="B60" t="s">
        <v>108</v>
      </c>
      <c r="C60" s="3">
        <f>IF(I_VIEW=2,"",COUNTIFS(T_2016_EVENT_RESULTS[Gold - Country],T_SV_MEDALS[[#This Row],[COUNTRY ABBR]])+COUNTIFS(T_2016_EVENT_RESULTS[Gold - Country - 2],T_SV_MEDALS[[#This Row],[COUNTRY ABBR]]))</f>
        <v>0</v>
      </c>
      <c r="D60" s="3">
        <f>IF(I_VIEW=2,"",COUNTIFS(T_2016_EVENT_RESULTS[Silver - Country],T_SV_MEDALS[[#This Row],[COUNTRY ABBR]])+COUNTIFS(T_2016_EVENT_RESULTS[Silver - Country - 2],T_SV_MEDALS[[#This Row],[COUNTRY ABBR]])+COUNTIFS(T_2016_EVENT_RESULTS[Silver - Country - 3],T_SV_MEDALS[[#This Row],[COUNTRY ABBR]]))</f>
        <v>0</v>
      </c>
      <c r="E60" s="3">
        <f>IF(I_VIEW=2,"",COUNTIFS(T_2016_EVENT_RESULTS[Bronze - Country],T_SV_MEDALS[[#This Row],[COUNTRY ABBR]])+COUNTIFS(T_2016_EVENT_RESULTS[Bronze - Country - 2],T_SV_MEDALS[[#This Row],[COUNTRY ABBR]]))</f>
        <v>0</v>
      </c>
      <c r="F60" s="3">
        <f>SUM(T_SV_MEDALS[[#This Row],[GOLD]:[BRONZE]])</f>
        <v>0</v>
      </c>
      <c r="G60" s="3" t="str">
        <f>IF(T_SV_MEDALS[[#This Row],[TOTAL]]=0,"",IF(I_RANK_METHOD="TOTAL",(T_SV_MEDALS[[#This Row],[TOTAL]]*10000000),0)+(T_SV_MEDALS[[#This Row],[GOLD]]*100000)+(T_SV_MEDALS[[#This Row],[SILVER]]*1000)+(T_SV_MEDALS[[#This Row],[BRONZE]]*10))</f>
        <v/>
      </c>
      <c r="H60" s="3" t="str">
        <f>IFERROR(IF(T_SV_MEDALS[[#This Row],[TOTAL]]=0,"",RANK(T_SV_MEDALS[[#This Row],[RANK VALUE]],T_SV_MEDALS[RANK VALUE])),"")</f>
        <v/>
      </c>
      <c r="I60" s="3" t="str">
        <f>IFERROR(IF(T_SV_MEDALS[[#This Row],[TOTAL]]=0,"",RANK(T_SV_MEDALS[[#This Row],[RANK VALUE]],T_SV_MEDALS[RANK VALUE])+COUNTIF($H$2:H59,H60)),"")</f>
        <v/>
      </c>
      <c r="J60" t="str">
        <f>IF(I_VIEW=3, COUNTIFS(T_2016_EVENT_RESULTS[SPORT],I_SV_SPORT,T_2016_EVENT_RESULTS[Gold - Country],T_SV_MEDALS[[#This Row],[COUNTRY ABBR]])+COUNTIFS(T_2016_EVENT_RESULTS[SPORT],I_SV_SPORT,T_2016_EVENT_RESULTS[Gold - Country - 2],T_SV_MEDALS[[#This Row],[COUNTRY ABBR]]),"")</f>
        <v/>
      </c>
      <c r="K60" t="str">
        <f>IF(I_VIEW=3, COUNTIFS(T_2016_EVENT_RESULTS[SPORT],I_SV_SPORT,T_2016_EVENT_RESULTS[Silver - Country],T_SV_MEDALS[[#This Row],[COUNTRY ABBR]])+COUNTIFS(T_2016_EVENT_RESULTS[SPORT],I_SV_SPORT,T_2016_EVENT_RESULTS[Silver - Country - 2],T_SV_MEDALS[[#This Row],[COUNTRY ABBR]])+COUNTIFS(T_2016_EVENT_RESULTS[SPORT],I_SV_SPORT,T_2016_EVENT_RESULTS[Silver - Country - 3],T_SV_MEDALS[[#This Row],[COUNTRY ABBR]]),"")</f>
        <v/>
      </c>
      <c r="L60" t="str">
        <f>IF(I_VIEW=3, COUNTIFS(T_2016_EVENT_RESULTS[SPORT],I_SV_SPORT,T_2016_EVENT_RESULTS[Bronze - Country],T_SV_MEDALS[[#This Row],[COUNTRY ABBR]])+COUNTIFS(T_2016_EVENT_RESULTS[SPORT],I_SV_SPORT,T_2016_EVENT_RESULTS[Bronze - Country - 2],T_SV_MEDALS[[#This Row],[COUNTRY ABBR]]),"")</f>
        <v/>
      </c>
      <c r="M60" s="3">
        <f>SUM(T_SV_MEDALS[[#This Row],[SV_GOLD]:[SV_BRONZE]])</f>
        <v>0</v>
      </c>
      <c r="N60" s="3" t="str">
        <f>IF(T_SV_MEDALS[[#This Row],[SV_TOTAL]]=0,"",IF(I_RANK_METHOD="TOTAL",(T_SV_MEDALS[[#This Row],[SV_TOTAL]]*10000000),0)+(T_SV_MEDALS[[#This Row],[SV_GOLD]]*100000)+(T_SV_MEDALS[[#This Row],[SV_SILVER]]*1000)+(T_SV_MEDALS[[#This Row],[SV_BRONZE]]*10))</f>
        <v/>
      </c>
      <c r="O60" s="3" t="str">
        <f>IFERROR(IF(T_SV_MEDALS[[#This Row],[SV_TOTAL]]=0,"",RANK(T_SV_MEDALS[[#This Row],[SV_RANK VALUE]],T_SV_MEDALS[SV_RANK VALUE])),"")</f>
        <v/>
      </c>
      <c r="P60" s="3" t="str">
        <f>IFERROR(IF(T_SV_MEDALS[[#This Row],[SV_TOTAL]]=0,"",RANK(T_SV_MEDALS[[#This Row],[SV_RANK VALUE]],T_SV_MEDALS[SV_RANK VALUE])+COUNTIF($O$2:O59,O60)),"")</f>
        <v/>
      </c>
      <c r="Q60" s="3" t="str">
        <f>IFERROR(T_SV_MEDALS[[#This Row],[SV_TOTAL]]/T_SV_MEDALS[[#This Row],[TOTAL]],"")</f>
        <v/>
      </c>
      <c r="R60" s="3" t="str">
        <f>IFERROR(IF(T_SV_MEDALS[[#This Row],[SV_TOTAL]]=0,"",RANK(T_SV_MEDALS[[#This Row],[Dependency - Rank Value]],T_SV_MEDALS[Dependency - Rank Value])+COUNTIF($Q$2:Q59,Q60)),"")</f>
        <v/>
      </c>
    </row>
    <row r="61" spans="1:18" x14ac:dyDescent="0.25">
      <c r="A61" t="s">
        <v>109</v>
      </c>
      <c r="B61" t="s">
        <v>110</v>
      </c>
      <c r="C61" s="3">
        <f>IF(I_VIEW=2,"",COUNTIFS(T_2016_EVENT_RESULTS[Gold - Country],T_SV_MEDALS[[#This Row],[COUNTRY ABBR]])+COUNTIFS(T_2016_EVENT_RESULTS[Gold - Country - 2],T_SV_MEDALS[[#This Row],[COUNTRY ABBR]]))</f>
        <v>0</v>
      </c>
      <c r="D61" s="3">
        <f>IF(I_VIEW=2,"",COUNTIFS(T_2016_EVENT_RESULTS[Silver - Country],T_SV_MEDALS[[#This Row],[COUNTRY ABBR]])+COUNTIFS(T_2016_EVENT_RESULTS[Silver - Country - 2],T_SV_MEDALS[[#This Row],[COUNTRY ABBR]])+COUNTIFS(T_2016_EVENT_RESULTS[Silver - Country - 3],T_SV_MEDALS[[#This Row],[COUNTRY ABBR]]))</f>
        <v>0</v>
      </c>
      <c r="E61" s="3">
        <f>IF(I_VIEW=2,"",COUNTIFS(T_2016_EVENT_RESULTS[Bronze - Country],T_SV_MEDALS[[#This Row],[COUNTRY ABBR]])+COUNTIFS(T_2016_EVENT_RESULTS[Bronze - Country - 2],T_SV_MEDALS[[#This Row],[COUNTRY ABBR]]))</f>
        <v>0</v>
      </c>
      <c r="F61" s="3">
        <f>SUM(T_SV_MEDALS[[#This Row],[GOLD]:[BRONZE]])</f>
        <v>0</v>
      </c>
      <c r="G61" s="3" t="str">
        <f>IF(T_SV_MEDALS[[#This Row],[TOTAL]]=0,"",IF(I_RANK_METHOD="TOTAL",(T_SV_MEDALS[[#This Row],[TOTAL]]*10000000),0)+(T_SV_MEDALS[[#This Row],[GOLD]]*100000)+(T_SV_MEDALS[[#This Row],[SILVER]]*1000)+(T_SV_MEDALS[[#This Row],[BRONZE]]*10))</f>
        <v/>
      </c>
      <c r="H61" s="3" t="str">
        <f>IFERROR(IF(T_SV_MEDALS[[#This Row],[TOTAL]]=0,"",RANK(T_SV_MEDALS[[#This Row],[RANK VALUE]],T_SV_MEDALS[RANK VALUE])),"")</f>
        <v/>
      </c>
      <c r="I61" s="3" t="str">
        <f>IFERROR(IF(T_SV_MEDALS[[#This Row],[TOTAL]]=0,"",RANK(T_SV_MEDALS[[#This Row],[RANK VALUE]],T_SV_MEDALS[RANK VALUE])+COUNTIF($H$2:H60,H61)),"")</f>
        <v/>
      </c>
      <c r="J61" t="str">
        <f>IF(I_VIEW=3, COUNTIFS(T_2016_EVENT_RESULTS[SPORT],I_SV_SPORT,T_2016_EVENT_RESULTS[Gold - Country],T_SV_MEDALS[[#This Row],[COUNTRY ABBR]])+COUNTIFS(T_2016_EVENT_RESULTS[SPORT],I_SV_SPORT,T_2016_EVENT_RESULTS[Gold - Country - 2],T_SV_MEDALS[[#This Row],[COUNTRY ABBR]]),"")</f>
        <v/>
      </c>
      <c r="K61" t="str">
        <f>IF(I_VIEW=3, COUNTIFS(T_2016_EVENT_RESULTS[SPORT],I_SV_SPORT,T_2016_EVENT_RESULTS[Silver - Country],T_SV_MEDALS[[#This Row],[COUNTRY ABBR]])+COUNTIFS(T_2016_EVENT_RESULTS[SPORT],I_SV_SPORT,T_2016_EVENT_RESULTS[Silver - Country - 2],T_SV_MEDALS[[#This Row],[COUNTRY ABBR]])+COUNTIFS(T_2016_EVENT_RESULTS[SPORT],I_SV_SPORT,T_2016_EVENT_RESULTS[Silver - Country - 3],T_SV_MEDALS[[#This Row],[COUNTRY ABBR]]),"")</f>
        <v/>
      </c>
      <c r="L61" t="str">
        <f>IF(I_VIEW=3, COUNTIFS(T_2016_EVENT_RESULTS[SPORT],I_SV_SPORT,T_2016_EVENT_RESULTS[Bronze - Country],T_SV_MEDALS[[#This Row],[COUNTRY ABBR]])+COUNTIFS(T_2016_EVENT_RESULTS[SPORT],I_SV_SPORT,T_2016_EVENT_RESULTS[Bronze - Country - 2],T_SV_MEDALS[[#This Row],[COUNTRY ABBR]]),"")</f>
        <v/>
      </c>
      <c r="M61" s="3">
        <f>SUM(T_SV_MEDALS[[#This Row],[SV_GOLD]:[SV_BRONZE]])</f>
        <v>0</v>
      </c>
      <c r="N61" s="3" t="str">
        <f>IF(T_SV_MEDALS[[#This Row],[SV_TOTAL]]=0,"",IF(I_RANK_METHOD="TOTAL",(T_SV_MEDALS[[#This Row],[SV_TOTAL]]*10000000),0)+(T_SV_MEDALS[[#This Row],[SV_GOLD]]*100000)+(T_SV_MEDALS[[#This Row],[SV_SILVER]]*1000)+(T_SV_MEDALS[[#This Row],[SV_BRONZE]]*10))</f>
        <v/>
      </c>
      <c r="O61" s="3" t="str">
        <f>IFERROR(IF(T_SV_MEDALS[[#This Row],[SV_TOTAL]]=0,"",RANK(T_SV_MEDALS[[#This Row],[SV_RANK VALUE]],T_SV_MEDALS[SV_RANK VALUE])),"")</f>
        <v/>
      </c>
      <c r="P61" s="3" t="str">
        <f>IFERROR(IF(T_SV_MEDALS[[#This Row],[SV_TOTAL]]=0,"",RANK(T_SV_MEDALS[[#This Row],[SV_RANK VALUE]],T_SV_MEDALS[SV_RANK VALUE])+COUNTIF($O$2:O60,O61)),"")</f>
        <v/>
      </c>
      <c r="Q61" s="3" t="str">
        <f>IFERROR(T_SV_MEDALS[[#This Row],[SV_TOTAL]]/T_SV_MEDALS[[#This Row],[TOTAL]],"")</f>
        <v/>
      </c>
      <c r="R61" s="3" t="str">
        <f>IFERROR(IF(T_SV_MEDALS[[#This Row],[SV_TOTAL]]=0,"",RANK(T_SV_MEDALS[[#This Row],[Dependency - Rank Value]],T_SV_MEDALS[Dependency - Rank Value])+COUNTIF($Q$2:Q60,Q61)),"")</f>
        <v/>
      </c>
    </row>
    <row r="62" spans="1:18" x14ac:dyDescent="0.25">
      <c r="A62" t="s">
        <v>111</v>
      </c>
      <c r="B62" t="s">
        <v>112</v>
      </c>
      <c r="C62" s="3">
        <f>IF(I_VIEW=2,"",COUNTIFS(T_2016_EVENT_RESULTS[Gold - Country],T_SV_MEDALS[[#This Row],[COUNTRY ABBR]])+COUNTIFS(T_2016_EVENT_RESULTS[Gold - Country - 2],T_SV_MEDALS[[#This Row],[COUNTRY ABBR]]))</f>
        <v>0</v>
      </c>
      <c r="D62" s="3">
        <f>IF(I_VIEW=2,"",COUNTIFS(T_2016_EVENT_RESULTS[Silver - Country],T_SV_MEDALS[[#This Row],[COUNTRY ABBR]])+COUNTIFS(T_2016_EVENT_RESULTS[Silver - Country - 2],T_SV_MEDALS[[#This Row],[COUNTRY ABBR]])+COUNTIFS(T_2016_EVENT_RESULTS[Silver - Country - 3],T_SV_MEDALS[[#This Row],[COUNTRY ABBR]]))</f>
        <v>0</v>
      </c>
      <c r="E62" s="3">
        <f>IF(I_VIEW=2,"",COUNTIFS(T_2016_EVENT_RESULTS[Bronze - Country],T_SV_MEDALS[[#This Row],[COUNTRY ABBR]])+COUNTIFS(T_2016_EVENT_RESULTS[Bronze - Country - 2],T_SV_MEDALS[[#This Row],[COUNTRY ABBR]]))</f>
        <v>3</v>
      </c>
      <c r="F62" s="3">
        <f>SUM(T_SV_MEDALS[[#This Row],[GOLD]:[BRONZE]])</f>
        <v>3</v>
      </c>
      <c r="G62" s="3">
        <f>IF(T_SV_MEDALS[[#This Row],[TOTAL]]=0,"",IF(I_RANK_METHOD="TOTAL",(T_SV_MEDALS[[#This Row],[TOTAL]]*10000000),0)+(T_SV_MEDALS[[#This Row],[GOLD]]*100000)+(T_SV_MEDALS[[#This Row],[SILVER]]*1000)+(T_SV_MEDALS[[#This Row],[BRONZE]]*10))</f>
        <v>30000030</v>
      </c>
      <c r="H62" s="3">
        <f>IFERROR(IF(T_SV_MEDALS[[#This Row],[TOTAL]]=0,"",RANK(T_SV_MEDALS[[#This Row],[RANK VALUE]],T_SV_MEDALS[RANK VALUE])),"")</f>
        <v>55</v>
      </c>
      <c r="I62" s="3">
        <f>IFERROR(IF(T_SV_MEDALS[[#This Row],[TOTAL]]=0,"",RANK(T_SV_MEDALS[[#This Row],[RANK VALUE]],T_SV_MEDALS[RANK VALUE])+COUNTIF($H$2:H61,H62)),"")</f>
        <v>55</v>
      </c>
      <c r="J62" t="str">
        <f>IF(I_VIEW=3, COUNTIFS(T_2016_EVENT_RESULTS[SPORT],I_SV_SPORT,T_2016_EVENT_RESULTS[Gold - Country],T_SV_MEDALS[[#This Row],[COUNTRY ABBR]])+COUNTIFS(T_2016_EVENT_RESULTS[SPORT],I_SV_SPORT,T_2016_EVENT_RESULTS[Gold - Country - 2],T_SV_MEDALS[[#This Row],[COUNTRY ABBR]]),"")</f>
        <v/>
      </c>
      <c r="K62" t="str">
        <f>IF(I_VIEW=3, COUNTIFS(T_2016_EVENT_RESULTS[SPORT],I_SV_SPORT,T_2016_EVENT_RESULTS[Silver - Country],T_SV_MEDALS[[#This Row],[COUNTRY ABBR]])+COUNTIFS(T_2016_EVENT_RESULTS[SPORT],I_SV_SPORT,T_2016_EVENT_RESULTS[Silver - Country - 2],T_SV_MEDALS[[#This Row],[COUNTRY ABBR]])+COUNTIFS(T_2016_EVENT_RESULTS[SPORT],I_SV_SPORT,T_2016_EVENT_RESULTS[Silver - Country - 3],T_SV_MEDALS[[#This Row],[COUNTRY ABBR]]),"")</f>
        <v/>
      </c>
      <c r="L62" t="str">
        <f>IF(I_VIEW=3, COUNTIFS(T_2016_EVENT_RESULTS[SPORT],I_SV_SPORT,T_2016_EVENT_RESULTS[Bronze - Country],T_SV_MEDALS[[#This Row],[COUNTRY ABBR]])+COUNTIFS(T_2016_EVENT_RESULTS[SPORT],I_SV_SPORT,T_2016_EVENT_RESULTS[Bronze - Country - 2],T_SV_MEDALS[[#This Row],[COUNTRY ABBR]]),"")</f>
        <v/>
      </c>
      <c r="M62" s="3">
        <f>SUM(T_SV_MEDALS[[#This Row],[SV_GOLD]:[SV_BRONZE]])</f>
        <v>0</v>
      </c>
      <c r="N62" s="3" t="str">
        <f>IF(T_SV_MEDALS[[#This Row],[SV_TOTAL]]=0,"",IF(I_RANK_METHOD="TOTAL",(T_SV_MEDALS[[#This Row],[SV_TOTAL]]*10000000),0)+(T_SV_MEDALS[[#This Row],[SV_GOLD]]*100000)+(T_SV_MEDALS[[#This Row],[SV_SILVER]]*1000)+(T_SV_MEDALS[[#This Row],[SV_BRONZE]]*10))</f>
        <v/>
      </c>
      <c r="O62" s="3" t="str">
        <f>IFERROR(IF(T_SV_MEDALS[[#This Row],[SV_TOTAL]]=0,"",RANK(T_SV_MEDALS[[#This Row],[SV_RANK VALUE]],T_SV_MEDALS[SV_RANK VALUE])),"")</f>
        <v/>
      </c>
      <c r="P62" s="3" t="str">
        <f>IFERROR(IF(T_SV_MEDALS[[#This Row],[SV_TOTAL]]=0,"",RANK(T_SV_MEDALS[[#This Row],[SV_RANK VALUE]],T_SV_MEDALS[SV_RANK VALUE])+COUNTIF($O$2:O61,O62)),"")</f>
        <v/>
      </c>
      <c r="Q62" s="3">
        <f>IFERROR(T_SV_MEDALS[[#This Row],[SV_TOTAL]]/T_SV_MEDALS[[#This Row],[TOTAL]],"")</f>
        <v>0</v>
      </c>
      <c r="R62" s="3" t="str">
        <f>IFERROR(IF(T_SV_MEDALS[[#This Row],[SV_TOTAL]]=0,"",RANK(T_SV_MEDALS[[#This Row],[Dependency - Rank Value]],T_SV_MEDALS[Dependency - Rank Value])+COUNTIF($Q$2:Q61,Q62)),"")</f>
        <v/>
      </c>
    </row>
    <row r="63" spans="1:18" x14ac:dyDescent="0.25">
      <c r="A63" t="s">
        <v>113</v>
      </c>
      <c r="B63" t="s">
        <v>114</v>
      </c>
      <c r="C63" s="3">
        <f>IF(I_VIEW=2,"",COUNTIFS(T_2016_EVENT_RESULTS[Gold - Country],T_SV_MEDALS[[#This Row],[COUNTRY ABBR]])+COUNTIFS(T_2016_EVENT_RESULTS[Gold - Country - 2],T_SV_MEDALS[[#This Row],[COUNTRY ABBR]]))</f>
        <v>0</v>
      </c>
      <c r="D63" s="3">
        <f>IF(I_VIEW=2,"",COUNTIFS(T_2016_EVENT_RESULTS[Silver - Country],T_SV_MEDALS[[#This Row],[COUNTRY ABBR]])+COUNTIFS(T_2016_EVENT_RESULTS[Silver - Country - 2],T_SV_MEDALS[[#This Row],[COUNTRY ABBR]])+COUNTIFS(T_2016_EVENT_RESULTS[Silver - Country - 3],T_SV_MEDALS[[#This Row],[COUNTRY ABBR]]))</f>
        <v>0</v>
      </c>
      <c r="E63" s="3">
        <f>IF(I_VIEW=2,"",COUNTIFS(T_2016_EVENT_RESULTS[Bronze - Country],T_SV_MEDALS[[#This Row],[COUNTRY ABBR]])+COUNTIFS(T_2016_EVENT_RESULTS[Bronze - Country - 2],T_SV_MEDALS[[#This Row],[COUNTRY ABBR]]))</f>
        <v>0</v>
      </c>
      <c r="F63" s="3">
        <f>SUM(T_SV_MEDALS[[#This Row],[GOLD]:[BRONZE]])</f>
        <v>0</v>
      </c>
      <c r="G63" s="3" t="str">
        <f>IF(T_SV_MEDALS[[#This Row],[TOTAL]]=0,"",IF(I_RANK_METHOD="TOTAL",(T_SV_MEDALS[[#This Row],[TOTAL]]*10000000),0)+(T_SV_MEDALS[[#This Row],[GOLD]]*100000)+(T_SV_MEDALS[[#This Row],[SILVER]]*1000)+(T_SV_MEDALS[[#This Row],[BRONZE]]*10))</f>
        <v/>
      </c>
      <c r="H63" s="3" t="str">
        <f>IFERROR(IF(T_SV_MEDALS[[#This Row],[TOTAL]]=0,"",RANK(T_SV_MEDALS[[#This Row],[RANK VALUE]],T_SV_MEDALS[RANK VALUE])),"")</f>
        <v/>
      </c>
      <c r="I63" s="3" t="str">
        <f>IFERROR(IF(T_SV_MEDALS[[#This Row],[TOTAL]]=0,"",RANK(T_SV_MEDALS[[#This Row],[RANK VALUE]],T_SV_MEDALS[RANK VALUE])+COUNTIF($H$2:H62,H63)),"")</f>
        <v/>
      </c>
      <c r="J63" t="str">
        <f>IF(I_VIEW=3, COUNTIFS(T_2016_EVENT_RESULTS[SPORT],I_SV_SPORT,T_2016_EVENT_RESULTS[Gold - Country],T_SV_MEDALS[[#This Row],[COUNTRY ABBR]])+COUNTIFS(T_2016_EVENT_RESULTS[SPORT],I_SV_SPORT,T_2016_EVENT_RESULTS[Gold - Country - 2],T_SV_MEDALS[[#This Row],[COUNTRY ABBR]]),"")</f>
        <v/>
      </c>
      <c r="K63" t="str">
        <f>IF(I_VIEW=3, COUNTIFS(T_2016_EVENT_RESULTS[SPORT],I_SV_SPORT,T_2016_EVENT_RESULTS[Silver - Country],T_SV_MEDALS[[#This Row],[COUNTRY ABBR]])+COUNTIFS(T_2016_EVENT_RESULTS[SPORT],I_SV_SPORT,T_2016_EVENT_RESULTS[Silver - Country - 2],T_SV_MEDALS[[#This Row],[COUNTRY ABBR]])+COUNTIFS(T_2016_EVENT_RESULTS[SPORT],I_SV_SPORT,T_2016_EVENT_RESULTS[Silver - Country - 3],T_SV_MEDALS[[#This Row],[COUNTRY ABBR]]),"")</f>
        <v/>
      </c>
      <c r="L63" t="str">
        <f>IF(I_VIEW=3, COUNTIFS(T_2016_EVENT_RESULTS[SPORT],I_SV_SPORT,T_2016_EVENT_RESULTS[Bronze - Country],T_SV_MEDALS[[#This Row],[COUNTRY ABBR]])+COUNTIFS(T_2016_EVENT_RESULTS[SPORT],I_SV_SPORT,T_2016_EVENT_RESULTS[Bronze - Country - 2],T_SV_MEDALS[[#This Row],[COUNTRY ABBR]]),"")</f>
        <v/>
      </c>
      <c r="M63" s="3">
        <f>SUM(T_SV_MEDALS[[#This Row],[SV_GOLD]:[SV_BRONZE]])</f>
        <v>0</v>
      </c>
      <c r="N63" s="3" t="str">
        <f>IF(T_SV_MEDALS[[#This Row],[SV_TOTAL]]=0,"",IF(I_RANK_METHOD="TOTAL",(T_SV_MEDALS[[#This Row],[SV_TOTAL]]*10000000),0)+(T_SV_MEDALS[[#This Row],[SV_GOLD]]*100000)+(T_SV_MEDALS[[#This Row],[SV_SILVER]]*1000)+(T_SV_MEDALS[[#This Row],[SV_BRONZE]]*10))</f>
        <v/>
      </c>
      <c r="O63" s="3" t="str">
        <f>IFERROR(IF(T_SV_MEDALS[[#This Row],[SV_TOTAL]]=0,"",RANK(T_SV_MEDALS[[#This Row],[SV_RANK VALUE]],T_SV_MEDALS[SV_RANK VALUE])),"")</f>
        <v/>
      </c>
      <c r="P63" s="3" t="str">
        <f>IFERROR(IF(T_SV_MEDALS[[#This Row],[SV_TOTAL]]=0,"",RANK(T_SV_MEDALS[[#This Row],[SV_RANK VALUE]],T_SV_MEDALS[SV_RANK VALUE])+COUNTIF($O$2:O62,O63)),"")</f>
        <v/>
      </c>
      <c r="Q63" s="3" t="str">
        <f>IFERROR(T_SV_MEDALS[[#This Row],[SV_TOTAL]]/T_SV_MEDALS[[#This Row],[TOTAL]],"")</f>
        <v/>
      </c>
      <c r="R63" s="3" t="str">
        <f>IFERROR(IF(T_SV_MEDALS[[#This Row],[SV_TOTAL]]=0,"",RANK(T_SV_MEDALS[[#This Row],[Dependency - Rank Value]],T_SV_MEDALS[Dependency - Rank Value])+COUNTIF($Q$2:Q62,Q63)),"")</f>
        <v/>
      </c>
    </row>
    <row r="64" spans="1:18" x14ac:dyDescent="0.25">
      <c r="A64" t="s">
        <v>115</v>
      </c>
      <c r="B64" t="s">
        <v>116</v>
      </c>
      <c r="C64" s="3">
        <f>IF(I_VIEW=2,"",COUNTIFS(T_2016_EVENT_RESULTS[Gold - Country],T_SV_MEDALS[[#This Row],[COUNTRY ABBR]])+COUNTIFS(T_2016_EVENT_RESULTS[Gold - Country - 2],T_SV_MEDALS[[#This Row],[COUNTRY ABBR]]))</f>
        <v>0</v>
      </c>
      <c r="D64" s="3">
        <f>IF(I_VIEW=2,"",COUNTIFS(T_2016_EVENT_RESULTS[Silver - Country],T_SV_MEDALS[[#This Row],[COUNTRY ABBR]])+COUNTIFS(T_2016_EVENT_RESULTS[Silver - Country - 2],T_SV_MEDALS[[#This Row],[COUNTRY ABBR]])+COUNTIFS(T_2016_EVENT_RESULTS[Silver - Country - 3],T_SV_MEDALS[[#This Row],[COUNTRY ABBR]]))</f>
        <v>0</v>
      </c>
      <c r="E64" s="3">
        <f>IF(I_VIEW=2,"",COUNTIFS(T_2016_EVENT_RESULTS[Bronze - Country],T_SV_MEDALS[[#This Row],[COUNTRY ABBR]])+COUNTIFS(T_2016_EVENT_RESULTS[Bronze - Country - 2],T_SV_MEDALS[[#This Row],[COUNTRY ABBR]]))</f>
        <v>0</v>
      </c>
      <c r="F64" s="3">
        <f>SUM(T_SV_MEDALS[[#This Row],[GOLD]:[BRONZE]])</f>
        <v>0</v>
      </c>
      <c r="G64" s="3" t="str">
        <f>IF(T_SV_MEDALS[[#This Row],[TOTAL]]=0,"",IF(I_RANK_METHOD="TOTAL",(T_SV_MEDALS[[#This Row],[TOTAL]]*10000000),0)+(T_SV_MEDALS[[#This Row],[GOLD]]*100000)+(T_SV_MEDALS[[#This Row],[SILVER]]*1000)+(T_SV_MEDALS[[#This Row],[BRONZE]]*10))</f>
        <v/>
      </c>
      <c r="H64" s="3" t="str">
        <f>IFERROR(IF(T_SV_MEDALS[[#This Row],[TOTAL]]=0,"",RANK(T_SV_MEDALS[[#This Row],[RANK VALUE]],T_SV_MEDALS[RANK VALUE])),"")</f>
        <v/>
      </c>
      <c r="I64" s="3" t="str">
        <f>IFERROR(IF(T_SV_MEDALS[[#This Row],[TOTAL]]=0,"",RANK(T_SV_MEDALS[[#This Row],[RANK VALUE]],T_SV_MEDALS[RANK VALUE])+COUNTIF($H$2:H63,H64)),"")</f>
        <v/>
      </c>
      <c r="J64" t="str">
        <f>IF(I_VIEW=3, COUNTIFS(T_2016_EVENT_RESULTS[SPORT],I_SV_SPORT,T_2016_EVENT_RESULTS[Gold - Country],T_SV_MEDALS[[#This Row],[COUNTRY ABBR]])+COUNTIFS(T_2016_EVENT_RESULTS[SPORT],I_SV_SPORT,T_2016_EVENT_RESULTS[Gold - Country - 2],T_SV_MEDALS[[#This Row],[COUNTRY ABBR]]),"")</f>
        <v/>
      </c>
      <c r="K64" t="str">
        <f>IF(I_VIEW=3, COUNTIFS(T_2016_EVENT_RESULTS[SPORT],I_SV_SPORT,T_2016_EVENT_RESULTS[Silver - Country],T_SV_MEDALS[[#This Row],[COUNTRY ABBR]])+COUNTIFS(T_2016_EVENT_RESULTS[SPORT],I_SV_SPORT,T_2016_EVENT_RESULTS[Silver - Country - 2],T_SV_MEDALS[[#This Row],[COUNTRY ABBR]])+COUNTIFS(T_2016_EVENT_RESULTS[SPORT],I_SV_SPORT,T_2016_EVENT_RESULTS[Silver - Country - 3],T_SV_MEDALS[[#This Row],[COUNTRY ABBR]]),"")</f>
        <v/>
      </c>
      <c r="L64" t="str">
        <f>IF(I_VIEW=3, COUNTIFS(T_2016_EVENT_RESULTS[SPORT],I_SV_SPORT,T_2016_EVENT_RESULTS[Bronze - Country],T_SV_MEDALS[[#This Row],[COUNTRY ABBR]])+COUNTIFS(T_2016_EVENT_RESULTS[SPORT],I_SV_SPORT,T_2016_EVENT_RESULTS[Bronze - Country - 2],T_SV_MEDALS[[#This Row],[COUNTRY ABBR]]),"")</f>
        <v/>
      </c>
      <c r="M64" s="3">
        <f>SUM(T_SV_MEDALS[[#This Row],[SV_GOLD]:[SV_BRONZE]])</f>
        <v>0</v>
      </c>
      <c r="N64" s="3" t="str">
        <f>IF(T_SV_MEDALS[[#This Row],[SV_TOTAL]]=0,"",IF(I_RANK_METHOD="TOTAL",(T_SV_MEDALS[[#This Row],[SV_TOTAL]]*10000000),0)+(T_SV_MEDALS[[#This Row],[SV_GOLD]]*100000)+(T_SV_MEDALS[[#This Row],[SV_SILVER]]*1000)+(T_SV_MEDALS[[#This Row],[SV_BRONZE]]*10))</f>
        <v/>
      </c>
      <c r="O64" s="3" t="str">
        <f>IFERROR(IF(T_SV_MEDALS[[#This Row],[SV_TOTAL]]=0,"",RANK(T_SV_MEDALS[[#This Row],[SV_RANK VALUE]],T_SV_MEDALS[SV_RANK VALUE])),"")</f>
        <v/>
      </c>
      <c r="P64" s="3" t="str">
        <f>IFERROR(IF(T_SV_MEDALS[[#This Row],[SV_TOTAL]]=0,"",RANK(T_SV_MEDALS[[#This Row],[SV_RANK VALUE]],T_SV_MEDALS[SV_RANK VALUE])+COUNTIF($O$2:O63,O64)),"")</f>
        <v/>
      </c>
      <c r="Q64" s="3" t="str">
        <f>IFERROR(T_SV_MEDALS[[#This Row],[SV_TOTAL]]/T_SV_MEDALS[[#This Row],[TOTAL]],"")</f>
        <v/>
      </c>
      <c r="R64" s="3" t="str">
        <f>IFERROR(IF(T_SV_MEDALS[[#This Row],[SV_TOTAL]]=0,"",RANK(T_SV_MEDALS[[#This Row],[Dependency - Rank Value]],T_SV_MEDALS[Dependency - Rank Value])+COUNTIF($Q$2:Q63,Q64)),"")</f>
        <v/>
      </c>
    </row>
    <row r="65" spans="1:18" x14ac:dyDescent="0.25">
      <c r="A65" t="s">
        <v>117</v>
      </c>
      <c r="B65" t="s">
        <v>118</v>
      </c>
      <c r="C65" s="3">
        <f>IF(I_VIEW=2,"",COUNTIFS(T_2016_EVENT_RESULTS[Gold - Country],T_SV_MEDALS[[#This Row],[COUNTRY ABBR]])+COUNTIFS(T_2016_EVENT_RESULTS[Gold - Country - 2],T_SV_MEDALS[[#This Row],[COUNTRY ABBR]]))</f>
        <v>0</v>
      </c>
      <c r="D65" s="3">
        <f>IF(I_VIEW=2,"",COUNTIFS(T_2016_EVENT_RESULTS[Silver - Country],T_SV_MEDALS[[#This Row],[COUNTRY ABBR]])+COUNTIFS(T_2016_EVENT_RESULTS[Silver - Country - 2],T_SV_MEDALS[[#This Row],[COUNTRY ABBR]])+COUNTIFS(T_2016_EVENT_RESULTS[Silver - Country - 3],T_SV_MEDALS[[#This Row],[COUNTRY ABBR]]))</f>
        <v>0</v>
      </c>
      <c r="E65" s="3">
        <f>IF(I_VIEW=2,"",COUNTIFS(T_2016_EVENT_RESULTS[Bronze - Country],T_SV_MEDALS[[#This Row],[COUNTRY ABBR]])+COUNTIFS(T_2016_EVENT_RESULTS[Bronze - Country - 2],T_SV_MEDALS[[#This Row],[COUNTRY ABBR]]))</f>
        <v>0</v>
      </c>
      <c r="F65" s="3">
        <f>SUM(T_SV_MEDALS[[#This Row],[GOLD]:[BRONZE]])</f>
        <v>0</v>
      </c>
      <c r="G65" s="3" t="str">
        <f>IF(T_SV_MEDALS[[#This Row],[TOTAL]]=0,"",IF(I_RANK_METHOD="TOTAL",(T_SV_MEDALS[[#This Row],[TOTAL]]*10000000),0)+(T_SV_MEDALS[[#This Row],[GOLD]]*100000)+(T_SV_MEDALS[[#This Row],[SILVER]]*1000)+(T_SV_MEDALS[[#This Row],[BRONZE]]*10))</f>
        <v/>
      </c>
      <c r="H65" s="3" t="str">
        <f>IFERROR(IF(T_SV_MEDALS[[#This Row],[TOTAL]]=0,"",RANK(T_SV_MEDALS[[#This Row],[RANK VALUE]],T_SV_MEDALS[RANK VALUE])),"")</f>
        <v/>
      </c>
      <c r="I65" s="3" t="str">
        <f>IFERROR(IF(T_SV_MEDALS[[#This Row],[TOTAL]]=0,"",RANK(T_SV_MEDALS[[#This Row],[RANK VALUE]],T_SV_MEDALS[RANK VALUE])+COUNTIF($H$2:H64,H65)),"")</f>
        <v/>
      </c>
      <c r="J65" t="str">
        <f>IF(I_VIEW=3, COUNTIFS(T_2016_EVENT_RESULTS[SPORT],I_SV_SPORT,T_2016_EVENT_RESULTS[Gold - Country],T_SV_MEDALS[[#This Row],[COUNTRY ABBR]])+COUNTIFS(T_2016_EVENT_RESULTS[SPORT],I_SV_SPORT,T_2016_EVENT_RESULTS[Gold - Country - 2],T_SV_MEDALS[[#This Row],[COUNTRY ABBR]]),"")</f>
        <v/>
      </c>
      <c r="K65" t="str">
        <f>IF(I_VIEW=3, COUNTIFS(T_2016_EVENT_RESULTS[SPORT],I_SV_SPORT,T_2016_EVENT_RESULTS[Silver - Country],T_SV_MEDALS[[#This Row],[COUNTRY ABBR]])+COUNTIFS(T_2016_EVENT_RESULTS[SPORT],I_SV_SPORT,T_2016_EVENT_RESULTS[Silver - Country - 2],T_SV_MEDALS[[#This Row],[COUNTRY ABBR]])+COUNTIFS(T_2016_EVENT_RESULTS[SPORT],I_SV_SPORT,T_2016_EVENT_RESULTS[Silver - Country - 3],T_SV_MEDALS[[#This Row],[COUNTRY ABBR]]),"")</f>
        <v/>
      </c>
      <c r="L65" t="str">
        <f>IF(I_VIEW=3, COUNTIFS(T_2016_EVENT_RESULTS[SPORT],I_SV_SPORT,T_2016_EVENT_RESULTS[Bronze - Country],T_SV_MEDALS[[#This Row],[COUNTRY ABBR]])+COUNTIFS(T_2016_EVENT_RESULTS[SPORT],I_SV_SPORT,T_2016_EVENT_RESULTS[Bronze - Country - 2],T_SV_MEDALS[[#This Row],[COUNTRY ABBR]]),"")</f>
        <v/>
      </c>
      <c r="M65" s="3">
        <f>SUM(T_SV_MEDALS[[#This Row],[SV_GOLD]:[SV_BRONZE]])</f>
        <v>0</v>
      </c>
      <c r="N65" s="3" t="str">
        <f>IF(T_SV_MEDALS[[#This Row],[SV_TOTAL]]=0,"",IF(I_RANK_METHOD="TOTAL",(T_SV_MEDALS[[#This Row],[SV_TOTAL]]*10000000),0)+(T_SV_MEDALS[[#This Row],[SV_GOLD]]*100000)+(T_SV_MEDALS[[#This Row],[SV_SILVER]]*1000)+(T_SV_MEDALS[[#This Row],[SV_BRONZE]]*10))</f>
        <v/>
      </c>
      <c r="O65" s="3" t="str">
        <f>IFERROR(IF(T_SV_MEDALS[[#This Row],[SV_TOTAL]]=0,"",RANK(T_SV_MEDALS[[#This Row],[SV_RANK VALUE]],T_SV_MEDALS[SV_RANK VALUE])),"")</f>
        <v/>
      </c>
      <c r="P65" s="3" t="str">
        <f>IFERROR(IF(T_SV_MEDALS[[#This Row],[SV_TOTAL]]=0,"",RANK(T_SV_MEDALS[[#This Row],[SV_RANK VALUE]],T_SV_MEDALS[SV_RANK VALUE])+COUNTIF($O$2:O64,O65)),"")</f>
        <v/>
      </c>
      <c r="Q65" s="3" t="str">
        <f>IFERROR(T_SV_MEDALS[[#This Row],[SV_TOTAL]]/T_SV_MEDALS[[#This Row],[TOTAL]],"")</f>
        <v/>
      </c>
      <c r="R65" s="3" t="str">
        <f>IFERROR(IF(T_SV_MEDALS[[#This Row],[SV_TOTAL]]=0,"",RANK(T_SV_MEDALS[[#This Row],[Dependency - Rank Value]],T_SV_MEDALS[Dependency - Rank Value])+COUNTIF($Q$2:Q64,Q65)),"")</f>
        <v/>
      </c>
    </row>
    <row r="66" spans="1:18" x14ac:dyDescent="0.25">
      <c r="A66" t="s">
        <v>119</v>
      </c>
      <c r="B66" t="s">
        <v>120</v>
      </c>
      <c r="C66" s="3">
        <f>IF(I_VIEW=2,"",COUNTIFS(T_2016_EVENT_RESULTS[Gold - Country],T_SV_MEDALS[[#This Row],[COUNTRY ABBR]])+COUNTIFS(T_2016_EVENT_RESULTS[Gold - Country - 2],T_SV_MEDALS[[#This Row],[COUNTRY ABBR]]))</f>
        <v>0</v>
      </c>
      <c r="D66" s="3">
        <f>IF(I_VIEW=2,"",COUNTIFS(T_2016_EVENT_RESULTS[Silver - Country],T_SV_MEDALS[[#This Row],[COUNTRY ABBR]])+COUNTIFS(T_2016_EVENT_RESULTS[Silver - Country - 2],T_SV_MEDALS[[#This Row],[COUNTRY ABBR]])+COUNTIFS(T_2016_EVENT_RESULTS[Silver - Country - 3],T_SV_MEDALS[[#This Row],[COUNTRY ABBR]]))</f>
        <v>0</v>
      </c>
      <c r="E66" s="3">
        <f>IF(I_VIEW=2,"",COUNTIFS(T_2016_EVENT_RESULTS[Bronze - Country],T_SV_MEDALS[[#This Row],[COUNTRY ABBR]])+COUNTIFS(T_2016_EVENT_RESULTS[Bronze - Country - 2],T_SV_MEDALS[[#This Row],[COUNTRY ABBR]]))</f>
        <v>1</v>
      </c>
      <c r="F66" s="3">
        <f>SUM(T_SV_MEDALS[[#This Row],[GOLD]:[BRONZE]])</f>
        <v>1</v>
      </c>
      <c r="G66" s="3">
        <f>IF(T_SV_MEDALS[[#This Row],[TOTAL]]=0,"",IF(I_RANK_METHOD="TOTAL",(T_SV_MEDALS[[#This Row],[TOTAL]]*10000000),0)+(T_SV_MEDALS[[#This Row],[GOLD]]*100000)+(T_SV_MEDALS[[#This Row],[SILVER]]*1000)+(T_SV_MEDALS[[#This Row],[BRONZE]]*10))</f>
        <v>10000010</v>
      </c>
      <c r="H66" s="3">
        <f>IFERROR(IF(T_SV_MEDALS[[#This Row],[TOTAL]]=0,"",RANK(T_SV_MEDALS[[#This Row],[RANK VALUE]],T_SV_MEDALS[RANK VALUE])),"")</f>
        <v>78</v>
      </c>
      <c r="I66" s="3">
        <f>IFERROR(IF(T_SV_MEDALS[[#This Row],[TOTAL]]=0,"",RANK(T_SV_MEDALS[[#This Row],[RANK VALUE]],T_SV_MEDALS[RANK VALUE])+COUNTIF($H$2:H65,H66)),"")</f>
        <v>80</v>
      </c>
      <c r="J66" t="str">
        <f>IF(I_VIEW=3, COUNTIFS(T_2016_EVENT_RESULTS[SPORT],I_SV_SPORT,T_2016_EVENT_RESULTS[Gold - Country],T_SV_MEDALS[[#This Row],[COUNTRY ABBR]])+COUNTIFS(T_2016_EVENT_RESULTS[SPORT],I_SV_SPORT,T_2016_EVENT_RESULTS[Gold - Country - 2],T_SV_MEDALS[[#This Row],[COUNTRY ABBR]]),"")</f>
        <v/>
      </c>
      <c r="K66" t="str">
        <f>IF(I_VIEW=3, COUNTIFS(T_2016_EVENT_RESULTS[SPORT],I_SV_SPORT,T_2016_EVENT_RESULTS[Silver - Country],T_SV_MEDALS[[#This Row],[COUNTRY ABBR]])+COUNTIFS(T_2016_EVENT_RESULTS[SPORT],I_SV_SPORT,T_2016_EVENT_RESULTS[Silver - Country - 2],T_SV_MEDALS[[#This Row],[COUNTRY ABBR]])+COUNTIFS(T_2016_EVENT_RESULTS[SPORT],I_SV_SPORT,T_2016_EVENT_RESULTS[Silver - Country - 3],T_SV_MEDALS[[#This Row],[COUNTRY ABBR]]),"")</f>
        <v/>
      </c>
      <c r="L66" t="str">
        <f>IF(I_VIEW=3, COUNTIFS(T_2016_EVENT_RESULTS[SPORT],I_SV_SPORT,T_2016_EVENT_RESULTS[Bronze - Country],T_SV_MEDALS[[#This Row],[COUNTRY ABBR]])+COUNTIFS(T_2016_EVENT_RESULTS[SPORT],I_SV_SPORT,T_2016_EVENT_RESULTS[Bronze - Country - 2],T_SV_MEDALS[[#This Row],[COUNTRY ABBR]]),"")</f>
        <v/>
      </c>
      <c r="M66" s="3">
        <f>SUM(T_SV_MEDALS[[#This Row],[SV_GOLD]:[SV_BRONZE]])</f>
        <v>0</v>
      </c>
      <c r="N66" s="3" t="str">
        <f>IF(T_SV_MEDALS[[#This Row],[SV_TOTAL]]=0,"",IF(I_RANK_METHOD="TOTAL",(T_SV_MEDALS[[#This Row],[SV_TOTAL]]*10000000),0)+(T_SV_MEDALS[[#This Row],[SV_GOLD]]*100000)+(T_SV_MEDALS[[#This Row],[SV_SILVER]]*1000)+(T_SV_MEDALS[[#This Row],[SV_BRONZE]]*10))</f>
        <v/>
      </c>
      <c r="O66" s="3" t="str">
        <f>IFERROR(IF(T_SV_MEDALS[[#This Row],[SV_TOTAL]]=0,"",RANK(T_SV_MEDALS[[#This Row],[SV_RANK VALUE]],T_SV_MEDALS[SV_RANK VALUE])),"")</f>
        <v/>
      </c>
      <c r="P66" s="3" t="str">
        <f>IFERROR(IF(T_SV_MEDALS[[#This Row],[SV_TOTAL]]=0,"",RANK(T_SV_MEDALS[[#This Row],[SV_RANK VALUE]],T_SV_MEDALS[SV_RANK VALUE])+COUNTIF($O$2:O65,O66)),"")</f>
        <v/>
      </c>
      <c r="Q66" s="3">
        <f>IFERROR(T_SV_MEDALS[[#This Row],[SV_TOTAL]]/T_SV_MEDALS[[#This Row],[TOTAL]],"")</f>
        <v>0</v>
      </c>
      <c r="R66" s="3" t="str">
        <f>IFERROR(IF(T_SV_MEDALS[[#This Row],[SV_TOTAL]]=0,"",RANK(T_SV_MEDALS[[#This Row],[Dependency - Rank Value]],T_SV_MEDALS[Dependency - Rank Value])+COUNTIF($Q$2:Q65,Q66)),"")</f>
        <v/>
      </c>
    </row>
    <row r="67" spans="1:18" x14ac:dyDescent="0.25">
      <c r="A67" t="s">
        <v>121</v>
      </c>
      <c r="B67" t="s">
        <v>122</v>
      </c>
      <c r="C67" s="3">
        <f>IF(I_VIEW=2,"",COUNTIFS(T_2016_EVENT_RESULTS[Gold - Country],T_SV_MEDALS[[#This Row],[COUNTRY ABBR]])+COUNTIFS(T_2016_EVENT_RESULTS[Gold - Country - 2],T_SV_MEDALS[[#This Row],[COUNTRY ABBR]]))</f>
        <v>1</v>
      </c>
      <c r="D67" s="3">
        <f>IF(I_VIEW=2,"",COUNTIFS(T_2016_EVENT_RESULTS[Silver - Country],T_SV_MEDALS[[#This Row],[COUNTRY ABBR]])+COUNTIFS(T_2016_EVENT_RESULTS[Silver - Country - 2],T_SV_MEDALS[[#This Row],[COUNTRY ABBR]])+COUNTIFS(T_2016_EVENT_RESULTS[Silver - Country - 3],T_SV_MEDALS[[#This Row],[COUNTRY ABBR]]))</f>
        <v>2</v>
      </c>
      <c r="E67" s="3">
        <f>IF(I_VIEW=2,"",COUNTIFS(T_2016_EVENT_RESULTS[Bronze - Country],T_SV_MEDALS[[#This Row],[COUNTRY ABBR]])+COUNTIFS(T_2016_EVENT_RESULTS[Bronze - Country - 2],T_SV_MEDALS[[#This Row],[COUNTRY ABBR]]))</f>
        <v>5</v>
      </c>
      <c r="F67" s="3">
        <f>SUM(T_SV_MEDALS[[#This Row],[GOLD]:[BRONZE]])</f>
        <v>8</v>
      </c>
      <c r="G67" s="3">
        <f>IF(T_SV_MEDALS[[#This Row],[TOTAL]]=0,"",IF(I_RANK_METHOD="TOTAL",(T_SV_MEDALS[[#This Row],[TOTAL]]*10000000),0)+(T_SV_MEDALS[[#This Row],[GOLD]]*100000)+(T_SV_MEDALS[[#This Row],[SILVER]]*1000)+(T_SV_MEDALS[[#This Row],[BRONZE]]*10))</f>
        <v>80102050</v>
      </c>
      <c r="H67" s="3">
        <f>IFERROR(IF(T_SV_MEDALS[[#This Row],[TOTAL]]=0,"",RANK(T_SV_MEDALS[[#This Row],[RANK VALUE]],T_SV_MEDALS[RANK VALUE])),"")</f>
        <v>35</v>
      </c>
      <c r="I67" s="3">
        <f>IFERROR(IF(T_SV_MEDALS[[#This Row],[TOTAL]]=0,"",RANK(T_SV_MEDALS[[#This Row],[RANK VALUE]],T_SV_MEDALS[RANK VALUE])+COUNTIF($H$2:H66,H67)),"")</f>
        <v>35</v>
      </c>
      <c r="J67" t="str">
        <f>IF(I_VIEW=3, COUNTIFS(T_2016_EVENT_RESULTS[SPORT],I_SV_SPORT,T_2016_EVENT_RESULTS[Gold - Country],T_SV_MEDALS[[#This Row],[COUNTRY ABBR]])+COUNTIFS(T_2016_EVENT_RESULTS[SPORT],I_SV_SPORT,T_2016_EVENT_RESULTS[Gold - Country - 2],T_SV_MEDALS[[#This Row],[COUNTRY ABBR]]),"")</f>
        <v/>
      </c>
      <c r="K67" t="str">
        <f>IF(I_VIEW=3, COUNTIFS(T_2016_EVENT_RESULTS[SPORT],I_SV_SPORT,T_2016_EVENT_RESULTS[Silver - Country],T_SV_MEDALS[[#This Row],[COUNTRY ABBR]])+COUNTIFS(T_2016_EVENT_RESULTS[SPORT],I_SV_SPORT,T_2016_EVENT_RESULTS[Silver - Country - 2],T_SV_MEDALS[[#This Row],[COUNTRY ABBR]])+COUNTIFS(T_2016_EVENT_RESULTS[SPORT],I_SV_SPORT,T_2016_EVENT_RESULTS[Silver - Country - 3],T_SV_MEDALS[[#This Row],[COUNTRY ABBR]]),"")</f>
        <v/>
      </c>
      <c r="L67" t="str">
        <f>IF(I_VIEW=3, COUNTIFS(T_2016_EVENT_RESULTS[SPORT],I_SV_SPORT,T_2016_EVENT_RESULTS[Bronze - Country],T_SV_MEDALS[[#This Row],[COUNTRY ABBR]])+COUNTIFS(T_2016_EVENT_RESULTS[SPORT],I_SV_SPORT,T_2016_EVENT_RESULTS[Bronze - Country - 2],T_SV_MEDALS[[#This Row],[COUNTRY ABBR]]),"")</f>
        <v/>
      </c>
      <c r="M67" s="3">
        <f>SUM(T_SV_MEDALS[[#This Row],[SV_GOLD]:[SV_BRONZE]])</f>
        <v>0</v>
      </c>
      <c r="N67" s="3" t="str">
        <f>IF(T_SV_MEDALS[[#This Row],[SV_TOTAL]]=0,"",IF(I_RANK_METHOD="TOTAL",(T_SV_MEDALS[[#This Row],[SV_TOTAL]]*10000000),0)+(T_SV_MEDALS[[#This Row],[SV_GOLD]]*100000)+(T_SV_MEDALS[[#This Row],[SV_SILVER]]*1000)+(T_SV_MEDALS[[#This Row],[SV_BRONZE]]*10))</f>
        <v/>
      </c>
      <c r="O67" s="3" t="str">
        <f>IFERROR(IF(T_SV_MEDALS[[#This Row],[SV_TOTAL]]=0,"",RANK(T_SV_MEDALS[[#This Row],[SV_RANK VALUE]],T_SV_MEDALS[SV_RANK VALUE])),"")</f>
        <v/>
      </c>
      <c r="P67" s="3" t="str">
        <f>IFERROR(IF(T_SV_MEDALS[[#This Row],[SV_TOTAL]]=0,"",RANK(T_SV_MEDALS[[#This Row],[SV_RANK VALUE]],T_SV_MEDALS[SV_RANK VALUE])+COUNTIF($O$2:O66,O67)),"")</f>
        <v/>
      </c>
      <c r="Q67" s="3">
        <f>IFERROR(T_SV_MEDALS[[#This Row],[SV_TOTAL]]/T_SV_MEDALS[[#This Row],[TOTAL]],"")</f>
        <v>0</v>
      </c>
      <c r="R67" s="3" t="str">
        <f>IFERROR(IF(T_SV_MEDALS[[#This Row],[SV_TOTAL]]=0,"",RANK(T_SV_MEDALS[[#This Row],[Dependency - Rank Value]],T_SV_MEDALS[Dependency - Rank Value])+COUNTIF($Q$2:Q66,Q67)),"")</f>
        <v/>
      </c>
    </row>
    <row r="68" spans="1:18" x14ac:dyDescent="0.25">
      <c r="A68" t="s">
        <v>123</v>
      </c>
      <c r="B68" t="s">
        <v>124</v>
      </c>
      <c r="C68" s="3">
        <f>IF(I_VIEW=2,"",COUNTIFS(T_2016_EVENT_RESULTS[Gold - Country],T_SV_MEDALS[[#This Row],[COUNTRY ABBR]])+COUNTIFS(T_2016_EVENT_RESULTS[Gold - Country - 2],T_SV_MEDALS[[#This Row],[COUNTRY ABBR]]))</f>
        <v>1</v>
      </c>
      <c r="D68" s="3">
        <f>IF(I_VIEW=2,"",COUNTIFS(T_2016_EVENT_RESULTS[Silver - Country],T_SV_MEDALS[[#This Row],[COUNTRY ABBR]])+COUNTIFS(T_2016_EVENT_RESULTS[Silver - Country - 2],T_SV_MEDALS[[#This Row],[COUNTRY ABBR]])+COUNTIFS(T_2016_EVENT_RESULTS[Silver - Country - 3],T_SV_MEDALS[[#This Row],[COUNTRY ABBR]]))</f>
        <v>0</v>
      </c>
      <c r="E68" s="3">
        <f>IF(I_VIEW=2,"",COUNTIFS(T_2016_EVENT_RESULTS[Bronze - Country],T_SV_MEDALS[[#This Row],[COUNTRY ABBR]])+COUNTIFS(T_2016_EVENT_RESULTS[Bronze - Country - 2],T_SV_MEDALS[[#This Row],[COUNTRY ABBR]]))</f>
        <v>0</v>
      </c>
      <c r="F68" s="3">
        <f>SUM(T_SV_MEDALS[[#This Row],[GOLD]:[BRONZE]])</f>
        <v>1</v>
      </c>
      <c r="G68" s="3">
        <f>IF(T_SV_MEDALS[[#This Row],[TOTAL]]=0,"",IF(I_RANK_METHOD="TOTAL",(T_SV_MEDALS[[#This Row],[TOTAL]]*10000000),0)+(T_SV_MEDALS[[#This Row],[GOLD]]*100000)+(T_SV_MEDALS[[#This Row],[SILVER]]*1000)+(T_SV_MEDALS[[#This Row],[BRONZE]]*10))</f>
        <v>10100000</v>
      </c>
      <c r="H68" s="3">
        <f>IFERROR(IF(T_SV_MEDALS[[#This Row],[TOTAL]]=0,"",RANK(T_SV_MEDALS[[#This Row],[RANK VALUE]],T_SV_MEDALS[RANK VALUE])),"")</f>
        <v>67</v>
      </c>
      <c r="I68" s="3">
        <f>IFERROR(IF(T_SV_MEDALS[[#This Row],[TOTAL]]=0,"",RANK(T_SV_MEDALS[[#This Row],[RANK VALUE]],T_SV_MEDALS[RANK VALUE])+COUNTIF($H$2:H67,H68)),"")</f>
        <v>67</v>
      </c>
      <c r="J68" t="str">
        <f>IF(I_VIEW=3, COUNTIFS(T_2016_EVENT_RESULTS[SPORT],I_SV_SPORT,T_2016_EVENT_RESULTS[Gold - Country],T_SV_MEDALS[[#This Row],[COUNTRY ABBR]])+COUNTIFS(T_2016_EVENT_RESULTS[SPORT],I_SV_SPORT,T_2016_EVENT_RESULTS[Gold - Country - 2],T_SV_MEDALS[[#This Row],[COUNTRY ABBR]]),"")</f>
        <v/>
      </c>
      <c r="K68" t="str">
        <f>IF(I_VIEW=3, COUNTIFS(T_2016_EVENT_RESULTS[SPORT],I_SV_SPORT,T_2016_EVENT_RESULTS[Silver - Country],T_SV_MEDALS[[#This Row],[COUNTRY ABBR]])+COUNTIFS(T_2016_EVENT_RESULTS[SPORT],I_SV_SPORT,T_2016_EVENT_RESULTS[Silver - Country - 2],T_SV_MEDALS[[#This Row],[COUNTRY ABBR]])+COUNTIFS(T_2016_EVENT_RESULTS[SPORT],I_SV_SPORT,T_2016_EVENT_RESULTS[Silver - Country - 3],T_SV_MEDALS[[#This Row],[COUNTRY ABBR]]),"")</f>
        <v/>
      </c>
      <c r="L68" t="str">
        <f>IF(I_VIEW=3, COUNTIFS(T_2016_EVENT_RESULTS[SPORT],I_SV_SPORT,T_2016_EVENT_RESULTS[Bronze - Country],T_SV_MEDALS[[#This Row],[COUNTRY ABBR]])+COUNTIFS(T_2016_EVENT_RESULTS[SPORT],I_SV_SPORT,T_2016_EVENT_RESULTS[Bronze - Country - 2],T_SV_MEDALS[[#This Row],[COUNTRY ABBR]]),"")</f>
        <v/>
      </c>
      <c r="M68" s="3">
        <f>SUM(T_SV_MEDALS[[#This Row],[SV_GOLD]:[SV_BRONZE]])</f>
        <v>0</v>
      </c>
      <c r="N68" s="3" t="str">
        <f>IF(T_SV_MEDALS[[#This Row],[SV_TOTAL]]=0,"",IF(I_RANK_METHOD="TOTAL",(T_SV_MEDALS[[#This Row],[SV_TOTAL]]*10000000),0)+(T_SV_MEDALS[[#This Row],[SV_GOLD]]*100000)+(T_SV_MEDALS[[#This Row],[SV_SILVER]]*1000)+(T_SV_MEDALS[[#This Row],[SV_BRONZE]]*10))</f>
        <v/>
      </c>
      <c r="O68" s="3" t="str">
        <f>IFERROR(IF(T_SV_MEDALS[[#This Row],[SV_TOTAL]]=0,"",RANK(T_SV_MEDALS[[#This Row],[SV_RANK VALUE]],T_SV_MEDALS[SV_RANK VALUE])),"")</f>
        <v/>
      </c>
      <c r="P68" s="3" t="str">
        <f>IFERROR(IF(T_SV_MEDALS[[#This Row],[SV_TOTAL]]=0,"",RANK(T_SV_MEDALS[[#This Row],[SV_RANK VALUE]],T_SV_MEDALS[SV_RANK VALUE])+COUNTIF($O$2:O67,O68)),"")</f>
        <v/>
      </c>
      <c r="Q68" s="3">
        <f>IFERROR(T_SV_MEDALS[[#This Row],[SV_TOTAL]]/T_SV_MEDALS[[#This Row],[TOTAL]],"")</f>
        <v>0</v>
      </c>
      <c r="R68" s="3" t="str">
        <f>IFERROR(IF(T_SV_MEDALS[[#This Row],[SV_TOTAL]]=0,"",RANK(T_SV_MEDALS[[#This Row],[Dependency - Rank Value]],T_SV_MEDALS[Dependency - Rank Value])+COUNTIF($Q$2:Q67,Q68)),"")</f>
        <v/>
      </c>
    </row>
    <row r="69" spans="1:18" x14ac:dyDescent="0.25">
      <c r="A69" t="s">
        <v>125</v>
      </c>
      <c r="B69" t="s">
        <v>126</v>
      </c>
      <c r="C69" s="3">
        <f>IF(I_VIEW=2,"",COUNTIFS(T_2016_EVENT_RESULTS[Gold - Country],T_SV_MEDALS[[#This Row],[COUNTRY ABBR]])+COUNTIFS(T_2016_EVENT_RESULTS[Gold - Country - 2],T_SV_MEDALS[[#This Row],[COUNTRY ABBR]]))</f>
        <v>0</v>
      </c>
      <c r="D69" s="3">
        <f>IF(I_VIEW=2,"",COUNTIFS(T_2016_EVENT_RESULTS[Silver - Country],T_SV_MEDALS[[#This Row],[COUNTRY ABBR]])+COUNTIFS(T_2016_EVENT_RESULTS[Silver - Country - 2],T_SV_MEDALS[[#This Row],[COUNTRY ABBR]])+COUNTIFS(T_2016_EVENT_RESULTS[Silver - Country - 3],T_SV_MEDALS[[#This Row],[COUNTRY ABBR]]))</f>
        <v>0</v>
      </c>
      <c r="E69" s="3">
        <f>IF(I_VIEW=2,"",COUNTIFS(T_2016_EVENT_RESULTS[Bronze - Country],T_SV_MEDALS[[#This Row],[COUNTRY ABBR]])+COUNTIFS(T_2016_EVENT_RESULTS[Bronze - Country - 2],T_SV_MEDALS[[#This Row],[COUNTRY ABBR]]))</f>
        <v>1</v>
      </c>
      <c r="F69" s="3">
        <f>SUM(T_SV_MEDALS[[#This Row],[GOLD]:[BRONZE]])</f>
        <v>1</v>
      </c>
      <c r="G69" s="3">
        <f>IF(T_SV_MEDALS[[#This Row],[TOTAL]]=0,"",IF(I_RANK_METHOD="TOTAL",(T_SV_MEDALS[[#This Row],[TOTAL]]*10000000),0)+(T_SV_MEDALS[[#This Row],[GOLD]]*100000)+(T_SV_MEDALS[[#This Row],[SILVER]]*1000)+(T_SV_MEDALS[[#This Row],[BRONZE]]*10))</f>
        <v>10000010</v>
      </c>
      <c r="H69" s="3">
        <f>IFERROR(IF(T_SV_MEDALS[[#This Row],[TOTAL]]=0,"",RANK(T_SV_MEDALS[[#This Row],[RANK VALUE]],T_SV_MEDALS[RANK VALUE])),"")</f>
        <v>78</v>
      </c>
      <c r="I69" s="3">
        <f>IFERROR(IF(T_SV_MEDALS[[#This Row],[TOTAL]]=0,"",RANK(T_SV_MEDALS[[#This Row],[RANK VALUE]],T_SV_MEDALS[RANK VALUE])+COUNTIF($H$2:H68,H69)),"")</f>
        <v>81</v>
      </c>
      <c r="J69" t="str">
        <f>IF(I_VIEW=3, COUNTIFS(T_2016_EVENT_RESULTS[SPORT],I_SV_SPORT,T_2016_EVENT_RESULTS[Gold - Country],T_SV_MEDALS[[#This Row],[COUNTRY ABBR]])+COUNTIFS(T_2016_EVENT_RESULTS[SPORT],I_SV_SPORT,T_2016_EVENT_RESULTS[Gold - Country - 2],T_SV_MEDALS[[#This Row],[COUNTRY ABBR]]),"")</f>
        <v/>
      </c>
      <c r="K69" t="str">
        <f>IF(I_VIEW=3, COUNTIFS(T_2016_EVENT_RESULTS[SPORT],I_SV_SPORT,T_2016_EVENT_RESULTS[Silver - Country],T_SV_MEDALS[[#This Row],[COUNTRY ABBR]])+COUNTIFS(T_2016_EVENT_RESULTS[SPORT],I_SV_SPORT,T_2016_EVENT_RESULTS[Silver - Country - 2],T_SV_MEDALS[[#This Row],[COUNTRY ABBR]])+COUNTIFS(T_2016_EVENT_RESULTS[SPORT],I_SV_SPORT,T_2016_EVENT_RESULTS[Silver - Country - 3],T_SV_MEDALS[[#This Row],[COUNTRY ABBR]]),"")</f>
        <v/>
      </c>
      <c r="L69" t="str">
        <f>IF(I_VIEW=3, COUNTIFS(T_2016_EVENT_RESULTS[SPORT],I_SV_SPORT,T_2016_EVENT_RESULTS[Bronze - Country],T_SV_MEDALS[[#This Row],[COUNTRY ABBR]])+COUNTIFS(T_2016_EVENT_RESULTS[SPORT],I_SV_SPORT,T_2016_EVENT_RESULTS[Bronze - Country - 2],T_SV_MEDALS[[#This Row],[COUNTRY ABBR]]),"")</f>
        <v/>
      </c>
      <c r="M69" s="3">
        <f>SUM(T_SV_MEDALS[[#This Row],[SV_GOLD]:[SV_BRONZE]])</f>
        <v>0</v>
      </c>
      <c r="N69" s="3" t="str">
        <f>IF(T_SV_MEDALS[[#This Row],[SV_TOTAL]]=0,"",IF(I_RANK_METHOD="TOTAL",(T_SV_MEDALS[[#This Row],[SV_TOTAL]]*10000000),0)+(T_SV_MEDALS[[#This Row],[SV_GOLD]]*100000)+(T_SV_MEDALS[[#This Row],[SV_SILVER]]*1000)+(T_SV_MEDALS[[#This Row],[SV_BRONZE]]*10))</f>
        <v/>
      </c>
      <c r="O69" s="3" t="str">
        <f>IFERROR(IF(T_SV_MEDALS[[#This Row],[SV_TOTAL]]=0,"",RANK(T_SV_MEDALS[[#This Row],[SV_RANK VALUE]],T_SV_MEDALS[SV_RANK VALUE])),"")</f>
        <v/>
      </c>
      <c r="P69" s="3" t="str">
        <f>IFERROR(IF(T_SV_MEDALS[[#This Row],[SV_TOTAL]]=0,"",RANK(T_SV_MEDALS[[#This Row],[SV_RANK VALUE]],T_SV_MEDALS[SV_RANK VALUE])+COUNTIF($O$2:O68,O69)),"")</f>
        <v/>
      </c>
      <c r="Q69" s="3">
        <f>IFERROR(T_SV_MEDALS[[#This Row],[SV_TOTAL]]/T_SV_MEDALS[[#This Row],[TOTAL]],"")</f>
        <v>0</v>
      </c>
      <c r="R69" s="3" t="str">
        <f>IFERROR(IF(T_SV_MEDALS[[#This Row],[SV_TOTAL]]=0,"",RANK(T_SV_MEDALS[[#This Row],[Dependency - Rank Value]],T_SV_MEDALS[Dependency - Rank Value])+COUNTIF($Q$2:Q68,Q69)),"")</f>
        <v/>
      </c>
    </row>
    <row r="70" spans="1:18" x14ac:dyDescent="0.25">
      <c r="A70" t="s">
        <v>127</v>
      </c>
      <c r="B70" t="s">
        <v>128</v>
      </c>
      <c r="C70" s="3">
        <f>IF(I_VIEW=2,"",COUNTIFS(T_2016_EVENT_RESULTS[Gold - Country],T_SV_MEDALS[[#This Row],[COUNTRY ABBR]])+COUNTIFS(T_2016_EVENT_RESULTS[Gold - Country - 2],T_SV_MEDALS[[#This Row],[COUNTRY ABBR]]))</f>
        <v>10</v>
      </c>
      <c r="D70" s="3">
        <f>IF(I_VIEW=2,"",COUNTIFS(T_2016_EVENT_RESULTS[Silver - Country],T_SV_MEDALS[[#This Row],[COUNTRY ABBR]])+COUNTIFS(T_2016_EVENT_RESULTS[Silver - Country - 2],T_SV_MEDALS[[#This Row],[COUNTRY ABBR]])+COUNTIFS(T_2016_EVENT_RESULTS[Silver - Country - 3],T_SV_MEDALS[[#This Row],[COUNTRY ABBR]]))</f>
        <v>18</v>
      </c>
      <c r="E70" s="3">
        <f>IF(I_VIEW=2,"",COUNTIFS(T_2016_EVENT_RESULTS[Bronze - Country],T_SV_MEDALS[[#This Row],[COUNTRY ABBR]])+COUNTIFS(T_2016_EVENT_RESULTS[Bronze - Country - 2],T_SV_MEDALS[[#This Row],[COUNTRY ABBR]]))</f>
        <v>14</v>
      </c>
      <c r="F70" s="3">
        <f>SUM(T_SV_MEDALS[[#This Row],[GOLD]:[BRONZE]])</f>
        <v>42</v>
      </c>
      <c r="G70" s="3">
        <f>IF(T_SV_MEDALS[[#This Row],[TOTAL]]=0,"",IF(I_RANK_METHOD="TOTAL",(T_SV_MEDALS[[#This Row],[TOTAL]]*10000000),0)+(T_SV_MEDALS[[#This Row],[GOLD]]*100000)+(T_SV_MEDALS[[#This Row],[SILVER]]*1000)+(T_SV_MEDALS[[#This Row],[BRONZE]]*10))</f>
        <v>421018140</v>
      </c>
      <c r="H70" s="3">
        <f>IFERROR(IF(T_SV_MEDALS[[#This Row],[TOTAL]]=0,"",RANK(T_SV_MEDALS[[#This Row],[RANK VALUE]],T_SV_MEDALS[RANK VALUE])),"")</f>
        <v>6</v>
      </c>
      <c r="I70" s="3">
        <f>IFERROR(IF(T_SV_MEDALS[[#This Row],[TOTAL]]=0,"",RANK(T_SV_MEDALS[[#This Row],[RANK VALUE]],T_SV_MEDALS[RANK VALUE])+COUNTIF($H$2:H69,H70)),"")</f>
        <v>6</v>
      </c>
      <c r="J70" t="str">
        <f>IF(I_VIEW=3, COUNTIFS(T_2016_EVENT_RESULTS[SPORT],I_SV_SPORT,T_2016_EVENT_RESULTS[Gold - Country],T_SV_MEDALS[[#This Row],[COUNTRY ABBR]])+COUNTIFS(T_2016_EVENT_RESULTS[SPORT],I_SV_SPORT,T_2016_EVENT_RESULTS[Gold - Country - 2],T_SV_MEDALS[[#This Row],[COUNTRY ABBR]]),"")</f>
        <v/>
      </c>
      <c r="K70" t="str">
        <f>IF(I_VIEW=3, COUNTIFS(T_2016_EVENT_RESULTS[SPORT],I_SV_SPORT,T_2016_EVENT_RESULTS[Silver - Country],T_SV_MEDALS[[#This Row],[COUNTRY ABBR]])+COUNTIFS(T_2016_EVENT_RESULTS[SPORT],I_SV_SPORT,T_2016_EVENT_RESULTS[Silver - Country - 2],T_SV_MEDALS[[#This Row],[COUNTRY ABBR]])+COUNTIFS(T_2016_EVENT_RESULTS[SPORT],I_SV_SPORT,T_2016_EVENT_RESULTS[Silver - Country - 3],T_SV_MEDALS[[#This Row],[COUNTRY ABBR]]),"")</f>
        <v/>
      </c>
      <c r="L70" t="str">
        <f>IF(I_VIEW=3, COUNTIFS(T_2016_EVENT_RESULTS[SPORT],I_SV_SPORT,T_2016_EVENT_RESULTS[Bronze - Country],T_SV_MEDALS[[#This Row],[COUNTRY ABBR]])+COUNTIFS(T_2016_EVENT_RESULTS[SPORT],I_SV_SPORT,T_2016_EVENT_RESULTS[Bronze - Country - 2],T_SV_MEDALS[[#This Row],[COUNTRY ABBR]]),"")</f>
        <v/>
      </c>
      <c r="M70" s="3">
        <f>SUM(T_SV_MEDALS[[#This Row],[SV_GOLD]:[SV_BRONZE]])</f>
        <v>0</v>
      </c>
      <c r="N70" s="3" t="str">
        <f>IF(T_SV_MEDALS[[#This Row],[SV_TOTAL]]=0,"",IF(I_RANK_METHOD="TOTAL",(T_SV_MEDALS[[#This Row],[SV_TOTAL]]*10000000),0)+(T_SV_MEDALS[[#This Row],[SV_GOLD]]*100000)+(T_SV_MEDALS[[#This Row],[SV_SILVER]]*1000)+(T_SV_MEDALS[[#This Row],[SV_BRONZE]]*10))</f>
        <v/>
      </c>
      <c r="O70" s="3" t="str">
        <f>IFERROR(IF(T_SV_MEDALS[[#This Row],[SV_TOTAL]]=0,"",RANK(T_SV_MEDALS[[#This Row],[SV_RANK VALUE]],T_SV_MEDALS[SV_RANK VALUE])),"")</f>
        <v/>
      </c>
      <c r="P70" s="3" t="str">
        <f>IFERROR(IF(T_SV_MEDALS[[#This Row],[SV_TOTAL]]=0,"",RANK(T_SV_MEDALS[[#This Row],[SV_RANK VALUE]],T_SV_MEDALS[SV_RANK VALUE])+COUNTIF($O$2:O69,O70)),"")</f>
        <v/>
      </c>
      <c r="Q70" s="3">
        <f>IFERROR(T_SV_MEDALS[[#This Row],[SV_TOTAL]]/T_SV_MEDALS[[#This Row],[TOTAL]],"")</f>
        <v>0</v>
      </c>
      <c r="R70" s="3" t="str">
        <f>IFERROR(IF(T_SV_MEDALS[[#This Row],[SV_TOTAL]]=0,"",RANK(T_SV_MEDALS[[#This Row],[Dependency - Rank Value]],T_SV_MEDALS[Dependency - Rank Value])+COUNTIF($Q$2:Q69,Q70)),"")</f>
        <v/>
      </c>
    </row>
    <row r="71" spans="1:18" x14ac:dyDescent="0.25">
      <c r="A71" t="s">
        <v>129</v>
      </c>
      <c r="B71" t="s">
        <v>130</v>
      </c>
      <c r="C71" s="3">
        <f>IF(I_VIEW=2,"",COUNTIFS(T_2016_EVENT_RESULTS[Gold - Country],T_SV_MEDALS[[#This Row],[COUNTRY ABBR]])+COUNTIFS(T_2016_EVENT_RESULTS[Gold - Country - 2],T_SV_MEDALS[[#This Row],[COUNTRY ABBR]]))</f>
        <v>0</v>
      </c>
      <c r="D71" s="3">
        <f>IF(I_VIEW=2,"",COUNTIFS(T_2016_EVENT_RESULTS[Silver - Country],T_SV_MEDALS[[#This Row],[COUNTRY ABBR]])+COUNTIFS(T_2016_EVENT_RESULTS[Silver - Country - 2],T_SV_MEDALS[[#This Row],[COUNTRY ABBR]])+COUNTIFS(T_2016_EVENT_RESULTS[Silver - Country - 3],T_SV_MEDALS[[#This Row],[COUNTRY ABBR]]))</f>
        <v>0</v>
      </c>
      <c r="E71" s="3">
        <f>IF(I_VIEW=2,"",COUNTIFS(T_2016_EVENT_RESULTS[Bronze - Country],T_SV_MEDALS[[#This Row],[COUNTRY ABBR]])+COUNTIFS(T_2016_EVENT_RESULTS[Bronze - Country - 2],T_SV_MEDALS[[#This Row],[COUNTRY ABBR]]))</f>
        <v>0</v>
      </c>
      <c r="F71" s="3">
        <f>SUM(T_SV_MEDALS[[#This Row],[GOLD]:[BRONZE]])</f>
        <v>0</v>
      </c>
      <c r="G71" s="3" t="str">
        <f>IF(T_SV_MEDALS[[#This Row],[TOTAL]]=0,"",IF(I_RANK_METHOD="TOTAL",(T_SV_MEDALS[[#This Row],[TOTAL]]*10000000),0)+(T_SV_MEDALS[[#This Row],[GOLD]]*100000)+(T_SV_MEDALS[[#This Row],[SILVER]]*1000)+(T_SV_MEDALS[[#This Row],[BRONZE]]*10))</f>
        <v/>
      </c>
      <c r="H71" s="3" t="str">
        <f>IFERROR(IF(T_SV_MEDALS[[#This Row],[TOTAL]]=0,"",RANK(T_SV_MEDALS[[#This Row],[RANK VALUE]],T_SV_MEDALS[RANK VALUE])),"")</f>
        <v/>
      </c>
      <c r="I71" s="3" t="str">
        <f>IFERROR(IF(T_SV_MEDALS[[#This Row],[TOTAL]]=0,"",RANK(T_SV_MEDALS[[#This Row],[RANK VALUE]],T_SV_MEDALS[RANK VALUE])+COUNTIF($H$2:H70,H71)),"")</f>
        <v/>
      </c>
      <c r="J71" t="str">
        <f>IF(I_VIEW=3, COUNTIFS(T_2016_EVENT_RESULTS[SPORT],I_SV_SPORT,T_2016_EVENT_RESULTS[Gold - Country],T_SV_MEDALS[[#This Row],[COUNTRY ABBR]])+COUNTIFS(T_2016_EVENT_RESULTS[SPORT],I_SV_SPORT,T_2016_EVENT_RESULTS[Gold - Country - 2],T_SV_MEDALS[[#This Row],[COUNTRY ABBR]]),"")</f>
        <v/>
      </c>
      <c r="K71" t="str">
        <f>IF(I_VIEW=3, COUNTIFS(T_2016_EVENT_RESULTS[SPORT],I_SV_SPORT,T_2016_EVENT_RESULTS[Silver - Country],T_SV_MEDALS[[#This Row],[COUNTRY ABBR]])+COUNTIFS(T_2016_EVENT_RESULTS[SPORT],I_SV_SPORT,T_2016_EVENT_RESULTS[Silver - Country - 2],T_SV_MEDALS[[#This Row],[COUNTRY ABBR]])+COUNTIFS(T_2016_EVENT_RESULTS[SPORT],I_SV_SPORT,T_2016_EVENT_RESULTS[Silver - Country - 3],T_SV_MEDALS[[#This Row],[COUNTRY ABBR]]),"")</f>
        <v/>
      </c>
      <c r="L71" t="str">
        <f>IF(I_VIEW=3, COUNTIFS(T_2016_EVENT_RESULTS[SPORT],I_SV_SPORT,T_2016_EVENT_RESULTS[Bronze - Country],T_SV_MEDALS[[#This Row],[COUNTRY ABBR]])+COUNTIFS(T_2016_EVENT_RESULTS[SPORT],I_SV_SPORT,T_2016_EVENT_RESULTS[Bronze - Country - 2],T_SV_MEDALS[[#This Row],[COUNTRY ABBR]]),"")</f>
        <v/>
      </c>
      <c r="M71" s="3">
        <f>SUM(T_SV_MEDALS[[#This Row],[SV_GOLD]:[SV_BRONZE]])</f>
        <v>0</v>
      </c>
      <c r="N71" s="3" t="str">
        <f>IF(T_SV_MEDALS[[#This Row],[SV_TOTAL]]=0,"",IF(I_RANK_METHOD="TOTAL",(T_SV_MEDALS[[#This Row],[SV_TOTAL]]*10000000),0)+(T_SV_MEDALS[[#This Row],[SV_GOLD]]*100000)+(T_SV_MEDALS[[#This Row],[SV_SILVER]]*1000)+(T_SV_MEDALS[[#This Row],[SV_BRONZE]]*10))</f>
        <v/>
      </c>
      <c r="O71" s="3" t="str">
        <f>IFERROR(IF(T_SV_MEDALS[[#This Row],[SV_TOTAL]]=0,"",RANK(T_SV_MEDALS[[#This Row],[SV_RANK VALUE]],T_SV_MEDALS[SV_RANK VALUE])),"")</f>
        <v/>
      </c>
      <c r="P71" s="3" t="str">
        <f>IFERROR(IF(T_SV_MEDALS[[#This Row],[SV_TOTAL]]=0,"",RANK(T_SV_MEDALS[[#This Row],[SV_RANK VALUE]],T_SV_MEDALS[SV_RANK VALUE])+COUNTIF($O$2:O70,O71)),"")</f>
        <v/>
      </c>
      <c r="Q71" s="3" t="str">
        <f>IFERROR(T_SV_MEDALS[[#This Row],[SV_TOTAL]]/T_SV_MEDALS[[#This Row],[TOTAL]],"")</f>
        <v/>
      </c>
      <c r="R71" s="3" t="str">
        <f>IFERROR(IF(T_SV_MEDALS[[#This Row],[SV_TOTAL]]=0,"",RANK(T_SV_MEDALS[[#This Row],[Dependency - Rank Value]],T_SV_MEDALS[Dependency - Rank Value])+COUNTIF($Q$2:Q70,Q71)),"")</f>
        <v/>
      </c>
    </row>
    <row r="72" spans="1:18" x14ac:dyDescent="0.25">
      <c r="A72" t="s">
        <v>131</v>
      </c>
      <c r="B72" t="s">
        <v>132</v>
      </c>
      <c r="C72" s="3">
        <f>IF(I_VIEW=2,"",COUNTIFS(T_2016_EVENT_RESULTS[Gold - Country],T_SV_MEDALS[[#This Row],[COUNTRY ABBR]])+COUNTIFS(T_2016_EVENT_RESULTS[Gold - Country - 2],T_SV_MEDALS[[#This Row],[COUNTRY ABBR]]))</f>
        <v>0</v>
      </c>
      <c r="D72" s="3">
        <f>IF(I_VIEW=2,"",COUNTIFS(T_2016_EVENT_RESULTS[Silver - Country],T_SV_MEDALS[[#This Row],[COUNTRY ABBR]])+COUNTIFS(T_2016_EVENT_RESULTS[Silver - Country - 2],T_SV_MEDALS[[#This Row],[COUNTRY ABBR]])+COUNTIFS(T_2016_EVENT_RESULTS[Silver - Country - 3],T_SV_MEDALS[[#This Row],[COUNTRY ABBR]]))</f>
        <v>0</v>
      </c>
      <c r="E72" s="3">
        <f>IF(I_VIEW=2,"",COUNTIFS(T_2016_EVENT_RESULTS[Bronze - Country],T_SV_MEDALS[[#This Row],[COUNTRY ABBR]])+COUNTIFS(T_2016_EVENT_RESULTS[Bronze - Country - 2],T_SV_MEDALS[[#This Row],[COUNTRY ABBR]]))</f>
        <v>0</v>
      </c>
      <c r="F72" s="3">
        <f>SUM(T_SV_MEDALS[[#This Row],[GOLD]:[BRONZE]])</f>
        <v>0</v>
      </c>
      <c r="G72" s="3" t="str">
        <f>IF(T_SV_MEDALS[[#This Row],[TOTAL]]=0,"",IF(I_RANK_METHOD="TOTAL",(T_SV_MEDALS[[#This Row],[TOTAL]]*10000000),0)+(T_SV_MEDALS[[#This Row],[GOLD]]*100000)+(T_SV_MEDALS[[#This Row],[SILVER]]*1000)+(T_SV_MEDALS[[#This Row],[BRONZE]]*10))</f>
        <v/>
      </c>
      <c r="H72" s="3" t="str">
        <f>IFERROR(IF(T_SV_MEDALS[[#This Row],[TOTAL]]=0,"",RANK(T_SV_MEDALS[[#This Row],[RANK VALUE]],T_SV_MEDALS[RANK VALUE])),"")</f>
        <v/>
      </c>
      <c r="I72" s="3" t="str">
        <f>IFERROR(IF(T_SV_MEDALS[[#This Row],[TOTAL]]=0,"",RANK(T_SV_MEDALS[[#This Row],[RANK VALUE]],T_SV_MEDALS[RANK VALUE])+COUNTIF($H$2:H71,H72)),"")</f>
        <v/>
      </c>
      <c r="J72" t="str">
        <f>IF(I_VIEW=3, COUNTIFS(T_2016_EVENT_RESULTS[SPORT],I_SV_SPORT,T_2016_EVENT_RESULTS[Gold - Country],T_SV_MEDALS[[#This Row],[COUNTRY ABBR]])+COUNTIFS(T_2016_EVENT_RESULTS[SPORT],I_SV_SPORT,T_2016_EVENT_RESULTS[Gold - Country - 2],T_SV_MEDALS[[#This Row],[COUNTRY ABBR]]),"")</f>
        <v/>
      </c>
      <c r="K72" t="str">
        <f>IF(I_VIEW=3, COUNTIFS(T_2016_EVENT_RESULTS[SPORT],I_SV_SPORT,T_2016_EVENT_RESULTS[Silver - Country],T_SV_MEDALS[[#This Row],[COUNTRY ABBR]])+COUNTIFS(T_2016_EVENT_RESULTS[SPORT],I_SV_SPORT,T_2016_EVENT_RESULTS[Silver - Country - 2],T_SV_MEDALS[[#This Row],[COUNTRY ABBR]])+COUNTIFS(T_2016_EVENT_RESULTS[SPORT],I_SV_SPORT,T_2016_EVENT_RESULTS[Silver - Country - 3],T_SV_MEDALS[[#This Row],[COUNTRY ABBR]]),"")</f>
        <v/>
      </c>
      <c r="L72" t="str">
        <f>IF(I_VIEW=3, COUNTIFS(T_2016_EVENT_RESULTS[SPORT],I_SV_SPORT,T_2016_EVENT_RESULTS[Bronze - Country],T_SV_MEDALS[[#This Row],[COUNTRY ABBR]])+COUNTIFS(T_2016_EVENT_RESULTS[SPORT],I_SV_SPORT,T_2016_EVENT_RESULTS[Bronze - Country - 2],T_SV_MEDALS[[#This Row],[COUNTRY ABBR]]),"")</f>
        <v/>
      </c>
      <c r="M72" s="3">
        <f>SUM(T_SV_MEDALS[[#This Row],[SV_GOLD]:[SV_BRONZE]])</f>
        <v>0</v>
      </c>
      <c r="N72" s="3" t="str">
        <f>IF(T_SV_MEDALS[[#This Row],[SV_TOTAL]]=0,"",IF(I_RANK_METHOD="TOTAL",(T_SV_MEDALS[[#This Row],[SV_TOTAL]]*10000000),0)+(T_SV_MEDALS[[#This Row],[SV_GOLD]]*100000)+(T_SV_MEDALS[[#This Row],[SV_SILVER]]*1000)+(T_SV_MEDALS[[#This Row],[SV_BRONZE]]*10))</f>
        <v/>
      </c>
      <c r="O72" s="3" t="str">
        <f>IFERROR(IF(T_SV_MEDALS[[#This Row],[SV_TOTAL]]=0,"",RANK(T_SV_MEDALS[[#This Row],[SV_RANK VALUE]],T_SV_MEDALS[SV_RANK VALUE])),"")</f>
        <v/>
      </c>
      <c r="P72" s="3" t="str">
        <f>IFERROR(IF(T_SV_MEDALS[[#This Row],[SV_TOTAL]]=0,"",RANK(T_SV_MEDALS[[#This Row],[SV_RANK VALUE]],T_SV_MEDALS[SV_RANK VALUE])+COUNTIF($O$2:O71,O72)),"")</f>
        <v/>
      </c>
      <c r="Q72" s="3" t="str">
        <f>IFERROR(T_SV_MEDALS[[#This Row],[SV_TOTAL]]/T_SV_MEDALS[[#This Row],[TOTAL]],"")</f>
        <v/>
      </c>
      <c r="R72" s="3" t="str">
        <f>IFERROR(IF(T_SV_MEDALS[[#This Row],[SV_TOTAL]]=0,"",RANK(T_SV_MEDALS[[#This Row],[Dependency - Rank Value]],T_SV_MEDALS[Dependency - Rank Value])+COUNTIF($Q$2:Q71,Q72)),"")</f>
        <v/>
      </c>
    </row>
    <row r="73" spans="1:18" x14ac:dyDescent="0.25">
      <c r="A73" t="s">
        <v>133</v>
      </c>
      <c r="B73" t="s">
        <v>134</v>
      </c>
      <c r="C73" s="3">
        <f>IF(I_VIEW=2,"",COUNTIFS(T_2016_EVENT_RESULTS[Gold - Country],T_SV_MEDALS[[#This Row],[COUNTRY ABBR]])+COUNTIFS(T_2016_EVENT_RESULTS[Gold - Country - 2],T_SV_MEDALS[[#This Row],[COUNTRY ABBR]]))</f>
        <v>2</v>
      </c>
      <c r="D73" s="3">
        <f>IF(I_VIEW=2,"",COUNTIFS(T_2016_EVENT_RESULTS[Silver - Country],T_SV_MEDALS[[#This Row],[COUNTRY ABBR]])+COUNTIFS(T_2016_EVENT_RESULTS[Silver - Country - 2],T_SV_MEDALS[[#This Row],[COUNTRY ABBR]])+COUNTIFS(T_2016_EVENT_RESULTS[Silver - Country - 3],T_SV_MEDALS[[#This Row],[COUNTRY ABBR]]))</f>
        <v>1</v>
      </c>
      <c r="E73" s="3">
        <f>IF(I_VIEW=2,"",COUNTIFS(T_2016_EVENT_RESULTS[Bronze - Country],T_SV_MEDALS[[#This Row],[COUNTRY ABBR]])+COUNTIFS(T_2016_EVENT_RESULTS[Bronze - Country - 2],T_SV_MEDALS[[#This Row],[COUNTRY ABBR]]))</f>
        <v>4</v>
      </c>
      <c r="F73" s="3">
        <f>SUM(T_SV_MEDALS[[#This Row],[GOLD]:[BRONZE]])</f>
        <v>7</v>
      </c>
      <c r="G73" s="3">
        <f>IF(T_SV_MEDALS[[#This Row],[TOTAL]]=0,"",IF(I_RANK_METHOD="TOTAL",(T_SV_MEDALS[[#This Row],[TOTAL]]*10000000),0)+(T_SV_MEDALS[[#This Row],[GOLD]]*100000)+(T_SV_MEDALS[[#This Row],[SILVER]]*1000)+(T_SV_MEDALS[[#This Row],[BRONZE]]*10))</f>
        <v>70201040</v>
      </c>
      <c r="H73" s="3">
        <f>IFERROR(IF(T_SV_MEDALS[[#This Row],[TOTAL]]=0,"",RANK(T_SV_MEDALS[[#This Row],[RANK VALUE]],T_SV_MEDALS[RANK VALUE])),"")</f>
        <v>38</v>
      </c>
      <c r="I73" s="3">
        <f>IFERROR(IF(T_SV_MEDALS[[#This Row],[TOTAL]]=0,"",RANK(T_SV_MEDALS[[#This Row],[RANK VALUE]],T_SV_MEDALS[RANK VALUE])+COUNTIF($H$2:H72,H73)),"")</f>
        <v>38</v>
      </c>
      <c r="J73" t="str">
        <f>IF(I_VIEW=3, COUNTIFS(T_2016_EVENT_RESULTS[SPORT],I_SV_SPORT,T_2016_EVENT_RESULTS[Gold - Country],T_SV_MEDALS[[#This Row],[COUNTRY ABBR]])+COUNTIFS(T_2016_EVENT_RESULTS[SPORT],I_SV_SPORT,T_2016_EVENT_RESULTS[Gold - Country - 2],T_SV_MEDALS[[#This Row],[COUNTRY ABBR]]),"")</f>
        <v/>
      </c>
      <c r="K73" t="str">
        <f>IF(I_VIEW=3, COUNTIFS(T_2016_EVENT_RESULTS[SPORT],I_SV_SPORT,T_2016_EVENT_RESULTS[Silver - Country],T_SV_MEDALS[[#This Row],[COUNTRY ABBR]])+COUNTIFS(T_2016_EVENT_RESULTS[SPORT],I_SV_SPORT,T_2016_EVENT_RESULTS[Silver - Country - 2],T_SV_MEDALS[[#This Row],[COUNTRY ABBR]])+COUNTIFS(T_2016_EVENT_RESULTS[SPORT],I_SV_SPORT,T_2016_EVENT_RESULTS[Silver - Country - 3],T_SV_MEDALS[[#This Row],[COUNTRY ABBR]]),"")</f>
        <v/>
      </c>
      <c r="L73" t="str">
        <f>IF(I_VIEW=3, COUNTIFS(T_2016_EVENT_RESULTS[SPORT],I_SV_SPORT,T_2016_EVENT_RESULTS[Bronze - Country],T_SV_MEDALS[[#This Row],[COUNTRY ABBR]])+COUNTIFS(T_2016_EVENT_RESULTS[SPORT],I_SV_SPORT,T_2016_EVENT_RESULTS[Bronze - Country - 2],T_SV_MEDALS[[#This Row],[COUNTRY ABBR]]),"")</f>
        <v/>
      </c>
      <c r="M73" s="3">
        <f>SUM(T_SV_MEDALS[[#This Row],[SV_GOLD]:[SV_BRONZE]])</f>
        <v>0</v>
      </c>
      <c r="N73" s="3" t="str">
        <f>IF(T_SV_MEDALS[[#This Row],[SV_TOTAL]]=0,"",IF(I_RANK_METHOD="TOTAL",(T_SV_MEDALS[[#This Row],[SV_TOTAL]]*10000000),0)+(T_SV_MEDALS[[#This Row],[SV_GOLD]]*100000)+(T_SV_MEDALS[[#This Row],[SV_SILVER]]*1000)+(T_SV_MEDALS[[#This Row],[SV_BRONZE]]*10))</f>
        <v/>
      </c>
      <c r="O73" s="3" t="str">
        <f>IFERROR(IF(T_SV_MEDALS[[#This Row],[SV_TOTAL]]=0,"",RANK(T_SV_MEDALS[[#This Row],[SV_RANK VALUE]],T_SV_MEDALS[SV_RANK VALUE])),"")</f>
        <v/>
      </c>
      <c r="P73" s="3" t="str">
        <f>IFERROR(IF(T_SV_MEDALS[[#This Row],[SV_TOTAL]]=0,"",RANK(T_SV_MEDALS[[#This Row],[SV_RANK VALUE]],T_SV_MEDALS[SV_RANK VALUE])+COUNTIF($O$2:O72,O73)),"")</f>
        <v/>
      </c>
      <c r="Q73" s="3">
        <f>IFERROR(T_SV_MEDALS[[#This Row],[SV_TOTAL]]/T_SV_MEDALS[[#This Row],[TOTAL]],"")</f>
        <v>0</v>
      </c>
      <c r="R73" s="3" t="str">
        <f>IFERROR(IF(T_SV_MEDALS[[#This Row],[SV_TOTAL]]=0,"",RANK(T_SV_MEDALS[[#This Row],[Dependency - Rank Value]],T_SV_MEDALS[Dependency - Rank Value])+COUNTIF($Q$2:Q72,Q73)),"")</f>
        <v/>
      </c>
    </row>
    <row r="74" spans="1:18" x14ac:dyDescent="0.25">
      <c r="A74" t="s">
        <v>135</v>
      </c>
      <c r="B74" t="s">
        <v>136</v>
      </c>
      <c r="C74" s="3">
        <f>IF(I_VIEW=2,"",COUNTIFS(T_2016_EVENT_RESULTS[Gold - Country],T_SV_MEDALS[[#This Row],[COUNTRY ABBR]])+COUNTIFS(T_2016_EVENT_RESULTS[Gold - Country - 2],T_SV_MEDALS[[#This Row],[COUNTRY ABBR]]))</f>
        <v>17</v>
      </c>
      <c r="D74" s="3">
        <f>IF(I_VIEW=2,"",COUNTIFS(T_2016_EVENT_RESULTS[Silver - Country],T_SV_MEDALS[[#This Row],[COUNTRY ABBR]])+COUNTIFS(T_2016_EVENT_RESULTS[Silver - Country - 2],T_SV_MEDALS[[#This Row],[COUNTRY ABBR]])+COUNTIFS(T_2016_EVENT_RESULTS[Silver - Country - 3],T_SV_MEDALS[[#This Row],[COUNTRY ABBR]]))</f>
        <v>10</v>
      </c>
      <c r="E74" s="3">
        <f>IF(I_VIEW=2,"",COUNTIFS(T_2016_EVENT_RESULTS[Bronze - Country],T_SV_MEDALS[[#This Row],[COUNTRY ABBR]])+COUNTIFS(T_2016_EVENT_RESULTS[Bronze - Country - 2],T_SV_MEDALS[[#This Row],[COUNTRY ABBR]]))</f>
        <v>15</v>
      </c>
      <c r="F74" s="3">
        <f>SUM(T_SV_MEDALS[[#This Row],[GOLD]:[BRONZE]])</f>
        <v>42</v>
      </c>
      <c r="G74" s="3">
        <f>IF(T_SV_MEDALS[[#This Row],[TOTAL]]=0,"",IF(I_RANK_METHOD="TOTAL",(T_SV_MEDALS[[#This Row],[TOTAL]]*10000000),0)+(T_SV_MEDALS[[#This Row],[GOLD]]*100000)+(T_SV_MEDALS[[#This Row],[SILVER]]*1000)+(T_SV_MEDALS[[#This Row],[BRONZE]]*10))</f>
        <v>421710150</v>
      </c>
      <c r="H74" s="3">
        <f>IFERROR(IF(T_SV_MEDALS[[#This Row],[TOTAL]]=0,"",RANK(T_SV_MEDALS[[#This Row],[RANK VALUE]],T_SV_MEDALS[RANK VALUE])),"")</f>
        <v>5</v>
      </c>
      <c r="I74" s="3">
        <f>IFERROR(IF(T_SV_MEDALS[[#This Row],[TOTAL]]=0,"",RANK(T_SV_MEDALS[[#This Row],[RANK VALUE]],T_SV_MEDALS[RANK VALUE])+COUNTIF($H$2:H73,H74)),"")</f>
        <v>5</v>
      </c>
      <c r="J74" t="str">
        <f>IF(I_VIEW=3, COUNTIFS(T_2016_EVENT_RESULTS[SPORT],I_SV_SPORT,T_2016_EVENT_RESULTS[Gold - Country],T_SV_MEDALS[[#This Row],[COUNTRY ABBR]])+COUNTIFS(T_2016_EVENT_RESULTS[SPORT],I_SV_SPORT,T_2016_EVENT_RESULTS[Gold - Country - 2],T_SV_MEDALS[[#This Row],[COUNTRY ABBR]]),"")</f>
        <v/>
      </c>
      <c r="K74" t="str">
        <f>IF(I_VIEW=3, COUNTIFS(T_2016_EVENT_RESULTS[SPORT],I_SV_SPORT,T_2016_EVENT_RESULTS[Silver - Country],T_SV_MEDALS[[#This Row],[COUNTRY ABBR]])+COUNTIFS(T_2016_EVENT_RESULTS[SPORT],I_SV_SPORT,T_2016_EVENT_RESULTS[Silver - Country - 2],T_SV_MEDALS[[#This Row],[COUNTRY ABBR]])+COUNTIFS(T_2016_EVENT_RESULTS[SPORT],I_SV_SPORT,T_2016_EVENT_RESULTS[Silver - Country - 3],T_SV_MEDALS[[#This Row],[COUNTRY ABBR]]),"")</f>
        <v/>
      </c>
      <c r="L74" t="str">
        <f>IF(I_VIEW=3, COUNTIFS(T_2016_EVENT_RESULTS[SPORT],I_SV_SPORT,T_2016_EVENT_RESULTS[Bronze - Country],T_SV_MEDALS[[#This Row],[COUNTRY ABBR]])+COUNTIFS(T_2016_EVENT_RESULTS[SPORT],I_SV_SPORT,T_2016_EVENT_RESULTS[Bronze - Country - 2],T_SV_MEDALS[[#This Row],[COUNTRY ABBR]]),"")</f>
        <v/>
      </c>
      <c r="M74" s="3">
        <f>SUM(T_SV_MEDALS[[#This Row],[SV_GOLD]:[SV_BRONZE]])</f>
        <v>0</v>
      </c>
      <c r="N74" s="3" t="str">
        <f>IF(T_SV_MEDALS[[#This Row],[SV_TOTAL]]=0,"",IF(I_RANK_METHOD="TOTAL",(T_SV_MEDALS[[#This Row],[SV_TOTAL]]*10000000),0)+(T_SV_MEDALS[[#This Row],[SV_GOLD]]*100000)+(T_SV_MEDALS[[#This Row],[SV_SILVER]]*1000)+(T_SV_MEDALS[[#This Row],[SV_BRONZE]]*10))</f>
        <v/>
      </c>
      <c r="O74" s="3" t="str">
        <f>IFERROR(IF(T_SV_MEDALS[[#This Row],[SV_TOTAL]]=0,"",RANK(T_SV_MEDALS[[#This Row],[SV_RANK VALUE]],T_SV_MEDALS[SV_RANK VALUE])),"")</f>
        <v/>
      </c>
      <c r="P74" s="3" t="str">
        <f>IFERROR(IF(T_SV_MEDALS[[#This Row],[SV_TOTAL]]=0,"",RANK(T_SV_MEDALS[[#This Row],[SV_RANK VALUE]],T_SV_MEDALS[SV_RANK VALUE])+COUNTIF($O$2:O73,O74)),"")</f>
        <v/>
      </c>
      <c r="Q74" s="3">
        <f>IFERROR(T_SV_MEDALS[[#This Row],[SV_TOTAL]]/T_SV_MEDALS[[#This Row],[TOTAL]],"")</f>
        <v>0</v>
      </c>
      <c r="R74" s="3" t="str">
        <f>IFERROR(IF(T_SV_MEDALS[[#This Row],[SV_TOTAL]]=0,"",RANK(T_SV_MEDALS[[#This Row],[Dependency - Rank Value]],T_SV_MEDALS[Dependency - Rank Value])+COUNTIF($Q$2:Q73,Q74)),"")</f>
        <v/>
      </c>
    </row>
    <row r="75" spans="1:18" x14ac:dyDescent="0.25">
      <c r="A75" t="s">
        <v>137</v>
      </c>
      <c r="B75" t="s">
        <v>138</v>
      </c>
      <c r="C75" s="3">
        <f>IF(I_VIEW=2,"",COUNTIFS(T_2016_EVENT_RESULTS[Gold - Country],T_SV_MEDALS[[#This Row],[COUNTRY ABBR]])+COUNTIFS(T_2016_EVENT_RESULTS[Gold - Country - 2],T_SV_MEDALS[[#This Row],[COUNTRY ABBR]]))</f>
        <v>0</v>
      </c>
      <c r="D75" s="3">
        <f>IF(I_VIEW=2,"",COUNTIFS(T_2016_EVENT_RESULTS[Silver - Country],T_SV_MEDALS[[#This Row],[COUNTRY ABBR]])+COUNTIFS(T_2016_EVENT_RESULTS[Silver - Country - 2],T_SV_MEDALS[[#This Row],[COUNTRY ABBR]])+COUNTIFS(T_2016_EVENT_RESULTS[Silver - Country - 3],T_SV_MEDALS[[#This Row],[COUNTRY ABBR]]))</f>
        <v>0</v>
      </c>
      <c r="E75" s="3">
        <f>IF(I_VIEW=2,"",COUNTIFS(T_2016_EVENT_RESULTS[Bronze - Country],T_SV_MEDALS[[#This Row],[COUNTRY ABBR]])+COUNTIFS(T_2016_EVENT_RESULTS[Bronze - Country - 2],T_SV_MEDALS[[#This Row],[COUNTRY ABBR]]))</f>
        <v>0</v>
      </c>
      <c r="F75" s="3">
        <f>SUM(T_SV_MEDALS[[#This Row],[GOLD]:[BRONZE]])</f>
        <v>0</v>
      </c>
      <c r="G75" s="3" t="str">
        <f>IF(T_SV_MEDALS[[#This Row],[TOTAL]]=0,"",IF(I_RANK_METHOD="TOTAL",(T_SV_MEDALS[[#This Row],[TOTAL]]*10000000),0)+(T_SV_MEDALS[[#This Row],[GOLD]]*100000)+(T_SV_MEDALS[[#This Row],[SILVER]]*1000)+(T_SV_MEDALS[[#This Row],[BRONZE]]*10))</f>
        <v/>
      </c>
      <c r="H75" s="3" t="str">
        <f>IFERROR(IF(T_SV_MEDALS[[#This Row],[TOTAL]]=0,"",RANK(T_SV_MEDALS[[#This Row],[RANK VALUE]],T_SV_MEDALS[RANK VALUE])),"")</f>
        <v/>
      </c>
      <c r="I75" s="3" t="str">
        <f>IFERROR(IF(T_SV_MEDALS[[#This Row],[TOTAL]]=0,"",RANK(T_SV_MEDALS[[#This Row],[RANK VALUE]],T_SV_MEDALS[RANK VALUE])+COUNTIF($H$2:H74,H75)),"")</f>
        <v/>
      </c>
      <c r="J75" t="str">
        <f>IF(I_VIEW=3, COUNTIFS(T_2016_EVENT_RESULTS[SPORT],I_SV_SPORT,T_2016_EVENT_RESULTS[Gold - Country],T_SV_MEDALS[[#This Row],[COUNTRY ABBR]])+COUNTIFS(T_2016_EVENT_RESULTS[SPORT],I_SV_SPORT,T_2016_EVENT_RESULTS[Gold - Country - 2],T_SV_MEDALS[[#This Row],[COUNTRY ABBR]]),"")</f>
        <v/>
      </c>
      <c r="K75" t="str">
        <f>IF(I_VIEW=3, COUNTIFS(T_2016_EVENT_RESULTS[SPORT],I_SV_SPORT,T_2016_EVENT_RESULTS[Silver - Country],T_SV_MEDALS[[#This Row],[COUNTRY ABBR]])+COUNTIFS(T_2016_EVENT_RESULTS[SPORT],I_SV_SPORT,T_2016_EVENT_RESULTS[Silver - Country - 2],T_SV_MEDALS[[#This Row],[COUNTRY ABBR]])+COUNTIFS(T_2016_EVENT_RESULTS[SPORT],I_SV_SPORT,T_2016_EVENT_RESULTS[Silver - Country - 3],T_SV_MEDALS[[#This Row],[COUNTRY ABBR]]),"")</f>
        <v/>
      </c>
      <c r="L75" t="str">
        <f>IF(I_VIEW=3, COUNTIFS(T_2016_EVENT_RESULTS[SPORT],I_SV_SPORT,T_2016_EVENT_RESULTS[Bronze - Country],T_SV_MEDALS[[#This Row],[COUNTRY ABBR]])+COUNTIFS(T_2016_EVENT_RESULTS[SPORT],I_SV_SPORT,T_2016_EVENT_RESULTS[Bronze - Country - 2],T_SV_MEDALS[[#This Row],[COUNTRY ABBR]]),"")</f>
        <v/>
      </c>
      <c r="M75" s="3">
        <f>SUM(T_SV_MEDALS[[#This Row],[SV_GOLD]:[SV_BRONZE]])</f>
        <v>0</v>
      </c>
      <c r="N75" s="3" t="str">
        <f>IF(T_SV_MEDALS[[#This Row],[SV_TOTAL]]=0,"",IF(I_RANK_METHOD="TOTAL",(T_SV_MEDALS[[#This Row],[SV_TOTAL]]*10000000),0)+(T_SV_MEDALS[[#This Row],[SV_GOLD]]*100000)+(T_SV_MEDALS[[#This Row],[SV_SILVER]]*1000)+(T_SV_MEDALS[[#This Row],[SV_BRONZE]]*10))</f>
        <v/>
      </c>
      <c r="O75" s="3" t="str">
        <f>IFERROR(IF(T_SV_MEDALS[[#This Row],[SV_TOTAL]]=0,"",RANK(T_SV_MEDALS[[#This Row],[SV_RANK VALUE]],T_SV_MEDALS[SV_RANK VALUE])),"")</f>
        <v/>
      </c>
      <c r="P75" s="3" t="str">
        <f>IFERROR(IF(T_SV_MEDALS[[#This Row],[SV_TOTAL]]=0,"",RANK(T_SV_MEDALS[[#This Row],[SV_RANK VALUE]],T_SV_MEDALS[SV_RANK VALUE])+COUNTIF($O$2:O74,O75)),"")</f>
        <v/>
      </c>
      <c r="Q75" s="3" t="str">
        <f>IFERROR(T_SV_MEDALS[[#This Row],[SV_TOTAL]]/T_SV_MEDALS[[#This Row],[TOTAL]],"")</f>
        <v/>
      </c>
      <c r="R75" s="3" t="str">
        <f>IFERROR(IF(T_SV_MEDALS[[#This Row],[SV_TOTAL]]=0,"",RANK(T_SV_MEDALS[[#This Row],[Dependency - Rank Value]],T_SV_MEDALS[Dependency - Rank Value])+COUNTIF($Q$2:Q74,Q75)),"")</f>
        <v/>
      </c>
    </row>
    <row r="76" spans="1:18" x14ac:dyDescent="0.25">
      <c r="A76" t="s">
        <v>391</v>
      </c>
      <c r="B76" t="s">
        <v>361</v>
      </c>
      <c r="C76" s="3">
        <f>IF(I_VIEW=2,"",COUNTIFS(T_2016_EVENT_RESULTS[Gold - Country],T_SV_MEDALS[[#This Row],[COUNTRY ABBR]])+COUNTIFS(T_2016_EVENT_RESULTS[Gold - Country - 2],T_SV_MEDALS[[#This Row],[COUNTRY ABBR]]))</f>
        <v>27</v>
      </c>
      <c r="D76" s="3">
        <f>IF(I_VIEW=2,"",COUNTIFS(T_2016_EVENT_RESULTS[Silver - Country],T_SV_MEDALS[[#This Row],[COUNTRY ABBR]])+COUNTIFS(T_2016_EVENT_RESULTS[Silver - Country - 2],T_SV_MEDALS[[#This Row],[COUNTRY ABBR]])+COUNTIFS(T_2016_EVENT_RESULTS[Silver - Country - 3],T_SV_MEDALS[[#This Row],[COUNTRY ABBR]]))</f>
        <v>23</v>
      </c>
      <c r="E76" s="3">
        <f>IF(I_VIEW=2,"",COUNTIFS(T_2016_EVENT_RESULTS[Bronze - Country],T_SV_MEDALS[[#This Row],[COUNTRY ABBR]])+COUNTIFS(T_2016_EVENT_RESULTS[Bronze - Country - 2],T_SV_MEDALS[[#This Row],[COUNTRY ABBR]]))</f>
        <v>17</v>
      </c>
      <c r="F76" s="3">
        <f>SUM(T_SV_MEDALS[[#This Row],[GOLD]:[BRONZE]])</f>
        <v>67</v>
      </c>
      <c r="G76" s="3">
        <f>IF(T_SV_MEDALS[[#This Row],[TOTAL]]=0,"",IF(I_RANK_METHOD="TOTAL",(T_SV_MEDALS[[#This Row],[TOTAL]]*10000000),0)+(T_SV_MEDALS[[#This Row],[GOLD]]*100000)+(T_SV_MEDALS[[#This Row],[SILVER]]*1000)+(T_SV_MEDALS[[#This Row],[BRONZE]]*10))</f>
        <v>672723170</v>
      </c>
      <c r="H76" s="3">
        <f>IFERROR(IF(T_SV_MEDALS[[#This Row],[TOTAL]]=0,"",RANK(T_SV_MEDALS[[#This Row],[RANK VALUE]],T_SV_MEDALS[RANK VALUE])),"")</f>
        <v>3</v>
      </c>
      <c r="I76" s="3">
        <f>IFERROR(IF(T_SV_MEDALS[[#This Row],[TOTAL]]=0,"",RANK(T_SV_MEDALS[[#This Row],[RANK VALUE]],T_SV_MEDALS[RANK VALUE])+COUNTIF($H$2:H75,H76)),"")</f>
        <v>3</v>
      </c>
      <c r="J76" t="str">
        <f>IF(I_VIEW=3, COUNTIFS(T_2016_EVENT_RESULTS[SPORT],I_SV_SPORT,T_2016_EVENT_RESULTS[Gold - Country],T_SV_MEDALS[[#This Row],[COUNTRY ABBR]])+COUNTIFS(T_2016_EVENT_RESULTS[SPORT],I_SV_SPORT,T_2016_EVENT_RESULTS[Gold - Country - 2],T_SV_MEDALS[[#This Row],[COUNTRY ABBR]]),"")</f>
        <v/>
      </c>
      <c r="K76" t="str">
        <f>IF(I_VIEW=3, COUNTIFS(T_2016_EVENT_RESULTS[SPORT],I_SV_SPORT,T_2016_EVENT_RESULTS[Silver - Country],T_SV_MEDALS[[#This Row],[COUNTRY ABBR]])+COUNTIFS(T_2016_EVENT_RESULTS[SPORT],I_SV_SPORT,T_2016_EVENT_RESULTS[Silver - Country - 2],T_SV_MEDALS[[#This Row],[COUNTRY ABBR]])+COUNTIFS(T_2016_EVENT_RESULTS[SPORT],I_SV_SPORT,T_2016_EVENT_RESULTS[Silver - Country - 3],T_SV_MEDALS[[#This Row],[COUNTRY ABBR]]),"")</f>
        <v/>
      </c>
      <c r="L76" t="str">
        <f>IF(I_VIEW=3, COUNTIFS(T_2016_EVENT_RESULTS[SPORT],I_SV_SPORT,T_2016_EVENT_RESULTS[Bronze - Country],T_SV_MEDALS[[#This Row],[COUNTRY ABBR]])+COUNTIFS(T_2016_EVENT_RESULTS[SPORT],I_SV_SPORT,T_2016_EVENT_RESULTS[Bronze - Country - 2],T_SV_MEDALS[[#This Row],[COUNTRY ABBR]]),"")</f>
        <v/>
      </c>
      <c r="M76" s="3">
        <f>SUM(T_SV_MEDALS[[#This Row],[SV_GOLD]:[SV_BRONZE]])</f>
        <v>0</v>
      </c>
      <c r="N76" s="3" t="str">
        <f>IF(T_SV_MEDALS[[#This Row],[SV_TOTAL]]=0,"",IF(I_RANK_METHOD="TOTAL",(T_SV_MEDALS[[#This Row],[SV_TOTAL]]*10000000),0)+(T_SV_MEDALS[[#This Row],[SV_GOLD]]*100000)+(T_SV_MEDALS[[#This Row],[SV_SILVER]]*1000)+(T_SV_MEDALS[[#This Row],[SV_BRONZE]]*10))</f>
        <v/>
      </c>
      <c r="O76" s="3" t="str">
        <f>IFERROR(IF(T_SV_MEDALS[[#This Row],[SV_TOTAL]]=0,"",RANK(T_SV_MEDALS[[#This Row],[SV_RANK VALUE]],T_SV_MEDALS[SV_RANK VALUE])),"")</f>
        <v/>
      </c>
      <c r="P76" s="3" t="str">
        <f>IFERROR(IF(T_SV_MEDALS[[#This Row],[SV_TOTAL]]=0,"",RANK(T_SV_MEDALS[[#This Row],[SV_RANK VALUE]],T_SV_MEDALS[SV_RANK VALUE])+COUNTIF($O$2:O75,O76)),"")</f>
        <v/>
      </c>
      <c r="Q76" s="3">
        <f>IFERROR(T_SV_MEDALS[[#This Row],[SV_TOTAL]]/T_SV_MEDALS[[#This Row],[TOTAL]],"")</f>
        <v>0</v>
      </c>
      <c r="R76" s="3" t="str">
        <f>IFERROR(IF(T_SV_MEDALS[[#This Row],[SV_TOTAL]]=0,"",RANK(T_SV_MEDALS[[#This Row],[Dependency - Rank Value]],T_SV_MEDALS[Dependency - Rank Value])+COUNTIF($Q$2:Q75,Q76)),"")</f>
        <v/>
      </c>
    </row>
    <row r="77" spans="1:18" x14ac:dyDescent="0.25">
      <c r="A77" t="s">
        <v>139</v>
      </c>
      <c r="B77" t="s">
        <v>140</v>
      </c>
      <c r="C77" s="3">
        <f>IF(I_VIEW=2,"",COUNTIFS(T_2016_EVENT_RESULTS[Gold - Country],T_SV_MEDALS[[#This Row],[COUNTRY ABBR]])+COUNTIFS(T_2016_EVENT_RESULTS[Gold - Country - 2],T_SV_MEDALS[[#This Row],[COUNTRY ABBR]]))</f>
        <v>3</v>
      </c>
      <c r="D77" s="3">
        <f>IF(I_VIEW=2,"",COUNTIFS(T_2016_EVENT_RESULTS[Silver - Country],T_SV_MEDALS[[#This Row],[COUNTRY ABBR]])+COUNTIFS(T_2016_EVENT_RESULTS[Silver - Country - 2],T_SV_MEDALS[[#This Row],[COUNTRY ABBR]])+COUNTIFS(T_2016_EVENT_RESULTS[Silver - Country - 3],T_SV_MEDALS[[#This Row],[COUNTRY ABBR]]))</f>
        <v>1</v>
      </c>
      <c r="E77" s="3">
        <f>IF(I_VIEW=2,"",COUNTIFS(T_2016_EVENT_RESULTS[Bronze - Country],T_SV_MEDALS[[#This Row],[COUNTRY ABBR]])+COUNTIFS(T_2016_EVENT_RESULTS[Bronze - Country - 2],T_SV_MEDALS[[#This Row],[COUNTRY ABBR]]))</f>
        <v>2</v>
      </c>
      <c r="F77" s="3">
        <f>SUM(T_SV_MEDALS[[#This Row],[GOLD]:[BRONZE]])</f>
        <v>6</v>
      </c>
      <c r="G77" s="3">
        <f>IF(T_SV_MEDALS[[#This Row],[TOTAL]]=0,"",IF(I_RANK_METHOD="TOTAL",(T_SV_MEDALS[[#This Row],[TOTAL]]*10000000),0)+(T_SV_MEDALS[[#This Row],[GOLD]]*100000)+(T_SV_MEDALS[[#This Row],[SILVER]]*1000)+(T_SV_MEDALS[[#This Row],[BRONZE]]*10))</f>
        <v>60301020</v>
      </c>
      <c r="H77" s="3">
        <f>IFERROR(IF(T_SV_MEDALS[[#This Row],[TOTAL]]=0,"",RANK(T_SV_MEDALS[[#This Row],[RANK VALUE]],T_SV_MEDALS[RANK VALUE])),"")</f>
        <v>39</v>
      </c>
      <c r="I77" s="3">
        <f>IFERROR(IF(T_SV_MEDALS[[#This Row],[TOTAL]]=0,"",RANK(T_SV_MEDALS[[#This Row],[RANK VALUE]],T_SV_MEDALS[RANK VALUE])+COUNTIF($H$2:H76,H77)),"")</f>
        <v>39</v>
      </c>
      <c r="J77" t="str">
        <f>IF(I_VIEW=3, COUNTIFS(T_2016_EVENT_RESULTS[SPORT],I_SV_SPORT,T_2016_EVENT_RESULTS[Gold - Country],T_SV_MEDALS[[#This Row],[COUNTRY ABBR]])+COUNTIFS(T_2016_EVENT_RESULTS[SPORT],I_SV_SPORT,T_2016_EVENT_RESULTS[Gold - Country - 2],T_SV_MEDALS[[#This Row],[COUNTRY ABBR]]),"")</f>
        <v/>
      </c>
      <c r="K77" t="str">
        <f>IF(I_VIEW=3, COUNTIFS(T_2016_EVENT_RESULTS[SPORT],I_SV_SPORT,T_2016_EVENT_RESULTS[Silver - Country],T_SV_MEDALS[[#This Row],[COUNTRY ABBR]])+COUNTIFS(T_2016_EVENT_RESULTS[SPORT],I_SV_SPORT,T_2016_EVENT_RESULTS[Silver - Country - 2],T_SV_MEDALS[[#This Row],[COUNTRY ABBR]])+COUNTIFS(T_2016_EVENT_RESULTS[SPORT],I_SV_SPORT,T_2016_EVENT_RESULTS[Silver - Country - 3],T_SV_MEDALS[[#This Row],[COUNTRY ABBR]]),"")</f>
        <v/>
      </c>
      <c r="L77" t="str">
        <f>IF(I_VIEW=3, COUNTIFS(T_2016_EVENT_RESULTS[SPORT],I_SV_SPORT,T_2016_EVENT_RESULTS[Bronze - Country],T_SV_MEDALS[[#This Row],[COUNTRY ABBR]])+COUNTIFS(T_2016_EVENT_RESULTS[SPORT],I_SV_SPORT,T_2016_EVENT_RESULTS[Bronze - Country - 2],T_SV_MEDALS[[#This Row],[COUNTRY ABBR]]),"")</f>
        <v/>
      </c>
      <c r="M77" s="3">
        <f>SUM(T_SV_MEDALS[[#This Row],[SV_GOLD]:[SV_BRONZE]])</f>
        <v>0</v>
      </c>
      <c r="N77" s="3" t="str">
        <f>IF(T_SV_MEDALS[[#This Row],[SV_TOTAL]]=0,"",IF(I_RANK_METHOD="TOTAL",(T_SV_MEDALS[[#This Row],[SV_TOTAL]]*10000000),0)+(T_SV_MEDALS[[#This Row],[SV_GOLD]]*100000)+(T_SV_MEDALS[[#This Row],[SV_SILVER]]*1000)+(T_SV_MEDALS[[#This Row],[SV_BRONZE]]*10))</f>
        <v/>
      </c>
      <c r="O77" s="3" t="str">
        <f>IFERROR(IF(T_SV_MEDALS[[#This Row],[SV_TOTAL]]=0,"",RANK(T_SV_MEDALS[[#This Row],[SV_RANK VALUE]],T_SV_MEDALS[SV_RANK VALUE])),"")</f>
        <v/>
      </c>
      <c r="P77" s="3" t="str">
        <f>IFERROR(IF(T_SV_MEDALS[[#This Row],[SV_TOTAL]]=0,"",RANK(T_SV_MEDALS[[#This Row],[SV_RANK VALUE]],T_SV_MEDALS[SV_RANK VALUE])+COUNTIF($O$2:O76,O77)),"")</f>
        <v/>
      </c>
      <c r="Q77" s="3">
        <f>IFERROR(T_SV_MEDALS[[#This Row],[SV_TOTAL]]/T_SV_MEDALS[[#This Row],[TOTAL]],"")</f>
        <v>0</v>
      </c>
      <c r="R77" s="3" t="str">
        <f>IFERROR(IF(T_SV_MEDALS[[#This Row],[SV_TOTAL]]=0,"",RANK(T_SV_MEDALS[[#This Row],[Dependency - Rank Value]],T_SV_MEDALS[Dependency - Rank Value])+COUNTIF($Q$2:Q76,Q77)),"")</f>
        <v/>
      </c>
    </row>
    <row r="78" spans="1:18" x14ac:dyDescent="0.25">
      <c r="A78" t="s">
        <v>141</v>
      </c>
      <c r="B78" t="s">
        <v>142</v>
      </c>
      <c r="C78" s="3">
        <f>IF(I_VIEW=2,"",COUNTIFS(T_2016_EVENT_RESULTS[Gold - Country],T_SV_MEDALS[[#This Row],[COUNTRY ABBR]])+COUNTIFS(T_2016_EVENT_RESULTS[Gold - Country - 2],T_SV_MEDALS[[#This Row],[COUNTRY ABBR]]))</f>
        <v>0</v>
      </c>
      <c r="D78" s="3">
        <f>IF(I_VIEW=2,"",COUNTIFS(T_2016_EVENT_RESULTS[Silver - Country],T_SV_MEDALS[[#This Row],[COUNTRY ABBR]])+COUNTIFS(T_2016_EVENT_RESULTS[Silver - Country - 2],T_SV_MEDALS[[#This Row],[COUNTRY ABBR]])+COUNTIFS(T_2016_EVENT_RESULTS[Silver - Country - 3],T_SV_MEDALS[[#This Row],[COUNTRY ABBR]]))</f>
        <v>1</v>
      </c>
      <c r="E78" s="3">
        <f>IF(I_VIEW=2,"",COUNTIFS(T_2016_EVENT_RESULTS[Bronze - Country],T_SV_MEDALS[[#This Row],[COUNTRY ABBR]])+COUNTIFS(T_2016_EVENT_RESULTS[Bronze - Country - 2],T_SV_MEDALS[[#This Row],[COUNTRY ABBR]]))</f>
        <v>0</v>
      </c>
      <c r="F78" s="3">
        <f>SUM(T_SV_MEDALS[[#This Row],[GOLD]:[BRONZE]])</f>
        <v>1</v>
      </c>
      <c r="G78" s="3">
        <f>IF(T_SV_MEDALS[[#This Row],[TOTAL]]=0,"",IF(I_RANK_METHOD="TOTAL",(T_SV_MEDALS[[#This Row],[TOTAL]]*10000000),0)+(T_SV_MEDALS[[#This Row],[GOLD]]*100000)+(T_SV_MEDALS[[#This Row],[SILVER]]*1000)+(T_SV_MEDALS[[#This Row],[BRONZE]]*10))</f>
        <v>10001000</v>
      </c>
      <c r="H78" s="3">
        <f>IFERROR(IF(T_SV_MEDALS[[#This Row],[TOTAL]]=0,"",RANK(T_SV_MEDALS[[#This Row],[RANK VALUE]],T_SV_MEDALS[RANK VALUE])),"")</f>
        <v>73</v>
      </c>
      <c r="I78" s="3">
        <f>IFERROR(IF(T_SV_MEDALS[[#This Row],[TOTAL]]=0,"",RANK(T_SV_MEDALS[[#This Row],[RANK VALUE]],T_SV_MEDALS[RANK VALUE])+COUNTIF($H$2:H77,H78)),"")</f>
        <v>74</v>
      </c>
      <c r="J78" t="str">
        <f>IF(I_VIEW=3, COUNTIFS(T_2016_EVENT_RESULTS[SPORT],I_SV_SPORT,T_2016_EVENT_RESULTS[Gold - Country],T_SV_MEDALS[[#This Row],[COUNTRY ABBR]])+COUNTIFS(T_2016_EVENT_RESULTS[SPORT],I_SV_SPORT,T_2016_EVENT_RESULTS[Gold - Country - 2],T_SV_MEDALS[[#This Row],[COUNTRY ABBR]]),"")</f>
        <v/>
      </c>
      <c r="K78" t="str">
        <f>IF(I_VIEW=3, COUNTIFS(T_2016_EVENT_RESULTS[SPORT],I_SV_SPORT,T_2016_EVENT_RESULTS[Silver - Country],T_SV_MEDALS[[#This Row],[COUNTRY ABBR]])+COUNTIFS(T_2016_EVENT_RESULTS[SPORT],I_SV_SPORT,T_2016_EVENT_RESULTS[Silver - Country - 2],T_SV_MEDALS[[#This Row],[COUNTRY ABBR]])+COUNTIFS(T_2016_EVENT_RESULTS[SPORT],I_SV_SPORT,T_2016_EVENT_RESULTS[Silver - Country - 3],T_SV_MEDALS[[#This Row],[COUNTRY ABBR]]),"")</f>
        <v/>
      </c>
      <c r="L78" t="str">
        <f>IF(I_VIEW=3, COUNTIFS(T_2016_EVENT_RESULTS[SPORT],I_SV_SPORT,T_2016_EVENT_RESULTS[Bronze - Country],T_SV_MEDALS[[#This Row],[COUNTRY ABBR]])+COUNTIFS(T_2016_EVENT_RESULTS[SPORT],I_SV_SPORT,T_2016_EVENT_RESULTS[Bronze - Country - 2],T_SV_MEDALS[[#This Row],[COUNTRY ABBR]]),"")</f>
        <v/>
      </c>
      <c r="M78" s="3">
        <f>SUM(T_SV_MEDALS[[#This Row],[SV_GOLD]:[SV_BRONZE]])</f>
        <v>0</v>
      </c>
      <c r="N78" s="3" t="str">
        <f>IF(T_SV_MEDALS[[#This Row],[SV_TOTAL]]=0,"",IF(I_RANK_METHOD="TOTAL",(T_SV_MEDALS[[#This Row],[SV_TOTAL]]*10000000),0)+(T_SV_MEDALS[[#This Row],[SV_GOLD]]*100000)+(T_SV_MEDALS[[#This Row],[SV_SILVER]]*1000)+(T_SV_MEDALS[[#This Row],[SV_BRONZE]]*10))</f>
        <v/>
      </c>
      <c r="O78" s="3" t="str">
        <f>IFERROR(IF(T_SV_MEDALS[[#This Row],[SV_TOTAL]]=0,"",RANK(T_SV_MEDALS[[#This Row],[SV_RANK VALUE]],T_SV_MEDALS[SV_RANK VALUE])),"")</f>
        <v/>
      </c>
      <c r="P78" s="3" t="str">
        <f>IFERROR(IF(T_SV_MEDALS[[#This Row],[SV_TOTAL]]=0,"",RANK(T_SV_MEDALS[[#This Row],[SV_RANK VALUE]],T_SV_MEDALS[SV_RANK VALUE])+COUNTIF($O$2:O77,O78)),"")</f>
        <v/>
      </c>
      <c r="Q78" s="3">
        <f>IFERROR(T_SV_MEDALS[[#This Row],[SV_TOTAL]]/T_SV_MEDALS[[#This Row],[TOTAL]],"")</f>
        <v>0</v>
      </c>
      <c r="R78" s="3" t="str">
        <f>IFERROR(IF(T_SV_MEDALS[[#This Row],[SV_TOTAL]]=0,"",RANK(T_SV_MEDALS[[#This Row],[Dependency - Rank Value]],T_SV_MEDALS[Dependency - Rank Value])+COUNTIF($Q$2:Q77,Q78)),"")</f>
        <v/>
      </c>
    </row>
    <row r="79" spans="1:18" x14ac:dyDescent="0.25">
      <c r="A79" t="s">
        <v>143</v>
      </c>
      <c r="B79" t="s">
        <v>144</v>
      </c>
      <c r="C79" s="3">
        <f>IF(I_VIEW=2,"",COUNTIFS(T_2016_EVENT_RESULTS[Gold - Country],T_SV_MEDALS[[#This Row],[COUNTRY ABBR]])+COUNTIFS(T_2016_EVENT_RESULTS[Gold - Country - 2],T_SV_MEDALS[[#This Row],[COUNTRY ABBR]]))</f>
        <v>0</v>
      </c>
      <c r="D79" s="3">
        <f>IF(I_VIEW=2,"",COUNTIFS(T_2016_EVENT_RESULTS[Silver - Country],T_SV_MEDALS[[#This Row],[COUNTRY ABBR]])+COUNTIFS(T_2016_EVENT_RESULTS[Silver - Country - 2],T_SV_MEDALS[[#This Row],[COUNTRY ABBR]])+COUNTIFS(T_2016_EVENT_RESULTS[Silver - Country - 3],T_SV_MEDALS[[#This Row],[COUNTRY ABBR]]))</f>
        <v>0</v>
      </c>
      <c r="E79" s="3">
        <f>IF(I_VIEW=2,"",COUNTIFS(T_2016_EVENT_RESULTS[Bronze - Country],T_SV_MEDALS[[#This Row],[COUNTRY ABBR]])+COUNTIFS(T_2016_EVENT_RESULTS[Bronze - Country - 2],T_SV_MEDALS[[#This Row],[COUNTRY ABBR]]))</f>
        <v>0</v>
      </c>
      <c r="F79" s="3">
        <f>SUM(T_SV_MEDALS[[#This Row],[GOLD]:[BRONZE]])</f>
        <v>0</v>
      </c>
      <c r="G79" s="3" t="str">
        <f>IF(T_SV_MEDALS[[#This Row],[TOTAL]]=0,"",IF(I_RANK_METHOD="TOTAL",(T_SV_MEDALS[[#This Row],[TOTAL]]*10000000),0)+(T_SV_MEDALS[[#This Row],[GOLD]]*100000)+(T_SV_MEDALS[[#This Row],[SILVER]]*1000)+(T_SV_MEDALS[[#This Row],[BRONZE]]*10))</f>
        <v/>
      </c>
      <c r="H79" s="3" t="str">
        <f>IFERROR(IF(T_SV_MEDALS[[#This Row],[TOTAL]]=0,"",RANK(T_SV_MEDALS[[#This Row],[RANK VALUE]],T_SV_MEDALS[RANK VALUE])),"")</f>
        <v/>
      </c>
      <c r="I79" s="3" t="str">
        <f>IFERROR(IF(T_SV_MEDALS[[#This Row],[TOTAL]]=0,"",RANK(T_SV_MEDALS[[#This Row],[RANK VALUE]],T_SV_MEDALS[RANK VALUE])+COUNTIF($H$2:H78,H79)),"")</f>
        <v/>
      </c>
      <c r="J79" t="str">
        <f>IF(I_VIEW=3, COUNTIFS(T_2016_EVENT_RESULTS[SPORT],I_SV_SPORT,T_2016_EVENT_RESULTS[Gold - Country],T_SV_MEDALS[[#This Row],[COUNTRY ABBR]])+COUNTIFS(T_2016_EVENT_RESULTS[SPORT],I_SV_SPORT,T_2016_EVENT_RESULTS[Gold - Country - 2],T_SV_MEDALS[[#This Row],[COUNTRY ABBR]]),"")</f>
        <v/>
      </c>
      <c r="K79" t="str">
        <f>IF(I_VIEW=3, COUNTIFS(T_2016_EVENT_RESULTS[SPORT],I_SV_SPORT,T_2016_EVENT_RESULTS[Silver - Country],T_SV_MEDALS[[#This Row],[COUNTRY ABBR]])+COUNTIFS(T_2016_EVENT_RESULTS[SPORT],I_SV_SPORT,T_2016_EVENT_RESULTS[Silver - Country - 2],T_SV_MEDALS[[#This Row],[COUNTRY ABBR]])+COUNTIFS(T_2016_EVENT_RESULTS[SPORT],I_SV_SPORT,T_2016_EVENT_RESULTS[Silver - Country - 3],T_SV_MEDALS[[#This Row],[COUNTRY ABBR]]),"")</f>
        <v/>
      </c>
      <c r="L79" t="str">
        <f>IF(I_VIEW=3, COUNTIFS(T_2016_EVENT_RESULTS[SPORT],I_SV_SPORT,T_2016_EVENT_RESULTS[Bronze - Country],T_SV_MEDALS[[#This Row],[COUNTRY ABBR]])+COUNTIFS(T_2016_EVENT_RESULTS[SPORT],I_SV_SPORT,T_2016_EVENT_RESULTS[Bronze - Country - 2],T_SV_MEDALS[[#This Row],[COUNTRY ABBR]]),"")</f>
        <v/>
      </c>
      <c r="M79" s="3">
        <f>SUM(T_SV_MEDALS[[#This Row],[SV_GOLD]:[SV_BRONZE]])</f>
        <v>0</v>
      </c>
      <c r="N79" s="3" t="str">
        <f>IF(T_SV_MEDALS[[#This Row],[SV_TOTAL]]=0,"",IF(I_RANK_METHOD="TOTAL",(T_SV_MEDALS[[#This Row],[SV_TOTAL]]*10000000),0)+(T_SV_MEDALS[[#This Row],[SV_GOLD]]*100000)+(T_SV_MEDALS[[#This Row],[SV_SILVER]]*1000)+(T_SV_MEDALS[[#This Row],[SV_BRONZE]]*10))</f>
        <v/>
      </c>
      <c r="O79" s="3" t="str">
        <f>IFERROR(IF(T_SV_MEDALS[[#This Row],[SV_TOTAL]]=0,"",RANK(T_SV_MEDALS[[#This Row],[SV_RANK VALUE]],T_SV_MEDALS[SV_RANK VALUE])),"")</f>
        <v/>
      </c>
      <c r="P79" s="3" t="str">
        <f>IFERROR(IF(T_SV_MEDALS[[#This Row],[SV_TOTAL]]=0,"",RANK(T_SV_MEDALS[[#This Row],[SV_RANK VALUE]],T_SV_MEDALS[SV_RANK VALUE])+COUNTIF($O$2:O78,O79)),"")</f>
        <v/>
      </c>
      <c r="Q79" s="3" t="str">
        <f>IFERROR(T_SV_MEDALS[[#This Row],[SV_TOTAL]]/T_SV_MEDALS[[#This Row],[TOTAL]],"")</f>
        <v/>
      </c>
      <c r="R79" s="3" t="str">
        <f>IFERROR(IF(T_SV_MEDALS[[#This Row],[SV_TOTAL]]=0,"",RANK(T_SV_MEDALS[[#This Row],[Dependency - Rank Value]],T_SV_MEDALS[Dependency - Rank Value])+COUNTIF($Q$2:Q78,Q79)),"")</f>
        <v/>
      </c>
    </row>
    <row r="80" spans="1:18" x14ac:dyDescent="0.25">
      <c r="A80" t="s">
        <v>145</v>
      </c>
      <c r="B80" t="s">
        <v>146</v>
      </c>
      <c r="C80" s="3">
        <f>IF(I_VIEW=2,"",COUNTIFS(T_2016_EVENT_RESULTS[Gold - Country],T_SV_MEDALS[[#This Row],[COUNTRY ABBR]])+COUNTIFS(T_2016_EVENT_RESULTS[Gold - Country - 2],T_SV_MEDALS[[#This Row],[COUNTRY ABBR]]))</f>
        <v>0</v>
      </c>
      <c r="D80" s="3">
        <f>IF(I_VIEW=2,"",COUNTIFS(T_2016_EVENT_RESULTS[Silver - Country],T_SV_MEDALS[[#This Row],[COUNTRY ABBR]])+COUNTIFS(T_2016_EVENT_RESULTS[Silver - Country - 2],T_SV_MEDALS[[#This Row],[COUNTRY ABBR]])+COUNTIFS(T_2016_EVENT_RESULTS[Silver - Country - 3],T_SV_MEDALS[[#This Row],[COUNTRY ABBR]]))</f>
        <v>0</v>
      </c>
      <c r="E80" s="3">
        <f>IF(I_VIEW=2,"",COUNTIFS(T_2016_EVENT_RESULTS[Bronze - Country],T_SV_MEDALS[[#This Row],[COUNTRY ABBR]])+COUNTIFS(T_2016_EVENT_RESULTS[Bronze - Country - 2],T_SV_MEDALS[[#This Row],[COUNTRY ABBR]]))</f>
        <v>0</v>
      </c>
      <c r="F80" s="3">
        <f>SUM(T_SV_MEDALS[[#This Row],[GOLD]:[BRONZE]])</f>
        <v>0</v>
      </c>
      <c r="G80" s="3" t="str">
        <f>IF(T_SV_MEDALS[[#This Row],[TOTAL]]=0,"",IF(I_RANK_METHOD="TOTAL",(T_SV_MEDALS[[#This Row],[TOTAL]]*10000000),0)+(T_SV_MEDALS[[#This Row],[GOLD]]*100000)+(T_SV_MEDALS[[#This Row],[SILVER]]*1000)+(T_SV_MEDALS[[#This Row],[BRONZE]]*10))</f>
        <v/>
      </c>
      <c r="H80" s="3" t="str">
        <f>IFERROR(IF(T_SV_MEDALS[[#This Row],[TOTAL]]=0,"",RANK(T_SV_MEDALS[[#This Row],[RANK VALUE]],T_SV_MEDALS[RANK VALUE])),"")</f>
        <v/>
      </c>
      <c r="I80" s="3" t="str">
        <f>IFERROR(IF(T_SV_MEDALS[[#This Row],[TOTAL]]=0,"",RANK(T_SV_MEDALS[[#This Row],[RANK VALUE]],T_SV_MEDALS[RANK VALUE])+COUNTIF($H$2:H79,H80)),"")</f>
        <v/>
      </c>
      <c r="J80" t="str">
        <f>IF(I_VIEW=3, COUNTIFS(T_2016_EVENT_RESULTS[SPORT],I_SV_SPORT,T_2016_EVENT_RESULTS[Gold - Country],T_SV_MEDALS[[#This Row],[COUNTRY ABBR]])+COUNTIFS(T_2016_EVENT_RESULTS[SPORT],I_SV_SPORT,T_2016_EVENT_RESULTS[Gold - Country - 2],T_SV_MEDALS[[#This Row],[COUNTRY ABBR]]),"")</f>
        <v/>
      </c>
      <c r="K80" t="str">
        <f>IF(I_VIEW=3, COUNTIFS(T_2016_EVENT_RESULTS[SPORT],I_SV_SPORT,T_2016_EVENT_RESULTS[Silver - Country],T_SV_MEDALS[[#This Row],[COUNTRY ABBR]])+COUNTIFS(T_2016_EVENT_RESULTS[SPORT],I_SV_SPORT,T_2016_EVENT_RESULTS[Silver - Country - 2],T_SV_MEDALS[[#This Row],[COUNTRY ABBR]])+COUNTIFS(T_2016_EVENT_RESULTS[SPORT],I_SV_SPORT,T_2016_EVENT_RESULTS[Silver - Country - 3],T_SV_MEDALS[[#This Row],[COUNTRY ABBR]]),"")</f>
        <v/>
      </c>
      <c r="L80" t="str">
        <f>IF(I_VIEW=3, COUNTIFS(T_2016_EVENT_RESULTS[SPORT],I_SV_SPORT,T_2016_EVENT_RESULTS[Bronze - Country],T_SV_MEDALS[[#This Row],[COUNTRY ABBR]])+COUNTIFS(T_2016_EVENT_RESULTS[SPORT],I_SV_SPORT,T_2016_EVENT_RESULTS[Bronze - Country - 2],T_SV_MEDALS[[#This Row],[COUNTRY ABBR]]),"")</f>
        <v/>
      </c>
      <c r="M80" s="3">
        <f>SUM(T_SV_MEDALS[[#This Row],[SV_GOLD]:[SV_BRONZE]])</f>
        <v>0</v>
      </c>
      <c r="N80" s="3" t="str">
        <f>IF(T_SV_MEDALS[[#This Row],[SV_TOTAL]]=0,"",IF(I_RANK_METHOD="TOTAL",(T_SV_MEDALS[[#This Row],[SV_TOTAL]]*10000000),0)+(T_SV_MEDALS[[#This Row],[SV_GOLD]]*100000)+(T_SV_MEDALS[[#This Row],[SV_SILVER]]*1000)+(T_SV_MEDALS[[#This Row],[SV_BRONZE]]*10))</f>
        <v/>
      </c>
      <c r="O80" s="3" t="str">
        <f>IFERROR(IF(T_SV_MEDALS[[#This Row],[SV_TOTAL]]=0,"",RANK(T_SV_MEDALS[[#This Row],[SV_RANK VALUE]],T_SV_MEDALS[SV_RANK VALUE])),"")</f>
        <v/>
      </c>
      <c r="P80" s="3" t="str">
        <f>IFERROR(IF(T_SV_MEDALS[[#This Row],[SV_TOTAL]]=0,"",RANK(T_SV_MEDALS[[#This Row],[SV_RANK VALUE]],T_SV_MEDALS[SV_RANK VALUE])+COUNTIF($O$2:O79,O80)),"")</f>
        <v/>
      </c>
      <c r="Q80" s="3" t="str">
        <f>IFERROR(T_SV_MEDALS[[#This Row],[SV_TOTAL]]/T_SV_MEDALS[[#This Row],[TOTAL]],"")</f>
        <v/>
      </c>
      <c r="R80" s="3" t="str">
        <f>IFERROR(IF(T_SV_MEDALS[[#This Row],[SV_TOTAL]]=0,"",RANK(T_SV_MEDALS[[#This Row],[Dependency - Rank Value]],T_SV_MEDALS[Dependency - Rank Value])+COUNTIF($Q$2:Q79,Q80)),"")</f>
        <v/>
      </c>
    </row>
    <row r="81" spans="1:18" x14ac:dyDescent="0.25">
      <c r="A81" t="s">
        <v>147</v>
      </c>
      <c r="B81" t="s">
        <v>148</v>
      </c>
      <c r="C81" s="3">
        <f>IF(I_VIEW=2,"",COUNTIFS(T_2016_EVENT_RESULTS[Gold - Country],T_SV_MEDALS[[#This Row],[COUNTRY ABBR]])+COUNTIFS(T_2016_EVENT_RESULTS[Gold - Country - 2],T_SV_MEDALS[[#This Row],[COUNTRY ABBR]]))</f>
        <v>0</v>
      </c>
      <c r="D81" s="3">
        <f>IF(I_VIEW=2,"",COUNTIFS(T_2016_EVENT_RESULTS[Silver - Country],T_SV_MEDALS[[#This Row],[COUNTRY ABBR]])+COUNTIFS(T_2016_EVENT_RESULTS[Silver - Country - 2],T_SV_MEDALS[[#This Row],[COUNTRY ABBR]])+COUNTIFS(T_2016_EVENT_RESULTS[Silver - Country - 3],T_SV_MEDALS[[#This Row],[COUNTRY ABBR]]))</f>
        <v>0</v>
      </c>
      <c r="E81" s="3">
        <f>IF(I_VIEW=2,"",COUNTIFS(T_2016_EVENT_RESULTS[Bronze - Country],T_SV_MEDALS[[#This Row],[COUNTRY ABBR]])+COUNTIFS(T_2016_EVENT_RESULTS[Bronze - Country - 2],T_SV_MEDALS[[#This Row],[COUNTRY ABBR]]))</f>
        <v>0</v>
      </c>
      <c r="F81" s="3">
        <f>SUM(T_SV_MEDALS[[#This Row],[GOLD]:[BRONZE]])</f>
        <v>0</v>
      </c>
      <c r="G81" s="3" t="str">
        <f>IF(T_SV_MEDALS[[#This Row],[TOTAL]]=0,"",IF(I_RANK_METHOD="TOTAL",(T_SV_MEDALS[[#This Row],[TOTAL]]*10000000),0)+(T_SV_MEDALS[[#This Row],[GOLD]]*100000)+(T_SV_MEDALS[[#This Row],[SILVER]]*1000)+(T_SV_MEDALS[[#This Row],[BRONZE]]*10))</f>
        <v/>
      </c>
      <c r="H81" s="3" t="str">
        <f>IFERROR(IF(T_SV_MEDALS[[#This Row],[TOTAL]]=0,"",RANK(T_SV_MEDALS[[#This Row],[RANK VALUE]],T_SV_MEDALS[RANK VALUE])),"")</f>
        <v/>
      </c>
      <c r="I81" s="3" t="str">
        <f>IFERROR(IF(T_SV_MEDALS[[#This Row],[TOTAL]]=0,"",RANK(T_SV_MEDALS[[#This Row],[RANK VALUE]],T_SV_MEDALS[RANK VALUE])+COUNTIF($H$2:H80,H81)),"")</f>
        <v/>
      </c>
      <c r="J81" t="str">
        <f>IF(I_VIEW=3, COUNTIFS(T_2016_EVENT_RESULTS[SPORT],I_SV_SPORT,T_2016_EVENT_RESULTS[Gold - Country],T_SV_MEDALS[[#This Row],[COUNTRY ABBR]])+COUNTIFS(T_2016_EVENT_RESULTS[SPORT],I_SV_SPORT,T_2016_EVENT_RESULTS[Gold - Country - 2],T_SV_MEDALS[[#This Row],[COUNTRY ABBR]]),"")</f>
        <v/>
      </c>
      <c r="K81" t="str">
        <f>IF(I_VIEW=3, COUNTIFS(T_2016_EVENT_RESULTS[SPORT],I_SV_SPORT,T_2016_EVENT_RESULTS[Silver - Country],T_SV_MEDALS[[#This Row],[COUNTRY ABBR]])+COUNTIFS(T_2016_EVENT_RESULTS[SPORT],I_SV_SPORT,T_2016_EVENT_RESULTS[Silver - Country - 2],T_SV_MEDALS[[#This Row],[COUNTRY ABBR]])+COUNTIFS(T_2016_EVENT_RESULTS[SPORT],I_SV_SPORT,T_2016_EVENT_RESULTS[Silver - Country - 3],T_SV_MEDALS[[#This Row],[COUNTRY ABBR]]),"")</f>
        <v/>
      </c>
      <c r="L81" t="str">
        <f>IF(I_VIEW=3, COUNTIFS(T_2016_EVENT_RESULTS[SPORT],I_SV_SPORT,T_2016_EVENT_RESULTS[Bronze - Country],T_SV_MEDALS[[#This Row],[COUNTRY ABBR]])+COUNTIFS(T_2016_EVENT_RESULTS[SPORT],I_SV_SPORT,T_2016_EVENT_RESULTS[Bronze - Country - 2],T_SV_MEDALS[[#This Row],[COUNTRY ABBR]]),"")</f>
        <v/>
      </c>
      <c r="M81" s="3">
        <f>SUM(T_SV_MEDALS[[#This Row],[SV_GOLD]:[SV_BRONZE]])</f>
        <v>0</v>
      </c>
      <c r="N81" s="3" t="str">
        <f>IF(T_SV_MEDALS[[#This Row],[SV_TOTAL]]=0,"",IF(I_RANK_METHOD="TOTAL",(T_SV_MEDALS[[#This Row],[SV_TOTAL]]*10000000),0)+(T_SV_MEDALS[[#This Row],[SV_GOLD]]*100000)+(T_SV_MEDALS[[#This Row],[SV_SILVER]]*1000)+(T_SV_MEDALS[[#This Row],[SV_BRONZE]]*10))</f>
        <v/>
      </c>
      <c r="O81" s="3" t="str">
        <f>IFERROR(IF(T_SV_MEDALS[[#This Row],[SV_TOTAL]]=0,"",RANK(T_SV_MEDALS[[#This Row],[SV_RANK VALUE]],T_SV_MEDALS[SV_RANK VALUE])),"")</f>
        <v/>
      </c>
      <c r="P81" s="3" t="str">
        <f>IFERROR(IF(T_SV_MEDALS[[#This Row],[SV_TOTAL]]=0,"",RANK(T_SV_MEDALS[[#This Row],[SV_RANK VALUE]],T_SV_MEDALS[SV_RANK VALUE])+COUNTIF($O$2:O80,O81)),"")</f>
        <v/>
      </c>
      <c r="Q81" s="3" t="str">
        <f>IFERROR(T_SV_MEDALS[[#This Row],[SV_TOTAL]]/T_SV_MEDALS[[#This Row],[TOTAL]],"")</f>
        <v/>
      </c>
      <c r="R81" s="3" t="str">
        <f>IFERROR(IF(T_SV_MEDALS[[#This Row],[SV_TOTAL]]=0,"",RANK(T_SV_MEDALS[[#This Row],[Dependency - Rank Value]],T_SV_MEDALS[Dependency - Rank Value])+COUNTIF($Q$2:Q80,Q81)),"")</f>
        <v/>
      </c>
    </row>
    <row r="82" spans="1:18" x14ac:dyDescent="0.25">
      <c r="A82" t="s">
        <v>149</v>
      </c>
      <c r="B82" t="s">
        <v>150</v>
      </c>
      <c r="C82" s="3">
        <f>IF(I_VIEW=2,"",COUNTIFS(T_2016_EVENT_RESULTS[Gold - Country],T_SV_MEDALS[[#This Row],[COUNTRY ABBR]])+COUNTIFS(T_2016_EVENT_RESULTS[Gold - Country - 2],T_SV_MEDALS[[#This Row],[COUNTRY ABBR]]))</f>
        <v>0</v>
      </c>
      <c r="D82" s="3">
        <f>IF(I_VIEW=2,"",COUNTIFS(T_2016_EVENT_RESULTS[Silver - Country],T_SV_MEDALS[[#This Row],[COUNTRY ABBR]])+COUNTIFS(T_2016_EVENT_RESULTS[Silver - Country - 2],T_SV_MEDALS[[#This Row],[COUNTRY ABBR]])+COUNTIFS(T_2016_EVENT_RESULTS[Silver - Country - 3],T_SV_MEDALS[[#This Row],[COUNTRY ABBR]]))</f>
        <v>0</v>
      </c>
      <c r="E82" s="3">
        <f>IF(I_VIEW=2,"",COUNTIFS(T_2016_EVENT_RESULTS[Bronze - Country],T_SV_MEDALS[[#This Row],[COUNTRY ABBR]])+COUNTIFS(T_2016_EVENT_RESULTS[Bronze - Country - 2],T_SV_MEDALS[[#This Row],[COUNTRY ABBR]]))</f>
        <v>0</v>
      </c>
      <c r="F82" s="3">
        <f>SUM(T_SV_MEDALS[[#This Row],[GOLD]:[BRONZE]])</f>
        <v>0</v>
      </c>
      <c r="G82" s="3" t="str">
        <f>IF(T_SV_MEDALS[[#This Row],[TOTAL]]=0,"",IF(I_RANK_METHOD="TOTAL",(T_SV_MEDALS[[#This Row],[TOTAL]]*10000000),0)+(T_SV_MEDALS[[#This Row],[GOLD]]*100000)+(T_SV_MEDALS[[#This Row],[SILVER]]*1000)+(T_SV_MEDALS[[#This Row],[BRONZE]]*10))</f>
        <v/>
      </c>
      <c r="H82" s="3" t="str">
        <f>IFERROR(IF(T_SV_MEDALS[[#This Row],[TOTAL]]=0,"",RANK(T_SV_MEDALS[[#This Row],[RANK VALUE]],T_SV_MEDALS[RANK VALUE])),"")</f>
        <v/>
      </c>
      <c r="I82" s="3" t="str">
        <f>IFERROR(IF(T_SV_MEDALS[[#This Row],[TOTAL]]=0,"",RANK(T_SV_MEDALS[[#This Row],[RANK VALUE]],T_SV_MEDALS[RANK VALUE])+COUNTIF($H$2:H81,H82)),"")</f>
        <v/>
      </c>
      <c r="J82" t="str">
        <f>IF(I_VIEW=3, COUNTIFS(T_2016_EVENT_RESULTS[SPORT],I_SV_SPORT,T_2016_EVENT_RESULTS[Gold - Country],T_SV_MEDALS[[#This Row],[COUNTRY ABBR]])+COUNTIFS(T_2016_EVENT_RESULTS[SPORT],I_SV_SPORT,T_2016_EVENT_RESULTS[Gold - Country - 2],T_SV_MEDALS[[#This Row],[COUNTRY ABBR]]),"")</f>
        <v/>
      </c>
      <c r="K82" t="str">
        <f>IF(I_VIEW=3, COUNTIFS(T_2016_EVENT_RESULTS[SPORT],I_SV_SPORT,T_2016_EVENT_RESULTS[Silver - Country],T_SV_MEDALS[[#This Row],[COUNTRY ABBR]])+COUNTIFS(T_2016_EVENT_RESULTS[SPORT],I_SV_SPORT,T_2016_EVENT_RESULTS[Silver - Country - 2],T_SV_MEDALS[[#This Row],[COUNTRY ABBR]])+COUNTIFS(T_2016_EVENT_RESULTS[SPORT],I_SV_SPORT,T_2016_EVENT_RESULTS[Silver - Country - 3],T_SV_MEDALS[[#This Row],[COUNTRY ABBR]]),"")</f>
        <v/>
      </c>
      <c r="L82" t="str">
        <f>IF(I_VIEW=3, COUNTIFS(T_2016_EVENT_RESULTS[SPORT],I_SV_SPORT,T_2016_EVENT_RESULTS[Bronze - Country],T_SV_MEDALS[[#This Row],[COUNTRY ABBR]])+COUNTIFS(T_2016_EVENT_RESULTS[SPORT],I_SV_SPORT,T_2016_EVENT_RESULTS[Bronze - Country - 2],T_SV_MEDALS[[#This Row],[COUNTRY ABBR]]),"")</f>
        <v/>
      </c>
      <c r="M82" s="3">
        <f>SUM(T_SV_MEDALS[[#This Row],[SV_GOLD]:[SV_BRONZE]])</f>
        <v>0</v>
      </c>
      <c r="N82" s="3" t="str">
        <f>IF(T_SV_MEDALS[[#This Row],[SV_TOTAL]]=0,"",IF(I_RANK_METHOD="TOTAL",(T_SV_MEDALS[[#This Row],[SV_TOTAL]]*10000000),0)+(T_SV_MEDALS[[#This Row],[SV_GOLD]]*100000)+(T_SV_MEDALS[[#This Row],[SV_SILVER]]*1000)+(T_SV_MEDALS[[#This Row],[SV_BRONZE]]*10))</f>
        <v/>
      </c>
      <c r="O82" s="3" t="str">
        <f>IFERROR(IF(T_SV_MEDALS[[#This Row],[SV_TOTAL]]=0,"",RANK(T_SV_MEDALS[[#This Row],[SV_RANK VALUE]],T_SV_MEDALS[SV_RANK VALUE])),"")</f>
        <v/>
      </c>
      <c r="P82" s="3" t="str">
        <f>IFERROR(IF(T_SV_MEDALS[[#This Row],[SV_TOTAL]]=0,"",RANK(T_SV_MEDALS[[#This Row],[SV_RANK VALUE]],T_SV_MEDALS[SV_RANK VALUE])+COUNTIF($O$2:O81,O82)),"")</f>
        <v/>
      </c>
      <c r="Q82" s="3" t="str">
        <f>IFERROR(T_SV_MEDALS[[#This Row],[SV_TOTAL]]/T_SV_MEDALS[[#This Row],[TOTAL]],"")</f>
        <v/>
      </c>
      <c r="R82" s="3" t="str">
        <f>IFERROR(IF(T_SV_MEDALS[[#This Row],[SV_TOTAL]]=0,"",RANK(T_SV_MEDALS[[#This Row],[Dependency - Rank Value]],T_SV_MEDALS[Dependency - Rank Value])+COUNTIF($Q$2:Q81,Q82)),"")</f>
        <v/>
      </c>
    </row>
    <row r="83" spans="1:18" x14ac:dyDescent="0.25">
      <c r="A83" t="s">
        <v>151</v>
      </c>
      <c r="B83" t="s">
        <v>152</v>
      </c>
      <c r="C83" s="3">
        <f>IF(I_VIEW=2,"",COUNTIFS(T_2016_EVENT_RESULTS[Gold - Country],T_SV_MEDALS[[#This Row],[COUNTRY ABBR]])+COUNTIFS(T_2016_EVENT_RESULTS[Gold - Country - 2],T_SV_MEDALS[[#This Row],[COUNTRY ABBR]]))</f>
        <v>0</v>
      </c>
      <c r="D83" s="3">
        <f>IF(I_VIEW=2,"",COUNTIFS(T_2016_EVENT_RESULTS[Silver - Country],T_SV_MEDALS[[#This Row],[COUNTRY ABBR]])+COUNTIFS(T_2016_EVENT_RESULTS[Silver - Country - 2],T_SV_MEDALS[[#This Row],[COUNTRY ABBR]])+COUNTIFS(T_2016_EVENT_RESULTS[Silver - Country - 3],T_SV_MEDALS[[#This Row],[COUNTRY ABBR]]))</f>
        <v>0</v>
      </c>
      <c r="E83" s="3">
        <f>IF(I_VIEW=2,"",COUNTIFS(T_2016_EVENT_RESULTS[Bronze - Country],T_SV_MEDALS[[#This Row],[COUNTRY ABBR]])+COUNTIFS(T_2016_EVENT_RESULTS[Bronze - Country - 2],T_SV_MEDALS[[#This Row],[COUNTRY ABBR]]))</f>
        <v>0</v>
      </c>
      <c r="F83" s="3">
        <f>SUM(T_SV_MEDALS[[#This Row],[GOLD]:[BRONZE]])</f>
        <v>0</v>
      </c>
      <c r="G83" s="3" t="str">
        <f>IF(T_SV_MEDALS[[#This Row],[TOTAL]]=0,"",IF(I_RANK_METHOD="TOTAL",(T_SV_MEDALS[[#This Row],[TOTAL]]*10000000),0)+(T_SV_MEDALS[[#This Row],[GOLD]]*100000)+(T_SV_MEDALS[[#This Row],[SILVER]]*1000)+(T_SV_MEDALS[[#This Row],[BRONZE]]*10))</f>
        <v/>
      </c>
      <c r="H83" s="3" t="str">
        <f>IFERROR(IF(T_SV_MEDALS[[#This Row],[TOTAL]]=0,"",RANK(T_SV_MEDALS[[#This Row],[RANK VALUE]],T_SV_MEDALS[RANK VALUE])),"")</f>
        <v/>
      </c>
      <c r="I83" s="3" t="str">
        <f>IFERROR(IF(T_SV_MEDALS[[#This Row],[TOTAL]]=0,"",RANK(T_SV_MEDALS[[#This Row],[RANK VALUE]],T_SV_MEDALS[RANK VALUE])+COUNTIF($H$2:H82,H83)),"")</f>
        <v/>
      </c>
      <c r="J83" t="str">
        <f>IF(I_VIEW=3, COUNTIFS(T_2016_EVENT_RESULTS[SPORT],I_SV_SPORT,T_2016_EVENT_RESULTS[Gold - Country],T_SV_MEDALS[[#This Row],[COUNTRY ABBR]])+COUNTIFS(T_2016_EVENT_RESULTS[SPORT],I_SV_SPORT,T_2016_EVENT_RESULTS[Gold - Country - 2],T_SV_MEDALS[[#This Row],[COUNTRY ABBR]]),"")</f>
        <v/>
      </c>
      <c r="K83" t="str">
        <f>IF(I_VIEW=3, COUNTIFS(T_2016_EVENT_RESULTS[SPORT],I_SV_SPORT,T_2016_EVENT_RESULTS[Silver - Country],T_SV_MEDALS[[#This Row],[COUNTRY ABBR]])+COUNTIFS(T_2016_EVENT_RESULTS[SPORT],I_SV_SPORT,T_2016_EVENT_RESULTS[Silver - Country - 2],T_SV_MEDALS[[#This Row],[COUNTRY ABBR]])+COUNTIFS(T_2016_EVENT_RESULTS[SPORT],I_SV_SPORT,T_2016_EVENT_RESULTS[Silver - Country - 3],T_SV_MEDALS[[#This Row],[COUNTRY ABBR]]),"")</f>
        <v/>
      </c>
      <c r="L83" t="str">
        <f>IF(I_VIEW=3, COUNTIFS(T_2016_EVENT_RESULTS[SPORT],I_SV_SPORT,T_2016_EVENT_RESULTS[Bronze - Country],T_SV_MEDALS[[#This Row],[COUNTRY ABBR]])+COUNTIFS(T_2016_EVENT_RESULTS[SPORT],I_SV_SPORT,T_2016_EVENT_RESULTS[Bronze - Country - 2],T_SV_MEDALS[[#This Row],[COUNTRY ABBR]]),"")</f>
        <v/>
      </c>
      <c r="M83" s="3">
        <f>SUM(T_SV_MEDALS[[#This Row],[SV_GOLD]:[SV_BRONZE]])</f>
        <v>0</v>
      </c>
      <c r="N83" s="3" t="str">
        <f>IF(T_SV_MEDALS[[#This Row],[SV_TOTAL]]=0,"",IF(I_RANK_METHOD="TOTAL",(T_SV_MEDALS[[#This Row],[SV_TOTAL]]*10000000),0)+(T_SV_MEDALS[[#This Row],[SV_GOLD]]*100000)+(T_SV_MEDALS[[#This Row],[SV_SILVER]]*1000)+(T_SV_MEDALS[[#This Row],[SV_BRONZE]]*10))</f>
        <v/>
      </c>
      <c r="O83" s="3" t="str">
        <f>IFERROR(IF(T_SV_MEDALS[[#This Row],[SV_TOTAL]]=0,"",RANK(T_SV_MEDALS[[#This Row],[SV_RANK VALUE]],T_SV_MEDALS[SV_RANK VALUE])),"")</f>
        <v/>
      </c>
      <c r="P83" s="3" t="str">
        <f>IFERROR(IF(T_SV_MEDALS[[#This Row],[SV_TOTAL]]=0,"",RANK(T_SV_MEDALS[[#This Row],[SV_RANK VALUE]],T_SV_MEDALS[SV_RANK VALUE])+COUNTIF($O$2:O82,O83)),"")</f>
        <v/>
      </c>
      <c r="Q83" s="3" t="str">
        <f>IFERROR(T_SV_MEDALS[[#This Row],[SV_TOTAL]]/T_SV_MEDALS[[#This Row],[TOTAL]],"")</f>
        <v/>
      </c>
      <c r="R83" s="3" t="str">
        <f>IFERROR(IF(T_SV_MEDALS[[#This Row],[SV_TOTAL]]=0,"",RANK(T_SV_MEDALS[[#This Row],[Dependency - Rank Value]],T_SV_MEDALS[Dependency - Rank Value])+COUNTIF($Q$2:Q82,Q83)),"")</f>
        <v/>
      </c>
    </row>
    <row r="84" spans="1:18" x14ac:dyDescent="0.25">
      <c r="A84" t="s">
        <v>153</v>
      </c>
      <c r="B84" t="s">
        <v>154</v>
      </c>
      <c r="C84" s="3">
        <f>IF(I_VIEW=2,"",COUNTIFS(T_2016_EVENT_RESULTS[Gold - Country],T_SV_MEDALS[[#This Row],[COUNTRY ABBR]])+COUNTIFS(T_2016_EVENT_RESULTS[Gold - Country - 2],T_SV_MEDALS[[#This Row],[COUNTRY ABBR]]))</f>
        <v>0</v>
      </c>
      <c r="D84" s="3">
        <f>IF(I_VIEW=2,"",COUNTIFS(T_2016_EVENT_RESULTS[Silver - Country],T_SV_MEDALS[[#This Row],[COUNTRY ABBR]])+COUNTIFS(T_2016_EVENT_RESULTS[Silver - Country - 2],T_SV_MEDALS[[#This Row],[COUNTRY ABBR]])+COUNTIFS(T_2016_EVENT_RESULTS[Silver - Country - 3],T_SV_MEDALS[[#This Row],[COUNTRY ABBR]]))</f>
        <v>0</v>
      </c>
      <c r="E84" s="3">
        <f>IF(I_VIEW=2,"",COUNTIFS(T_2016_EVENT_RESULTS[Bronze - Country],T_SV_MEDALS[[#This Row],[COUNTRY ABBR]])+COUNTIFS(T_2016_EVENT_RESULTS[Bronze - Country - 2],T_SV_MEDALS[[#This Row],[COUNTRY ABBR]]))</f>
        <v>0</v>
      </c>
      <c r="F84" s="3">
        <f>SUM(T_SV_MEDALS[[#This Row],[GOLD]:[BRONZE]])</f>
        <v>0</v>
      </c>
      <c r="G84" s="3" t="str">
        <f>IF(T_SV_MEDALS[[#This Row],[TOTAL]]=0,"",IF(I_RANK_METHOD="TOTAL",(T_SV_MEDALS[[#This Row],[TOTAL]]*10000000),0)+(T_SV_MEDALS[[#This Row],[GOLD]]*100000)+(T_SV_MEDALS[[#This Row],[SILVER]]*1000)+(T_SV_MEDALS[[#This Row],[BRONZE]]*10))</f>
        <v/>
      </c>
      <c r="H84" s="3" t="str">
        <f>IFERROR(IF(T_SV_MEDALS[[#This Row],[TOTAL]]=0,"",RANK(T_SV_MEDALS[[#This Row],[RANK VALUE]],T_SV_MEDALS[RANK VALUE])),"")</f>
        <v/>
      </c>
      <c r="I84" s="3" t="str">
        <f>IFERROR(IF(T_SV_MEDALS[[#This Row],[TOTAL]]=0,"",RANK(T_SV_MEDALS[[#This Row],[RANK VALUE]],T_SV_MEDALS[RANK VALUE])+COUNTIF($H$2:H83,H84)),"")</f>
        <v/>
      </c>
      <c r="J84" t="str">
        <f>IF(I_VIEW=3, COUNTIFS(T_2016_EVENT_RESULTS[SPORT],I_SV_SPORT,T_2016_EVENT_RESULTS[Gold - Country],T_SV_MEDALS[[#This Row],[COUNTRY ABBR]])+COUNTIFS(T_2016_EVENT_RESULTS[SPORT],I_SV_SPORT,T_2016_EVENT_RESULTS[Gold - Country - 2],T_SV_MEDALS[[#This Row],[COUNTRY ABBR]]),"")</f>
        <v/>
      </c>
      <c r="K84" t="str">
        <f>IF(I_VIEW=3, COUNTIFS(T_2016_EVENT_RESULTS[SPORT],I_SV_SPORT,T_2016_EVENT_RESULTS[Silver - Country],T_SV_MEDALS[[#This Row],[COUNTRY ABBR]])+COUNTIFS(T_2016_EVENT_RESULTS[SPORT],I_SV_SPORT,T_2016_EVENT_RESULTS[Silver - Country - 2],T_SV_MEDALS[[#This Row],[COUNTRY ABBR]])+COUNTIFS(T_2016_EVENT_RESULTS[SPORT],I_SV_SPORT,T_2016_EVENT_RESULTS[Silver - Country - 3],T_SV_MEDALS[[#This Row],[COUNTRY ABBR]]),"")</f>
        <v/>
      </c>
      <c r="L84" t="str">
        <f>IF(I_VIEW=3, COUNTIFS(T_2016_EVENT_RESULTS[SPORT],I_SV_SPORT,T_2016_EVENT_RESULTS[Bronze - Country],T_SV_MEDALS[[#This Row],[COUNTRY ABBR]])+COUNTIFS(T_2016_EVENT_RESULTS[SPORT],I_SV_SPORT,T_2016_EVENT_RESULTS[Bronze - Country - 2],T_SV_MEDALS[[#This Row],[COUNTRY ABBR]]),"")</f>
        <v/>
      </c>
      <c r="M84" s="3">
        <f>SUM(T_SV_MEDALS[[#This Row],[SV_GOLD]:[SV_BRONZE]])</f>
        <v>0</v>
      </c>
      <c r="N84" s="3" t="str">
        <f>IF(T_SV_MEDALS[[#This Row],[SV_TOTAL]]=0,"",IF(I_RANK_METHOD="TOTAL",(T_SV_MEDALS[[#This Row],[SV_TOTAL]]*10000000),0)+(T_SV_MEDALS[[#This Row],[SV_GOLD]]*100000)+(T_SV_MEDALS[[#This Row],[SV_SILVER]]*1000)+(T_SV_MEDALS[[#This Row],[SV_BRONZE]]*10))</f>
        <v/>
      </c>
      <c r="O84" s="3" t="str">
        <f>IFERROR(IF(T_SV_MEDALS[[#This Row],[SV_TOTAL]]=0,"",RANK(T_SV_MEDALS[[#This Row],[SV_RANK VALUE]],T_SV_MEDALS[SV_RANK VALUE])),"")</f>
        <v/>
      </c>
      <c r="P84" s="3" t="str">
        <f>IFERROR(IF(T_SV_MEDALS[[#This Row],[SV_TOTAL]]=0,"",RANK(T_SV_MEDALS[[#This Row],[SV_RANK VALUE]],T_SV_MEDALS[SV_RANK VALUE])+COUNTIF($O$2:O83,O84)),"")</f>
        <v/>
      </c>
      <c r="Q84" s="3" t="str">
        <f>IFERROR(T_SV_MEDALS[[#This Row],[SV_TOTAL]]/T_SV_MEDALS[[#This Row],[TOTAL]],"")</f>
        <v/>
      </c>
      <c r="R84" s="3" t="str">
        <f>IFERROR(IF(T_SV_MEDALS[[#This Row],[SV_TOTAL]]=0,"",RANK(T_SV_MEDALS[[#This Row],[Dependency - Rank Value]],T_SV_MEDALS[Dependency - Rank Value])+COUNTIF($Q$2:Q83,Q84)),"")</f>
        <v/>
      </c>
    </row>
    <row r="85" spans="1:18" x14ac:dyDescent="0.25">
      <c r="A85" t="s">
        <v>155</v>
      </c>
      <c r="B85" t="s">
        <v>156</v>
      </c>
      <c r="C85" s="3">
        <f>IF(I_VIEW=2,"",COUNTIFS(T_2016_EVENT_RESULTS[Gold - Country],T_SV_MEDALS[[#This Row],[COUNTRY ABBR]])+COUNTIFS(T_2016_EVENT_RESULTS[Gold - Country - 2],T_SV_MEDALS[[#This Row],[COUNTRY ABBR]]))</f>
        <v>0</v>
      </c>
      <c r="D85" s="3">
        <f>IF(I_VIEW=2,"",COUNTIFS(T_2016_EVENT_RESULTS[Silver - Country],T_SV_MEDALS[[#This Row],[COUNTRY ABBR]])+COUNTIFS(T_2016_EVENT_RESULTS[Silver - Country - 2],T_SV_MEDALS[[#This Row],[COUNTRY ABBR]])+COUNTIFS(T_2016_EVENT_RESULTS[Silver - Country - 3],T_SV_MEDALS[[#This Row],[COUNTRY ABBR]]))</f>
        <v>0</v>
      </c>
      <c r="E85" s="3">
        <f>IF(I_VIEW=2,"",COUNTIFS(T_2016_EVENT_RESULTS[Bronze - Country],T_SV_MEDALS[[#This Row],[COUNTRY ABBR]])+COUNTIFS(T_2016_EVENT_RESULTS[Bronze - Country - 2],T_SV_MEDALS[[#This Row],[COUNTRY ABBR]]))</f>
        <v>0</v>
      </c>
      <c r="F85" s="3">
        <f>SUM(T_SV_MEDALS[[#This Row],[GOLD]:[BRONZE]])</f>
        <v>0</v>
      </c>
      <c r="G85" s="3" t="str">
        <f>IF(T_SV_MEDALS[[#This Row],[TOTAL]]=0,"",IF(I_RANK_METHOD="TOTAL",(T_SV_MEDALS[[#This Row],[TOTAL]]*10000000),0)+(T_SV_MEDALS[[#This Row],[GOLD]]*100000)+(T_SV_MEDALS[[#This Row],[SILVER]]*1000)+(T_SV_MEDALS[[#This Row],[BRONZE]]*10))</f>
        <v/>
      </c>
      <c r="H85" s="3" t="str">
        <f>IFERROR(IF(T_SV_MEDALS[[#This Row],[TOTAL]]=0,"",RANK(T_SV_MEDALS[[#This Row],[RANK VALUE]],T_SV_MEDALS[RANK VALUE])),"")</f>
        <v/>
      </c>
      <c r="I85" s="3" t="str">
        <f>IFERROR(IF(T_SV_MEDALS[[#This Row],[TOTAL]]=0,"",RANK(T_SV_MEDALS[[#This Row],[RANK VALUE]],T_SV_MEDALS[RANK VALUE])+COUNTIF($H$2:H84,H85)),"")</f>
        <v/>
      </c>
      <c r="J85" t="str">
        <f>IF(I_VIEW=3, COUNTIFS(T_2016_EVENT_RESULTS[SPORT],I_SV_SPORT,T_2016_EVENT_RESULTS[Gold - Country],T_SV_MEDALS[[#This Row],[COUNTRY ABBR]])+COUNTIFS(T_2016_EVENT_RESULTS[SPORT],I_SV_SPORT,T_2016_EVENT_RESULTS[Gold - Country - 2],T_SV_MEDALS[[#This Row],[COUNTRY ABBR]]),"")</f>
        <v/>
      </c>
      <c r="K85" t="str">
        <f>IF(I_VIEW=3, COUNTIFS(T_2016_EVENT_RESULTS[SPORT],I_SV_SPORT,T_2016_EVENT_RESULTS[Silver - Country],T_SV_MEDALS[[#This Row],[COUNTRY ABBR]])+COUNTIFS(T_2016_EVENT_RESULTS[SPORT],I_SV_SPORT,T_2016_EVENT_RESULTS[Silver - Country - 2],T_SV_MEDALS[[#This Row],[COUNTRY ABBR]])+COUNTIFS(T_2016_EVENT_RESULTS[SPORT],I_SV_SPORT,T_2016_EVENT_RESULTS[Silver - Country - 3],T_SV_MEDALS[[#This Row],[COUNTRY ABBR]]),"")</f>
        <v/>
      </c>
      <c r="L85" t="str">
        <f>IF(I_VIEW=3, COUNTIFS(T_2016_EVENT_RESULTS[SPORT],I_SV_SPORT,T_2016_EVENT_RESULTS[Bronze - Country],T_SV_MEDALS[[#This Row],[COUNTRY ABBR]])+COUNTIFS(T_2016_EVENT_RESULTS[SPORT],I_SV_SPORT,T_2016_EVENT_RESULTS[Bronze - Country - 2],T_SV_MEDALS[[#This Row],[COUNTRY ABBR]]),"")</f>
        <v/>
      </c>
      <c r="M85" s="3">
        <f>SUM(T_SV_MEDALS[[#This Row],[SV_GOLD]:[SV_BRONZE]])</f>
        <v>0</v>
      </c>
      <c r="N85" s="3" t="str">
        <f>IF(T_SV_MEDALS[[#This Row],[SV_TOTAL]]=0,"",IF(I_RANK_METHOD="TOTAL",(T_SV_MEDALS[[#This Row],[SV_TOTAL]]*10000000),0)+(T_SV_MEDALS[[#This Row],[SV_GOLD]]*100000)+(T_SV_MEDALS[[#This Row],[SV_SILVER]]*1000)+(T_SV_MEDALS[[#This Row],[SV_BRONZE]]*10))</f>
        <v/>
      </c>
      <c r="O85" s="3" t="str">
        <f>IFERROR(IF(T_SV_MEDALS[[#This Row],[SV_TOTAL]]=0,"",RANK(T_SV_MEDALS[[#This Row],[SV_RANK VALUE]],T_SV_MEDALS[SV_RANK VALUE])),"")</f>
        <v/>
      </c>
      <c r="P85" s="3" t="str">
        <f>IFERROR(IF(T_SV_MEDALS[[#This Row],[SV_TOTAL]]=0,"",RANK(T_SV_MEDALS[[#This Row],[SV_RANK VALUE]],T_SV_MEDALS[SV_RANK VALUE])+COUNTIF($O$2:O84,O85)),"")</f>
        <v/>
      </c>
      <c r="Q85" s="3" t="str">
        <f>IFERROR(T_SV_MEDALS[[#This Row],[SV_TOTAL]]/T_SV_MEDALS[[#This Row],[TOTAL]],"")</f>
        <v/>
      </c>
      <c r="R85" s="3" t="str">
        <f>IFERROR(IF(T_SV_MEDALS[[#This Row],[SV_TOTAL]]=0,"",RANK(T_SV_MEDALS[[#This Row],[Dependency - Rank Value]],T_SV_MEDALS[Dependency - Rank Value])+COUNTIF($Q$2:Q84,Q85)),"")</f>
        <v/>
      </c>
    </row>
    <row r="86" spans="1:18" x14ac:dyDescent="0.25">
      <c r="A86" t="s">
        <v>427</v>
      </c>
      <c r="B86" t="s">
        <v>157</v>
      </c>
      <c r="C86" s="3">
        <f>IF(I_VIEW=2,"",COUNTIFS(T_2016_EVENT_RESULTS[Gold - Country],T_SV_MEDALS[[#This Row],[COUNTRY ABBR]])+COUNTIFS(T_2016_EVENT_RESULTS[Gold - Country - 2],T_SV_MEDALS[[#This Row],[COUNTRY ABBR]]))</f>
        <v>0</v>
      </c>
      <c r="D86" s="3">
        <f>IF(I_VIEW=2,"",COUNTIFS(T_2016_EVENT_RESULTS[Silver - Country],T_SV_MEDALS[[#This Row],[COUNTRY ABBR]])+COUNTIFS(T_2016_EVENT_RESULTS[Silver - Country - 2],T_SV_MEDALS[[#This Row],[COUNTRY ABBR]])+COUNTIFS(T_2016_EVENT_RESULTS[Silver - Country - 3],T_SV_MEDALS[[#This Row],[COUNTRY ABBR]]))</f>
        <v>0</v>
      </c>
      <c r="E86" s="3">
        <f>IF(I_VIEW=2,"",COUNTIFS(T_2016_EVENT_RESULTS[Bronze - Country],T_SV_MEDALS[[#This Row],[COUNTRY ABBR]])+COUNTIFS(T_2016_EVENT_RESULTS[Bronze - Country - 2],T_SV_MEDALS[[#This Row],[COUNTRY ABBR]]))</f>
        <v>0</v>
      </c>
      <c r="F86" s="3">
        <f>SUM(T_SV_MEDALS[[#This Row],[GOLD]:[BRONZE]])</f>
        <v>0</v>
      </c>
      <c r="G86" s="3" t="str">
        <f>IF(T_SV_MEDALS[[#This Row],[TOTAL]]=0,"",IF(I_RANK_METHOD="TOTAL",(T_SV_MEDALS[[#This Row],[TOTAL]]*10000000),0)+(T_SV_MEDALS[[#This Row],[GOLD]]*100000)+(T_SV_MEDALS[[#This Row],[SILVER]]*1000)+(T_SV_MEDALS[[#This Row],[BRONZE]]*10))</f>
        <v/>
      </c>
      <c r="H86" s="3" t="str">
        <f>IFERROR(IF(T_SV_MEDALS[[#This Row],[TOTAL]]=0,"",RANK(T_SV_MEDALS[[#This Row],[RANK VALUE]],T_SV_MEDALS[RANK VALUE])),"")</f>
        <v/>
      </c>
      <c r="I86" s="3" t="str">
        <f>IFERROR(IF(T_SV_MEDALS[[#This Row],[TOTAL]]=0,"",RANK(T_SV_MEDALS[[#This Row],[RANK VALUE]],T_SV_MEDALS[RANK VALUE])+COUNTIF($H$2:H85,H86)),"")</f>
        <v/>
      </c>
      <c r="J86" t="str">
        <f>IF(I_VIEW=3, COUNTIFS(T_2016_EVENT_RESULTS[SPORT],I_SV_SPORT,T_2016_EVENT_RESULTS[Gold - Country],T_SV_MEDALS[[#This Row],[COUNTRY ABBR]])+COUNTIFS(T_2016_EVENT_RESULTS[SPORT],I_SV_SPORT,T_2016_EVENT_RESULTS[Gold - Country - 2],T_SV_MEDALS[[#This Row],[COUNTRY ABBR]]),"")</f>
        <v/>
      </c>
      <c r="K86" t="str">
        <f>IF(I_VIEW=3, COUNTIFS(T_2016_EVENT_RESULTS[SPORT],I_SV_SPORT,T_2016_EVENT_RESULTS[Silver - Country],T_SV_MEDALS[[#This Row],[COUNTRY ABBR]])+COUNTIFS(T_2016_EVENT_RESULTS[SPORT],I_SV_SPORT,T_2016_EVENT_RESULTS[Silver - Country - 2],T_SV_MEDALS[[#This Row],[COUNTRY ABBR]])+COUNTIFS(T_2016_EVENT_RESULTS[SPORT],I_SV_SPORT,T_2016_EVENT_RESULTS[Silver - Country - 3],T_SV_MEDALS[[#This Row],[COUNTRY ABBR]]),"")</f>
        <v/>
      </c>
      <c r="L86" t="str">
        <f>IF(I_VIEW=3, COUNTIFS(T_2016_EVENT_RESULTS[SPORT],I_SV_SPORT,T_2016_EVENT_RESULTS[Bronze - Country],T_SV_MEDALS[[#This Row],[COUNTRY ABBR]])+COUNTIFS(T_2016_EVENT_RESULTS[SPORT],I_SV_SPORT,T_2016_EVENT_RESULTS[Bronze - Country - 2],T_SV_MEDALS[[#This Row],[COUNTRY ABBR]]),"")</f>
        <v/>
      </c>
      <c r="M86" s="3">
        <f>SUM(T_SV_MEDALS[[#This Row],[SV_GOLD]:[SV_BRONZE]])</f>
        <v>0</v>
      </c>
      <c r="N86" s="3" t="str">
        <f>IF(T_SV_MEDALS[[#This Row],[SV_TOTAL]]=0,"",IF(I_RANK_METHOD="TOTAL",(T_SV_MEDALS[[#This Row],[SV_TOTAL]]*10000000),0)+(T_SV_MEDALS[[#This Row],[SV_GOLD]]*100000)+(T_SV_MEDALS[[#This Row],[SV_SILVER]]*1000)+(T_SV_MEDALS[[#This Row],[SV_BRONZE]]*10))</f>
        <v/>
      </c>
      <c r="O86" s="3" t="str">
        <f>IFERROR(IF(T_SV_MEDALS[[#This Row],[SV_TOTAL]]=0,"",RANK(T_SV_MEDALS[[#This Row],[SV_RANK VALUE]],T_SV_MEDALS[SV_RANK VALUE])),"")</f>
        <v/>
      </c>
      <c r="P86" s="3" t="str">
        <f>IFERROR(IF(T_SV_MEDALS[[#This Row],[SV_TOTAL]]=0,"",RANK(T_SV_MEDALS[[#This Row],[SV_RANK VALUE]],T_SV_MEDALS[SV_RANK VALUE])+COUNTIF($O$2:O85,O86)),"")</f>
        <v/>
      </c>
      <c r="Q86" s="3" t="str">
        <f>IFERROR(T_SV_MEDALS[[#This Row],[SV_TOTAL]]/T_SV_MEDALS[[#This Row],[TOTAL]],"")</f>
        <v/>
      </c>
      <c r="R86" s="3" t="str">
        <f>IFERROR(IF(T_SV_MEDALS[[#This Row],[SV_TOTAL]]=0,"",RANK(T_SV_MEDALS[[#This Row],[Dependency - Rank Value]],T_SV_MEDALS[Dependency - Rank Value])+COUNTIF($Q$2:Q85,Q86)),"")</f>
        <v/>
      </c>
    </row>
    <row r="87" spans="1:18" x14ac:dyDescent="0.25">
      <c r="A87" t="s">
        <v>158</v>
      </c>
      <c r="B87" t="s">
        <v>159</v>
      </c>
      <c r="C87" s="3">
        <f>IF(I_VIEW=2,"",COUNTIFS(T_2016_EVENT_RESULTS[Gold - Country],T_SV_MEDALS[[#This Row],[COUNTRY ABBR]])+COUNTIFS(T_2016_EVENT_RESULTS[Gold - Country - 2],T_SV_MEDALS[[#This Row],[COUNTRY ABBR]]))</f>
        <v>8</v>
      </c>
      <c r="D87" s="3">
        <f>IF(I_VIEW=2,"",COUNTIFS(T_2016_EVENT_RESULTS[Silver - Country],T_SV_MEDALS[[#This Row],[COUNTRY ABBR]])+COUNTIFS(T_2016_EVENT_RESULTS[Silver - Country - 2],T_SV_MEDALS[[#This Row],[COUNTRY ABBR]])+COUNTIFS(T_2016_EVENT_RESULTS[Silver - Country - 3],T_SV_MEDALS[[#This Row],[COUNTRY ABBR]]))</f>
        <v>3</v>
      </c>
      <c r="E87" s="3">
        <f>IF(I_VIEW=2,"",COUNTIFS(T_2016_EVENT_RESULTS[Bronze - Country],T_SV_MEDALS[[#This Row],[COUNTRY ABBR]])+COUNTIFS(T_2016_EVENT_RESULTS[Bronze - Country - 2],T_SV_MEDALS[[#This Row],[COUNTRY ABBR]]))</f>
        <v>4</v>
      </c>
      <c r="F87" s="3">
        <f>SUM(T_SV_MEDALS[[#This Row],[GOLD]:[BRONZE]])</f>
        <v>15</v>
      </c>
      <c r="G87" s="3">
        <f>IF(T_SV_MEDALS[[#This Row],[TOTAL]]=0,"",IF(I_RANK_METHOD="TOTAL",(T_SV_MEDALS[[#This Row],[TOTAL]]*10000000),0)+(T_SV_MEDALS[[#This Row],[GOLD]]*100000)+(T_SV_MEDALS[[#This Row],[SILVER]]*1000)+(T_SV_MEDALS[[#This Row],[BRONZE]]*10))</f>
        <v>150803040</v>
      </c>
      <c r="H87" s="3">
        <f>IFERROR(IF(T_SV_MEDALS[[#This Row],[TOTAL]]=0,"",RANK(T_SV_MEDALS[[#This Row],[RANK VALUE]],T_SV_MEDALS[RANK VALUE])),"")</f>
        <v>18</v>
      </c>
      <c r="I87" s="3">
        <f>IFERROR(IF(T_SV_MEDALS[[#This Row],[TOTAL]]=0,"",RANK(T_SV_MEDALS[[#This Row],[RANK VALUE]],T_SV_MEDALS[RANK VALUE])+COUNTIF($H$2:H86,H87)),"")</f>
        <v>18</v>
      </c>
      <c r="J87" t="str">
        <f>IF(I_VIEW=3, COUNTIFS(T_2016_EVENT_RESULTS[SPORT],I_SV_SPORT,T_2016_EVENT_RESULTS[Gold - Country],T_SV_MEDALS[[#This Row],[COUNTRY ABBR]])+COUNTIFS(T_2016_EVENT_RESULTS[SPORT],I_SV_SPORT,T_2016_EVENT_RESULTS[Gold - Country - 2],T_SV_MEDALS[[#This Row],[COUNTRY ABBR]]),"")</f>
        <v/>
      </c>
      <c r="K87" t="str">
        <f>IF(I_VIEW=3, COUNTIFS(T_2016_EVENT_RESULTS[SPORT],I_SV_SPORT,T_2016_EVENT_RESULTS[Silver - Country],T_SV_MEDALS[[#This Row],[COUNTRY ABBR]])+COUNTIFS(T_2016_EVENT_RESULTS[SPORT],I_SV_SPORT,T_2016_EVENT_RESULTS[Silver - Country - 2],T_SV_MEDALS[[#This Row],[COUNTRY ABBR]])+COUNTIFS(T_2016_EVENT_RESULTS[SPORT],I_SV_SPORT,T_2016_EVENT_RESULTS[Silver - Country - 3],T_SV_MEDALS[[#This Row],[COUNTRY ABBR]]),"")</f>
        <v/>
      </c>
      <c r="L87" t="str">
        <f>IF(I_VIEW=3, COUNTIFS(T_2016_EVENT_RESULTS[SPORT],I_SV_SPORT,T_2016_EVENT_RESULTS[Bronze - Country],T_SV_MEDALS[[#This Row],[COUNTRY ABBR]])+COUNTIFS(T_2016_EVENT_RESULTS[SPORT],I_SV_SPORT,T_2016_EVENT_RESULTS[Bronze - Country - 2],T_SV_MEDALS[[#This Row],[COUNTRY ABBR]]),"")</f>
        <v/>
      </c>
      <c r="M87" s="3">
        <f>SUM(T_SV_MEDALS[[#This Row],[SV_GOLD]:[SV_BRONZE]])</f>
        <v>0</v>
      </c>
      <c r="N87" s="3" t="str">
        <f>IF(T_SV_MEDALS[[#This Row],[SV_TOTAL]]=0,"",IF(I_RANK_METHOD="TOTAL",(T_SV_MEDALS[[#This Row],[SV_TOTAL]]*10000000),0)+(T_SV_MEDALS[[#This Row],[SV_GOLD]]*100000)+(T_SV_MEDALS[[#This Row],[SV_SILVER]]*1000)+(T_SV_MEDALS[[#This Row],[SV_BRONZE]]*10))</f>
        <v/>
      </c>
      <c r="O87" s="3" t="str">
        <f>IFERROR(IF(T_SV_MEDALS[[#This Row],[SV_TOTAL]]=0,"",RANK(T_SV_MEDALS[[#This Row],[SV_RANK VALUE]],T_SV_MEDALS[SV_RANK VALUE])),"")</f>
        <v/>
      </c>
      <c r="P87" s="3" t="str">
        <f>IFERROR(IF(T_SV_MEDALS[[#This Row],[SV_TOTAL]]=0,"",RANK(T_SV_MEDALS[[#This Row],[SV_RANK VALUE]],T_SV_MEDALS[SV_RANK VALUE])+COUNTIF($O$2:O86,O87)),"")</f>
        <v/>
      </c>
      <c r="Q87" s="3">
        <f>IFERROR(T_SV_MEDALS[[#This Row],[SV_TOTAL]]/T_SV_MEDALS[[#This Row],[TOTAL]],"")</f>
        <v>0</v>
      </c>
      <c r="R87" s="3" t="str">
        <f>IFERROR(IF(T_SV_MEDALS[[#This Row],[SV_TOTAL]]=0,"",RANK(T_SV_MEDALS[[#This Row],[Dependency - Rank Value]],T_SV_MEDALS[Dependency - Rank Value])+COUNTIF($Q$2:Q86,Q87)),"")</f>
        <v/>
      </c>
    </row>
    <row r="88" spans="1:18" x14ac:dyDescent="0.25">
      <c r="A88" t="s">
        <v>160</v>
      </c>
      <c r="B88" t="s">
        <v>161</v>
      </c>
      <c r="C88" s="3">
        <f>IF(I_VIEW=2,"",COUNTIFS(T_2016_EVENT_RESULTS[Gold - Country],T_SV_MEDALS[[#This Row],[COUNTRY ABBR]])+COUNTIFS(T_2016_EVENT_RESULTS[Gold - Country - 2],T_SV_MEDALS[[#This Row],[COUNTRY ABBR]]))</f>
        <v>0</v>
      </c>
      <c r="D88" s="3">
        <f>IF(I_VIEW=2,"",COUNTIFS(T_2016_EVENT_RESULTS[Silver - Country],T_SV_MEDALS[[#This Row],[COUNTRY ABBR]])+COUNTIFS(T_2016_EVENT_RESULTS[Silver - Country - 2],T_SV_MEDALS[[#This Row],[COUNTRY ABBR]])+COUNTIFS(T_2016_EVENT_RESULTS[Silver - Country - 3],T_SV_MEDALS[[#This Row],[COUNTRY ABBR]]))</f>
        <v>0</v>
      </c>
      <c r="E88" s="3">
        <f>IF(I_VIEW=2,"",COUNTIFS(T_2016_EVENT_RESULTS[Bronze - Country],T_SV_MEDALS[[#This Row],[COUNTRY ABBR]])+COUNTIFS(T_2016_EVENT_RESULTS[Bronze - Country - 2],T_SV_MEDALS[[#This Row],[COUNTRY ABBR]]))</f>
        <v>0</v>
      </c>
      <c r="F88" s="3">
        <f>SUM(T_SV_MEDALS[[#This Row],[GOLD]:[BRONZE]])</f>
        <v>0</v>
      </c>
      <c r="G88" s="3" t="str">
        <f>IF(T_SV_MEDALS[[#This Row],[TOTAL]]=0,"",IF(I_RANK_METHOD="TOTAL",(T_SV_MEDALS[[#This Row],[TOTAL]]*10000000),0)+(T_SV_MEDALS[[#This Row],[GOLD]]*100000)+(T_SV_MEDALS[[#This Row],[SILVER]]*1000)+(T_SV_MEDALS[[#This Row],[BRONZE]]*10))</f>
        <v/>
      </c>
      <c r="H88" s="3" t="str">
        <f>IFERROR(IF(T_SV_MEDALS[[#This Row],[TOTAL]]=0,"",RANK(T_SV_MEDALS[[#This Row],[RANK VALUE]],T_SV_MEDALS[RANK VALUE])),"")</f>
        <v/>
      </c>
      <c r="I88" s="3" t="str">
        <f>IFERROR(IF(T_SV_MEDALS[[#This Row],[TOTAL]]=0,"",RANK(T_SV_MEDALS[[#This Row],[RANK VALUE]],T_SV_MEDALS[RANK VALUE])+COUNTIF($H$2:H87,H88)),"")</f>
        <v/>
      </c>
      <c r="J88" s="3" t="str">
        <f>IF(I_VIEW=3, COUNTIFS(T_2016_EVENT_RESULTS[SPORT],I_SV_SPORT,T_2016_EVENT_RESULTS[Gold - Country],T_SV_MEDALS[[#This Row],[COUNTRY ABBR]])+COUNTIFS(T_2016_EVENT_RESULTS[SPORT],I_SV_SPORT,T_2016_EVENT_RESULTS[Gold - Country - 2],T_SV_MEDALS[[#This Row],[COUNTRY ABBR]]),"")</f>
        <v/>
      </c>
      <c r="K88" s="3" t="str">
        <f>IF(I_VIEW=3, COUNTIFS(T_2016_EVENT_RESULTS[SPORT],I_SV_SPORT,T_2016_EVENT_RESULTS[Silver - Country],T_SV_MEDALS[[#This Row],[COUNTRY ABBR]])+COUNTIFS(T_2016_EVENT_RESULTS[SPORT],I_SV_SPORT,T_2016_EVENT_RESULTS[Silver - Country - 2],T_SV_MEDALS[[#This Row],[COUNTRY ABBR]])+COUNTIFS(T_2016_EVENT_RESULTS[SPORT],I_SV_SPORT,T_2016_EVENT_RESULTS[Silver - Country - 3],T_SV_MEDALS[[#This Row],[COUNTRY ABBR]]),"")</f>
        <v/>
      </c>
      <c r="L88" s="3" t="str">
        <f>IF(I_VIEW=3, COUNTIFS(T_2016_EVENT_RESULTS[SPORT],I_SV_SPORT,T_2016_EVENT_RESULTS[Bronze - Country],T_SV_MEDALS[[#This Row],[COUNTRY ABBR]])+COUNTIFS(T_2016_EVENT_RESULTS[SPORT],I_SV_SPORT,T_2016_EVENT_RESULTS[Bronze - Country - 2],T_SV_MEDALS[[#This Row],[COUNTRY ABBR]]),"")</f>
        <v/>
      </c>
      <c r="M88" s="3">
        <f>SUM(T_SV_MEDALS[[#This Row],[SV_GOLD]:[SV_BRONZE]])</f>
        <v>0</v>
      </c>
      <c r="N88" s="3" t="str">
        <f>IF(T_SV_MEDALS[[#This Row],[SV_TOTAL]]=0,"",IF(I_RANK_METHOD="TOTAL",(T_SV_MEDALS[[#This Row],[SV_TOTAL]]*10000000),0)+(T_SV_MEDALS[[#This Row],[SV_GOLD]]*100000)+(T_SV_MEDALS[[#This Row],[SV_SILVER]]*1000)+(T_SV_MEDALS[[#This Row],[SV_BRONZE]]*10))</f>
        <v/>
      </c>
      <c r="O88" s="3" t="str">
        <f>IFERROR(IF(T_SV_MEDALS[[#This Row],[SV_TOTAL]]=0,"",RANK(T_SV_MEDALS[[#This Row],[SV_RANK VALUE]],T_SV_MEDALS[SV_RANK VALUE])),"")</f>
        <v/>
      </c>
      <c r="P88" s="3" t="str">
        <f>IFERROR(IF(T_SV_MEDALS[[#This Row],[SV_TOTAL]]=0,"",RANK(T_SV_MEDALS[[#This Row],[SV_RANK VALUE]],T_SV_MEDALS[SV_RANK VALUE])+COUNTIF($O$2:O87,O88)),"")</f>
        <v/>
      </c>
      <c r="Q88" s="3" t="str">
        <f>IFERROR(T_SV_MEDALS[[#This Row],[SV_TOTAL]]/T_SV_MEDALS[[#This Row],[TOTAL]],"")</f>
        <v/>
      </c>
      <c r="R88" s="3" t="str">
        <f>IFERROR(IF(T_SV_MEDALS[[#This Row],[SV_TOTAL]]=0,"",RANK(T_SV_MEDALS[[#This Row],[Dependency - Rank Value]],T_SV_MEDALS[Dependency - Rank Value])+COUNTIF($Q$2:Q87,Q88)),"")</f>
        <v/>
      </c>
    </row>
    <row r="89" spans="1:18" x14ac:dyDescent="0.25">
      <c r="A89" t="s">
        <v>162</v>
      </c>
      <c r="B89" t="s">
        <v>163</v>
      </c>
      <c r="C89" s="3">
        <f>IF(I_VIEW=2,"",COUNTIFS(T_2016_EVENT_RESULTS[Gold - Country],T_SV_MEDALS[[#This Row],[COUNTRY ABBR]])+COUNTIFS(T_2016_EVENT_RESULTS[Gold - Country - 2],T_SV_MEDALS[[#This Row],[COUNTRY ABBR]]))</f>
        <v>0</v>
      </c>
      <c r="D89" s="3">
        <f>IF(I_VIEW=2,"",COUNTIFS(T_2016_EVENT_RESULTS[Silver - Country],T_SV_MEDALS[[#This Row],[COUNTRY ABBR]])+COUNTIFS(T_2016_EVENT_RESULTS[Silver - Country - 2],T_SV_MEDALS[[#This Row],[COUNTRY ABBR]])+COUNTIFS(T_2016_EVENT_RESULTS[Silver - Country - 3],T_SV_MEDALS[[#This Row],[COUNTRY ABBR]]))</f>
        <v>1</v>
      </c>
      <c r="E89" s="3">
        <f>IF(I_VIEW=2,"",COUNTIFS(T_2016_EVENT_RESULTS[Bronze - Country],T_SV_MEDALS[[#This Row],[COUNTRY ABBR]])+COUNTIFS(T_2016_EVENT_RESULTS[Bronze - Country - 2],T_SV_MEDALS[[#This Row],[COUNTRY ABBR]]))</f>
        <v>1</v>
      </c>
      <c r="F89" s="3">
        <f>SUM(T_SV_MEDALS[[#This Row],[GOLD]:[BRONZE]])</f>
        <v>2</v>
      </c>
      <c r="G89" s="3">
        <f>IF(T_SV_MEDALS[[#This Row],[TOTAL]]=0,"",IF(I_RANK_METHOD="TOTAL",(T_SV_MEDALS[[#This Row],[TOTAL]]*10000000),0)+(T_SV_MEDALS[[#This Row],[GOLD]]*100000)+(T_SV_MEDALS[[#This Row],[SILVER]]*1000)+(T_SV_MEDALS[[#This Row],[BRONZE]]*10))</f>
        <v>20001010</v>
      </c>
      <c r="H89" s="3">
        <f>IFERROR(IF(T_SV_MEDALS[[#This Row],[TOTAL]]=0,"",RANK(T_SV_MEDALS[[#This Row],[RANK VALUE]],T_SV_MEDALS[RANK VALUE])),"")</f>
        <v>64</v>
      </c>
      <c r="I89" s="3">
        <f>IFERROR(IF(T_SV_MEDALS[[#This Row],[TOTAL]]=0,"",RANK(T_SV_MEDALS[[#This Row],[RANK VALUE]],T_SV_MEDALS[RANK VALUE])+COUNTIF($H$2:H88,H89)),"")</f>
        <v>64</v>
      </c>
      <c r="J89" s="3" t="str">
        <f>IF(I_VIEW=3, COUNTIFS(T_2016_EVENT_RESULTS[SPORT],I_SV_SPORT,T_2016_EVENT_RESULTS[Gold - Country],T_SV_MEDALS[[#This Row],[COUNTRY ABBR]])+COUNTIFS(T_2016_EVENT_RESULTS[SPORT],I_SV_SPORT,T_2016_EVENT_RESULTS[Gold - Country - 2],T_SV_MEDALS[[#This Row],[COUNTRY ABBR]]),"")</f>
        <v/>
      </c>
      <c r="K89" s="3" t="str">
        <f>IF(I_VIEW=3, COUNTIFS(T_2016_EVENT_RESULTS[SPORT],I_SV_SPORT,T_2016_EVENT_RESULTS[Silver - Country],T_SV_MEDALS[[#This Row],[COUNTRY ABBR]])+COUNTIFS(T_2016_EVENT_RESULTS[SPORT],I_SV_SPORT,T_2016_EVENT_RESULTS[Silver - Country - 2],T_SV_MEDALS[[#This Row],[COUNTRY ABBR]])+COUNTIFS(T_2016_EVENT_RESULTS[SPORT],I_SV_SPORT,T_2016_EVENT_RESULTS[Silver - Country - 3],T_SV_MEDALS[[#This Row],[COUNTRY ABBR]]),"")</f>
        <v/>
      </c>
      <c r="L89" s="3" t="str">
        <f>IF(I_VIEW=3, COUNTIFS(T_2016_EVENT_RESULTS[SPORT],I_SV_SPORT,T_2016_EVENT_RESULTS[Bronze - Country],T_SV_MEDALS[[#This Row],[COUNTRY ABBR]])+COUNTIFS(T_2016_EVENT_RESULTS[SPORT],I_SV_SPORT,T_2016_EVENT_RESULTS[Bronze - Country - 2],T_SV_MEDALS[[#This Row],[COUNTRY ABBR]]),"")</f>
        <v/>
      </c>
      <c r="M89" s="3">
        <f>SUM(T_SV_MEDALS[[#This Row],[SV_GOLD]:[SV_BRONZE]])</f>
        <v>0</v>
      </c>
      <c r="N89" s="3" t="str">
        <f>IF(T_SV_MEDALS[[#This Row],[SV_TOTAL]]=0,"",IF(I_RANK_METHOD="TOTAL",(T_SV_MEDALS[[#This Row],[SV_TOTAL]]*10000000),0)+(T_SV_MEDALS[[#This Row],[SV_GOLD]]*100000)+(T_SV_MEDALS[[#This Row],[SV_SILVER]]*1000)+(T_SV_MEDALS[[#This Row],[SV_BRONZE]]*10))</f>
        <v/>
      </c>
      <c r="O89" s="3" t="str">
        <f>IFERROR(IF(T_SV_MEDALS[[#This Row],[SV_TOTAL]]=0,"",RANK(T_SV_MEDALS[[#This Row],[SV_RANK VALUE]],T_SV_MEDALS[SV_RANK VALUE])),"")</f>
        <v/>
      </c>
      <c r="P89" s="3" t="str">
        <f>IFERROR(IF(T_SV_MEDALS[[#This Row],[SV_TOTAL]]=0,"",RANK(T_SV_MEDALS[[#This Row],[SV_RANK VALUE]],T_SV_MEDALS[SV_RANK VALUE])+COUNTIF($O$2:O88,O89)),"")</f>
        <v/>
      </c>
      <c r="Q89" s="3">
        <f>IFERROR(T_SV_MEDALS[[#This Row],[SV_TOTAL]]/T_SV_MEDALS[[#This Row],[TOTAL]],"")</f>
        <v>0</v>
      </c>
      <c r="R89" s="3" t="str">
        <f>IFERROR(IF(T_SV_MEDALS[[#This Row],[SV_TOTAL]]=0,"",RANK(T_SV_MEDALS[[#This Row],[Dependency - Rank Value]],T_SV_MEDALS[Dependency - Rank Value])+COUNTIF($Q$2:Q88,Q89)),"")</f>
        <v/>
      </c>
    </row>
    <row r="90" spans="1:18" x14ac:dyDescent="0.25">
      <c r="A90" t="s">
        <v>164</v>
      </c>
      <c r="B90" t="s">
        <v>165</v>
      </c>
      <c r="C90" s="3">
        <f>IF(I_VIEW=2,"",COUNTIFS(T_2016_EVENT_RESULTS[Gold - Country],T_SV_MEDALS[[#This Row],[COUNTRY ABBR]])+COUNTIFS(T_2016_EVENT_RESULTS[Gold - Country - 2],T_SV_MEDALS[[#This Row],[COUNTRY ABBR]]))</f>
        <v>1</v>
      </c>
      <c r="D90" s="3">
        <f>IF(I_VIEW=2,"",COUNTIFS(T_2016_EVENT_RESULTS[Silver - Country],T_SV_MEDALS[[#This Row],[COUNTRY ABBR]])+COUNTIFS(T_2016_EVENT_RESULTS[Silver - Country - 2],T_SV_MEDALS[[#This Row],[COUNTRY ABBR]])+COUNTIFS(T_2016_EVENT_RESULTS[Silver - Country - 3],T_SV_MEDALS[[#This Row],[COUNTRY ABBR]]))</f>
        <v>2</v>
      </c>
      <c r="E90" s="3">
        <f>IF(I_VIEW=2,"",COUNTIFS(T_2016_EVENT_RESULTS[Bronze - Country],T_SV_MEDALS[[#This Row],[COUNTRY ABBR]])+COUNTIFS(T_2016_EVENT_RESULTS[Bronze - Country - 2],T_SV_MEDALS[[#This Row],[COUNTRY ABBR]]))</f>
        <v>0</v>
      </c>
      <c r="F90" s="3">
        <f>SUM(T_SV_MEDALS[[#This Row],[GOLD]:[BRONZE]])</f>
        <v>3</v>
      </c>
      <c r="G90" s="3">
        <f>IF(T_SV_MEDALS[[#This Row],[TOTAL]]=0,"",IF(I_RANK_METHOD="TOTAL",(T_SV_MEDALS[[#This Row],[TOTAL]]*10000000),0)+(T_SV_MEDALS[[#This Row],[GOLD]]*100000)+(T_SV_MEDALS[[#This Row],[SILVER]]*1000)+(T_SV_MEDALS[[#This Row],[BRONZE]]*10))</f>
        <v>30102000</v>
      </c>
      <c r="H90" s="3">
        <f>IFERROR(IF(T_SV_MEDALS[[#This Row],[TOTAL]]=0,"",RANK(T_SV_MEDALS[[#This Row],[RANK VALUE]],T_SV_MEDALS[RANK VALUE])),"")</f>
        <v>51</v>
      </c>
      <c r="I90" s="3">
        <f>IFERROR(IF(T_SV_MEDALS[[#This Row],[TOTAL]]=0,"",RANK(T_SV_MEDALS[[#This Row],[RANK VALUE]],T_SV_MEDALS[RANK VALUE])+COUNTIF($H$2:H89,H90)),"")</f>
        <v>51</v>
      </c>
      <c r="J90" s="3" t="str">
        <f>IF(I_VIEW=3, COUNTIFS(T_2016_EVENT_RESULTS[SPORT],I_SV_SPORT,T_2016_EVENT_RESULTS[Gold - Country],T_SV_MEDALS[[#This Row],[COUNTRY ABBR]])+COUNTIFS(T_2016_EVENT_RESULTS[SPORT],I_SV_SPORT,T_2016_EVENT_RESULTS[Gold - Country - 2],T_SV_MEDALS[[#This Row],[COUNTRY ABBR]]),"")</f>
        <v/>
      </c>
      <c r="K90" s="3" t="str">
        <f>IF(I_VIEW=3, COUNTIFS(T_2016_EVENT_RESULTS[SPORT],I_SV_SPORT,T_2016_EVENT_RESULTS[Silver - Country],T_SV_MEDALS[[#This Row],[COUNTRY ABBR]])+COUNTIFS(T_2016_EVENT_RESULTS[SPORT],I_SV_SPORT,T_2016_EVENT_RESULTS[Silver - Country - 2],T_SV_MEDALS[[#This Row],[COUNTRY ABBR]])+COUNTIFS(T_2016_EVENT_RESULTS[SPORT],I_SV_SPORT,T_2016_EVENT_RESULTS[Silver - Country - 3],T_SV_MEDALS[[#This Row],[COUNTRY ABBR]]),"")</f>
        <v/>
      </c>
      <c r="L90" s="3" t="str">
        <f>IF(I_VIEW=3, COUNTIFS(T_2016_EVENT_RESULTS[SPORT],I_SV_SPORT,T_2016_EVENT_RESULTS[Bronze - Country],T_SV_MEDALS[[#This Row],[COUNTRY ABBR]])+COUNTIFS(T_2016_EVENT_RESULTS[SPORT],I_SV_SPORT,T_2016_EVENT_RESULTS[Bronze - Country - 2],T_SV_MEDALS[[#This Row],[COUNTRY ABBR]]),"")</f>
        <v/>
      </c>
      <c r="M90" s="3">
        <f>SUM(T_SV_MEDALS[[#This Row],[SV_GOLD]:[SV_BRONZE]])</f>
        <v>0</v>
      </c>
      <c r="N90" s="3" t="str">
        <f>IF(T_SV_MEDALS[[#This Row],[SV_TOTAL]]=0,"",IF(I_RANK_METHOD="TOTAL",(T_SV_MEDALS[[#This Row],[SV_TOTAL]]*10000000),0)+(T_SV_MEDALS[[#This Row],[SV_GOLD]]*100000)+(T_SV_MEDALS[[#This Row],[SV_SILVER]]*1000)+(T_SV_MEDALS[[#This Row],[SV_BRONZE]]*10))</f>
        <v/>
      </c>
      <c r="O90" s="3" t="str">
        <f>IFERROR(IF(T_SV_MEDALS[[#This Row],[SV_TOTAL]]=0,"",RANK(T_SV_MEDALS[[#This Row],[SV_RANK VALUE]],T_SV_MEDALS[SV_RANK VALUE])),"")</f>
        <v/>
      </c>
      <c r="P90" s="3" t="str">
        <f>IFERROR(IF(T_SV_MEDALS[[#This Row],[SV_TOTAL]]=0,"",RANK(T_SV_MEDALS[[#This Row],[SV_RANK VALUE]],T_SV_MEDALS[SV_RANK VALUE])+COUNTIF($O$2:O89,O90)),"")</f>
        <v/>
      </c>
      <c r="Q90" s="3">
        <f>IFERROR(T_SV_MEDALS[[#This Row],[SV_TOTAL]]/T_SV_MEDALS[[#This Row],[TOTAL]],"")</f>
        <v>0</v>
      </c>
      <c r="R90" s="3" t="str">
        <f>IFERROR(IF(T_SV_MEDALS[[#This Row],[SV_TOTAL]]=0,"",RANK(T_SV_MEDALS[[#This Row],[Dependency - Rank Value]],T_SV_MEDALS[Dependency - Rank Value])+COUNTIF($Q$2:Q89,Q90)),"")</f>
        <v/>
      </c>
    </row>
    <row r="91" spans="1:18" x14ac:dyDescent="0.25">
      <c r="A91" t="s">
        <v>716</v>
      </c>
      <c r="B91" t="s">
        <v>716</v>
      </c>
      <c r="C91" s="3">
        <f>IF(I_VIEW=2,"",COUNTIFS(T_2016_EVENT_RESULTS[Gold - Country],T_SV_MEDALS[[#This Row],[COUNTRY ABBR]])+COUNTIFS(T_2016_EVENT_RESULTS[Gold - Country - 2],T_SV_MEDALS[[#This Row],[COUNTRY ABBR]]))</f>
        <v>1</v>
      </c>
      <c r="D91" s="3">
        <f>IF(I_VIEW=2,"",COUNTIFS(T_2016_EVENT_RESULTS[Silver - Country],T_SV_MEDALS[[#This Row],[COUNTRY ABBR]])+COUNTIFS(T_2016_EVENT_RESULTS[Silver - Country - 2],T_SV_MEDALS[[#This Row],[COUNTRY ABBR]])+COUNTIFS(T_2016_EVENT_RESULTS[Silver - Country - 3],T_SV_MEDALS[[#This Row],[COUNTRY ABBR]]))</f>
        <v>0</v>
      </c>
      <c r="E91" s="3">
        <f>IF(I_VIEW=2,"",COUNTIFS(T_2016_EVENT_RESULTS[Bronze - Country],T_SV_MEDALS[[#This Row],[COUNTRY ABBR]])+COUNTIFS(T_2016_EVENT_RESULTS[Bronze - Country - 2],T_SV_MEDALS[[#This Row],[COUNTRY ABBR]]))</f>
        <v>1</v>
      </c>
      <c r="F91" s="3">
        <f>SUM(T_SV_MEDALS[[#This Row],[GOLD]:[BRONZE]])</f>
        <v>2</v>
      </c>
      <c r="G91" s="3">
        <f>IF(T_SV_MEDALS[[#This Row],[TOTAL]]=0,"",IF(I_RANK_METHOD="TOTAL",(T_SV_MEDALS[[#This Row],[TOTAL]]*10000000),0)+(T_SV_MEDALS[[#This Row],[GOLD]]*100000)+(T_SV_MEDALS[[#This Row],[SILVER]]*1000)+(T_SV_MEDALS[[#This Row],[BRONZE]]*10))</f>
        <v>20100010</v>
      </c>
      <c r="H91" s="3">
        <f>IFERROR(IF(T_SV_MEDALS[[#This Row],[TOTAL]]=0,"",RANK(T_SV_MEDALS[[#This Row],[RANK VALUE]],T_SV_MEDALS[RANK VALUE])),"")</f>
        <v>59</v>
      </c>
      <c r="I91" s="3">
        <f>IFERROR(IF(T_SV_MEDALS[[#This Row],[TOTAL]]=0,"",RANK(T_SV_MEDALS[[#This Row],[RANK VALUE]],T_SV_MEDALS[RANK VALUE])+COUNTIF($H$2:H90,H91)),"")</f>
        <v>61</v>
      </c>
      <c r="J91" s="3" t="str">
        <f>IF(I_VIEW=3, COUNTIFS(T_2016_EVENT_RESULTS[SPORT],I_SV_SPORT,T_2016_EVENT_RESULTS[Gold - Country],T_SV_MEDALS[[#This Row],[COUNTRY ABBR]])+COUNTIFS(T_2016_EVENT_RESULTS[SPORT],I_SV_SPORT,T_2016_EVENT_RESULTS[Gold - Country - 2],T_SV_MEDALS[[#This Row],[COUNTRY ABBR]]),"")</f>
        <v/>
      </c>
      <c r="K91" s="3" t="str">
        <f>IF(I_VIEW=3, COUNTIFS(T_2016_EVENT_RESULTS[SPORT],I_SV_SPORT,T_2016_EVENT_RESULTS[Silver - Country],T_SV_MEDALS[[#This Row],[COUNTRY ABBR]])+COUNTIFS(T_2016_EVENT_RESULTS[SPORT],I_SV_SPORT,T_2016_EVENT_RESULTS[Silver - Country - 2],T_SV_MEDALS[[#This Row],[COUNTRY ABBR]])+COUNTIFS(T_2016_EVENT_RESULTS[SPORT],I_SV_SPORT,T_2016_EVENT_RESULTS[Silver - Country - 3],T_SV_MEDALS[[#This Row],[COUNTRY ABBR]]),"")</f>
        <v/>
      </c>
      <c r="L91" s="3" t="str">
        <f>IF(I_VIEW=3, COUNTIFS(T_2016_EVENT_RESULTS[SPORT],I_SV_SPORT,T_2016_EVENT_RESULTS[Bronze - Country],T_SV_MEDALS[[#This Row],[COUNTRY ABBR]])+COUNTIFS(T_2016_EVENT_RESULTS[SPORT],I_SV_SPORT,T_2016_EVENT_RESULTS[Bronze - Country - 2],T_SV_MEDALS[[#This Row],[COUNTRY ABBR]]),"")</f>
        <v/>
      </c>
      <c r="M91" s="3">
        <f>SUM(T_SV_MEDALS[[#This Row],[SV_GOLD]:[SV_BRONZE]])</f>
        <v>0</v>
      </c>
      <c r="N91" s="3" t="str">
        <f>IF(T_SV_MEDALS[[#This Row],[SV_TOTAL]]=0,"",IF(I_RANK_METHOD="TOTAL",(T_SV_MEDALS[[#This Row],[SV_TOTAL]]*10000000),0)+(T_SV_MEDALS[[#This Row],[SV_GOLD]]*100000)+(T_SV_MEDALS[[#This Row],[SV_SILVER]]*1000)+(T_SV_MEDALS[[#This Row],[SV_BRONZE]]*10))</f>
        <v/>
      </c>
      <c r="O91" s="3" t="str">
        <f>IFERROR(IF(T_SV_MEDALS[[#This Row],[SV_TOTAL]]=0,"",RANK(T_SV_MEDALS[[#This Row],[SV_RANK VALUE]],T_SV_MEDALS[SV_RANK VALUE])),"")</f>
        <v/>
      </c>
      <c r="P91" s="3" t="str">
        <f>IFERROR(IF(T_SV_MEDALS[[#This Row],[SV_TOTAL]]=0,"",RANK(T_SV_MEDALS[[#This Row],[SV_RANK VALUE]],T_SV_MEDALS[SV_RANK VALUE])+COUNTIF($O$2:O90,O91)),"")</f>
        <v/>
      </c>
      <c r="Q91" s="3">
        <f>IFERROR(T_SV_MEDALS[[#This Row],[SV_TOTAL]]/T_SV_MEDALS[[#This Row],[TOTAL]],"")</f>
        <v>0</v>
      </c>
      <c r="R91" s="3" t="str">
        <f>IFERROR(IF(T_SV_MEDALS[[#This Row],[SV_TOTAL]]=0,"",RANK(T_SV_MEDALS[[#This Row],[Dependency - Rank Value]],T_SV_MEDALS[Dependency - Rank Value])+COUNTIF($Q$2:Q90,Q91)),"")</f>
        <v/>
      </c>
    </row>
    <row r="92" spans="1:18" x14ac:dyDescent="0.25">
      <c r="A92" t="s">
        <v>166</v>
      </c>
      <c r="B92" t="s">
        <v>167</v>
      </c>
      <c r="C92" s="3">
        <f>IF(I_VIEW=2,"",COUNTIFS(T_2016_EVENT_RESULTS[Gold - Country],T_SV_MEDALS[[#This Row],[COUNTRY ABBR]])+COUNTIFS(T_2016_EVENT_RESULTS[Gold - Country - 2],T_SV_MEDALS[[#This Row],[COUNTRY ABBR]]))</f>
        <v>3</v>
      </c>
      <c r="D92" s="3">
        <f>IF(I_VIEW=2,"",COUNTIFS(T_2016_EVENT_RESULTS[Silver - Country],T_SV_MEDALS[[#This Row],[COUNTRY ABBR]])+COUNTIFS(T_2016_EVENT_RESULTS[Silver - Country - 2],T_SV_MEDALS[[#This Row],[COUNTRY ABBR]])+COUNTIFS(T_2016_EVENT_RESULTS[Silver - Country - 3],T_SV_MEDALS[[#This Row],[COUNTRY ABBR]]))</f>
        <v>1</v>
      </c>
      <c r="E92" s="3">
        <f>IF(I_VIEW=2,"",COUNTIFS(T_2016_EVENT_RESULTS[Bronze - Country],T_SV_MEDALS[[#This Row],[COUNTRY ABBR]])+COUNTIFS(T_2016_EVENT_RESULTS[Bronze - Country - 2],T_SV_MEDALS[[#This Row],[COUNTRY ABBR]]))</f>
        <v>4</v>
      </c>
      <c r="F92" s="3">
        <f>SUM(T_SV_MEDALS[[#This Row],[GOLD]:[BRONZE]])</f>
        <v>8</v>
      </c>
      <c r="G92" s="3">
        <f>IF(T_SV_MEDALS[[#This Row],[TOTAL]]=0,"",IF(I_RANK_METHOD="TOTAL",(T_SV_MEDALS[[#This Row],[TOTAL]]*10000000),0)+(T_SV_MEDALS[[#This Row],[GOLD]]*100000)+(T_SV_MEDALS[[#This Row],[SILVER]]*1000)+(T_SV_MEDALS[[#This Row],[BRONZE]]*10))</f>
        <v>80301040</v>
      </c>
      <c r="H92" s="3">
        <f>IFERROR(IF(T_SV_MEDALS[[#This Row],[TOTAL]]=0,"",RANK(T_SV_MEDALS[[#This Row],[RANK VALUE]],T_SV_MEDALS[RANK VALUE])),"")</f>
        <v>32</v>
      </c>
      <c r="I92" s="3">
        <f>IFERROR(IF(T_SV_MEDALS[[#This Row],[TOTAL]]=0,"",RANK(T_SV_MEDALS[[#This Row],[RANK VALUE]],T_SV_MEDALS[RANK VALUE])+COUNTIF($H$2:H91,H92)),"")</f>
        <v>32</v>
      </c>
      <c r="J92" s="3" t="str">
        <f>IF(I_VIEW=3, COUNTIFS(T_2016_EVENT_RESULTS[SPORT],I_SV_SPORT,T_2016_EVENT_RESULTS[Gold - Country],T_SV_MEDALS[[#This Row],[COUNTRY ABBR]])+COUNTIFS(T_2016_EVENT_RESULTS[SPORT],I_SV_SPORT,T_2016_EVENT_RESULTS[Gold - Country - 2],T_SV_MEDALS[[#This Row],[COUNTRY ABBR]]),"")</f>
        <v/>
      </c>
      <c r="K92" s="3" t="str">
        <f>IF(I_VIEW=3, COUNTIFS(T_2016_EVENT_RESULTS[SPORT],I_SV_SPORT,T_2016_EVENT_RESULTS[Silver - Country],T_SV_MEDALS[[#This Row],[COUNTRY ABBR]])+COUNTIFS(T_2016_EVENT_RESULTS[SPORT],I_SV_SPORT,T_2016_EVENT_RESULTS[Silver - Country - 2],T_SV_MEDALS[[#This Row],[COUNTRY ABBR]])+COUNTIFS(T_2016_EVENT_RESULTS[SPORT],I_SV_SPORT,T_2016_EVENT_RESULTS[Silver - Country - 3],T_SV_MEDALS[[#This Row],[COUNTRY ABBR]]),"")</f>
        <v/>
      </c>
      <c r="L92" s="3" t="str">
        <f>IF(I_VIEW=3, COUNTIFS(T_2016_EVENT_RESULTS[SPORT],I_SV_SPORT,T_2016_EVENT_RESULTS[Bronze - Country],T_SV_MEDALS[[#This Row],[COUNTRY ABBR]])+COUNTIFS(T_2016_EVENT_RESULTS[SPORT],I_SV_SPORT,T_2016_EVENT_RESULTS[Bronze - Country - 2],T_SV_MEDALS[[#This Row],[COUNTRY ABBR]]),"")</f>
        <v/>
      </c>
      <c r="M92" s="3">
        <f>SUM(T_SV_MEDALS[[#This Row],[SV_GOLD]:[SV_BRONZE]])</f>
        <v>0</v>
      </c>
      <c r="N92" s="3" t="str">
        <f>IF(T_SV_MEDALS[[#This Row],[SV_TOTAL]]=0,"",IF(I_RANK_METHOD="TOTAL",(T_SV_MEDALS[[#This Row],[SV_TOTAL]]*10000000),0)+(T_SV_MEDALS[[#This Row],[SV_GOLD]]*100000)+(T_SV_MEDALS[[#This Row],[SV_SILVER]]*1000)+(T_SV_MEDALS[[#This Row],[SV_BRONZE]]*10))</f>
        <v/>
      </c>
      <c r="O92" s="3" t="str">
        <f>IFERROR(IF(T_SV_MEDALS[[#This Row],[SV_TOTAL]]=0,"",RANK(T_SV_MEDALS[[#This Row],[SV_RANK VALUE]],T_SV_MEDALS[SV_RANK VALUE])),"")</f>
        <v/>
      </c>
      <c r="P92" s="3" t="str">
        <f>IFERROR(IF(T_SV_MEDALS[[#This Row],[SV_TOTAL]]=0,"",RANK(T_SV_MEDALS[[#This Row],[SV_RANK VALUE]],T_SV_MEDALS[SV_RANK VALUE])+COUNTIF($O$2:O91,O92)),"")</f>
        <v/>
      </c>
      <c r="Q92" s="3">
        <f>IFERROR(T_SV_MEDALS[[#This Row],[SV_TOTAL]]/T_SV_MEDALS[[#This Row],[TOTAL]],"")</f>
        <v>0</v>
      </c>
      <c r="R92" s="3" t="str">
        <f>IFERROR(IF(T_SV_MEDALS[[#This Row],[SV_TOTAL]]=0,"",RANK(T_SV_MEDALS[[#This Row],[Dependency - Rank Value]],T_SV_MEDALS[Dependency - Rank Value])+COUNTIF($Q$2:Q91,Q92)),"")</f>
        <v/>
      </c>
    </row>
    <row r="93" spans="1:18" x14ac:dyDescent="0.25">
      <c r="A93" t="s">
        <v>168</v>
      </c>
      <c r="B93" t="s">
        <v>169</v>
      </c>
      <c r="C93" s="3">
        <f>IF(I_VIEW=2,"",COUNTIFS(T_2016_EVENT_RESULTS[Gold - Country],T_SV_MEDALS[[#This Row],[COUNTRY ABBR]])+COUNTIFS(T_2016_EVENT_RESULTS[Gold - Country - 2],T_SV_MEDALS[[#This Row],[COUNTRY ABBR]]))</f>
        <v>0</v>
      </c>
      <c r="D93" s="3">
        <f>IF(I_VIEW=2,"",COUNTIFS(T_2016_EVENT_RESULTS[Silver - Country],T_SV_MEDALS[[#This Row],[COUNTRY ABBR]])+COUNTIFS(T_2016_EVENT_RESULTS[Silver - Country - 2],T_SV_MEDALS[[#This Row],[COUNTRY ABBR]])+COUNTIFS(T_2016_EVENT_RESULTS[Silver - Country - 3],T_SV_MEDALS[[#This Row],[COUNTRY ABBR]]))</f>
        <v>0</v>
      </c>
      <c r="E93" s="3">
        <f>IF(I_VIEW=2,"",COUNTIFS(T_2016_EVENT_RESULTS[Bronze - Country],T_SV_MEDALS[[#This Row],[COUNTRY ABBR]])+COUNTIFS(T_2016_EVENT_RESULTS[Bronze - Country - 2],T_SV_MEDALS[[#This Row],[COUNTRY ABBR]]))</f>
        <v>0</v>
      </c>
      <c r="F93" s="3">
        <f>SUM(T_SV_MEDALS[[#This Row],[GOLD]:[BRONZE]])</f>
        <v>0</v>
      </c>
      <c r="G93" s="3" t="str">
        <f>IF(T_SV_MEDALS[[#This Row],[TOTAL]]=0,"",IF(I_RANK_METHOD="TOTAL",(T_SV_MEDALS[[#This Row],[TOTAL]]*10000000),0)+(T_SV_MEDALS[[#This Row],[GOLD]]*100000)+(T_SV_MEDALS[[#This Row],[SILVER]]*1000)+(T_SV_MEDALS[[#This Row],[BRONZE]]*10))</f>
        <v/>
      </c>
      <c r="H93" s="3" t="str">
        <f>IFERROR(IF(T_SV_MEDALS[[#This Row],[TOTAL]]=0,"",RANK(T_SV_MEDALS[[#This Row],[RANK VALUE]],T_SV_MEDALS[RANK VALUE])),"")</f>
        <v/>
      </c>
      <c r="I93" s="3" t="str">
        <f>IFERROR(IF(T_SV_MEDALS[[#This Row],[TOTAL]]=0,"",RANK(T_SV_MEDALS[[#This Row],[RANK VALUE]],T_SV_MEDALS[RANK VALUE])+COUNTIF($H$2:H92,H93)),"")</f>
        <v/>
      </c>
      <c r="J93" s="3" t="str">
        <f>IF(I_VIEW=3, COUNTIFS(T_2016_EVENT_RESULTS[SPORT],I_SV_SPORT,T_2016_EVENT_RESULTS[Gold - Country],T_SV_MEDALS[[#This Row],[COUNTRY ABBR]])+COUNTIFS(T_2016_EVENT_RESULTS[SPORT],I_SV_SPORT,T_2016_EVENT_RESULTS[Gold - Country - 2],T_SV_MEDALS[[#This Row],[COUNTRY ABBR]]),"")</f>
        <v/>
      </c>
      <c r="K93" s="3" t="str">
        <f>IF(I_VIEW=3, COUNTIFS(T_2016_EVENT_RESULTS[SPORT],I_SV_SPORT,T_2016_EVENT_RESULTS[Silver - Country],T_SV_MEDALS[[#This Row],[COUNTRY ABBR]])+COUNTIFS(T_2016_EVENT_RESULTS[SPORT],I_SV_SPORT,T_2016_EVENT_RESULTS[Silver - Country - 2],T_SV_MEDALS[[#This Row],[COUNTRY ABBR]])+COUNTIFS(T_2016_EVENT_RESULTS[SPORT],I_SV_SPORT,T_2016_EVENT_RESULTS[Silver - Country - 3],T_SV_MEDALS[[#This Row],[COUNTRY ABBR]]),"")</f>
        <v/>
      </c>
      <c r="L93" s="3" t="str">
        <f>IF(I_VIEW=3, COUNTIFS(T_2016_EVENT_RESULTS[SPORT],I_SV_SPORT,T_2016_EVENT_RESULTS[Bronze - Country],T_SV_MEDALS[[#This Row],[COUNTRY ABBR]])+COUNTIFS(T_2016_EVENT_RESULTS[SPORT],I_SV_SPORT,T_2016_EVENT_RESULTS[Bronze - Country - 2],T_SV_MEDALS[[#This Row],[COUNTRY ABBR]]),"")</f>
        <v/>
      </c>
      <c r="M93" s="3">
        <f>SUM(T_SV_MEDALS[[#This Row],[SV_GOLD]:[SV_BRONZE]])</f>
        <v>0</v>
      </c>
      <c r="N93" s="3" t="str">
        <f>IF(T_SV_MEDALS[[#This Row],[SV_TOTAL]]=0,"",IF(I_RANK_METHOD="TOTAL",(T_SV_MEDALS[[#This Row],[SV_TOTAL]]*10000000),0)+(T_SV_MEDALS[[#This Row],[SV_GOLD]]*100000)+(T_SV_MEDALS[[#This Row],[SV_SILVER]]*1000)+(T_SV_MEDALS[[#This Row],[SV_BRONZE]]*10))</f>
        <v/>
      </c>
      <c r="O93" s="3" t="str">
        <f>IFERROR(IF(T_SV_MEDALS[[#This Row],[SV_TOTAL]]=0,"",RANK(T_SV_MEDALS[[#This Row],[SV_RANK VALUE]],T_SV_MEDALS[SV_RANK VALUE])),"")</f>
        <v/>
      </c>
      <c r="P93" s="3" t="str">
        <f>IFERROR(IF(T_SV_MEDALS[[#This Row],[SV_TOTAL]]=0,"",RANK(T_SV_MEDALS[[#This Row],[SV_RANK VALUE]],T_SV_MEDALS[SV_RANK VALUE])+COUNTIF($O$2:O92,O93)),"")</f>
        <v/>
      </c>
      <c r="Q93" s="3" t="str">
        <f>IFERROR(T_SV_MEDALS[[#This Row],[SV_TOTAL]]/T_SV_MEDALS[[#This Row],[TOTAL]],"")</f>
        <v/>
      </c>
      <c r="R93" s="3" t="str">
        <f>IFERROR(IF(T_SV_MEDALS[[#This Row],[SV_TOTAL]]=0,"",RANK(T_SV_MEDALS[[#This Row],[Dependency - Rank Value]],T_SV_MEDALS[Dependency - Rank Value])+COUNTIF($Q$2:Q92,Q93)),"")</f>
        <v/>
      </c>
    </row>
    <row r="94" spans="1:18" x14ac:dyDescent="0.25">
      <c r="A94" t="s">
        <v>170</v>
      </c>
      <c r="B94" t="s">
        <v>171</v>
      </c>
      <c r="C94" s="3">
        <f>IF(I_VIEW=2,"",COUNTIFS(T_2016_EVENT_RESULTS[Gold - Country],T_SV_MEDALS[[#This Row],[COUNTRY ABBR]])+COUNTIFS(T_2016_EVENT_RESULTS[Gold - Country - 2],T_SV_MEDALS[[#This Row],[COUNTRY ABBR]]))</f>
        <v>0</v>
      </c>
      <c r="D94" s="3">
        <f>IF(I_VIEW=2,"",COUNTIFS(T_2016_EVENT_RESULTS[Silver - Country],T_SV_MEDALS[[#This Row],[COUNTRY ABBR]])+COUNTIFS(T_2016_EVENT_RESULTS[Silver - Country - 2],T_SV_MEDALS[[#This Row],[COUNTRY ABBR]])+COUNTIFS(T_2016_EVENT_RESULTS[Silver - Country - 3],T_SV_MEDALS[[#This Row],[COUNTRY ABBR]]))</f>
        <v>2</v>
      </c>
      <c r="E94" s="3">
        <f>IF(I_VIEW=2,"",COUNTIFS(T_2016_EVENT_RESULTS[Bronze - Country],T_SV_MEDALS[[#This Row],[COUNTRY ABBR]])+COUNTIFS(T_2016_EVENT_RESULTS[Bronze - Country - 2],T_SV_MEDALS[[#This Row],[COUNTRY ABBR]]))</f>
        <v>0</v>
      </c>
      <c r="F94" s="3">
        <f>SUM(T_SV_MEDALS[[#This Row],[GOLD]:[BRONZE]])</f>
        <v>2</v>
      </c>
      <c r="G94" s="3">
        <f>IF(T_SV_MEDALS[[#This Row],[TOTAL]]=0,"",IF(I_RANK_METHOD="TOTAL",(T_SV_MEDALS[[#This Row],[TOTAL]]*10000000),0)+(T_SV_MEDALS[[#This Row],[GOLD]]*100000)+(T_SV_MEDALS[[#This Row],[SILVER]]*1000)+(T_SV_MEDALS[[#This Row],[BRONZE]]*10))</f>
        <v>20002000</v>
      </c>
      <c r="H94" s="3">
        <f>IFERROR(IF(T_SV_MEDALS[[#This Row],[TOTAL]]=0,"",RANK(T_SV_MEDALS[[#This Row],[RANK VALUE]],T_SV_MEDALS[RANK VALUE])),"")</f>
        <v>62</v>
      </c>
      <c r="I94" s="3">
        <f>IFERROR(IF(T_SV_MEDALS[[#This Row],[TOTAL]]=0,"",RANK(T_SV_MEDALS[[#This Row],[RANK VALUE]],T_SV_MEDALS[RANK VALUE])+COUNTIF($H$2:H93,H94)),"")</f>
        <v>63</v>
      </c>
      <c r="J94" s="3" t="str">
        <f>IF(I_VIEW=3, COUNTIFS(T_2016_EVENT_RESULTS[SPORT],I_SV_SPORT,T_2016_EVENT_RESULTS[Gold - Country],T_SV_MEDALS[[#This Row],[COUNTRY ABBR]])+COUNTIFS(T_2016_EVENT_RESULTS[SPORT],I_SV_SPORT,T_2016_EVENT_RESULTS[Gold - Country - 2],T_SV_MEDALS[[#This Row],[COUNTRY ABBR]]),"")</f>
        <v/>
      </c>
      <c r="K94" s="3" t="str">
        <f>IF(I_VIEW=3, COUNTIFS(T_2016_EVENT_RESULTS[SPORT],I_SV_SPORT,T_2016_EVENT_RESULTS[Silver - Country],T_SV_MEDALS[[#This Row],[COUNTRY ABBR]])+COUNTIFS(T_2016_EVENT_RESULTS[SPORT],I_SV_SPORT,T_2016_EVENT_RESULTS[Silver - Country - 2],T_SV_MEDALS[[#This Row],[COUNTRY ABBR]])+COUNTIFS(T_2016_EVENT_RESULTS[SPORT],I_SV_SPORT,T_2016_EVENT_RESULTS[Silver - Country - 3],T_SV_MEDALS[[#This Row],[COUNTRY ABBR]]),"")</f>
        <v/>
      </c>
      <c r="L94" s="3" t="str">
        <f>IF(I_VIEW=3, COUNTIFS(T_2016_EVENT_RESULTS[SPORT],I_SV_SPORT,T_2016_EVENT_RESULTS[Bronze - Country],T_SV_MEDALS[[#This Row],[COUNTRY ABBR]])+COUNTIFS(T_2016_EVENT_RESULTS[SPORT],I_SV_SPORT,T_2016_EVENT_RESULTS[Bronze - Country - 2],T_SV_MEDALS[[#This Row],[COUNTRY ABBR]]),"")</f>
        <v/>
      </c>
      <c r="M94" s="3">
        <f>SUM(T_SV_MEDALS[[#This Row],[SV_GOLD]:[SV_BRONZE]])</f>
        <v>0</v>
      </c>
      <c r="N94" s="3" t="str">
        <f>IF(T_SV_MEDALS[[#This Row],[SV_TOTAL]]=0,"",IF(I_RANK_METHOD="TOTAL",(T_SV_MEDALS[[#This Row],[SV_TOTAL]]*10000000),0)+(T_SV_MEDALS[[#This Row],[SV_GOLD]]*100000)+(T_SV_MEDALS[[#This Row],[SV_SILVER]]*1000)+(T_SV_MEDALS[[#This Row],[SV_BRONZE]]*10))</f>
        <v/>
      </c>
      <c r="O94" s="3" t="str">
        <f>IFERROR(IF(T_SV_MEDALS[[#This Row],[SV_TOTAL]]=0,"",RANK(T_SV_MEDALS[[#This Row],[SV_RANK VALUE]],T_SV_MEDALS[SV_RANK VALUE])),"")</f>
        <v/>
      </c>
      <c r="P94" s="3" t="str">
        <f>IFERROR(IF(T_SV_MEDALS[[#This Row],[SV_TOTAL]]=0,"",RANK(T_SV_MEDALS[[#This Row],[SV_RANK VALUE]],T_SV_MEDALS[SV_RANK VALUE])+COUNTIF($O$2:O93,O94)),"")</f>
        <v/>
      </c>
      <c r="Q94" s="3">
        <f>IFERROR(T_SV_MEDALS[[#This Row],[SV_TOTAL]]/T_SV_MEDALS[[#This Row],[TOTAL]],"")</f>
        <v>0</v>
      </c>
      <c r="R94" s="3" t="str">
        <f>IFERROR(IF(T_SV_MEDALS[[#This Row],[SV_TOTAL]]=0,"",RANK(T_SV_MEDALS[[#This Row],[Dependency - Rank Value]],T_SV_MEDALS[Dependency - Rank Value])+COUNTIF($Q$2:Q93,Q94)),"")</f>
        <v/>
      </c>
    </row>
    <row r="95" spans="1:18" x14ac:dyDescent="0.25">
      <c r="A95" t="s">
        <v>172</v>
      </c>
      <c r="B95" t="s">
        <v>173</v>
      </c>
      <c r="C95" s="3">
        <f>IF(I_VIEW=2,"",COUNTIFS(T_2016_EVENT_RESULTS[Gold - Country],T_SV_MEDALS[[#This Row],[COUNTRY ABBR]])+COUNTIFS(T_2016_EVENT_RESULTS[Gold - Country - 2],T_SV_MEDALS[[#This Row],[COUNTRY ABBR]]))</f>
        <v>0</v>
      </c>
      <c r="D95" s="3">
        <f>IF(I_VIEW=2,"",COUNTIFS(T_2016_EVENT_RESULTS[Silver - Country],T_SV_MEDALS[[#This Row],[COUNTRY ABBR]])+COUNTIFS(T_2016_EVENT_RESULTS[Silver - Country - 2],T_SV_MEDALS[[#This Row],[COUNTRY ABBR]])+COUNTIFS(T_2016_EVENT_RESULTS[Silver - Country - 3],T_SV_MEDALS[[#This Row],[COUNTRY ABBR]]))</f>
        <v>0</v>
      </c>
      <c r="E95" s="3">
        <f>IF(I_VIEW=2,"",COUNTIFS(T_2016_EVENT_RESULTS[Bronze - Country],T_SV_MEDALS[[#This Row],[COUNTRY ABBR]])+COUNTIFS(T_2016_EVENT_RESULTS[Bronze - Country - 2],T_SV_MEDALS[[#This Row],[COUNTRY ABBR]]))</f>
        <v>2</v>
      </c>
      <c r="F95" s="3">
        <f>SUM(T_SV_MEDALS[[#This Row],[GOLD]:[BRONZE]])</f>
        <v>2</v>
      </c>
      <c r="G95" s="3">
        <f>IF(T_SV_MEDALS[[#This Row],[TOTAL]]=0,"",IF(I_RANK_METHOD="TOTAL",(T_SV_MEDALS[[#This Row],[TOTAL]]*10000000),0)+(T_SV_MEDALS[[#This Row],[GOLD]]*100000)+(T_SV_MEDALS[[#This Row],[SILVER]]*1000)+(T_SV_MEDALS[[#This Row],[BRONZE]]*10))</f>
        <v>20000020</v>
      </c>
      <c r="H95" s="3">
        <f>IFERROR(IF(T_SV_MEDALS[[#This Row],[TOTAL]]=0,"",RANK(T_SV_MEDALS[[#This Row],[RANK VALUE]],T_SV_MEDALS[RANK VALUE])),"")</f>
        <v>66</v>
      </c>
      <c r="I95" s="3">
        <f>IFERROR(IF(T_SV_MEDALS[[#This Row],[TOTAL]]=0,"",RANK(T_SV_MEDALS[[#This Row],[RANK VALUE]],T_SV_MEDALS[RANK VALUE])+COUNTIF($H$2:H94,H95)),"")</f>
        <v>66</v>
      </c>
      <c r="J95" s="3" t="str">
        <f>IF(I_VIEW=3, COUNTIFS(T_2016_EVENT_RESULTS[SPORT],I_SV_SPORT,T_2016_EVENT_RESULTS[Gold - Country],T_SV_MEDALS[[#This Row],[COUNTRY ABBR]])+COUNTIFS(T_2016_EVENT_RESULTS[SPORT],I_SV_SPORT,T_2016_EVENT_RESULTS[Gold - Country - 2],T_SV_MEDALS[[#This Row],[COUNTRY ABBR]]),"")</f>
        <v/>
      </c>
      <c r="K95" s="3" t="str">
        <f>IF(I_VIEW=3, COUNTIFS(T_2016_EVENT_RESULTS[SPORT],I_SV_SPORT,T_2016_EVENT_RESULTS[Silver - Country],T_SV_MEDALS[[#This Row],[COUNTRY ABBR]])+COUNTIFS(T_2016_EVENT_RESULTS[SPORT],I_SV_SPORT,T_2016_EVENT_RESULTS[Silver - Country - 2],T_SV_MEDALS[[#This Row],[COUNTRY ABBR]])+COUNTIFS(T_2016_EVENT_RESULTS[SPORT],I_SV_SPORT,T_2016_EVENT_RESULTS[Silver - Country - 3],T_SV_MEDALS[[#This Row],[COUNTRY ABBR]]),"")</f>
        <v/>
      </c>
      <c r="L95" s="3" t="str">
        <f>IF(I_VIEW=3, COUNTIFS(T_2016_EVENT_RESULTS[SPORT],I_SV_SPORT,T_2016_EVENT_RESULTS[Bronze - Country],T_SV_MEDALS[[#This Row],[COUNTRY ABBR]])+COUNTIFS(T_2016_EVENT_RESULTS[SPORT],I_SV_SPORT,T_2016_EVENT_RESULTS[Bronze - Country - 2],T_SV_MEDALS[[#This Row],[COUNTRY ABBR]]),"")</f>
        <v/>
      </c>
      <c r="M95" s="3">
        <f>SUM(T_SV_MEDALS[[#This Row],[SV_GOLD]:[SV_BRONZE]])</f>
        <v>0</v>
      </c>
      <c r="N95" s="3" t="str">
        <f>IF(T_SV_MEDALS[[#This Row],[SV_TOTAL]]=0,"",IF(I_RANK_METHOD="TOTAL",(T_SV_MEDALS[[#This Row],[SV_TOTAL]]*10000000),0)+(T_SV_MEDALS[[#This Row],[SV_GOLD]]*100000)+(T_SV_MEDALS[[#This Row],[SV_SILVER]]*1000)+(T_SV_MEDALS[[#This Row],[SV_BRONZE]]*10))</f>
        <v/>
      </c>
      <c r="O95" s="3" t="str">
        <f>IFERROR(IF(T_SV_MEDALS[[#This Row],[SV_TOTAL]]=0,"",RANK(T_SV_MEDALS[[#This Row],[SV_RANK VALUE]],T_SV_MEDALS[SV_RANK VALUE])),"")</f>
        <v/>
      </c>
      <c r="P95" s="3" t="str">
        <f>IFERROR(IF(T_SV_MEDALS[[#This Row],[SV_TOTAL]]=0,"",RANK(T_SV_MEDALS[[#This Row],[SV_RANK VALUE]],T_SV_MEDALS[SV_RANK VALUE])+COUNTIF($O$2:O94,O95)),"")</f>
        <v/>
      </c>
      <c r="Q95" s="3">
        <f>IFERROR(T_SV_MEDALS[[#This Row],[SV_TOTAL]]/T_SV_MEDALS[[#This Row],[TOTAL]],"")</f>
        <v>0</v>
      </c>
      <c r="R95" s="3" t="str">
        <f>IFERROR(IF(T_SV_MEDALS[[#This Row],[SV_TOTAL]]=0,"",RANK(T_SV_MEDALS[[#This Row],[Dependency - Rank Value]],T_SV_MEDALS[Dependency - Rank Value])+COUNTIF($Q$2:Q94,Q95)),"")</f>
        <v/>
      </c>
    </row>
    <row r="96" spans="1:18" x14ac:dyDescent="0.25">
      <c r="A96" t="s">
        <v>174</v>
      </c>
      <c r="B96" t="s">
        <v>175</v>
      </c>
      <c r="C96" s="3">
        <f>IF(I_VIEW=2,"",COUNTIFS(T_2016_EVENT_RESULTS[Gold - Country],T_SV_MEDALS[[#This Row],[COUNTRY ABBR]])+COUNTIFS(T_2016_EVENT_RESULTS[Gold - Country - 2],T_SV_MEDALS[[#This Row],[COUNTRY ABBR]]))</f>
        <v>8</v>
      </c>
      <c r="D96" s="3">
        <f>IF(I_VIEW=2,"",COUNTIFS(T_2016_EVENT_RESULTS[Silver - Country],T_SV_MEDALS[[#This Row],[COUNTRY ABBR]])+COUNTIFS(T_2016_EVENT_RESULTS[Silver - Country - 2],T_SV_MEDALS[[#This Row],[COUNTRY ABBR]])+COUNTIFS(T_2016_EVENT_RESULTS[Silver - Country - 3],T_SV_MEDALS[[#This Row],[COUNTRY ABBR]]))</f>
        <v>12</v>
      </c>
      <c r="E96" s="3">
        <f>IF(I_VIEW=2,"",COUNTIFS(T_2016_EVENT_RESULTS[Bronze - Country],T_SV_MEDALS[[#This Row],[COUNTRY ABBR]])+COUNTIFS(T_2016_EVENT_RESULTS[Bronze - Country - 2],T_SV_MEDALS[[#This Row],[COUNTRY ABBR]]))</f>
        <v>8</v>
      </c>
      <c r="F96" s="3">
        <f>SUM(T_SV_MEDALS[[#This Row],[GOLD]:[BRONZE]])</f>
        <v>28</v>
      </c>
      <c r="G96" s="3">
        <f>IF(T_SV_MEDALS[[#This Row],[TOTAL]]=0,"",IF(I_RANK_METHOD="TOTAL",(T_SV_MEDALS[[#This Row],[TOTAL]]*10000000),0)+(T_SV_MEDALS[[#This Row],[GOLD]]*100000)+(T_SV_MEDALS[[#This Row],[SILVER]]*1000)+(T_SV_MEDALS[[#This Row],[BRONZE]]*10))</f>
        <v>280812080</v>
      </c>
      <c r="H96" s="3">
        <f>IFERROR(IF(T_SV_MEDALS[[#This Row],[TOTAL]]=0,"",RANK(T_SV_MEDALS[[#This Row],[RANK VALUE]],T_SV_MEDALS[RANK VALUE])),"")</f>
        <v>9</v>
      </c>
      <c r="I96" s="3">
        <f>IFERROR(IF(T_SV_MEDALS[[#This Row],[TOTAL]]=0,"",RANK(T_SV_MEDALS[[#This Row],[RANK VALUE]],T_SV_MEDALS[RANK VALUE])+COUNTIF($H$2:H95,H96)),"")</f>
        <v>9</v>
      </c>
      <c r="J96" s="3" t="str">
        <f>IF(I_VIEW=3, COUNTIFS(T_2016_EVENT_RESULTS[SPORT],I_SV_SPORT,T_2016_EVENT_RESULTS[Gold - Country],T_SV_MEDALS[[#This Row],[COUNTRY ABBR]])+COUNTIFS(T_2016_EVENT_RESULTS[SPORT],I_SV_SPORT,T_2016_EVENT_RESULTS[Gold - Country - 2],T_SV_MEDALS[[#This Row],[COUNTRY ABBR]]),"")</f>
        <v/>
      </c>
      <c r="K96" s="3" t="str">
        <f>IF(I_VIEW=3, COUNTIFS(T_2016_EVENT_RESULTS[SPORT],I_SV_SPORT,T_2016_EVENT_RESULTS[Silver - Country],T_SV_MEDALS[[#This Row],[COUNTRY ABBR]])+COUNTIFS(T_2016_EVENT_RESULTS[SPORT],I_SV_SPORT,T_2016_EVENT_RESULTS[Silver - Country - 2],T_SV_MEDALS[[#This Row],[COUNTRY ABBR]])+COUNTIFS(T_2016_EVENT_RESULTS[SPORT],I_SV_SPORT,T_2016_EVENT_RESULTS[Silver - Country - 3],T_SV_MEDALS[[#This Row],[COUNTRY ABBR]]),"")</f>
        <v/>
      </c>
      <c r="L96" s="3" t="str">
        <f>IF(I_VIEW=3, COUNTIFS(T_2016_EVENT_RESULTS[SPORT],I_SV_SPORT,T_2016_EVENT_RESULTS[Bronze - Country],T_SV_MEDALS[[#This Row],[COUNTRY ABBR]])+COUNTIFS(T_2016_EVENT_RESULTS[SPORT],I_SV_SPORT,T_2016_EVENT_RESULTS[Bronze - Country - 2],T_SV_MEDALS[[#This Row],[COUNTRY ABBR]]),"")</f>
        <v/>
      </c>
      <c r="M96" s="3">
        <f>SUM(T_SV_MEDALS[[#This Row],[SV_GOLD]:[SV_BRONZE]])</f>
        <v>0</v>
      </c>
      <c r="N96" s="3" t="str">
        <f>IF(T_SV_MEDALS[[#This Row],[SV_TOTAL]]=0,"",IF(I_RANK_METHOD="TOTAL",(T_SV_MEDALS[[#This Row],[SV_TOTAL]]*10000000),0)+(T_SV_MEDALS[[#This Row],[SV_GOLD]]*100000)+(T_SV_MEDALS[[#This Row],[SV_SILVER]]*1000)+(T_SV_MEDALS[[#This Row],[SV_BRONZE]]*10))</f>
        <v/>
      </c>
      <c r="O96" s="3" t="str">
        <f>IFERROR(IF(T_SV_MEDALS[[#This Row],[SV_TOTAL]]=0,"",RANK(T_SV_MEDALS[[#This Row],[SV_RANK VALUE]],T_SV_MEDALS[SV_RANK VALUE])),"")</f>
        <v/>
      </c>
      <c r="P96" s="3" t="str">
        <f>IFERROR(IF(T_SV_MEDALS[[#This Row],[SV_TOTAL]]=0,"",RANK(T_SV_MEDALS[[#This Row],[SV_RANK VALUE]],T_SV_MEDALS[SV_RANK VALUE])+COUNTIF($O$2:O95,O96)),"")</f>
        <v/>
      </c>
      <c r="Q96" s="3">
        <f>IFERROR(T_SV_MEDALS[[#This Row],[SV_TOTAL]]/T_SV_MEDALS[[#This Row],[TOTAL]],"")</f>
        <v>0</v>
      </c>
      <c r="R96" s="3" t="str">
        <f>IFERROR(IF(T_SV_MEDALS[[#This Row],[SV_TOTAL]]=0,"",RANK(T_SV_MEDALS[[#This Row],[Dependency - Rank Value]],T_SV_MEDALS[Dependency - Rank Value])+COUNTIF($Q$2:Q95,Q96)),"")</f>
        <v/>
      </c>
    </row>
    <row r="97" spans="1:18" x14ac:dyDescent="0.25">
      <c r="A97" t="s">
        <v>176</v>
      </c>
      <c r="B97" t="s">
        <v>177</v>
      </c>
      <c r="C97" s="3">
        <f>IF(I_VIEW=2,"",COUNTIFS(T_2016_EVENT_RESULTS[Gold - Country],T_SV_MEDALS[[#This Row],[COUNTRY ABBR]])+COUNTIFS(T_2016_EVENT_RESULTS[Gold - Country - 2],T_SV_MEDALS[[#This Row],[COUNTRY ABBR]]))</f>
        <v>6</v>
      </c>
      <c r="D97" s="3">
        <f>IF(I_VIEW=2,"",COUNTIFS(T_2016_EVENT_RESULTS[Silver - Country],T_SV_MEDALS[[#This Row],[COUNTRY ABBR]])+COUNTIFS(T_2016_EVENT_RESULTS[Silver - Country - 2],T_SV_MEDALS[[#This Row],[COUNTRY ABBR]])+COUNTIFS(T_2016_EVENT_RESULTS[Silver - Country - 3],T_SV_MEDALS[[#This Row],[COUNTRY ABBR]]))</f>
        <v>3</v>
      </c>
      <c r="E97" s="3">
        <f>IF(I_VIEW=2,"",COUNTIFS(T_2016_EVENT_RESULTS[Bronze - Country],T_SV_MEDALS[[#This Row],[COUNTRY ABBR]])+COUNTIFS(T_2016_EVENT_RESULTS[Bronze - Country - 2],T_SV_MEDALS[[#This Row],[COUNTRY ABBR]]))</f>
        <v>2</v>
      </c>
      <c r="F97" s="3">
        <f>SUM(T_SV_MEDALS[[#This Row],[GOLD]:[BRONZE]])</f>
        <v>11</v>
      </c>
      <c r="G97" s="3">
        <f>IF(T_SV_MEDALS[[#This Row],[TOTAL]]=0,"",IF(I_RANK_METHOD="TOTAL",(T_SV_MEDALS[[#This Row],[TOTAL]]*10000000),0)+(T_SV_MEDALS[[#This Row],[GOLD]]*100000)+(T_SV_MEDALS[[#This Row],[SILVER]]*1000)+(T_SV_MEDALS[[#This Row],[BRONZE]]*10))</f>
        <v>110603020</v>
      </c>
      <c r="H97" s="3">
        <f>IFERROR(IF(T_SV_MEDALS[[#This Row],[TOTAL]]=0,"",RANK(T_SV_MEDALS[[#This Row],[RANK VALUE]],T_SV_MEDALS[RANK VALUE])),"")</f>
        <v>22</v>
      </c>
      <c r="I97" s="3">
        <f>IFERROR(IF(T_SV_MEDALS[[#This Row],[TOTAL]]=0,"",RANK(T_SV_MEDALS[[#This Row],[RANK VALUE]],T_SV_MEDALS[RANK VALUE])+COUNTIF($H$2:H96,H97)),"")</f>
        <v>22</v>
      </c>
      <c r="J97" s="3" t="str">
        <f>IF(I_VIEW=3, COUNTIFS(T_2016_EVENT_RESULTS[SPORT],I_SV_SPORT,T_2016_EVENT_RESULTS[Gold - Country],T_SV_MEDALS[[#This Row],[COUNTRY ABBR]])+COUNTIFS(T_2016_EVENT_RESULTS[SPORT],I_SV_SPORT,T_2016_EVENT_RESULTS[Gold - Country - 2],T_SV_MEDALS[[#This Row],[COUNTRY ABBR]]),"")</f>
        <v/>
      </c>
      <c r="K97" s="3" t="str">
        <f>IF(I_VIEW=3, COUNTIFS(T_2016_EVENT_RESULTS[SPORT],I_SV_SPORT,T_2016_EVENT_RESULTS[Silver - Country],T_SV_MEDALS[[#This Row],[COUNTRY ABBR]])+COUNTIFS(T_2016_EVENT_RESULTS[SPORT],I_SV_SPORT,T_2016_EVENT_RESULTS[Silver - Country - 2],T_SV_MEDALS[[#This Row],[COUNTRY ABBR]])+COUNTIFS(T_2016_EVENT_RESULTS[SPORT],I_SV_SPORT,T_2016_EVENT_RESULTS[Silver - Country - 3],T_SV_MEDALS[[#This Row],[COUNTRY ABBR]]),"")</f>
        <v/>
      </c>
      <c r="L97" s="3" t="str">
        <f>IF(I_VIEW=3, COUNTIFS(T_2016_EVENT_RESULTS[SPORT],I_SV_SPORT,T_2016_EVENT_RESULTS[Bronze - Country],T_SV_MEDALS[[#This Row],[COUNTRY ABBR]])+COUNTIFS(T_2016_EVENT_RESULTS[SPORT],I_SV_SPORT,T_2016_EVENT_RESULTS[Bronze - Country - 2],T_SV_MEDALS[[#This Row],[COUNTRY ABBR]]),"")</f>
        <v/>
      </c>
      <c r="M97" s="3">
        <f>SUM(T_SV_MEDALS[[#This Row],[SV_GOLD]:[SV_BRONZE]])</f>
        <v>0</v>
      </c>
      <c r="N97" s="3" t="str">
        <f>IF(T_SV_MEDALS[[#This Row],[SV_TOTAL]]=0,"",IF(I_RANK_METHOD="TOTAL",(T_SV_MEDALS[[#This Row],[SV_TOTAL]]*10000000),0)+(T_SV_MEDALS[[#This Row],[SV_GOLD]]*100000)+(T_SV_MEDALS[[#This Row],[SV_SILVER]]*1000)+(T_SV_MEDALS[[#This Row],[SV_BRONZE]]*10))</f>
        <v/>
      </c>
      <c r="O97" s="3" t="str">
        <f>IFERROR(IF(T_SV_MEDALS[[#This Row],[SV_TOTAL]]=0,"",RANK(T_SV_MEDALS[[#This Row],[SV_RANK VALUE]],T_SV_MEDALS[SV_RANK VALUE])),"")</f>
        <v/>
      </c>
      <c r="P97" s="3" t="str">
        <f>IFERROR(IF(T_SV_MEDALS[[#This Row],[SV_TOTAL]]=0,"",RANK(T_SV_MEDALS[[#This Row],[SV_RANK VALUE]],T_SV_MEDALS[SV_RANK VALUE])+COUNTIF($O$2:O96,O97)),"")</f>
        <v/>
      </c>
      <c r="Q97" s="3">
        <f>IFERROR(T_SV_MEDALS[[#This Row],[SV_TOTAL]]/T_SV_MEDALS[[#This Row],[TOTAL]],"")</f>
        <v>0</v>
      </c>
      <c r="R97" s="3" t="str">
        <f>IFERROR(IF(T_SV_MEDALS[[#This Row],[SV_TOTAL]]=0,"",RANK(T_SV_MEDALS[[#This Row],[Dependency - Rank Value]],T_SV_MEDALS[Dependency - Rank Value])+COUNTIF($Q$2:Q96,Q97)),"")</f>
        <v/>
      </c>
    </row>
    <row r="98" spans="1:18" x14ac:dyDescent="0.25">
      <c r="A98" t="s">
        <v>178</v>
      </c>
      <c r="B98" t="s">
        <v>179</v>
      </c>
      <c r="C98" s="3">
        <f>IF(I_VIEW=2,"",COUNTIFS(T_2016_EVENT_RESULTS[Gold - Country],T_SV_MEDALS[[#This Row],[COUNTRY ABBR]])+COUNTIFS(T_2016_EVENT_RESULTS[Gold - Country - 2],T_SV_MEDALS[[#This Row],[COUNTRY ABBR]]))</f>
        <v>12</v>
      </c>
      <c r="D98" s="3">
        <f>IF(I_VIEW=2,"",COUNTIFS(T_2016_EVENT_RESULTS[Silver - Country],T_SV_MEDALS[[#This Row],[COUNTRY ABBR]])+COUNTIFS(T_2016_EVENT_RESULTS[Silver - Country - 2],T_SV_MEDALS[[#This Row],[COUNTRY ABBR]])+COUNTIFS(T_2016_EVENT_RESULTS[Silver - Country - 3],T_SV_MEDALS[[#This Row],[COUNTRY ABBR]]))</f>
        <v>8</v>
      </c>
      <c r="E98" s="3">
        <f>IF(I_VIEW=2,"",COUNTIFS(T_2016_EVENT_RESULTS[Bronze - Country],T_SV_MEDALS[[#This Row],[COUNTRY ABBR]])+COUNTIFS(T_2016_EVENT_RESULTS[Bronze - Country - 2],T_SV_MEDALS[[#This Row],[COUNTRY ABBR]]))</f>
        <v>21</v>
      </c>
      <c r="F98" s="3">
        <f>SUM(T_SV_MEDALS[[#This Row],[GOLD]:[BRONZE]])</f>
        <v>41</v>
      </c>
      <c r="G98" s="3">
        <f>IF(T_SV_MEDALS[[#This Row],[TOTAL]]=0,"",IF(I_RANK_METHOD="TOTAL",(T_SV_MEDALS[[#This Row],[TOTAL]]*10000000),0)+(T_SV_MEDALS[[#This Row],[GOLD]]*100000)+(T_SV_MEDALS[[#This Row],[SILVER]]*1000)+(T_SV_MEDALS[[#This Row],[BRONZE]]*10))</f>
        <v>411208210</v>
      </c>
      <c r="H98" s="3">
        <f>IFERROR(IF(T_SV_MEDALS[[#This Row],[TOTAL]]=0,"",RANK(T_SV_MEDALS[[#This Row],[RANK VALUE]],T_SV_MEDALS[RANK VALUE])),"")</f>
        <v>7</v>
      </c>
      <c r="I98" s="3">
        <f>IFERROR(IF(T_SV_MEDALS[[#This Row],[TOTAL]]=0,"",RANK(T_SV_MEDALS[[#This Row],[RANK VALUE]],T_SV_MEDALS[RANK VALUE])+COUNTIF($H$2:H97,H98)),"")</f>
        <v>7</v>
      </c>
      <c r="J98" s="3" t="str">
        <f>IF(I_VIEW=3, COUNTIFS(T_2016_EVENT_RESULTS[SPORT],I_SV_SPORT,T_2016_EVENT_RESULTS[Gold - Country],T_SV_MEDALS[[#This Row],[COUNTRY ABBR]])+COUNTIFS(T_2016_EVENT_RESULTS[SPORT],I_SV_SPORT,T_2016_EVENT_RESULTS[Gold - Country - 2],T_SV_MEDALS[[#This Row],[COUNTRY ABBR]]),"")</f>
        <v/>
      </c>
      <c r="K98" s="3" t="str">
        <f>IF(I_VIEW=3, COUNTIFS(T_2016_EVENT_RESULTS[SPORT],I_SV_SPORT,T_2016_EVENT_RESULTS[Silver - Country],T_SV_MEDALS[[#This Row],[COUNTRY ABBR]])+COUNTIFS(T_2016_EVENT_RESULTS[SPORT],I_SV_SPORT,T_2016_EVENT_RESULTS[Silver - Country - 2],T_SV_MEDALS[[#This Row],[COUNTRY ABBR]])+COUNTIFS(T_2016_EVENT_RESULTS[SPORT],I_SV_SPORT,T_2016_EVENT_RESULTS[Silver - Country - 3],T_SV_MEDALS[[#This Row],[COUNTRY ABBR]]),"")</f>
        <v/>
      </c>
      <c r="L98" s="3" t="str">
        <f>IF(I_VIEW=3, COUNTIFS(T_2016_EVENT_RESULTS[SPORT],I_SV_SPORT,T_2016_EVENT_RESULTS[Bronze - Country],T_SV_MEDALS[[#This Row],[COUNTRY ABBR]])+COUNTIFS(T_2016_EVENT_RESULTS[SPORT],I_SV_SPORT,T_2016_EVENT_RESULTS[Bronze - Country - 2],T_SV_MEDALS[[#This Row],[COUNTRY ABBR]]),"")</f>
        <v/>
      </c>
      <c r="M98" s="3">
        <f>SUM(T_SV_MEDALS[[#This Row],[SV_GOLD]:[SV_BRONZE]])</f>
        <v>0</v>
      </c>
      <c r="N98" s="3" t="str">
        <f>IF(T_SV_MEDALS[[#This Row],[SV_TOTAL]]=0,"",IF(I_RANK_METHOD="TOTAL",(T_SV_MEDALS[[#This Row],[SV_TOTAL]]*10000000),0)+(T_SV_MEDALS[[#This Row],[SV_GOLD]]*100000)+(T_SV_MEDALS[[#This Row],[SV_SILVER]]*1000)+(T_SV_MEDALS[[#This Row],[SV_BRONZE]]*10))</f>
        <v/>
      </c>
      <c r="O98" s="3" t="str">
        <f>IFERROR(IF(T_SV_MEDALS[[#This Row],[SV_TOTAL]]=0,"",RANK(T_SV_MEDALS[[#This Row],[SV_RANK VALUE]],T_SV_MEDALS[SV_RANK VALUE])),"")</f>
        <v/>
      </c>
      <c r="P98" s="3" t="str">
        <f>IFERROR(IF(T_SV_MEDALS[[#This Row],[SV_TOTAL]]=0,"",RANK(T_SV_MEDALS[[#This Row],[SV_RANK VALUE]],T_SV_MEDALS[SV_RANK VALUE])+COUNTIF($O$2:O97,O98)),"")</f>
        <v/>
      </c>
      <c r="Q98" s="3">
        <f>IFERROR(T_SV_MEDALS[[#This Row],[SV_TOTAL]]/T_SV_MEDALS[[#This Row],[TOTAL]],"")</f>
        <v>0</v>
      </c>
      <c r="R98" s="3" t="str">
        <f>IFERROR(IF(T_SV_MEDALS[[#This Row],[SV_TOTAL]]=0,"",RANK(T_SV_MEDALS[[#This Row],[Dependency - Rank Value]],T_SV_MEDALS[Dependency - Rank Value])+COUNTIF($Q$2:Q97,Q98)),"")</f>
        <v/>
      </c>
    </row>
    <row r="99" spans="1:18" x14ac:dyDescent="0.25">
      <c r="A99" t="s">
        <v>180</v>
      </c>
      <c r="B99" t="s">
        <v>181</v>
      </c>
      <c r="C99" s="3">
        <f>IF(I_VIEW=2,"",COUNTIFS(T_2016_EVENT_RESULTS[Gold - Country],T_SV_MEDALS[[#This Row],[COUNTRY ABBR]])+COUNTIFS(T_2016_EVENT_RESULTS[Gold - Country - 2],T_SV_MEDALS[[#This Row],[COUNTRY ABBR]]))</f>
        <v>1</v>
      </c>
      <c r="D99" s="3">
        <f>IF(I_VIEW=2,"",COUNTIFS(T_2016_EVENT_RESULTS[Silver - Country],T_SV_MEDALS[[#This Row],[COUNTRY ABBR]])+COUNTIFS(T_2016_EVENT_RESULTS[Silver - Country - 2],T_SV_MEDALS[[#This Row],[COUNTRY ABBR]])+COUNTIFS(T_2016_EVENT_RESULTS[Silver - Country - 3],T_SV_MEDALS[[#This Row],[COUNTRY ABBR]]))</f>
        <v>0</v>
      </c>
      <c r="E99" s="3">
        <f>IF(I_VIEW=2,"",COUNTIFS(T_2016_EVENT_RESULTS[Bronze - Country],T_SV_MEDALS[[#This Row],[COUNTRY ABBR]])+COUNTIFS(T_2016_EVENT_RESULTS[Bronze - Country - 2],T_SV_MEDALS[[#This Row],[COUNTRY ABBR]]))</f>
        <v>0</v>
      </c>
      <c r="F99" s="3">
        <f>SUM(T_SV_MEDALS[[#This Row],[GOLD]:[BRONZE]])</f>
        <v>1</v>
      </c>
      <c r="G99" s="3">
        <f>IF(T_SV_MEDALS[[#This Row],[TOTAL]]=0,"",IF(I_RANK_METHOD="TOTAL",(T_SV_MEDALS[[#This Row],[TOTAL]]*10000000),0)+(T_SV_MEDALS[[#This Row],[GOLD]]*100000)+(T_SV_MEDALS[[#This Row],[SILVER]]*1000)+(T_SV_MEDALS[[#This Row],[BRONZE]]*10))</f>
        <v>10100000</v>
      </c>
      <c r="H99" s="3">
        <f>IFERROR(IF(T_SV_MEDALS[[#This Row],[TOTAL]]=0,"",RANK(T_SV_MEDALS[[#This Row],[RANK VALUE]],T_SV_MEDALS[RANK VALUE])),"")</f>
        <v>67</v>
      </c>
      <c r="I99" s="3">
        <f>IFERROR(IF(T_SV_MEDALS[[#This Row],[TOTAL]]=0,"",RANK(T_SV_MEDALS[[#This Row],[RANK VALUE]],T_SV_MEDALS[RANK VALUE])+COUNTIF($H$2:H98,H99)),"")</f>
        <v>68</v>
      </c>
      <c r="J99" s="3" t="str">
        <f>IF(I_VIEW=3, COUNTIFS(T_2016_EVENT_RESULTS[SPORT],I_SV_SPORT,T_2016_EVENT_RESULTS[Gold - Country],T_SV_MEDALS[[#This Row],[COUNTRY ABBR]])+COUNTIFS(T_2016_EVENT_RESULTS[SPORT],I_SV_SPORT,T_2016_EVENT_RESULTS[Gold - Country - 2],T_SV_MEDALS[[#This Row],[COUNTRY ABBR]]),"")</f>
        <v/>
      </c>
      <c r="K99" s="3" t="str">
        <f>IF(I_VIEW=3, COUNTIFS(T_2016_EVENT_RESULTS[SPORT],I_SV_SPORT,T_2016_EVENT_RESULTS[Silver - Country],T_SV_MEDALS[[#This Row],[COUNTRY ABBR]])+COUNTIFS(T_2016_EVENT_RESULTS[SPORT],I_SV_SPORT,T_2016_EVENT_RESULTS[Silver - Country - 2],T_SV_MEDALS[[#This Row],[COUNTRY ABBR]])+COUNTIFS(T_2016_EVENT_RESULTS[SPORT],I_SV_SPORT,T_2016_EVENT_RESULTS[Silver - Country - 3],T_SV_MEDALS[[#This Row],[COUNTRY ABBR]]),"")</f>
        <v/>
      </c>
      <c r="L99" s="3" t="str">
        <f>IF(I_VIEW=3, COUNTIFS(T_2016_EVENT_RESULTS[SPORT],I_SV_SPORT,T_2016_EVENT_RESULTS[Bronze - Country],T_SV_MEDALS[[#This Row],[COUNTRY ABBR]])+COUNTIFS(T_2016_EVENT_RESULTS[SPORT],I_SV_SPORT,T_2016_EVENT_RESULTS[Bronze - Country - 2],T_SV_MEDALS[[#This Row],[COUNTRY ABBR]]),"")</f>
        <v/>
      </c>
      <c r="M99" s="3">
        <f>SUM(T_SV_MEDALS[[#This Row],[SV_GOLD]:[SV_BRONZE]])</f>
        <v>0</v>
      </c>
      <c r="N99" s="3" t="str">
        <f>IF(T_SV_MEDALS[[#This Row],[SV_TOTAL]]=0,"",IF(I_RANK_METHOD="TOTAL",(T_SV_MEDALS[[#This Row],[SV_TOTAL]]*10000000),0)+(T_SV_MEDALS[[#This Row],[SV_GOLD]]*100000)+(T_SV_MEDALS[[#This Row],[SV_SILVER]]*1000)+(T_SV_MEDALS[[#This Row],[SV_BRONZE]]*10))</f>
        <v/>
      </c>
      <c r="O99" s="3" t="str">
        <f>IFERROR(IF(T_SV_MEDALS[[#This Row],[SV_TOTAL]]=0,"",RANK(T_SV_MEDALS[[#This Row],[SV_RANK VALUE]],T_SV_MEDALS[SV_RANK VALUE])),"")</f>
        <v/>
      </c>
      <c r="P99" s="3" t="str">
        <f>IFERROR(IF(T_SV_MEDALS[[#This Row],[SV_TOTAL]]=0,"",RANK(T_SV_MEDALS[[#This Row],[SV_RANK VALUE]],T_SV_MEDALS[SV_RANK VALUE])+COUNTIF($O$2:O98,O99)),"")</f>
        <v/>
      </c>
      <c r="Q99" s="3">
        <f>IFERROR(T_SV_MEDALS[[#This Row],[SV_TOTAL]]/T_SV_MEDALS[[#This Row],[TOTAL]],"")</f>
        <v>0</v>
      </c>
      <c r="R99" s="3" t="str">
        <f>IFERROR(IF(T_SV_MEDALS[[#This Row],[SV_TOTAL]]=0,"",RANK(T_SV_MEDALS[[#This Row],[Dependency - Rank Value]],T_SV_MEDALS[Dependency - Rank Value])+COUNTIF($Q$2:Q98,Q99)),"")</f>
        <v/>
      </c>
    </row>
    <row r="100" spans="1:18" x14ac:dyDescent="0.25">
      <c r="A100" t="s">
        <v>182</v>
      </c>
      <c r="B100" t="s">
        <v>183</v>
      </c>
      <c r="C100" s="3">
        <f>IF(I_VIEW=2,"",COUNTIFS(T_2016_EVENT_RESULTS[Gold - Country],T_SV_MEDALS[[#This Row],[COUNTRY ABBR]])+COUNTIFS(T_2016_EVENT_RESULTS[Gold - Country - 2],T_SV_MEDALS[[#This Row],[COUNTRY ABBR]]))</f>
        <v>3</v>
      </c>
      <c r="D100" s="3">
        <f>IF(I_VIEW=2,"",COUNTIFS(T_2016_EVENT_RESULTS[Silver - Country],T_SV_MEDALS[[#This Row],[COUNTRY ABBR]])+COUNTIFS(T_2016_EVENT_RESULTS[Silver - Country - 2],T_SV_MEDALS[[#This Row],[COUNTRY ABBR]])+COUNTIFS(T_2016_EVENT_RESULTS[Silver - Country - 3],T_SV_MEDALS[[#This Row],[COUNTRY ABBR]]))</f>
        <v>5</v>
      </c>
      <c r="E100" s="3">
        <f>IF(I_VIEW=2,"",COUNTIFS(T_2016_EVENT_RESULTS[Bronze - Country],T_SV_MEDALS[[#This Row],[COUNTRY ABBR]])+COUNTIFS(T_2016_EVENT_RESULTS[Bronze - Country - 2],T_SV_MEDALS[[#This Row],[COUNTRY ABBR]]))</f>
        <v>9</v>
      </c>
      <c r="F100" s="3">
        <f>SUM(T_SV_MEDALS[[#This Row],[GOLD]:[BRONZE]])</f>
        <v>17</v>
      </c>
      <c r="G100" s="3">
        <f>IF(T_SV_MEDALS[[#This Row],[TOTAL]]=0,"",IF(I_RANK_METHOD="TOTAL",(T_SV_MEDALS[[#This Row],[TOTAL]]*10000000),0)+(T_SV_MEDALS[[#This Row],[GOLD]]*100000)+(T_SV_MEDALS[[#This Row],[SILVER]]*1000)+(T_SV_MEDALS[[#This Row],[BRONZE]]*10))</f>
        <v>170305090</v>
      </c>
      <c r="H100" s="3">
        <f>IFERROR(IF(T_SV_MEDALS[[#This Row],[TOTAL]]=0,"",RANK(T_SV_MEDALS[[#This Row],[RANK VALUE]],T_SV_MEDALS[RANK VALUE])),"")</f>
        <v>17</v>
      </c>
      <c r="I100" s="3">
        <f>IFERROR(IF(T_SV_MEDALS[[#This Row],[TOTAL]]=0,"",RANK(T_SV_MEDALS[[#This Row],[RANK VALUE]],T_SV_MEDALS[RANK VALUE])+COUNTIF($H$2:H99,H100)),"")</f>
        <v>17</v>
      </c>
      <c r="J100" s="3" t="str">
        <f>IF(I_VIEW=3, COUNTIFS(T_2016_EVENT_RESULTS[SPORT],I_SV_SPORT,T_2016_EVENT_RESULTS[Gold - Country],T_SV_MEDALS[[#This Row],[COUNTRY ABBR]])+COUNTIFS(T_2016_EVENT_RESULTS[SPORT],I_SV_SPORT,T_2016_EVENT_RESULTS[Gold - Country - 2],T_SV_MEDALS[[#This Row],[COUNTRY ABBR]]),"")</f>
        <v/>
      </c>
      <c r="K100" s="3" t="str">
        <f>IF(I_VIEW=3, COUNTIFS(T_2016_EVENT_RESULTS[SPORT],I_SV_SPORT,T_2016_EVENT_RESULTS[Silver - Country],T_SV_MEDALS[[#This Row],[COUNTRY ABBR]])+COUNTIFS(T_2016_EVENT_RESULTS[SPORT],I_SV_SPORT,T_2016_EVENT_RESULTS[Silver - Country - 2],T_SV_MEDALS[[#This Row],[COUNTRY ABBR]])+COUNTIFS(T_2016_EVENT_RESULTS[SPORT],I_SV_SPORT,T_2016_EVENT_RESULTS[Silver - Country - 3],T_SV_MEDALS[[#This Row],[COUNTRY ABBR]]),"")</f>
        <v/>
      </c>
      <c r="L100" s="3" t="str">
        <f>IF(I_VIEW=3, COUNTIFS(T_2016_EVENT_RESULTS[SPORT],I_SV_SPORT,T_2016_EVENT_RESULTS[Bronze - Country],T_SV_MEDALS[[#This Row],[COUNTRY ABBR]])+COUNTIFS(T_2016_EVENT_RESULTS[SPORT],I_SV_SPORT,T_2016_EVENT_RESULTS[Bronze - Country - 2],T_SV_MEDALS[[#This Row],[COUNTRY ABBR]]),"")</f>
        <v/>
      </c>
      <c r="M100" s="3">
        <f>SUM(T_SV_MEDALS[[#This Row],[SV_GOLD]:[SV_BRONZE]])</f>
        <v>0</v>
      </c>
      <c r="N100" s="3" t="str">
        <f>IF(T_SV_MEDALS[[#This Row],[SV_TOTAL]]=0,"",IF(I_RANK_METHOD="TOTAL",(T_SV_MEDALS[[#This Row],[SV_TOTAL]]*10000000),0)+(T_SV_MEDALS[[#This Row],[SV_GOLD]]*100000)+(T_SV_MEDALS[[#This Row],[SV_SILVER]]*1000)+(T_SV_MEDALS[[#This Row],[SV_BRONZE]]*10))</f>
        <v/>
      </c>
      <c r="O100" s="3" t="str">
        <f>IFERROR(IF(T_SV_MEDALS[[#This Row],[SV_TOTAL]]=0,"",RANK(T_SV_MEDALS[[#This Row],[SV_RANK VALUE]],T_SV_MEDALS[SV_RANK VALUE])),"")</f>
        <v/>
      </c>
      <c r="P100" s="3" t="str">
        <f>IFERROR(IF(T_SV_MEDALS[[#This Row],[SV_TOTAL]]=0,"",RANK(T_SV_MEDALS[[#This Row],[SV_RANK VALUE]],T_SV_MEDALS[SV_RANK VALUE])+COUNTIF($O$2:O99,O100)),"")</f>
        <v/>
      </c>
      <c r="Q100" s="3">
        <f>IFERROR(T_SV_MEDALS[[#This Row],[SV_TOTAL]]/T_SV_MEDALS[[#This Row],[TOTAL]],"")</f>
        <v>0</v>
      </c>
      <c r="R100" s="3" t="str">
        <f>IFERROR(IF(T_SV_MEDALS[[#This Row],[SV_TOTAL]]=0,"",RANK(T_SV_MEDALS[[#This Row],[Dependency - Rank Value]],T_SV_MEDALS[Dependency - Rank Value])+COUNTIF($Q$2:Q99,Q100)),"")</f>
        <v/>
      </c>
    </row>
    <row r="101" spans="1:18" x14ac:dyDescent="0.25">
      <c r="A101" t="s">
        <v>184</v>
      </c>
      <c r="B101" t="s">
        <v>185</v>
      </c>
      <c r="C101" s="3">
        <f>IF(I_VIEW=2,"",COUNTIFS(T_2016_EVENT_RESULTS[Gold - Country],T_SV_MEDALS[[#This Row],[COUNTRY ABBR]])+COUNTIFS(T_2016_EVENT_RESULTS[Gold - Country - 2],T_SV_MEDALS[[#This Row],[COUNTRY ABBR]]))</f>
        <v>6</v>
      </c>
      <c r="D101" s="3">
        <f>IF(I_VIEW=2,"",COUNTIFS(T_2016_EVENT_RESULTS[Silver - Country],T_SV_MEDALS[[#This Row],[COUNTRY ABBR]])+COUNTIFS(T_2016_EVENT_RESULTS[Silver - Country - 2],T_SV_MEDALS[[#This Row],[COUNTRY ABBR]])+COUNTIFS(T_2016_EVENT_RESULTS[Silver - Country - 3],T_SV_MEDALS[[#This Row],[COUNTRY ABBR]]))</f>
        <v>6</v>
      </c>
      <c r="E101" s="3">
        <f>IF(I_VIEW=2,"",COUNTIFS(T_2016_EVENT_RESULTS[Bronze - Country],T_SV_MEDALS[[#This Row],[COUNTRY ABBR]])+COUNTIFS(T_2016_EVENT_RESULTS[Bronze - Country - 2],T_SV_MEDALS[[#This Row],[COUNTRY ABBR]]))</f>
        <v>1</v>
      </c>
      <c r="F101" s="3">
        <f>SUM(T_SV_MEDALS[[#This Row],[GOLD]:[BRONZE]])</f>
        <v>13</v>
      </c>
      <c r="G101" s="3">
        <f>IF(T_SV_MEDALS[[#This Row],[TOTAL]]=0,"",IF(I_RANK_METHOD="TOTAL",(T_SV_MEDALS[[#This Row],[TOTAL]]*10000000),0)+(T_SV_MEDALS[[#This Row],[GOLD]]*100000)+(T_SV_MEDALS[[#This Row],[SILVER]]*1000)+(T_SV_MEDALS[[#This Row],[BRONZE]]*10))</f>
        <v>130606010</v>
      </c>
      <c r="H101" s="3">
        <f>IFERROR(IF(T_SV_MEDALS[[#This Row],[TOTAL]]=0,"",RANK(T_SV_MEDALS[[#This Row],[RANK VALUE]],T_SV_MEDALS[RANK VALUE])),"")</f>
        <v>20</v>
      </c>
      <c r="I101" s="3">
        <f>IFERROR(IF(T_SV_MEDALS[[#This Row],[TOTAL]]=0,"",RANK(T_SV_MEDALS[[#This Row],[RANK VALUE]],T_SV_MEDALS[RANK VALUE])+COUNTIF($H$2:H100,H101)),"")</f>
        <v>20</v>
      </c>
      <c r="J101" s="3" t="str">
        <f>IF(I_VIEW=3, COUNTIFS(T_2016_EVENT_RESULTS[SPORT],I_SV_SPORT,T_2016_EVENT_RESULTS[Gold - Country],T_SV_MEDALS[[#This Row],[COUNTRY ABBR]])+COUNTIFS(T_2016_EVENT_RESULTS[SPORT],I_SV_SPORT,T_2016_EVENT_RESULTS[Gold - Country - 2],T_SV_MEDALS[[#This Row],[COUNTRY ABBR]]),"")</f>
        <v/>
      </c>
      <c r="K101" s="3" t="str">
        <f>IF(I_VIEW=3, COUNTIFS(T_2016_EVENT_RESULTS[SPORT],I_SV_SPORT,T_2016_EVENT_RESULTS[Silver - Country],T_SV_MEDALS[[#This Row],[COUNTRY ABBR]])+COUNTIFS(T_2016_EVENT_RESULTS[SPORT],I_SV_SPORT,T_2016_EVENT_RESULTS[Silver - Country - 2],T_SV_MEDALS[[#This Row],[COUNTRY ABBR]])+COUNTIFS(T_2016_EVENT_RESULTS[SPORT],I_SV_SPORT,T_2016_EVENT_RESULTS[Silver - Country - 3],T_SV_MEDALS[[#This Row],[COUNTRY ABBR]]),"")</f>
        <v/>
      </c>
      <c r="L101" s="3" t="str">
        <f>IF(I_VIEW=3, COUNTIFS(T_2016_EVENT_RESULTS[SPORT],I_SV_SPORT,T_2016_EVENT_RESULTS[Bronze - Country],T_SV_MEDALS[[#This Row],[COUNTRY ABBR]])+COUNTIFS(T_2016_EVENT_RESULTS[SPORT],I_SV_SPORT,T_2016_EVENT_RESULTS[Bronze - Country - 2],T_SV_MEDALS[[#This Row],[COUNTRY ABBR]]),"")</f>
        <v/>
      </c>
      <c r="M101" s="3">
        <f>SUM(T_SV_MEDALS[[#This Row],[SV_GOLD]:[SV_BRONZE]])</f>
        <v>0</v>
      </c>
      <c r="N101" s="3" t="str">
        <f>IF(T_SV_MEDALS[[#This Row],[SV_TOTAL]]=0,"",IF(I_RANK_METHOD="TOTAL",(T_SV_MEDALS[[#This Row],[SV_TOTAL]]*10000000),0)+(T_SV_MEDALS[[#This Row],[SV_GOLD]]*100000)+(T_SV_MEDALS[[#This Row],[SV_SILVER]]*1000)+(T_SV_MEDALS[[#This Row],[SV_BRONZE]]*10))</f>
        <v/>
      </c>
      <c r="O101" s="3" t="str">
        <f>IFERROR(IF(T_SV_MEDALS[[#This Row],[SV_TOTAL]]=0,"",RANK(T_SV_MEDALS[[#This Row],[SV_RANK VALUE]],T_SV_MEDALS[SV_RANK VALUE])),"")</f>
        <v/>
      </c>
      <c r="P101" s="3" t="str">
        <f>IFERROR(IF(T_SV_MEDALS[[#This Row],[SV_TOTAL]]=0,"",RANK(T_SV_MEDALS[[#This Row],[SV_RANK VALUE]],T_SV_MEDALS[SV_RANK VALUE])+COUNTIF($O$2:O100,O101)),"")</f>
        <v/>
      </c>
      <c r="Q101" s="3">
        <f>IFERROR(T_SV_MEDALS[[#This Row],[SV_TOTAL]]/T_SV_MEDALS[[#This Row],[TOTAL]],"")</f>
        <v>0</v>
      </c>
      <c r="R101" s="3" t="str">
        <f>IFERROR(IF(T_SV_MEDALS[[#This Row],[SV_TOTAL]]=0,"",RANK(T_SV_MEDALS[[#This Row],[Dependency - Rank Value]],T_SV_MEDALS[Dependency - Rank Value])+COUNTIF($Q$2:Q100,Q101)),"")</f>
        <v/>
      </c>
    </row>
    <row r="102" spans="1:18" x14ac:dyDescent="0.25">
      <c r="A102" t="s">
        <v>1027</v>
      </c>
      <c r="B102" t="s">
        <v>1028</v>
      </c>
      <c r="C102" s="3">
        <f>IF(I_VIEW=2,"",COUNTIFS(T_2016_EVENT_RESULTS[Gold - Country],T_SV_MEDALS[[#This Row],[COUNTRY ABBR]])+COUNTIFS(T_2016_EVENT_RESULTS[Gold - Country - 2],T_SV_MEDALS[[#This Row],[COUNTRY ABBR]]))</f>
        <v>0</v>
      </c>
      <c r="D102" s="3">
        <f>IF(I_VIEW=2,"",COUNTIFS(T_2016_EVENT_RESULTS[Silver - Country],T_SV_MEDALS[[#This Row],[COUNTRY ABBR]])+COUNTIFS(T_2016_EVENT_RESULTS[Silver - Country - 2],T_SV_MEDALS[[#This Row],[COUNTRY ABBR]])+COUNTIFS(T_2016_EVENT_RESULTS[Silver - Country - 3],T_SV_MEDALS[[#This Row],[COUNTRY ABBR]]))</f>
        <v>0</v>
      </c>
      <c r="E102" s="3">
        <f>IF(I_VIEW=2,"",COUNTIFS(T_2016_EVENT_RESULTS[Bronze - Country],T_SV_MEDALS[[#This Row],[COUNTRY ABBR]])+COUNTIFS(T_2016_EVENT_RESULTS[Bronze - Country - 2],T_SV_MEDALS[[#This Row],[COUNTRY ABBR]]))</f>
        <v>0</v>
      </c>
      <c r="F102" s="3">
        <f>SUM(T_SV_MEDALS[[#This Row],[GOLD]:[BRONZE]])</f>
        <v>0</v>
      </c>
      <c r="G102" s="3" t="str">
        <f>IF(T_SV_MEDALS[[#This Row],[TOTAL]]=0,"",IF(I_RANK_METHOD="TOTAL",(T_SV_MEDALS[[#This Row],[TOTAL]]*10000000),0)+(T_SV_MEDALS[[#This Row],[GOLD]]*100000)+(T_SV_MEDALS[[#This Row],[SILVER]]*1000)+(T_SV_MEDALS[[#This Row],[BRONZE]]*10))</f>
        <v/>
      </c>
      <c r="H102" s="3" t="str">
        <f>IFERROR(IF(T_SV_MEDALS[[#This Row],[TOTAL]]=0,"",RANK(T_SV_MEDALS[[#This Row],[RANK VALUE]],T_SV_MEDALS[RANK VALUE])),"")</f>
        <v/>
      </c>
      <c r="I102" s="3" t="str">
        <f>IFERROR(IF(T_SV_MEDALS[[#This Row],[TOTAL]]=0,"",RANK(T_SV_MEDALS[[#This Row],[RANK VALUE]],T_SV_MEDALS[RANK VALUE])+COUNTIF($H$2:H101,H102)),"")</f>
        <v/>
      </c>
      <c r="J102" s="3" t="str">
        <f>IF(I_VIEW=3, COUNTIFS(T_2016_EVENT_RESULTS[SPORT],I_SV_SPORT,T_2016_EVENT_RESULTS[Gold - Country],T_SV_MEDALS[[#This Row],[COUNTRY ABBR]])+COUNTIFS(T_2016_EVENT_RESULTS[SPORT],I_SV_SPORT,T_2016_EVENT_RESULTS[Gold - Country - 2],T_SV_MEDALS[[#This Row],[COUNTRY ABBR]]),"")</f>
        <v/>
      </c>
      <c r="K102" s="3" t="str">
        <f>IF(I_VIEW=3, COUNTIFS(T_2016_EVENT_RESULTS[SPORT],I_SV_SPORT,T_2016_EVENT_RESULTS[Silver - Country],T_SV_MEDALS[[#This Row],[COUNTRY ABBR]])+COUNTIFS(T_2016_EVENT_RESULTS[SPORT],I_SV_SPORT,T_2016_EVENT_RESULTS[Silver - Country - 2],T_SV_MEDALS[[#This Row],[COUNTRY ABBR]])+COUNTIFS(T_2016_EVENT_RESULTS[SPORT],I_SV_SPORT,T_2016_EVENT_RESULTS[Silver - Country - 3],T_SV_MEDALS[[#This Row],[COUNTRY ABBR]]),"")</f>
        <v/>
      </c>
      <c r="L102" s="3" t="str">
        <f>IF(I_VIEW=3, COUNTIFS(T_2016_EVENT_RESULTS[SPORT],I_SV_SPORT,T_2016_EVENT_RESULTS[Bronze - Country],T_SV_MEDALS[[#This Row],[COUNTRY ABBR]])+COUNTIFS(T_2016_EVENT_RESULTS[SPORT],I_SV_SPORT,T_2016_EVENT_RESULTS[Bronze - Country - 2],T_SV_MEDALS[[#This Row],[COUNTRY ABBR]]),"")</f>
        <v/>
      </c>
      <c r="M102" s="3">
        <f>SUM(T_SV_MEDALS[[#This Row],[SV_GOLD]:[SV_BRONZE]])</f>
        <v>0</v>
      </c>
      <c r="N102" s="3" t="str">
        <f>IF(T_SV_MEDALS[[#This Row],[SV_TOTAL]]=0,"",IF(I_RANK_METHOD="TOTAL",(T_SV_MEDALS[[#This Row],[SV_TOTAL]]*10000000),0)+(T_SV_MEDALS[[#This Row],[SV_GOLD]]*100000)+(T_SV_MEDALS[[#This Row],[SV_SILVER]]*1000)+(T_SV_MEDALS[[#This Row],[SV_BRONZE]]*10))</f>
        <v/>
      </c>
      <c r="O102" s="3" t="str">
        <f>IFERROR(IF(T_SV_MEDALS[[#This Row],[SV_TOTAL]]=0,"",RANK(T_SV_MEDALS[[#This Row],[SV_RANK VALUE]],T_SV_MEDALS[SV_RANK VALUE])),"")</f>
        <v/>
      </c>
      <c r="P102" s="3" t="str">
        <f>IFERROR(IF(T_SV_MEDALS[[#This Row],[SV_TOTAL]]=0,"",RANK(T_SV_MEDALS[[#This Row],[SV_RANK VALUE]],T_SV_MEDALS[SV_RANK VALUE])+COUNTIF($O$2:O101,O102)),"")</f>
        <v/>
      </c>
      <c r="Q102" s="3" t="str">
        <f>IFERROR(T_SV_MEDALS[[#This Row],[SV_TOTAL]]/T_SV_MEDALS[[#This Row],[TOTAL]],"")</f>
        <v/>
      </c>
      <c r="R102" s="3" t="str">
        <f>IFERROR(IF(T_SV_MEDALS[[#This Row],[SV_TOTAL]]=0,"",RANK(T_SV_MEDALS[[#This Row],[Dependency - Rank Value]],T_SV_MEDALS[Dependency - Rank Value])+COUNTIF($Q$2:Q101,Q102)),"")</f>
        <v/>
      </c>
    </row>
    <row r="103" spans="1:18" x14ac:dyDescent="0.25">
      <c r="A103" t="s">
        <v>1029</v>
      </c>
      <c r="B103" t="s">
        <v>648</v>
      </c>
      <c r="C103" s="3">
        <f>IF(I_VIEW=2,"",COUNTIFS(T_2016_EVENT_RESULTS[Gold - Country],T_SV_MEDALS[[#This Row],[COUNTRY ABBR]])+COUNTIFS(T_2016_EVENT_RESULTS[Gold - Country - 2],T_SV_MEDALS[[#This Row],[COUNTRY ABBR]]))</f>
        <v>1</v>
      </c>
      <c r="D103" s="3">
        <f>IF(I_VIEW=2,"",COUNTIFS(T_2016_EVENT_RESULTS[Silver - Country],T_SV_MEDALS[[#This Row],[COUNTRY ABBR]])+COUNTIFS(T_2016_EVENT_RESULTS[Silver - Country - 2],T_SV_MEDALS[[#This Row],[COUNTRY ABBR]])+COUNTIFS(T_2016_EVENT_RESULTS[Silver - Country - 3],T_SV_MEDALS[[#This Row],[COUNTRY ABBR]]))</f>
        <v>0</v>
      </c>
      <c r="E103" s="3">
        <f>IF(I_VIEW=2,"",COUNTIFS(T_2016_EVENT_RESULTS[Bronze - Country],T_SV_MEDALS[[#This Row],[COUNTRY ABBR]])+COUNTIFS(T_2016_EVENT_RESULTS[Bronze - Country - 2],T_SV_MEDALS[[#This Row],[COUNTRY ABBR]]))</f>
        <v>0</v>
      </c>
      <c r="F103" s="3">
        <f>SUM(T_SV_MEDALS[[#This Row],[GOLD]:[BRONZE]])</f>
        <v>1</v>
      </c>
      <c r="G103" s="3">
        <f>IF(T_SV_MEDALS[[#This Row],[TOTAL]]=0,"",IF(I_RANK_METHOD="TOTAL",(T_SV_MEDALS[[#This Row],[TOTAL]]*10000000),0)+(T_SV_MEDALS[[#This Row],[GOLD]]*100000)+(T_SV_MEDALS[[#This Row],[SILVER]]*1000)+(T_SV_MEDALS[[#This Row],[BRONZE]]*10))</f>
        <v>10100000</v>
      </c>
      <c r="H103" s="3">
        <f>IFERROR(IF(T_SV_MEDALS[[#This Row],[TOTAL]]=0,"",RANK(T_SV_MEDALS[[#This Row],[RANK VALUE]],T_SV_MEDALS[RANK VALUE])),"")</f>
        <v>67</v>
      </c>
      <c r="I103" s="3">
        <f>IFERROR(IF(T_SV_MEDALS[[#This Row],[TOTAL]]=0,"",RANK(T_SV_MEDALS[[#This Row],[RANK VALUE]],T_SV_MEDALS[RANK VALUE])+COUNTIF($H$2:H102,H103)),"")</f>
        <v>69</v>
      </c>
      <c r="J103" s="3" t="str">
        <f>IF(I_VIEW=3, COUNTIFS(T_2016_EVENT_RESULTS[SPORT],I_SV_SPORT,T_2016_EVENT_RESULTS[Gold - Country],T_SV_MEDALS[[#This Row],[COUNTRY ABBR]])+COUNTIFS(T_2016_EVENT_RESULTS[SPORT],I_SV_SPORT,T_2016_EVENT_RESULTS[Gold - Country - 2],T_SV_MEDALS[[#This Row],[COUNTRY ABBR]]),"")</f>
        <v/>
      </c>
      <c r="K103" s="3" t="str">
        <f>IF(I_VIEW=3, COUNTIFS(T_2016_EVENT_RESULTS[SPORT],I_SV_SPORT,T_2016_EVENT_RESULTS[Silver - Country],T_SV_MEDALS[[#This Row],[COUNTRY ABBR]])+COUNTIFS(T_2016_EVENT_RESULTS[SPORT],I_SV_SPORT,T_2016_EVENT_RESULTS[Silver - Country - 2],T_SV_MEDALS[[#This Row],[COUNTRY ABBR]])+COUNTIFS(T_2016_EVENT_RESULTS[SPORT],I_SV_SPORT,T_2016_EVENT_RESULTS[Silver - Country - 3],T_SV_MEDALS[[#This Row],[COUNTRY ABBR]]),"")</f>
        <v/>
      </c>
      <c r="L103" s="3" t="str">
        <f>IF(I_VIEW=3, COUNTIFS(T_2016_EVENT_RESULTS[SPORT],I_SV_SPORT,T_2016_EVENT_RESULTS[Bronze - Country],T_SV_MEDALS[[#This Row],[COUNTRY ABBR]])+COUNTIFS(T_2016_EVENT_RESULTS[SPORT],I_SV_SPORT,T_2016_EVENT_RESULTS[Bronze - Country - 2],T_SV_MEDALS[[#This Row],[COUNTRY ABBR]]),"")</f>
        <v/>
      </c>
      <c r="M103" s="3">
        <f>SUM(T_SV_MEDALS[[#This Row],[SV_GOLD]:[SV_BRONZE]])</f>
        <v>0</v>
      </c>
      <c r="N103" s="3" t="str">
        <f>IF(T_SV_MEDALS[[#This Row],[SV_TOTAL]]=0,"",IF(I_RANK_METHOD="TOTAL",(T_SV_MEDALS[[#This Row],[SV_TOTAL]]*10000000),0)+(T_SV_MEDALS[[#This Row],[SV_GOLD]]*100000)+(T_SV_MEDALS[[#This Row],[SV_SILVER]]*1000)+(T_SV_MEDALS[[#This Row],[SV_BRONZE]]*10))</f>
        <v/>
      </c>
      <c r="O103" s="3" t="str">
        <f>IFERROR(IF(T_SV_MEDALS[[#This Row],[SV_TOTAL]]=0,"",RANK(T_SV_MEDALS[[#This Row],[SV_RANK VALUE]],T_SV_MEDALS[SV_RANK VALUE])),"")</f>
        <v/>
      </c>
      <c r="P103" s="3" t="str">
        <f>IFERROR(IF(T_SV_MEDALS[[#This Row],[SV_TOTAL]]=0,"",RANK(T_SV_MEDALS[[#This Row],[SV_RANK VALUE]],T_SV_MEDALS[SV_RANK VALUE])+COUNTIF($O$2:O102,O103)),"")</f>
        <v/>
      </c>
      <c r="Q103" s="3">
        <f>IFERROR(T_SV_MEDALS[[#This Row],[SV_TOTAL]]/T_SV_MEDALS[[#This Row],[TOTAL]],"")</f>
        <v>0</v>
      </c>
      <c r="R103" s="3" t="str">
        <f>IFERROR(IF(T_SV_MEDALS[[#This Row],[SV_TOTAL]]=0,"",RANK(T_SV_MEDALS[[#This Row],[Dependency - Rank Value]],T_SV_MEDALS[Dependency - Rank Value])+COUNTIF($Q$2:Q102,Q103)),"")</f>
        <v/>
      </c>
    </row>
    <row r="104" spans="1:18" x14ac:dyDescent="0.25">
      <c r="A104" t="s">
        <v>188</v>
      </c>
      <c r="B104" t="s">
        <v>189</v>
      </c>
      <c r="C104" s="3">
        <f>IF(I_VIEW=2,"",COUNTIFS(T_2016_EVENT_RESULTS[Gold - Country],T_SV_MEDALS[[#This Row],[COUNTRY ABBR]])+COUNTIFS(T_2016_EVENT_RESULTS[Gold - Country - 2],T_SV_MEDALS[[#This Row],[COUNTRY ABBR]]))</f>
        <v>0</v>
      </c>
      <c r="D104" s="3">
        <f>IF(I_VIEW=2,"",COUNTIFS(T_2016_EVENT_RESULTS[Silver - Country],T_SV_MEDALS[[#This Row],[COUNTRY ABBR]])+COUNTIFS(T_2016_EVENT_RESULTS[Silver - Country - 2],T_SV_MEDALS[[#This Row],[COUNTRY ABBR]])+COUNTIFS(T_2016_EVENT_RESULTS[Silver - Country - 3],T_SV_MEDALS[[#This Row],[COUNTRY ABBR]]))</f>
        <v>0</v>
      </c>
      <c r="E104" s="3">
        <f>IF(I_VIEW=2,"",COUNTIFS(T_2016_EVENT_RESULTS[Bronze - Country],T_SV_MEDALS[[#This Row],[COUNTRY ABBR]])+COUNTIFS(T_2016_EVENT_RESULTS[Bronze - Country - 2],T_SV_MEDALS[[#This Row],[COUNTRY ABBR]]))</f>
        <v>0</v>
      </c>
      <c r="F104" s="3">
        <f>SUM(T_SV_MEDALS[[#This Row],[GOLD]:[BRONZE]])</f>
        <v>0</v>
      </c>
      <c r="G104" s="3" t="str">
        <f>IF(T_SV_MEDALS[[#This Row],[TOTAL]]=0,"",IF(I_RANK_METHOD="TOTAL",(T_SV_MEDALS[[#This Row],[TOTAL]]*10000000),0)+(T_SV_MEDALS[[#This Row],[GOLD]]*100000)+(T_SV_MEDALS[[#This Row],[SILVER]]*1000)+(T_SV_MEDALS[[#This Row],[BRONZE]]*10))</f>
        <v/>
      </c>
      <c r="H104" s="3" t="str">
        <f>IFERROR(IF(T_SV_MEDALS[[#This Row],[TOTAL]]=0,"",RANK(T_SV_MEDALS[[#This Row],[RANK VALUE]],T_SV_MEDALS[RANK VALUE])),"")</f>
        <v/>
      </c>
      <c r="I104" s="3" t="str">
        <f>IFERROR(IF(T_SV_MEDALS[[#This Row],[TOTAL]]=0,"",RANK(T_SV_MEDALS[[#This Row],[RANK VALUE]],T_SV_MEDALS[RANK VALUE])+COUNTIF($H$2:H103,H104)),"")</f>
        <v/>
      </c>
      <c r="J104" s="3" t="str">
        <f>IF(I_VIEW=3, COUNTIFS(T_2016_EVENT_RESULTS[SPORT],I_SV_SPORT,T_2016_EVENT_RESULTS[Gold - Country],T_SV_MEDALS[[#This Row],[COUNTRY ABBR]])+COUNTIFS(T_2016_EVENT_RESULTS[SPORT],I_SV_SPORT,T_2016_EVENT_RESULTS[Gold - Country - 2],T_SV_MEDALS[[#This Row],[COUNTRY ABBR]]),"")</f>
        <v/>
      </c>
      <c r="K104" s="3" t="str">
        <f>IF(I_VIEW=3, COUNTIFS(T_2016_EVENT_RESULTS[SPORT],I_SV_SPORT,T_2016_EVENT_RESULTS[Silver - Country],T_SV_MEDALS[[#This Row],[COUNTRY ABBR]])+COUNTIFS(T_2016_EVENT_RESULTS[SPORT],I_SV_SPORT,T_2016_EVENT_RESULTS[Silver - Country - 2],T_SV_MEDALS[[#This Row],[COUNTRY ABBR]])+COUNTIFS(T_2016_EVENT_RESULTS[SPORT],I_SV_SPORT,T_2016_EVENT_RESULTS[Silver - Country - 3],T_SV_MEDALS[[#This Row],[COUNTRY ABBR]]),"")</f>
        <v/>
      </c>
      <c r="L104" s="3" t="str">
        <f>IF(I_VIEW=3, COUNTIFS(T_2016_EVENT_RESULTS[SPORT],I_SV_SPORT,T_2016_EVENT_RESULTS[Bronze - Country],T_SV_MEDALS[[#This Row],[COUNTRY ABBR]])+COUNTIFS(T_2016_EVENT_RESULTS[SPORT],I_SV_SPORT,T_2016_EVENT_RESULTS[Bronze - Country - 2],T_SV_MEDALS[[#This Row],[COUNTRY ABBR]]),"")</f>
        <v/>
      </c>
      <c r="M104" s="3">
        <f>SUM(T_SV_MEDALS[[#This Row],[SV_GOLD]:[SV_BRONZE]])</f>
        <v>0</v>
      </c>
      <c r="N104" s="3" t="str">
        <f>IF(T_SV_MEDALS[[#This Row],[SV_TOTAL]]=0,"",IF(I_RANK_METHOD="TOTAL",(T_SV_MEDALS[[#This Row],[SV_TOTAL]]*10000000),0)+(T_SV_MEDALS[[#This Row],[SV_GOLD]]*100000)+(T_SV_MEDALS[[#This Row],[SV_SILVER]]*1000)+(T_SV_MEDALS[[#This Row],[SV_BRONZE]]*10))</f>
        <v/>
      </c>
      <c r="O104" s="3" t="str">
        <f>IFERROR(IF(T_SV_MEDALS[[#This Row],[SV_TOTAL]]=0,"",RANK(T_SV_MEDALS[[#This Row],[SV_RANK VALUE]],T_SV_MEDALS[SV_RANK VALUE])),"")</f>
        <v/>
      </c>
      <c r="P104" s="3" t="str">
        <f>IFERROR(IF(T_SV_MEDALS[[#This Row],[SV_TOTAL]]=0,"",RANK(T_SV_MEDALS[[#This Row],[SV_RANK VALUE]],T_SV_MEDALS[SV_RANK VALUE])+COUNTIF($O$2:O103,O104)),"")</f>
        <v/>
      </c>
      <c r="Q104" s="3" t="str">
        <f>IFERROR(T_SV_MEDALS[[#This Row],[SV_TOTAL]]/T_SV_MEDALS[[#This Row],[TOTAL]],"")</f>
        <v/>
      </c>
      <c r="R104" s="3" t="str">
        <f>IFERROR(IF(T_SV_MEDALS[[#This Row],[SV_TOTAL]]=0,"",RANK(T_SV_MEDALS[[#This Row],[Dependency - Rank Value]],T_SV_MEDALS[Dependency - Rank Value])+COUNTIF($Q$2:Q103,Q104)),"")</f>
        <v/>
      </c>
    </row>
    <row r="105" spans="1:18" x14ac:dyDescent="0.25">
      <c r="A105" t="s">
        <v>190</v>
      </c>
      <c r="B105" t="s">
        <v>191</v>
      </c>
      <c r="C105" s="3">
        <f>IF(I_VIEW=2,"",COUNTIFS(T_2016_EVENT_RESULTS[Gold - Country],T_SV_MEDALS[[#This Row],[COUNTRY ABBR]])+COUNTIFS(T_2016_EVENT_RESULTS[Gold - Country - 2],T_SV_MEDALS[[#This Row],[COUNTRY ABBR]]))</f>
        <v>0</v>
      </c>
      <c r="D105" s="3">
        <f>IF(I_VIEW=2,"",COUNTIFS(T_2016_EVENT_RESULTS[Silver - Country],T_SV_MEDALS[[#This Row],[COUNTRY ABBR]])+COUNTIFS(T_2016_EVENT_RESULTS[Silver - Country - 2],T_SV_MEDALS[[#This Row],[COUNTRY ABBR]])+COUNTIFS(T_2016_EVENT_RESULTS[Silver - Country - 3],T_SV_MEDALS[[#This Row],[COUNTRY ABBR]]))</f>
        <v>0</v>
      </c>
      <c r="E105" s="3">
        <f>IF(I_VIEW=2,"",COUNTIFS(T_2016_EVENT_RESULTS[Bronze - Country],T_SV_MEDALS[[#This Row],[COUNTRY ABBR]])+COUNTIFS(T_2016_EVENT_RESULTS[Bronze - Country - 2],T_SV_MEDALS[[#This Row],[COUNTRY ABBR]]))</f>
        <v>0</v>
      </c>
      <c r="F105" s="3">
        <f>SUM(T_SV_MEDALS[[#This Row],[GOLD]:[BRONZE]])</f>
        <v>0</v>
      </c>
      <c r="G105" s="3" t="str">
        <f>IF(T_SV_MEDALS[[#This Row],[TOTAL]]=0,"",IF(I_RANK_METHOD="TOTAL",(T_SV_MEDALS[[#This Row],[TOTAL]]*10000000),0)+(T_SV_MEDALS[[#This Row],[GOLD]]*100000)+(T_SV_MEDALS[[#This Row],[SILVER]]*1000)+(T_SV_MEDALS[[#This Row],[BRONZE]]*10))</f>
        <v/>
      </c>
      <c r="H105" s="3" t="str">
        <f>IFERROR(IF(T_SV_MEDALS[[#This Row],[TOTAL]]=0,"",RANK(T_SV_MEDALS[[#This Row],[RANK VALUE]],T_SV_MEDALS[RANK VALUE])),"")</f>
        <v/>
      </c>
      <c r="I105" s="3" t="str">
        <f>IFERROR(IF(T_SV_MEDALS[[#This Row],[TOTAL]]=0,"",RANK(T_SV_MEDALS[[#This Row],[RANK VALUE]],T_SV_MEDALS[RANK VALUE])+COUNTIF($H$2:H104,H105)),"")</f>
        <v/>
      </c>
      <c r="J105" s="3" t="str">
        <f>IF(I_VIEW=3, COUNTIFS(T_2016_EVENT_RESULTS[SPORT],I_SV_SPORT,T_2016_EVENT_RESULTS[Gold - Country],T_SV_MEDALS[[#This Row],[COUNTRY ABBR]])+COUNTIFS(T_2016_EVENT_RESULTS[SPORT],I_SV_SPORT,T_2016_EVENT_RESULTS[Gold - Country - 2],T_SV_MEDALS[[#This Row],[COUNTRY ABBR]]),"")</f>
        <v/>
      </c>
      <c r="K105" s="3" t="str">
        <f>IF(I_VIEW=3, COUNTIFS(T_2016_EVENT_RESULTS[SPORT],I_SV_SPORT,T_2016_EVENT_RESULTS[Silver - Country],T_SV_MEDALS[[#This Row],[COUNTRY ABBR]])+COUNTIFS(T_2016_EVENT_RESULTS[SPORT],I_SV_SPORT,T_2016_EVENT_RESULTS[Silver - Country - 2],T_SV_MEDALS[[#This Row],[COUNTRY ABBR]])+COUNTIFS(T_2016_EVENT_RESULTS[SPORT],I_SV_SPORT,T_2016_EVENT_RESULTS[Silver - Country - 3],T_SV_MEDALS[[#This Row],[COUNTRY ABBR]]),"")</f>
        <v/>
      </c>
      <c r="L105" s="3" t="str">
        <f>IF(I_VIEW=3, COUNTIFS(T_2016_EVENT_RESULTS[SPORT],I_SV_SPORT,T_2016_EVENT_RESULTS[Bronze - Country],T_SV_MEDALS[[#This Row],[COUNTRY ABBR]])+COUNTIFS(T_2016_EVENT_RESULTS[SPORT],I_SV_SPORT,T_2016_EVENT_RESULTS[Bronze - Country - 2],T_SV_MEDALS[[#This Row],[COUNTRY ABBR]]),"")</f>
        <v/>
      </c>
      <c r="M105" s="3">
        <f>SUM(T_SV_MEDALS[[#This Row],[SV_GOLD]:[SV_BRONZE]])</f>
        <v>0</v>
      </c>
      <c r="N105" s="3" t="str">
        <f>IF(T_SV_MEDALS[[#This Row],[SV_TOTAL]]=0,"",IF(I_RANK_METHOD="TOTAL",(T_SV_MEDALS[[#This Row],[SV_TOTAL]]*10000000),0)+(T_SV_MEDALS[[#This Row],[SV_GOLD]]*100000)+(T_SV_MEDALS[[#This Row],[SV_SILVER]]*1000)+(T_SV_MEDALS[[#This Row],[SV_BRONZE]]*10))</f>
        <v/>
      </c>
      <c r="O105" s="3" t="str">
        <f>IFERROR(IF(T_SV_MEDALS[[#This Row],[SV_TOTAL]]=0,"",RANK(T_SV_MEDALS[[#This Row],[SV_RANK VALUE]],T_SV_MEDALS[SV_RANK VALUE])),"")</f>
        <v/>
      </c>
      <c r="P105" s="3" t="str">
        <f>IFERROR(IF(T_SV_MEDALS[[#This Row],[SV_TOTAL]]=0,"",RANK(T_SV_MEDALS[[#This Row],[SV_RANK VALUE]],T_SV_MEDALS[SV_RANK VALUE])+COUNTIF($O$2:O104,O105)),"")</f>
        <v/>
      </c>
      <c r="Q105" s="3" t="str">
        <f>IFERROR(T_SV_MEDALS[[#This Row],[SV_TOTAL]]/T_SV_MEDALS[[#This Row],[TOTAL]],"")</f>
        <v/>
      </c>
      <c r="R105" s="3" t="str">
        <f>IFERROR(IF(T_SV_MEDALS[[#This Row],[SV_TOTAL]]=0,"",RANK(T_SV_MEDALS[[#This Row],[Dependency - Rank Value]],T_SV_MEDALS[Dependency - Rank Value])+COUNTIF($Q$2:Q104,Q105)),"")</f>
        <v/>
      </c>
    </row>
    <row r="106" spans="1:18" x14ac:dyDescent="0.25">
      <c r="A106" t="s">
        <v>192</v>
      </c>
      <c r="B106" t="s">
        <v>193</v>
      </c>
      <c r="C106" s="3">
        <f>IF(I_VIEW=2,"",COUNTIFS(T_2016_EVENT_RESULTS[Gold - Country],T_SV_MEDALS[[#This Row],[COUNTRY ABBR]])+COUNTIFS(T_2016_EVENT_RESULTS[Gold - Country - 2],T_SV_MEDALS[[#This Row],[COUNTRY ABBR]]))</f>
        <v>0</v>
      </c>
      <c r="D106" s="3">
        <f>IF(I_VIEW=2,"",COUNTIFS(T_2016_EVENT_RESULTS[Silver - Country],T_SV_MEDALS[[#This Row],[COUNTRY ABBR]])+COUNTIFS(T_2016_EVENT_RESULTS[Silver - Country - 2],T_SV_MEDALS[[#This Row],[COUNTRY ABBR]])+COUNTIFS(T_2016_EVENT_RESULTS[Silver - Country - 3],T_SV_MEDALS[[#This Row],[COUNTRY ABBR]]))</f>
        <v>0</v>
      </c>
      <c r="E106" s="3">
        <f>IF(I_VIEW=2,"",COUNTIFS(T_2016_EVENT_RESULTS[Bronze - Country],T_SV_MEDALS[[#This Row],[COUNTRY ABBR]])+COUNTIFS(T_2016_EVENT_RESULTS[Bronze - Country - 2],T_SV_MEDALS[[#This Row],[COUNTRY ABBR]]))</f>
        <v>0</v>
      </c>
      <c r="F106" s="3">
        <f>SUM(T_SV_MEDALS[[#This Row],[GOLD]:[BRONZE]])</f>
        <v>0</v>
      </c>
      <c r="G106" s="3" t="str">
        <f>IF(T_SV_MEDALS[[#This Row],[TOTAL]]=0,"",IF(I_RANK_METHOD="TOTAL",(T_SV_MEDALS[[#This Row],[TOTAL]]*10000000),0)+(T_SV_MEDALS[[#This Row],[GOLD]]*100000)+(T_SV_MEDALS[[#This Row],[SILVER]]*1000)+(T_SV_MEDALS[[#This Row],[BRONZE]]*10))</f>
        <v/>
      </c>
      <c r="H106" s="3" t="str">
        <f>IFERROR(IF(T_SV_MEDALS[[#This Row],[TOTAL]]=0,"",RANK(T_SV_MEDALS[[#This Row],[RANK VALUE]],T_SV_MEDALS[RANK VALUE])),"")</f>
        <v/>
      </c>
      <c r="I106" s="3" t="str">
        <f>IFERROR(IF(T_SV_MEDALS[[#This Row],[TOTAL]]=0,"",RANK(T_SV_MEDALS[[#This Row],[RANK VALUE]],T_SV_MEDALS[RANK VALUE])+COUNTIF($H$2:H105,H106)),"")</f>
        <v/>
      </c>
      <c r="J106" s="3" t="str">
        <f>IF(I_VIEW=3, COUNTIFS(T_2016_EVENT_RESULTS[SPORT],I_SV_SPORT,T_2016_EVENT_RESULTS[Gold - Country],T_SV_MEDALS[[#This Row],[COUNTRY ABBR]])+COUNTIFS(T_2016_EVENT_RESULTS[SPORT],I_SV_SPORT,T_2016_EVENT_RESULTS[Gold - Country - 2],T_SV_MEDALS[[#This Row],[COUNTRY ABBR]]),"")</f>
        <v/>
      </c>
      <c r="K106" s="3" t="str">
        <f>IF(I_VIEW=3, COUNTIFS(T_2016_EVENT_RESULTS[SPORT],I_SV_SPORT,T_2016_EVENT_RESULTS[Silver - Country],T_SV_MEDALS[[#This Row],[COUNTRY ABBR]])+COUNTIFS(T_2016_EVENT_RESULTS[SPORT],I_SV_SPORT,T_2016_EVENT_RESULTS[Silver - Country - 2],T_SV_MEDALS[[#This Row],[COUNTRY ABBR]])+COUNTIFS(T_2016_EVENT_RESULTS[SPORT],I_SV_SPORT,T_2016_EVENT_RESULTS[Silver - Country - 3],T_SV_MEDALS[[#This Row],[COUNTRY ABBR]]),"")</f>
        <v/>
      </c>
      <c r="L106" s="3" t="str">
        <f>IF(I_VIEW=3, COUNTIFS(T_2016_EVENT_RESULTS[SPORT],I_SV_SPORT,T_2016_EVENT_RESULTS[Bronze - Country],T_SV_MEDALS[[#This Row],[COUNTRY ABBR]])+COUNTIFS(T_2016_EVENT_RESULTS[SPORT],I_SV_SPORT,T_2016_EVENT_RESULTS[Bronze - Country - 2],T_SV_MEDALS[[#This Row],[COUNTRY ABBR]]),"")</f>
        <v/>
      </c>
      <c r="M106" s="3">
        <f>SUM(T_SV_MEDALS[[#This Row],[SV_GOLD]:[SV_BRONZE]])</f>
        <v>0</v>
      </c>
      <c r="N106" s="3" t="str">
        <f>IF(T_SV_MEDALS[[#This Row],[SV_TOTAL]]=0,"",IF(I_RANK_METHOD="TOTAL",(T_SV_MEDALS[[#This Row],[SV_TOTAL]]*10000000),0)+(T_SV_MEDALS[[#This Row],[SV_GOLD]]*100000)+(T_SV_MEDALS[[#This Row],[SV_SILVER]]*1000)+(T_SV_MEDALS[[#This Row],[SV_BRONZE]]*10))</f>
        <v/>
      </c>
      <c r="O106" s="3" t="str">
        <f>IFERROR(IF(T_SV_MEDALS[[#This Row],[SV_TOTAL]]=0,"",RANK(T_SV_MEDALS[[#This Row],[SV_RANK VALUE]],T_SV_MEDALS[SV_RANK VALUE])),"")</f>
        <v/>
      </c>
      <c r="P106" s="3" t="str">
        <f>IFERROR(IF(T_SV_MEDALS[[#This Row],[SV_TOTAL]]=0,"",RANK(T_SV_MEDALS[[#This Row],[SV_RANK VALUE]],T_SV_MEDALS[SV_RANK VALUE])+COUNTIF($O$2:O105,O106)),"")</f>
        <v/>
      </c>
      <c r="Q106" s="3" t="str">
        <f>IFERROR(T_SV_MEDALS[[#This Row],[SV_TOTAL]]/T_SV_MEDALS[[#This Row],[TOTAL]],"")</f>
        <v/>
      </c>
      <c r="R106" s="3" t="str">
        <f>IFERROR(IF(T_SV_MEDALS[[#This Row],[SV_TOTAL]]=0,"",RANK(T_SV_MEDALS[[#This Row],[Dependency - Rank Value]],T_SV_MEDALS[Dependency - Rank Value])+COUNTIF($Q$2:Q105,Q106)),"")</f>
        <v/>
      </c>
    </row>
    <row r="107" spans="1:18" x14ac:dyDescent="0.25">
      <c r="A107" t="s">
        <v>194</v>
      </c>
      <c r="B107" t="s">
        <v>195</v>
      </c>
      <c r="C107" s="3">
        <f>IF(I_VIEW=2,"",COUNTIFS(T_2016_EVENT_RESULTS[Gold - Country],T_SV_MEDALS[[#This Row],[COUNTRY ABBR]])+COUNTIFS(T_2016_EVENT_RESULTS[Gold - Country - 2],T_SV_MEDALS[[#This Row],[COUNTRY ABBR]]))</f>
        <v>0</v>
      </c>
      <c r="D107" s="3">
        <f>IF(I_VIEW=2,"",COUNTIFS(T_2016_EVENT_RESULTS[Silver - Country],T_SV_MEDALS[[#This Row],[COUNTRY ABBR]])+COUNTIFS(T_2016_EVENT_RESULTS[Silver - Country - 2],T_SV_MEDALS[[#This Row],[COUNTRY ABBR]])+COUNTIFS(T_2016_EVENT_RESULTS[Silver - Country - 3],T_SV_MEDALS[[#This Row],[COUNTRY ABBR]]))</f>
        <v>0</v>
      </c>
      <c r="E107" s="3">
        <f>IF(I_VIEW=2,"",COUNTIFS(T_2016_EVENT_RESULTS[Bronze - Country],T_SV_MEDALS[[#This Row],[COUNTRY ABBR]])+COUNTIFS(T_2016_EVENT_RESULTS[Bronze - Country - 2],T_SV_MEDALS[[#This Row],[COUNTRY ABBR]]))</f>
        <v>0</v>
      </c>
      <c r="F107" s="3">
        <f>SUM(T_SV_MEDALS[[#This Row],[GOLD]:[BRONZE]])</f>
        <v>0</v>
      </c>
      <c r="G107" s="3" t="str">
        <f>IF(T_SV_MEDALS[[#This Row],[TOTAL]]=0,"",IF(I_RANK_METHOD="TOTAL",(T_SV_MEDALS[[#This Row],[TOTAL]]*10000000),0)+(T_SV_MEDALS[[#This Row],[GOLD]]*100000)+(T_SV_MEDALS[[#This Row],[SILVER]]*1000)+(T_SV_MEDALS[[#This Row],[BRONZE]]*10))</f>
        <v/>
      </c>
      <c r="H107" s="3" t="str">
        <f>IFERROR(IF(T_SV_MEDALS[[#This Row],[TOTAL]]=0,"",RANK(T_SV_MEDALS[[#This Row],[RANK VALUE]],T_SV_MEDALS[RANK VALUE])),"")</f>
        <v/>
      </c>
      <c r="I107" s="3" t="str">
        <f>IFERROR(IF(T_SV_MEDALS[[#This Row],[TOTAL]]=0,"",RANK(T_SV_MEDALS[[#This Row],[RANK VALUE]],T_SV_MEDALS[RANK VALUE])+COUNTIF($H$2:H106,H107)),"")</f>
        <v/>
      </c>
      <c r="J107" s="3" t="str">
        <f>IF(I_VIEW=3, COUNTIFS(T_2016_EVENT_RESULTS[SPORT],I_SV_SPORT,T_2016_EVENT_RESULTS[Gold - Country],T_SV_MEDALS[[#This Row],[COUNTRY ABBR]])+COUNTIFS(T_2016_EVENT_RESULTS[SPORT],I_SV_SPORT,T_2016_EVENT_RESULTS[Gold - Country - 2],T_SV_MEDALS[[#This Row],[COUNTRY ABBR]]),"")</f>
        <v/>
      </c>
      <c r="K107" s="3" t="str">
        <f>IF(I_VIEW=3, COUNTIFS(T_2016_EVENT_RESULTS[SPORT],I_SV_SPORT,T_2016_EVENT_RESULTS[Silver - Country],T_SV_MEDALS[[#This Row],[COUNTRY ABBR]])+COUNTIFS(T_2016_EVENT_RESULTS[SPORT],I_SV_SPORT,T_2016_EVENT_RESULTS[Silver - Country - 2],T_SV_MEDALS[[#This Row],[COUNTRY ABBR]])+COUNTIFS(T_2016_EVENT_RESULTS[SPORT],I_SV_SPORT,T_2016_EVENT_RESULTS[Silver - Country - 3],T_SV_MEDALS[[#This Row],[COUNTRY ABBR]]),"")</f>
        <v/>
      </c>
      <c r="L107" s="3" t="str">
        <f>IF(I_VIEW=3, COUNTIFS(T_2016_EVENT_RESULTS[SPORT],I_SV_SPORT,T_2016_EVENT_RESULTS[Bronze - Country],T_SV_MEDALS[[#This Row],[COUNTRY ABBR]])+COUNTIFS(T_2016_EVENT_RESULTS[SPORT],I_SV_SPORT,T_2016_EVENT_RESULTS[Bronze - Country - 2],T_SV_MEDALS[[#This Row],[COUNTRY ABBR]]),"")</f>
        <v/>
      </c>
      <c r="M107" s="3">
        <f>SUM(T_SV_MEDALS[[#This Row],[SV_GOLD]:[SV_BRONZE]])</f>
        <v>0</v>
      </c>
      <c r="N107" s="3" t="str">
        <f>IF(T_SV_MEDALS[[#This Row],[SV_TOTAL]]=0,"",IF(I_RANK_METHOD="TOTAL",(T_SV_MEDALS[[#This Row],[SV_TOTAL]]*10000000),0)+(T_SV_MEDALS[[#This Row],[SV_GOLD]]*100000)+(T_SV_MEDALS[[#This Row],[SV_SILVER]]*1000)+(T_SV_MEDALS[[#This Row],[SV_BRONZE]]*10))</f>
        <v/>
      </c>
      <c r="O107" s="3" t="str">
        <f>IFERROR(IF(T_SV_MEDALS[[#This Row],[SV_TOTAL]]=0,"",RANK(T_SV_MEDALS[[#This Row],[SV_RANK VALUE]],T_SV_MEDALS[SV_RANK VALUE])),"")</f>
        <v/>
      </c>
      <c r="P107" s="3" t="str">
        <f>IFERROR(IF(T_SV_MEDALS[[#This Row],[SV_TOTAL]]=0,"",RANK(T_SV_MEDALS[[#This Row],[SV_RANK VALUE]],T_SV_MEDALS[SV_RANK VALUE])+COUNTIF($O$2:O106,O107)),"")</f>
        <v/>
      </c>
      <c r="Q107" s="3" t="str">
        <f>IFERROR(T_SV_MEDALS[[#This Row],[SV_TOTAL]]/T_SV_MEDALS[[#This Row],[TOTAL]],"")</f>
        <v/>
      </c>
      <c r="R107" s="3" t="str">
        <f>IFERROR(IF(T_SV_MEDALS[[#This Row],[SV_TOTAL]]=0,"",RANK(T_SV_MEDALS[[#This Row],[Dependency - Rank Value]],T_SV_MEDALS[Dependency - Rank Value])+COUNTIF($Q$2:Q106,Q107)),"")</f>
        <v/>
      </c>
    </row>
    <row r="108" spans="1:18" x14ac:dyDescent="0.25">
      <c r="A108" t="s">
        <v>196</v>
      </c>
      <c r="B108" t="s">
        <v>197</v>
      </c>
      <c r="C108" s="3">
        <f>IF(I_VIEW=2,"",COUNTIFS(T_2016_EVENT_RESULTS[Gold - Country],T_SV_MEDALS[[#This Row],[COUNTRY ABBR]])+COUNTIFS(T_2016_EVENT_RESULTS[Gold - Country - 2],T_SV_MEDALS[[#This Row],[COUNTRY ABBR]]))</f>
        <v>0</v>
      </c>
      <c r="D108" s="3">
        <f>IF(I_VIEW=2,"",COUNTIFS(T_2016_EVENT_RESULTS[Silver - Country],T_SV_MEDALS[[#This Row],[COUNTRY ABBR]])+COUNTIFS(T_2016_EVENT_RESULTS[Silver - Country - 2],T_SV_MEDALS[[#This Row],[COUNTRY ABBR]])+COUNTIFS(T_2016_EVENT_RESULTS[Silver - Country - 3],T_SV_MEDALS[[#This Row],[COUNTRY ABBR]]))</f>
        <v>0</v>
      </c>
      <c r="E108" s="3">
        <f>IF(I_VIEW=2,"",COUNTIFS(T_2016_EVENT_RESULTS[Bronze - Country],T_SV_MEDALS[[#This Row],[COUNTRY ABBR]])+COUNTIFS(T_2016_EVENT_RESULTS[Bronze - Country - 2],T_SV_MEDALS[[#This Row],[COUNTRY ABBR]]))</f>
        <v>0</v>
      </c>
      <c r="F108" s="3">
        <f>SUM(T_SV_MEDALS[[#This Row],[GOLD]:[BRONZE]])</f>
        <v>0</v>
      </c>
      <c r="G108" s="3" t="str">
        <f>IF(T_SV_MEDALS[[#This Row],[TOTAL]]=0,"",IF(I_RANK_METHOD="TOTAL",(T_SV_MEDALS[[#This Row],[TOTAL]]*10000000),0)+(T_SV_MEDALS[[#This Row],[GOLD]]*100000)+(T_SV_MEDALS[[#This Row],[SILVER]]*1000)+(T_SV_MEDALS[[#This Row],[BRONZE]]*10))</f>
        <v/>
      </c>
      <c r="H108" s="3" t="str">
        <f>IFERROR(IF(T_SV_MEDALS[[#This Row],[TOTAL]]=0,"",RANK(T_SV_MEDALS[[#This Row],[RANK VALUE]],T_SV_MEDALS[RANK VALUE])),"")</f>
        <v/>
      </c>
      <c r="I108" s="3" t="str">
        <f>IFERROR(IF(T_SV_MEDALS[[#This Row],[TOTAL]]=0,"",RANK(T_SV_MEDALS[[#This Row],[RANK VALUE]],T_SV_MEDALS[RANK VALUE])+COUNTIF($H$2:H107,H108)),"")</f>
        <v/>
      </c>
      <c r="J108" s="3" t="str">
        <f>IF(I_VIEW=3, COUNTIFS(T_2016_EVENT_RESULTS[SPORT],I_SV_SPORT,T_2016_EVENT_RESULTS[Gold - Country],T_SV_MEDALS[[#This Row],[COUNTRY ABBR]])+COUNTIFS(T_2016_EVENT_RESULTS[SPORT],I_SV_SPORT,T_2016_EVENT_RESULTS[Gold - Country - 2],T_SV_MEDALS[[#This Row],[COUNTRY ABBR]]),"")</f>
        <v/>
      </c>
      <c r="K108" s="3" t="str">
        <f>IF(I_VIEW=3, COUNTIFS(T_2016_EVENT_RESULTS[SPORT],I_SV_SPORT,T_2016_EVENT_RESULTS[Silver - Country],T_SV_MEDALS[[#This Row],[COUNTRY ABBR]])+COUNTIFS(T_2016_EVENT_RESULTS[SPORT],I_SV_SPORT,T_2016_EVENT_RESULTS[Silver - Country - 2],T_SV_MEDALS[[#This Row],[COUNTRY ABBR]])+COUNTIFS(T_2016_EVENT_RESULTS[SPORT],I_SV_SPORT,T_2016_EVENT_RESULTS[Silver - Country - 3],T_SV_MEDALS[[#This Row],[COUNTRY ABBR]]),"")</f>
        <v/>
      </c>
      <c r="L108" s="3" t="str">
        <f>IF(I_VIEW=3, COUNTIFS(T_2016_EVENT_RESULTS[SPORT],I_SV_SPORT,T_2016_EVENT_RESULTS[Bronze - Country],T_SV_MEDALS[[#This Row],[COUNTRY ABBR]])+COUNTIFS(T_2016_EVENT_RESULTS[SPORT],I_SV_SPORT,T_2016_EVENT_RESULTS[Bronze - Country - 2],T_SV_MEDALS[[#This Row],[COUNTRY ABBR]]),"")</f>
        <v/>
      </c>
      <c r="M108" s="3">
        <f>SUM(T_SV_MEDALS[[#This Row],[SV_GOLD]:[SV_BRONZE]])</f>
        <v>0</v>
      </c>
      <c r="N108" s="3" t="str">
        <f>IF(T_SV_MEDALS[[#This Row],[SV_TOTAL]]=0,"",IF(I_RANK_METHOD="TOTAL",(T_SV_MEDALS[[#This Row],[SV_TOTAL]]*10000000),0)+(T_SV_MEDALS[[#This Row],[SV_GOLD]]*100000)+(T_SV_MEDALS[[#This Row],[SV_SILVER]]*1000)+(T_SV_MEDALS[[#This Row],[SV_BRONZE]]*10))</f>
        <v/>
      </c>
      <c r="O108" s="3" t="str">
        <f>IFERROR(IF(T_SV_MEDALS[[#This Row],[SV_TOTAL]]=0,"",RANK(T_SV_MEDALS[[#This Row],[SV_RANK VALUE]],T_SV_MEDALS[SV_RANK VALUE])),"")</f>
        <v/>
      </c>
      <c r="P108" s="3" t="str">
        <f>IFERROR(IF(T_SV_MEDALS[[#This Row],[SV_TOTAL]]=0,"",RANK(T_SV_MEDALS[[#This Row],[SV_RANK VALUE]],T_SV_MEDALS[SV_RANK VALUE])+COUNTIF($O$2:O107,O108)),"")</f>
        <v/>
      </c>
      <c r="Q108" s="3" t="str">
        <f>IFERROR(T_SV_MEDALS[[#This Row],[SV_TOTAL]]/T_SV_MEDALS[[#This Row],[TOTAL]],"")</f>
        <v/>
      </c>
      <c r="R108" s="3" t="str">
        <f>IFERROR(IF(T_SV_MEDALS[[#This Row],[SV_TOTAL]]=0,"",RANK(T_SV_MEDALS[[#This Row],[Dependency - Rank Value]],T_SV_MEDALS[Dependency - Rank Value])+COUNTIF($Q$2:Q107,Q108)),"")</f>
        <v/>
      </c>
    </row>
    <row r="109" spans="1:18" x14ac:dyDescent="0.25">
      <c r="A109" t="s">
        <v>198</v>
      </c>
      <c r="B109" t="s">
        <v>199</v>
      </c>
      <c r="C109" s="3">
        <f>IF(I_VIEW=2,"",COUNTIFS(T_2016_EVENT_RESULTS[Gold - Country],T_SV_MEDALS[[#This Row],[COUNTRY ABBR]])+COUNTIFS(T_2016_EVENT_RESULTS[Gold - Country - 2],T_SV_MEDALS[[#This Row],[COUNTRY ABBR]]))</f>
        <v>0</v>
      </c>
      <c r="D109" s="3">
        <f>IF(I_VIEW=2,"",COUNTIFS(T_2016_EVENT_RESULTS[Silver - Country],T_SV_MEDALS[[#This Row],[COUNTRY ABBR]])+COUNTIFS(T_2016_EVENT_RESULTS[Silver - Country - 2],T_SV_MEDALS[[#This Row],[COUNTRY ABBR]])+COUNTIFS(T_2016_EVENT_RESULTS[Silver - Country - 3],T_SV_MEDALS[[#This Row],[COUNTRY ABBR]]))</f>
        <v>0</v>
      </c>
      <c r="E109" s="3">
        <f>IF(I_VIEW=2,"",COUNTIFS(T_2016_EVENT_RESULTS[Bronze - Country],T_SV_MEDALS[[#This Row],[COUNTRY ABBR]])+COUNTIFS(T_2016_EVENT_RESULTS[Bronze - Country - 2],T_SV_MEDALS[[#This Row],[COUNTRY ABBR]]))</f>
        <v>0</v>
      </c>
      <c r="F109" s="3">
        <f>SUM(T_SV_MEDALS[[#This Row],[GOLD]:[BRONZE]])</f>
        <v>0</v>
      </c>
      <c r="G109" s="3" t="str">
        <f>IF(T_SV_MEDALS[[#This Row],[TOTAL]]=0,"",IF(I_RANK_METHOD="TOTAL",(T_SV_MEDALS[[#This Row],[TOTAL]]*10000000),0)+(T_SV_MEDALS[[#This Row],[GOLD]]*100000)+(T_SV_MEDALS[[#This Row],[SILVER]]*1000)+(T_SV_MEDALS[[#This Row],[BRONZE]]*10))</f>
        <v/>
      </c>
      <c r="H109" s="3" t="str">
        <f>IFERROR(IF(T_SV_MEDALS[[#This Row],[TOTAL]]=0,"",RANK(T_SV_MEDALS[[#This Row],[RANK VALUE]],T_SV_MEDALS[RANK VALUE])),"")</f>
        <v/>
      </c>
      <c r="I109" s="3" t="str">
        <f>IFERROR(IF(T_SV_MEDALS[[#This Row],[TOTAL]]=0,"",RANK(T_SV_MEDALS[[#This Row],[RANK VALUE]],T_SV_MEDALS[RANK VALUE])+COUNTIF($H$2:H108,H109)),"")</f>
        <v/>
      </c>
      <c r="J109" s="3" t="str">
        <f>IF(I_VIEW=3, COUNTIFS(T_2016_EVENT_RESULTS[SPORT],I_SV_SPORT,T_2016_EVENT_RESULTS[Gold - Country],T_SV_MEDALS[[#This Row],[COUNTRY ABBR]])+COUNTIFS(T_2016_EVENT_RESULTS[SPORT],I_SV_SPORT,T_2016_EVENT_RESULTS[Gold - Country - 2],T_SV_MEDALS[[#This Row],[COUNTRY ABBR]]),"")</f>
        <v/>
      </c>
      <c r="K109" s="3" t="str">
        <f>IF(I_VIEW=3, COUNTIFS(T_2016_EVENT_RESULTS[SPORT],I_SV_SPORT,T_2016_EVENT_RESULTS[Silver - Country],T_SV_MEDALS[[#This Row],[COUNTRY ABBR]])+COUNTIFS(T_2016_EVENT_RESULTS[SPORT],I_SV_SPORT,T_2016_EVENT_RESULTS[Silver - Country - 2],T_SV_MEDALS[[#This Row],[COUNTRY ABBR]])+COUNTIFS(T_2016_EVENT_RESULTS[SPORT],I_SV_SPORT,T_2016_EVENT_RESULTS[Silver - Country - 3],T_SV_MEDALS[[#This Row],[COUNTRY ABBR]]),"")</f>
        <v/>
      </c>
      <c r="L109" s="3" t="str">
        <f>IF(I_VIEW=3, COUNTIFS(T_2016_EVENT_RESULTS[SPORT],I_SV_SPORT,T_2016_EVENT_RESULTS[Bronze - Country],T_SV_MEDALS[[#This Row],[COUNTRY ABBR]])+COUNTIFS(T_2016_EVENT_RESULTS[SPORT],I_SV_SPORT,T_2016_EVENT_RESULTS[Bronze - Country - 2],T_SV_MEDALS[[#This Row],[COUNTRY ABBR]]),"")</f>
        <v/>
      </c>
      <c r="M109" s="3">
        <f>SUM(T_SV_MEDALS[[#This Row],[SV_GOLD]:[SV_BRONZE]])</f>
        <v>0</v>
      </c>
      <c r="N109" s="3" t="str">
        <f>IF(T_SV_MEDALS[[#This Row],[SV_TOTAL]]=0,"",IF(I_RANK_METHOD="TOTAL",(T_SV_MEDALS[[#This Row],[SV_TOTAL]]*10000000),0)+(T_SV_MEDALS[[#This Row],[SV_GOLD]]*100000)+(T_SV_MEDALS[[#This Row],[SV_SILVER]]*1000)+(T_SV_MEDALS[[#This Row],[SV_BRONZE]]*10))</f>
        <v/>
      </c>
      <c r="O109" s="3" t="str">
        <f>IFERROR(IF(T_SV_MEDALS[[#This Row],[SV_TOTAL]]=0,"",RANK(T_SV_MEDALS[[#This Row],[SV_RANK VALUE]],T_SV_MEDALS[SV_RANK VALUE])),"")</f>
        <v/>
      </c>
      <c r="P109" s="3" t="str">
        <f>IFERROR(IF(T_SV_MEDALS[[#This Row],[SV_TOTAL]]=0,"",RANK(T_SV_MEDALS[[#This Row],[SV_RANK VALUE]],T_SV_MEDALS[SV_RANK VALUE])+COUNTIF($O$2:O108,O109)),"")</f>
        <v/>
      </c>
      <c r="Q109" s="3" t="str">
        <f>IFERROR(T_SV_MEDALS[[#This Row],[SV_TOTAL]]/T_SV_MEDALS[[#This Row],[TOTAL]],"")</f>
        <v/>
      </c>
      <c r="R109" s="3" t="str">
        <f>IFERROR(IF(T_SV_MEDALS[[#This Row],[SV_TOTAL]]=0,"",RANK(T_SV_MEDALS[[#This Row],[Dependency - Rank Value]],T_SV_MEDALS[Dependency - Rank Value])+COUNTIF($Q$2:Q108,Q109)),"")</f>
        <v/>
      </c>
    </row>
    <row r="110" spans="1:18" x14ac:dyDescent="0.25">
      <c r="A110" t="s">
        <v>200</v>
      </c>
      <c r="B110" t="s">
        <v>201</v>
      </c>
      <c r="C110" s="3">
        <f>IF(I_VIEW=2,"",COUNTIFS(T_2016_EVENT_RESULTS[Gold - Country],T_SV_MEDALS[[#This Row],[COUNTRY ABBR]])+COUNTIFS(T_2016_EVENT_RESULTS[Gold - Country - 2],T_SV_MEDALS[[#This Row],[COUNTRY ABBR]]))</f>
        <v>0</v>
      </c>
      <c r="D110" s="3">
        <f>IF(I_VIEW=2,"",COUNTIFS(T_2016_EVENT_RESULTS[Silver - Country],T_SV_MEDALS[[#This Row],[COUNTRY ABBR]])+COUNTIFS(T_2016_EVENT_RESULTS[Silver - Country - 2],T_SV_MEDALS[[#This Row],[COUNTRY ABBR]])+COUNTIFS(T_2016_EVENT_RESULTS[Silver - Country - 3],T_SV_MEDALS[[#This Row],[COUNTRY ABBR]]))</f>
        <v>0</v>
      </c>
      <c r="E110" s="3">
        <f>IF(I_VIEW=2,"",COUNTIFS(T_2016_EVENT_RESULTS[Bronze - Country],T_SV_MEDALS[[#This Row],[COUNTRY ABBR]])+COUNTIFS(T_2016_EVENT_RESULTS[Bronze - Country - 2],T_SV_MEDALS[[#This Row],[COUNTRY ABBR]]))</f>
        <v>0</v>
      </c>
      <c r="F110" s="3">
        <f>SUM(T_SV_MEDALS[[#This Row],[GOLD]:[BRONZE]])</f>
        <v>0</v>
      </c>
      <c r="G110" s="3" t="str">
        <f>IF(T_SV_MEDALS[[#This Row],[TOTAL]]=0,"",IF(I_RANK_METHOD="TOTAL",(T_SV_MEDALS[[#This Row],[TOTAL]]*10000000),0)+(T_SV_MEDALS[[#This Row],[GOLD]]*100000)+(T_SV_MEDALS[[#This Row],[SILVER]]*1000)+(T_SV_MEDALS[[#This Row],[BRONZE]]*10))</f>
        <v/>
      </c>
      <c r="H110" s="3" t="str">
        <f>IFERROR(IF(T_SV_MEDALS[[#This Row],[TOTAL]]=0,"",RANK(T_SV_MEDALS[[#This Row],[RANK VALUE]],T_SV_MEDALS[RANK VALUE])),"")</f>
        <v/>
      </c>
      <c r="I110" s="3" t="str">
        <f>IFERROR(IF(T_SV_MEDALS[[#This Row],[TOTAL]]=0,"",RANK(T_SV_MEDALS[[#This Row],[RANK VALUE]],T_SV_MEDALS[RANK VALUE])+COUNTIF($H$2:H109,H110)),"")</f>
        <v/>
      </c>
      <c r="J110" s="3" t="str">
        <f>IF(I_VIEW=3, COUNTIFS(T_2016_EVENT_RESULTS[SPORT],I_SV_SPORT,T_2016_EVENT_RESULTS[Gold - Country],T_SV_MEDALS[[#This Row],[COUNTRY ABBR]])+COUNTIFS(T_2016_EVENT_RESULTS[SPORT],I_SV_SPORT,T_2016_EVENT_RESULTS[Gold - Country - 2],T_SV_MEDALS[[#This Row],[COUNTRY ABBR]]),"")</f>
        <v/>
      </c>
      <c r="K110" s="3" t="str">
        <f>IF(I_VIEW=3, COUNTIFS(T_2016_EVENT_RESULTS[SPORT],I_SV_SPORT,T_2016_EVENT_RESULTS[Silver - Country],T_SV_MEDALS[[#This Row],[COUNTRY ABBR]])+COUNTIFS(T_2016_EVENT_RESULTS[SPORT],I_SV_SPORT,T_2016_EVENT_RESULTS[Silver - Country - 2],T_SV_MEDALS[[#This Row],[COUNTRY ABBR]])+COUNTIFS(T_2016_EVENT_RESULTS[SPORT],I_SV_SPORT,T_2016_EVENT_RESULTS[Silver - Country - 3],T_SV_MEDALS[[#This Row],[COUNTRY ABBR]]),"")</f>
        <v/>
      </c>
      <c r="L110" s="3" t="str">
        <f>IF(I_VIEW=3, COUNTIFS(T_2016_EVENT_RESULTS[SPORT],I_SV_SPORT,T_2016_EVENT_RESULTS[Bronze - Country],T_SV_MEDALS[[#This Row],[COUNTRY ABBR]])+COUNTIFS(T_2016_EVENT_RESULTS[SPORT],I_SV_SPORT,T_2016_EVENT_RESULTS[Bronze - Country - 2],T_SV_MEDALS[[#This Row],[COUNTRY ABBR]]),"")</f>
        <v/>
      </c>
      <c r="M110" s="3">
        <f>SUM(T_SV_MEDALS[[#This Row],[SV_GOLD]:[SV_BRONZE]])</f>
        <v>0</v>
      </c>
      <c r="N110" s="3" t="str">
        <f>IF(T_SV_MEDALS[[#This Row],[SV_TOTAL]]=0,"",IF(I_RANK_METHOD="TOTAL",(T_SV_MEDALS[[#This Row],[SV_TOTAL]]*10000000),0)+(T_SV_MEDALS[[#This Row],[SV_GOLD]]*100000)+(T_SV_MEDALS[[#This Row],[SV_SILVER]]*1000)+(T_SV_MEDALS[[#This Row],[SV_BRONZE]]*10))</f>
        <v/>
      </c>
      <c r="O110" s="3" t="str">
        <f>IFERROR(IF(T_SV_MEDALS[[#This Row],[SV_TOTAL]]=0,"",RANK(T_SV_MEDALS[[#This Row],[SV_RANK VALUE]],T_SV_MEDALS[SV_RANK VALUE])),"")</f>
        <v/>
      </c>
      <c r="P110" s="3" t="str">
        <f>IFERROR(IF(T_SV_MEDALS[[#This Row],[SV_TOTAL]]=0,"",RANK(T_SV_MEDALS[[#This Row],[SV_RANK VALUE]],T_SV_MEDALS[SV_RANK VALUE])+COUNTIF($O$2:O109,O110)),"")</f>
        <v/>
      </c>
      <c r="Q110" s="3" t="str">
        <f>IFERROR(T_SV_MEDALS[[#This Row],[SV_TOTAL]]/T_SV_MEDALS[[#This Row],[TOTAL]],"")</f>
        <v/>
      </c>
      <c r="R110" s="3" t="str">
        <f>IFERROR(IF(T_SV_MEDALS[[#This Row],[SV_TOTAL]]=0,"",RANK(T_SV_MEDALS[[#This Row],[Dependency - Rank Value]],T_SV_MEDALS[Dependency - Rank Value])+COUNTIF($Q$2:Q109,Q110)),"")</f>
        <v/>
      </c>
    </row>
    <row r="111" spans="1:18" x14ac:dyDescent="0.25">
      <c r="A111" t="s">
        <v>202</v>
      </c>
      <c r="B111" t="s">
        <v>203</v>
      </c>
      <c r="C111" s="3">
        <f>IF(I_VIEW=2,"",COUNTIFS(T_2016_EVENT_RESULTS[Gold - Country],T_SV_MEDALS[[#This Row],[COUNTRY ABBR]])+COUNTIFS(T_2016_EVENT_RESULTS[Gold - Country - 2],T_SV_MEDALS[[#This Row],[COUNTRY ABBR]]))</f>
        <v>0</v>
      </c>
      <c r="D111" s="3">
        <f>IF(I_VIEW=2,"",COUNTIFS(T_2016_EVENT_RESULTS[Silver - Country],T_SV_MEDALS[[#This Row],[COUNTRY ABBR]])+COUNTIFS(T_2016_EVENT_RESULTS[Silver - Country - 2],T_SV_MEDALS[[#This Row],[COUNTRY ABBR]])+COUNTIFS(T_2016_EVENT_RESULTS[Silver - Country - 3],T_SV_MEDALS[[#This Row],[COUNTRY ABBR]]))</f>
        <v>0</v>
      </c>
      <c r="E111" s="3">
        <f>IF(I_VIEW=2,"",COUNTIFS(T_2016_EVENT_RESULTS[Bronze - Country],T_SV_MEDALS[[#This Row],[COUNTRY ABBR]])+COUNTIFS(T_2016_EVENT_RESULTS[Bronze - Country - 2],T_SV_MEDALS[[#This Row],[COUNTRY ABBR]]))</f>
        <v>0</v>
      </c>
      <c r="F111" s="3">
        <f>SUM(T_SV_MEDALS[[#This Row],[GOLD]:[BRONZE]])</f>
        <v>0</v>
      </c>
      <c r="G111" s="3" t="str">
        <f>IF(T_SV_MEDALS[[#This Row],[TOTAL]]=0,"",IF(I_RANK_METHOD="TOTAL",(T_SV_MEDALS[[#This Row],[TOTAL]]*10000000),0)+(T_SV_MEDALS[[#This Row],[GOLD]]*100000)+(T_SV_MEDALS[[#This Row],[SILVER]]*1000)+(T_SV_MEDALS[[#This Row],[BRONZE]]*10))</f>
        <v/>
      </c>
      <c r="H111" s="3" t="str">
        <f>IFERROR(IF(T_SV_MEDALS[[#This Row],[TOTAL]]=0,"",RANK(T_SV_MEDALS[[#This Row],[RANK VALUE]],T_SV_MEDALS[RANK VALUE])),"")</f>
        <v/>
      </c>
      <c r="I111" s="3" t="str">
        <f>IFERROR(IF(T_SV_MEDALS[[#This Row],[TOTAL]]=0,"",RANK(T_SV_MEDALS[[#This Row],[RANK VALUE]],T_SV_MEDALS[RANK VALUE])+COUNTIF($H$2:H110,H111)),"")</f>
        <v/>
      </c>
      <c r="J111" s="3" t="str">
        <f>IF(I_VIEW=3, COUNTIFS(T_2016_EVENT_RESULTS[SPORT],I_SV_SPORT,T_2016_EVENT_RESULTS[Gold - Country],T_SV_MEDALS[[#This Row],[COUNTRY ABBR]])+COUNTIFS(T_2016_EVENT_RESULTS[SPORT],I_SV_SPORT,T_2016_EVENT_RESULTS[Gold - Country - 2],T_SV_MEDALS[[#This Row],[COUNTRY ABBR]]),"")</f>
        <v/>
      </c>
      <c r="K111" s="3" t="str">
        <f>IF(I_VIEW=3, COUNTIFS(T_2016_EVENT_RESULTS[SPORT],I_SV_SPORT,T_2016_EVENT_RESULTS[Silver - Country],T_SV_MEDALS[[#This Row],[COUNTRY ABBR]])+COUNTIFS(T_2016_EVENT_RESULTS[SPORT],I_SV_SPORT,T_2016_EVENT_RESULTS[Silver - Country - 2],T_SV_MEDALS[[#This Row],[COUNTRY ABBR]])+COUNTIFS(T_2016_EVENT_RESULTS[SPORT],I_SV_SPORT,T_2016_EVENT_RESULTS[Silver - Country - 3],T_SV_MEDALS[[#This Row],[COUNTRY ABBR]]),"")</f>
        <v/>
      </c>
      <c r="L111" s="3" t="str">
        <f>IF(I_VIEW=3, COUNTIFS(T_2016_EVENT_RESULTS[SPORT],I_SV_SPORT,T_2016_EVENT_RESULTS[Bronze - Country],T_SV_MEDALS[[#This Row],[COUNTRY ABBR]])+COUNTIFS(T_2016_EVENT_RESULTS[SPORT],I_SV_SPORT,T_2016_EVENT_RESULTS[Bronze - Country - 2],T_SV_MEDALS[[#This Row],[COUNTRY ABBR]]),"")</f>
        <v/>
      </c>
      <c r="M111" s="3">
        <f>SUM(T_SV_MEDALS[[#This Row],[SV_GOLD]:[SV_BRONZE]])</f>
        <v>0</v>
      </c>
      <c r="N111" s="3" t="str">
        <f>IF(T_SV_MEDALS[[#This Row],[SV_TOTAL]]=0,"",IF(I_RANK_METHOD="TOTAL",(T_SV_MEDALS[[#This Row],[SV_TOTAL]]*10000000),0)+(T_SV_MEDALS[[#This Row],[SV_GOLD]]*100000)+(T_SV_MEDALS[[#This Row],[SV_SILVER]]*1000)+(T_SV_MEDALS[[#This Row],[SV_BRONZE]]*10))</f>
        <v/>
      </c>
      <c r="O111" s="3" t="str">
        <f>IFERROR(IF(T_SV_MEDALS[[#This Row],[SV_TOTAL]]=0,"",RANK(T_SV_MEDALS[[#This Row],[SV_RANK VALUE]],T_SV_MEDALS[SV_RANK VALUE])),"")</f>
        <v/>
      </c>
      <c r="P111" s="3" t="str">
        <f>IFERROR(IF(T_SV_MEDALS[[#This Row],[SV_TOTAL]]=0,"",RANK(T_SV_MEDALS[[#This Row],[SV_RANK VALUE]],T_SV_MEDALS[SV_RANK VALUE])+COUNTIF($O$2:O110,O111)),"")</f>
        <v/>
      </c>
      <c r="Q111" s="3" t="str">
        <f>IFERROR(T_SV_MEDALS[[#This Row],[SV_TOTAL]]/T_SV_MEDALS[[#This Row],[TOTAL]],"")</f>
        <v/>
      </c>
      <c r="R111" s="3" t="str">
        <f>IFERROR(IF(T_SV_MEDALS[[#This Row],[SV_TOTAL]]=0,"",RANK(T_SV_MEDALS[[#This Row],[Dependency - Rank Value]],T_SV_MEDALS[Dependency - Rank Value])+COUNTIF($Q$2:Q110,Q111)),"")</f>
        <v/>
      </c>
    </row>
    <row r="112" spans="1:18" x14ac:dyDescent="0.25">
      <c r="A112" t="s">
        <v>204</v>
      </c>
      <c r="B112" t="s">
        <v>205</v>
      </c>
      <c r="C112" s="3">
        <f>IF(I_VIEW=2,"",COUNTIFS(T_2016_EVENT_RESULTS[Gold - Country],T_SV_MEDALS[[#This Row],[COUNTRY ABBR]])+COUNTIFS(T_2016_EVENT_RESULTS[Gold - Country - 2],T_SV_MEDALS[[#This Row],[COUNTRY ABBR]]))</f>
        <v>0</v>
      </c>
      <c r="D112" s="3">
        <f>IF(I_VIEW=2,"",COUNTIFS(T_2016_EVENT_RESULTS[Silver - Country],T_SV_MEDALS[[#This Row],[COUNTRY ABBR]])+COUNTIFS(T_2016_EVENT_RESULTS[Silver - Country - 2],T_SV_MEDALS[[#This Row],[COUNTRY ABBR]])+COUNTIFS(T_2016_EVENT_RESULTS[Silver - Country - 3],T_SV_MEDALS[[#This Row],[COUNTRY ABBR]]))</f>
        <v>0</v>
      </c>
      <c r="E112" s="3">
        <f>IF(I_VIEW=2,"",COUNTIFS(T_2016_EVENT_RESULTS[Bronze - Country],T_SV_MEDALS[[#This Row],[COUNTRY ABBR]])+COUNTIFS(T_2016_EVENT_RESULTS[Bronze - Country - 2],T_SV_MEDALS[[#This Row],[COUNTRY ABBR]]))</f>
        <v>0</v>
      </c>
      <c r="F112" s="3">
        <f>SUM(T_SV_MEDALS[[#This Row],[GOLD]:[BRONZE]])</f>
        <v>0</v>
      </c>
      <c r="G112" s="3" t="str">
        <f>IF(T_SV_MEDALS[[#This Row],[TOTAL]]=0,"",IF(I_RANK_METHOD="TOTAL",(T_SV_MEDALS[[#This Row],[TOTAL]]*10000000),0)+(T_SV_MEDALS[[#This Row],[GOLD]]*100000)+(T_SV_MEDALS[[#This Row],[SILVER]]*1000)+(T_SV_MEDALS[[#This Row],[BRONZE]]*10))</f>
        <v/>
      </c>
      <c r="H112" s="3" t="str">
        <f>IFERROR(IF(T_SV_MEDALS[[#This Row],[TOTAL]]=0,"",RANK(T_SV_MEDALS[[#This Row],[RANK VALUE]],T_SV_MEDALS[RANK VALUE])),"")</f>
        <v/>
      </c>
      <c r="I112" s="3" t="str">
        <f>IFERROR(IF(T_SV_MEDALS[[#This Row],[TOTAL]]=0,"",RANK(T_SV_MEDALS[[#This Row],[RANK VALUE]],T_SV_MEDALS[RANK VALUE])+COUNTIF($H$2:H111,H112)),"")</f>
        <v/>
      </c>
      <c r="J112" s="3" t="str">
        <f>IF(I_VIEW=3, COUNTIFS(T_2016_EVENT_RESULTS[SPORT],I_SV_SPORT,T_2016_EVENT_RESULTS[Gold - Country],T_SV_MEDALS[[#This Row],[COUNTRY ABBR]])+COUNTIFS(T_2016_EVENT_RESULTS[SPORT],I_SV_SPORT,T_2016_EVENT_RESULTS[Gold - Country - 2],T_SV_MEDALS[[#This Row],[COUNTRY ABBR]]),"")</f>
        <v/>
      </c>
      <c r="K112" s="3" t="str">
        <f>IF(I_VIEW=3, COUNTIFS(T_2016_EVENT_RESULTS[SPORT],I_SV_SPORT,T_2016_EVENT_RESULTS[Silver - Country],T_SV_MEDALS[[#This Row],[COUNTRY ABBR]])+COUNTIFS(T_2016_EVENT_RESULTS[SPORT],I_SV_SPORT,T_2016_EVENT_RESULTS[Silver - Country - 2],T_SV_MEDALS[[#This Row],[COUNTRY ABBR]])+COUNTIFS(T_2016_EVENT_RESULTS[SPORT],I_SV_SPORT,T_2016_EVENT_RESULTS[Silver - Country - 3],T_SV_MEDALS[[#This Row],[COUNTRY ABBR]]),"")</f>
        <v/>
      </c>
      <c r="L112" s="3" t="str">
        <f>IF(I_VIEW=3, COUNTIFS(T_2016_EVENT_RESULTS[SPORT],I_SV_SPORT,T_2016_EVENT_RESULTS[Bronze - Country],T_SV_MEDALS[[#This Row],[COUNTRY ABBR]])+COUNTIFS(T_2016_EVENT_RESULTS[SPORT],I_SV_SPORT,T_2016_EVENT_RESULTS[Bronze - Country - 2],T_SV_MEDALS[[#This Row],[COUNTRY ABBR]]),"")</f>
        <v/>
      </c>
      <c r="M112" s="3">
        <f>SUM(T_SV_MEDALS[[#This Row],[SV_GOLD]:[SV_BRONZE]])</f>
        <v>0</v>
      </c>
      <c r="N112" s="3" t="str">
        <f>IF(T_SV_MEDALS[[#This Row],[SV_TOTAL]]=0,"",IF(I_RANK_METHOD="TOTAL",(T_SV_MEDALS[[#This Row],[SV_TOTAL]]*10000000),0)+(T_SV_MEDALS[[#This Row],[SV_GOLD]]*100000)+(T_SV_MEDALS[[#This Row],[SV_SILVER]]*1000)+(T_SV_MEDALS[[#This Row],[SV_BRONZE]]*10))</f>
        <v/>
      </c>
      <c r="O112" s="3" t="str">
        <f>IFERROR(IF(T_SV_MEDALS[[#This Row],[SV_TOTAL]]=0,"",RANK(T_SV_MEDALS[[#This Row],[SV_RANK VALUE]],T_SV_MEDALS[SV_RANK VALUE])),"")</f>
        <v/>
      </c>
      <c r="P112" s="3" t="str">
        <f>IFERROR(IF(T_SV_MEDALS[[#This Row],[SV_TOTAL]]=0,"",RANK(T_SV_MEDALS[[#This Row],[SV_RANK VALUE]],T_SV_MEDALS[SV_RANK VALUE])+COUNTIF($O$2:O111,O112)),"")</f>
        <v/>
      </c>
      <c r="Q112" s="3" t="str">
        <f>IFERROR(T_SV_MEDALS[[#This Row],[SV_TOTAL]]/T_SV_MEDALS[[#This Row],[TOTAL]],"")</f>
        <v/>
      </c>
      <c r="R112" s="3" t="str">
        <f>IFERROR(IF(T_SV_MEDALS[[#This Row],[SV_TOTAL]]=0,"",RANK(T_SV_MEDALS[[#This Row],[Dependency - Rank Value]],T_SV_MEDALS[Dependency - Rank Value])+COUNTIF($Q$2:Q111,Q112)),"")</f>
        <v/>
      </c>
    </row>
    <row r="113" spans="1:18" x14ac:dyDescent="0.25">
      <c r="A113" t="s">
        <v>206</v>
      </c>
      <c r="B113" t="s">
        <v>207</v>
      </c>
      <c r="C113" s="3">
        <f>IF(I_VIEW=2,"",COUNTIFS(T_2016_EVENT_RESULTS[Gold - Country],T_SV_MEDALS[[#This Row],[COUNTRY ABBR]])+COUNTIFS(T_2016_EVENT_RESULTS[Gold - Country - 2],T_SV_MEDALS[[#This Row],[COUNTRY ABBR]]))</f>
        <v>0</v>
      </c>
      <c r="D113" s="3">
        <f>IF(I_VIEW=2,"",COUNTIFS(T_2016_EVENT_RESULTS[Silver - Country],T_SV_MEDALS[[#This Row],[COUNTRY ABBR]])+COUNTIFS(T_2016_EVENT_RESULTS[Silver - Country - 2],T_SV_MEDALS[[#This Row],[COUNTRY ABBR]])+COUNTIFS(T_2016_EVENT_RESULTS[Silver - Country - 3],T_SV_MEDALS[[#This Row],[COUNTRY ABBR]]))</f>
        <v>1</v>
      </c>
      <c r="E113" s="3">
        <f>IF(I_VIEW=2,"",COUNTIFS(T_2016_EVENT_RESULTS[Bronze - Country],T_SV_MEDALS[[#This Row],[COUNTRY ABBR]])+COUNTIFS(T_2016_EVENT_RESULTS[Bronze - Country - 2],T_SV_MEDALS[[#This Row],[COUNTRY ABBR]]))</f>
        <v>3</v>
      </c>
      <c r="F113" s="3">
        <f>SUM(T_SV_MEDALS[[#This Row],[GOLD]:[BRONZE]])</f>
        <v>4</v>
      </c>
      <c r="G113" s="3">
        <f>IF(T_SV_MEDALS[[#This Row],[TOTAL]]=0,"",IF(I_RANK_METHOD="TOTAL",(T_SV_MEDALS[[#This Row],[TOTAL]]*10000000),0)+(T_SV_MEDALS[[#This Row],[GOLD]]*100000)+(T_SV_MEDALS[[#This Row],[SILVER]]*1000)+(T_SV_MEDALS[[#This Row],[BRONZE]]*10))</f>
        <v>40001030</v>
      </c>
      <c r="H113" s="3">
        <f>IFERROR(IF(T_SV_MEDALS[[#This Row],[TOTAL]]=0,"",RANK(T_SV_MEDALS[[#This Row],[RANK VALUE]],T_SV_MEDALS[RANK VALUE])),"")</f>
        <v>49</v>
      </c>
      <c r="I113" s="3">
        <f>IFERROR(IF(T_SV_MEDALS[[#This Row],[TOTAL]]=0,"",RANK(T_SV_MEDALS[[#This Row],[RANK VALUE]],T_SV_MEDALS[RANK VALUE])+COUNTIF($H$2:H112,H113)),"")</f>
        <v>49</v>
      </c>
      <c r="J113" s="3" t="str">
        <f>IF(I_VIEW=3, COUNTIFS(T_2016_EVENT_RESULTS[SPORT],I_SV_SPORT,T_2016_EVENT_RESULTS[Gold - Country],T_SV_MEDALS[[#This Row],[COUNTRY ABBR]])+COUNTIFS(T_2016_EVENT_RESULTS[SPORT],I_SV_SPORT,T_2016_EVENT_RESULTS[Gold - Country - 2],T_SV_MEDALS[[#This Row],[COUNTRY ABBR]]),"")</f>
        <v/>
      </c>
      <c r="K113" s="3" t="str">
        <f>IF(I_VIEW=3, COUNTIFS(T_2016_EVENT_RESULTS[SPORT],I_SV_SPORT,T_2016_EVENT_RESULTS[Silver - Country],T_SV_MEDALS[[#This Row],[COUNTRY ABBR]])+COUNTIFS(T_2016_EVENT_RESULTS[SPORT],I_SV_SPORT,T_2016_EVENT_RESULTS[Silver - Country - 2],T_SV_MEDALS[[#This Row],[COUNTRY ABBR]])+COUNTIFS(T_2016_EVENT_RESULTS[SPORT],I_SV_SPORT,T_2016_EVENT_RESULTS[Silver - Country - 3],T_SV_MEDALS[[#This Row],[COUNTRY ABBR]]),"")</f>
        <v/>
      </c>
      <c r="L113" s="3" t="str">
        <f>IF(I_VIEW=3, COUNTIFS(T_2016_EVENT_RESULTS[SPORT],I_SV_SPORT,T_2016_EVENT_RESULTS[Bronze - Country],T_SV_MEDALS[[#This Row],[COUNTRY ABBR]])+COUNTIFS(T_2016_EVENT_RESULTS[SPORT],I_SV_SPORT,T_2016_EVENT_RESULTS[Bronze - Country - 2],T_SV_MEDALS[[#This Row],[COUNTRY ABBR]]),"")</f>
        <v/>
      </c>
      <c r="M113" s="3">
        <f>SUM(T_SV_MEDALS[[#This Row],[SV_GOLD]:[SV_BRONZE]])</f>
        <v>0</v>
      </c>
      <c r="N113" s="3" t="str">
        <f>IF(T_SV_MEDALS[[#This Row],[SV_TOTAL]]=0,"",IF(I_RANK_METHOD="TOTAL",(T_SV_MEDALS[[#This Row],[SV_TOTAL]]*10000000),0)+(T_SV_MEDALS[[#This Row],[SV_GOLD]]*100000)+(T_SV_MEDALS[[#This Row],[SV_SILVER]]*1000)+(T_SV_MEDALS[[#This Row],[SV_BRONZE]]*10))</f>
        <v/>
      </c>
      <c r="O113" s="3" t="str">
        <f>IFERROR(IF(T_SV_MEDALS[[#This Row],[SV_TOTAL]]=0,"",RANK(T_SV_MEDALS[[#This Row],[SV_RANK VALUE]],T_SV_MEDALS[SV_RANK VALUE])),"")</f>
        <v/>
      </c>
      <c r="P113" s="3" t="str">
        <f>IFERROR(IF(T_SV_MEDALS[[#This Row],[SV_TOTAL]]=0,"",RANK(T_SV_MEDALS[[#This Row],[SV_RANK VALUE]],T_SV_MEDALS[SV_RANK VALUE])+COUNTIF($O$2:O112,O113)),"")</f>
        <v/>
      </c>
      <c r="Q113" s="3">
        <f>IFERROR(T_SV_MEDALS[[#This Row],[SV_TOTAL]]/T_SV_MEDALS[[#This Row],[TOTAL]],"")</f>
        <v>0</v>
      </c>
      <c r="R113" s="3" t="str">
        <f>IFERROR(IF(T_SV_MEDALS[[#This Row],[SV_TOTAL]]=0,"",RANK(T_SV_MEDALS[[#This Row],[Dependency - Rank Value]],T_SV_MEDALS[Dependency - Rank Value])+COUNTIF($Q$2:Q112,Q113)),"")</f>
        <v/>
      </c>
    </row>
    <row r="114" spans="1:18" x14ac:dyDescent="0.25">
      <c r="A114" t="s">
        <v>208</v>
      </c>
      <c r="B114" t="s">
        <v>209</v>
      </c>
      <c r="C114" s="3">
        <f>IF(I_VIEW=2,"",COUNTIFS(T_2016_EVENT_RESULTS[Gold - Country],T_SV_MEDALS[[#This Row],[COUNTRY ABBR]])+COUNTIFS(T_2016_EVENT_RESULTS[Gold - Country - 2],T_SV_MEDALS[[#This Row],[COUNTRY ABBR]]))</f>
        <v>0</v>
      </c>
      <c r="D114" s="3">
        <f>IF(I_VIEW=2,"",COUNTIFS(T_2016_EVENT_RESULTS[Silver - Country],T_SV_MEDALS[[#This Row],[COUNTRY ABBR]])+COUNTIFS(T_2016_EVENT_RESULTS[Silver - Country - 2],T_SV_MEDALS[[#This Row],[COUNTRY ABBR]])+COUNTIFS(T_2016_EVENT_RESULTS[Silver - Country - 3],T_SV_MEDALS[[#This Row],[COUNTRY ABBR]]))</f>
        <v>0</v>
      </c>
      <c r="E114" s="3">
        <f>IF(I_VIEW=2,"",COUNTIFS(T_2016_EVENT_RESULTS[Bronze - Country],T_SV_MEDALS[[#This Row],[COUNTRY ABBR]])+COUNTIFS(T_2016_EVENT_RESULTS[Bronze - Country - 2],T_SV_MEDALS[[#This Row],[COUNTRY ABBR]]))</f>
        <v>0</v>
      </c>
      <c r="F114" s="3">
        <f>SUM(T_SV_MEDALS[[#This Row],[GOLD]:[BRONZE]])</f>
        <v>0</v>
      </c>
      <c r="G114" s="3" t="str">
        <f>IF(T_SV_MEDALS[[#This Row],[TOTAL]]=0,"",IF(I_RANK_METHOD="TOTAL",(T_SV_MEDALS[[#This Row],[TOTAL]]*10000000),0)+(T_SV_MEDALS[[#This Row],[GOLD]]*100000)+(T_SV_MEDALS[[#This Row],[SILVER]]*1000)+(T_SV_MEDALS[[#This Row],[BRONZE]]*10))</f>
        <v/>
      </c>
      <c r="H114" s="3" t="str">
        <f>IFERROR(IF(T_SV_MEDALS[[#This Row],[TOTAL]]=0,"",RANK(T_SV_MEDALS[[#This Row],[RANK VALUE]],T_SV_MEDALS[RANK VALUE])),"")</f>
        <v/>
      </c>
      <c r="I114" s="3" t="str">
        <f>IFERROR(IF(T_SV_MEDALS[[#This Row],[TOTAL]]=0,"",RANK(T_SV_MEDALS[[#This Row],[RANK VALUE]],T_SV_MEDALS[RANK VALUE])+COUNTIF($H$2:H113,H114)),"")</f>
        <v/>
      </c>
      <c r="J114" s="3" t="str">
        <f>IF(I_VIEW=3, COUNTIFS(T_2016_EVENT_RESULTS[SPORT],I_SV_SPORT,T_2016_EVENT_RESULTS[Gold - Country],T_SV_MEDALS[[#This Row],[COUNTRY ABBR]])+COUNTIFS(T_2016_EVENT_RESULTS[SPORT],I_SV_SPORT,T_2016_EVENT_RESULTS[Gold - Country - 2],T_SV_MEDALS[[#This Row],[COUNTRY ABBR]]),"")</f>
        <v/>
      </c>
      <c r="K114" s="3" t="str">
        <f>IF(I_VIEW=3, COUNTIFS(T_2016_EVENT_RESULTS[SPORT],I_SV_SPORT,T_2016_EVENT_RESULTS[Silver - Country],T_SV_MEDALS[[#This Row],[COUNTRY ABBR]])+COUNTIFS(T_2016_EVENT_RESULTS[SPORT],I_SV_SPORT,T_2016_EVENT_RESULTS[Silver - Country - 2],T_SV_MEDALS[[#This Row],[COUNTRY ABBR]])+COUNTIFS(T_2016_EVENT_RESULTS[SPORT],I_SV_SPORT,T_2016_EVENT_RESULTS[Silver - Country - 3],T_SV_MEDALS[[#This Row],[COUNTRY ABBR]]),"")</f>
        <v/>
      </c>
      <c r="L114" s="3" t="str">
        <f>IF(I_VIEW=3, COUNTIFS(T_2016_EVENT_RESULTS[SPORT],I_SV_SPORT,T_2016_EVENT_RESULTS[Bronze - Country],T_SV_MEDALS[[#This Row],[COUNTRY ABBR]])+COUNTIFS(T_2016_EVENT_RESULTS[SPORT],I_SV_SPORT,T_2016_EVENT_RESULTS[Bronze - Country - 2],T_SV_MEDALS[[#This Row],[COUNTRY ABBR]]),"")</f>
        <v/>
      </c>
      <c r="M114" s="3">
        <f>SUM(T_SV_MEDALS[[#This Row],[SV_GOLD]:[SV_BRONZE]])</f>
        <v>0</v>
      </c>
      <c r="N114" s="3" t="str">
        <f>IF(T_SV_MEDALS[[#This Row],[SV_TOTAL]]=0,"",IF(I_RANK_METHOD="TOTAL",(T_SV_MEDALS[[#This Row],[SV_TOTAL]]*10000000),0)+(T_SV_MEDALS[[#This Row],[SV_GOLD]]*100000)+(T_SV_MEDALS[[#This Row],[SV_SILVER]]*1000)+(T_SV_MEDALS[[#This Row],[SV_BRONZE]]*10))</f>
        <v/>
      </c>
      <c r="O114" s="3" t="str">
        <f>IFERROR(IF(T_SV_MEDALS[[#This Row],[SV_TOTAL]]=0,"",RANK(T_SV_MEDALS[[#This Row],[SV_RANK VALUE]],T_SV_MEDALS[SV_RANK VALUE])),"")</f>
        <v/>
      </c>
      <c r="P114" s="3" t="str">
        <f>IFERROR(IF(T_SV_MEDALS[[#This Row],[SV_TOTAL]]=0,"",RANK(T_SV_MEDALS[[#This Row],[SV_RANK VALUE]],T_SV_MEDALS[SV_RANK VALUE])+COUNTIF($O$2:O113,O114)),"")</f>
        <v/>
      </c>
      <c r="Q114" s="3" t="str">
        <f>IFERROR(T_SV_MEDALS[[#This Row],[SV_TOTAL]]/T_SV_MEDALS[[#This Row],[TOTAL]],"")</f>
        <v/>
      </c>
      <c r="R114" s="3" t="str">
        <f>IFERROR(IF(T_SV_MEDALS[[#This Row],[SV_TOTAL]]=0,"",RANK(T_SV_MEDALS[[#This Row],[Dependency - Rank Value]],T_SV_MEDALS[Dependency - Rank Value])+COUNTIF($Q$2:Q113,Q114)),"")</f>
        <v/>
      </c>
    </row>
    <row r="115" spans="1:18" x14ac:dyDescent="0.25">
      <c r="A115" t="s">
        <v>210</v>
      </c>
      <c r="B115" t="s">
        <v>211</v>
      </c>
      <c r="C115" s="3">
        <f>IF(I_VIEW=2,"",COUNTIFS(T_2016_EVENT_RESULTS[Gold - Country],T_SV_MEDALS[[#This Row],[COUNTRY ABBR]])+COUNTIFS(T_2016_EVENT_RESULTS[Gold - Country - 2],T_SV_MEDALS[[#This Row],[COUNTRY ABBR]]))</f>
        <v>0</v>
      </c>
      <c r="D115" s="3">
        <f>IF(I_VIEW=2,"",COUNTIFS(T_2016_EVENT_RESULTS[Silver - Country],T_SV_MEDALS[[#This Row],[COUNTRY ABBR]])+COUNTIFS(T_2016_EVENT_RESULTS[Silver - Country - 2],T_SV_MEDALS[[#This Row],[COUNTRY ABBR]])+COUNTIFS(T_2016_EVENT_RESULTS[Silver - Country - 3],T_SV_MEDALS[[#This Row],[COUNTRY ABBR]]))</f>
        <v>0</v>
      </c>
      <c r="E115" s="3">
        <f>IF(I_VIEW=2,"",COUNTIFS(T_2016_EVENT_RESULTS[Bronze - Country],T_SV_MEDALS[[#This Row],[COUNTRY ABBR]])+COUNTIFS(T_2016_EVENT_RESULTS[Bronze - Country - 2],T_SV_MEDALS[[#This Row],[COUNTRY ABBR]]))</f>
        <v>0</v>
      </c>
      <c r="F115" s="3">
        <f>SUM(T_SV_MEDALS[[#This Row],[GOLD]:[BRONZE]])</f>
        <v>0</v>
      </c>
      <c r="G115" s="3" t="str">
        <f>IF(T_SV_MEDALS[[#This Row],[TOTAL]]=0,"",IF(I_RANK_METHOD="TOTAL",(T_SV_MEDALS[[#This Row],[TOTAL]]*10000000),0)+(T_SV_MEDALS[[#This Row],[GOLD]]*100000)+(T_SV_MEDALS[[#This Row],[SILVER]]*1000)+(T_SV_MEDALS[[#This Row],[BRONZE]]*10))</f>
        <v/>
      </c>
      <c r="H115" s="3" t="str">
        <f>IFERROR(IF(T_SV_MEDALS[[#This Row],[TOTAL]]=0,"",RANK(T_SV_MEDALS[[#This Row],[RANK VALUE]],T_SV_MEDALS[RANK VALUE])),"")</f>
        <v/>
      </c>
      <c r="I115" s="3" t="str">
        <f>IFERROR(IF(T_SV_MEDALS[[#This Row],[TOTAL]]=0,"",RANK(T_SV_MEDALS[[#This Row],[RANK VALUE]],T_SV_MEDALS[RANK VALUE])+COUNTIF($H$2:H114,H115)),"")</f>
        <v/>
      </c>
      <c r="J115" s="3" t="str">
        <f>IF(I_VIEW=3, COUNTIFS(T_2016_EVENT_RESULTS[SPORT],I_SV_SPORT,T_2016_EVENT_RESULTS[Gold - Country],T_SV_MEDALS[[#This Row],[COUNTRY ABBR]])+COUNTIFS(T_2016_EVENT_RESULTS[SPORT],I_SV_SPORT,T_2016_EVENT_RESULTS[Gold - Country - 2],T_SV_MEDALS[[#This Row],[COUNTRY ABBR]]),"")</f>
        <v/>
      </c>
      <c r="K115" s="3" t="str">
        <f>IF(I_VIEW=3, COUNTIFS(T_2016_EVENT_RESULTS[SPORT],I_SV_SPORT,T_2016_EVENT_RESULTS[Silver - Country],T_SV_MEDALS[[#This Row],[COUNTRY ABBR]])+COUNTIFS(T_2016_EVENT_RESULTS[SPORT],I_SV_SPORT,T_2016_EVENT_RESULTS[Silver - Country - 2],T_SV_MEDALS[[#This Row],[COUNTRY ABBR]])+COUNTIFS(T_2016_EVENT_RESULTS[SPORT],I_SV_SPORT,T_2016_EVENT_RESULTS[Silver - Country - 3],T_SV_MEDALS[[#This Row],[COUNTRY ABBR]]),"")</f>
        <v/>
      </c>
      <c r="L115" s="3" t="str">
        <f>IF(I_VIEW=3, COUNTIFS(T_2016_EVENT_RESULTS[SPORT],I_SV_SPORT,T_2016_EVENT_RESULTS[Bronze - Country],T_SV_MEDALS[[#This Row],[COUNTRY ABBR]])+COUNTIFS(T_2016_EVENT_RESULTS[SPORT],I_SV_SPORT,T_2016_EVENT_RESULTS[Bronze - Country - 2],T_SV_MEDALS[[#This Row],[COUNTRY ABBR]]),"")</f>
        <v/>
      </c>
      <c r="M115" s="3">
        <f>SUM(T_SV_MEDALS[[#This Row],[SV_GOLD]:[SV_BRONZE]])</f>
        <v>0</v>
      </c>
      <c r="N115" s="3" t="str">
        <f>IF(T_SV_MEDALS[[#This Row],[SV_TOTAL]]=0,"",IF(I_RANK_METHOD="TOTAL",(T_SV_MEDALS[[#This Row],[SV_TOTAL]]*10000000),0)+(T_SV_MEDALS[[#This Row],[SV_GOLD]]*100000)+(T_SV_MEDALS[[#This Row],[SV_SILVER]]*1000)+(T_SV_MEDALS[[#This Row],[SV_BRONZE]]*10))</f>
        <v/>
      </c>
      <c r="O115" s="3" t="str">
        <f>IFERROR(IF(T_SV_MEDALS[[#This Row],[SV_TOTAL]]=0,"",RANK(T_SV_MEDALS[[#This Row],[SV_RANK VALUE]],T_SV_MEDALS[SV_RANK VALUE])),"")</f>
        <v/>
      </c>
      <c r="P115" s="3" t="str">
        <f>IFERROR(IF(T_SV_MEDALS[[#This Row],[SV_TOTAL]]=0,"",RANK(T_SV_MEDALS[[#This Row],[SV_RANK VALUE]],T_SV_MEDALS[SV_RANK VALUE])+COUNTIF($O$2:O114,O115)),"")</f>
        <v/>
      </c>
      <c r="Q115" s="3" t="str">
        <f>IFERROR(T_SV_MEDALS[[#This Row],[SV_TOTAL]]/T_SV_MEDALS[[#This Row],[TOTAL]],"")</f>
        <v/>
      </c>
      <c r="R115" s="3" t="str">
        <f>IFERROR(IF(T_SV_MEDALS[[#This Row],[SV_TOTAL]]=0,"",RANK(T_SV_MEDALS[[#This Row],[Dependency - Rank Value]],T_SV_MEDALS[Dependency - Rank Value])+COUNTIF($Q$2:Q114,Q115)),"")</f>
        <v/>
      </c>
    </row>
    <row r="116" spans="1:18" x14ac:dyDescent="0.25">
      <c r="A116" t="s">
        <v>212</v>
      </c>
      <c r="B116" t="s">
        <v>213</v>
      </c>
      <c r="C116" s="3">
        <f>IF(I_VIEW=2,"",COUNTIFS(T_2016_EVENT_RESULTS[Gold - Country],T_SV_MEDALS[[#This Row],[COUNTRY ABBR]])+COUNTIFS(T_2016_EVENT_RESULTS[Gold - Country - 2],T_SV_MEDALS[[#This Row],[COUNTRY ABBR]]))</f>
        <v>0</v>
      </c>
      <c r="D116" s="3">
        <f>IF(I_VIEW=2,"",COUNTIFS(T_2016_EVENT_RESULTS[Silver - Country],T_SV_MEDALS[[#This Row],[COUNTRY ABBR]])+COUNTIFS(T_2016_EVENT_RESULTS[Silver - Country - 2],T_SV_MEDALS[[#This Row],[COUNTRY ABBR]])+COUNTIFS(T_2016_EVENT_RESULTS[Silver - Country - 3],T_SV_MEDALS[[#This Row],[COUNTRY ABBR]]))</f>
        <v>0</v>
      </c>
      <c r="E116" s="3">
        <f>IF(I_VIEW=2,"",COUNTIFS(T_2016_EVENT_RESULTS[Bronze - Country],T_SV_MEDALS[[#This Row],[COUNTRY ABBR]])+COUNTIFS(T_2016_EVENT_RESULTS[Bronze - Country - 2],T_SV_MEDALS[[#This Row],[COUNTRY ABBR]]))</f>
        <v>0</v>
      </c>
      <c r="F116" s="3">
        <f>SUM(T_SV_MEDALS[[#This Row],[GOLD]:[BRONZE]])</f>
        <v>0</v>
      </c>
      <c r="G116" s="3" t="str">
        <f>IF(T_SV_MEDALS[[#This Row],[TOTAL]]=0,"",IF(I_RANK_METHOD="TOTAL",(T_SV_MEDALS[[#This Row],[TOTAL]]*10000000),0)+(T_SV_MEDALS[[#This Row],[GOLD]]*100000)+(T_SV_MEDALS[[#This Row],[SILVER]]*1000)+(T_SV_MEDALS[[#This Row],[BRONZE]]*10))</f>
        <v/>
      </c>
      <c r="H116" s="3" t="str">
        <f>IFERROR(IF(T_SV_MEDALS[[#This Row],[TOTAL]]=0,"",RANK(T_SV_MEDALS[[#This Row],[RANK VALUE]],T_SV_MEDALS[RANK VALUE])),"")</f>
        <v/>
      </c>
      <c r="I116" s="3" t="str">
        <f>IFERROR(IF(T_SV_MEDALS[[#This Row],[TOTAL]]=0,"",RANK(T_SV_MEDALS[[#This Row],[RANK VALUE]],T_SV_MEDALS[RANK VALUE])+COUNTIF($H$2:H115,H116)),"")</f>
        <v/>
      </c>
      <c r="J116" s="3" t="str">
        <f>IF(I_VIEW=3, COUNTIFS(T_2016_EVENT_RESULTS[SPORT],I_SV_SPORT,T_2016_EVENT_RESULTS[Gold - Country],T_SV_MEDALS[[#This Row],[COUNTRY ABBR]])+COUNTIFS(T_2016_EVENT_RESULTS[SPORT],I_SV_SPORT,T_2016_EVENT_RESULTS[Gold - Country - 2],T_SV_MEDALS[[#This Row],[COUNTRY ABBR]]),"")</f>
        <v/>
      </c>
      <c r="K116" s="3" t="str">
        <f>IF(I_VIEW=3, COUNTIFS(T_2016_EVENT_RESULTS[SPORT],I_SV_SPORT,T_2016_EVENT_RESULTS[Silver - Country],T_SV_MEDALS[[#This Row],[COUNTRY ABBR]])+COUNTIFS(T_2016_EVENT_RESULTS[SPORT],I_SV_SPORT,T_2016_EVENT_RESULTS[Silver - Country - 2],T_SV_MEDALS[[#This Row],[COUNTRY ABBR]])+COUNTIFS(T_2016_EVENT_RESULTS[SPORT],I_SV_SPORT,T_2016_EVENT_RESULTS[Silver - Country - 3],T_SV_MEDALS[[#This Row],[COUNTRY ABBR]]),"")</f>
        <v/>
      </c>
      <c r="L116" s="3" t="str">
        <f>IF(I_VIEW=3, COUNTIFS(T_2016_EVENT_RESULTS[SPORT],I_SV_SPORT,T_2016_EVENT_RESULTS[Bronze - Country],T_SV_MEDALS[[#This Row],[COUNTRY ABBR]])+COUNTIFS(T_2016_EVENT_RESULTS[SPORT],I_SV_SPORT,T_2016_EVENT_RESULTS[Bronze - Country - 2],T_SV_MEDALS[[#This Row],[COUNTRY ABBR]]),"")</f>
        <v/>
      </c>
      <c r="M116" s="3">
        <f>SUM(T_SV_MEDALS[[#This Row],[SV_GOLD]:[SV_BRONZE]])</f>
        <v>0</v>
      </c>
      <c r="N116" s="3" t="str">
        <f>IF(T_SV_MEDALS[[#This Row],[SV_TOTAL]]=0,"",IF(I_RANK_METHOD="TOTAL",(T_SV_MEDALS[[#This Row],[SV_TOTAL]]*10000000),0)+(T_SV_MEDALS[[#This Row],[SV_GOLD]]*100000)+(T_SV_MEDALS[[#This Row],[SV_SILVER]]*1000)+(T_SV_MEDALS[[#This Row],[SV_BRONZE]]*10))</f>
        <v/>
      </c>
      <c r="O116" s="3" t="str">
        <f>IFERROR(IF(T_SV_MEDALS[[#This Row],[SV_TOTAL]]=0,"",RANK(T_SV_MEDALS[[#This Row],[SV_RANK VALUE]],T_SV_MEDALS[SV_RANK VALUE])),"")</f>
        <v/>
      </c>
      <c r="P116" s="3" t="str">
        <f>IFERROR(IF(T_SV_MEDALS[[#This Row],[SV_TOTAL]]=0,"",RANK(T_SV_MEDALS[[#This Row],[SV_RANK VALUE]],T_SV_MEDALS[SV_RANK VALUE])+COUNTIF($O$2:O115,O116)),"")</f>
        <v/>
      </c>
      <c r="Q116" s="3" t="str">
        <f>IFERROR(T_SV_MEDALS[[#This Row],[SV_TOTAL]]/T_SV_MEDALS[[#This Row],[TOTAL]],"")</f>
        <v/>
      </c>
      <c r="R116" s="3" t="str">
        <f>IFERROR(IF(T_SV_MEDALS[[#This Row],[SV_TOTAL]]=0,"",RANK(T_SV_MEDALS[[#This Row],[Dependency - Rank Value]],T_SV_MEDALS[Dependency - Rank Value])+COUNTIF($Q$2:Q115,Q116)),"")</f>
        <v/>
      </c>
    </row>
    <row r="117" spans="1:18" x14ac:dyDescent="0.25">
      <c r="A117" t="s">
        <v>214</v>
      </c>
      <c r="B117" t="s">
        <v>215</v>
      </c>
      <c r="C117" s="3">
        <f>IF(I_VIEW=2,"",COUNTIFS(T_2016_EVENT_RESULTS[Gold - Country],T_SV_MEDALS[[#This Row],[COUNTRY ABBR]])+COUNTIFS(T_2016_EVENT_RESULTS[Gold - Country - 2],T_SV_MEDALS[[#This Row],[COUNTRY ABBR]]))</f>
        <v>0</v>
      </c>
      <c r="D117" s="3">
        <f>IF(I_VIEW=2,"",COUNTIFS(T_2016_EVENT_RESULTS[Silver - Country],T_SV_MEDALS[[#This Row],[COUNTRY ABBR]])+COUNTIFS(T_2016_EVENT_RESULTS[Silver - Country - 2],T_SV_MEDALS[[#This Row],[COUNTRY ABBR]])+COUNTIFS(T_2016_EVENT_RESULTS[Silver - Country - 3],T_SV_MEDALS[[#This Row],[COUNTRY ABBR]]))</f>
        <v>0</v>
      </c>
      <c r="E117" s="3">
        <f>IF(I_VIEW=2,"",COUNTIFS(T_2016_EVENT_RESULTS[Bronze - Country],T_SV_MEDALS[[#This Row],[COUNTRY ABBR]])+COUNTIFS(T_2016_EVENT_RESULTS[Bronze - Country - 2],T_SV_MEDALS[[#This Row],[COUNTRY ABBR]]))</f>
        <v>0</v>
      </c>
      <c r="F117" s="3">
        <f>SUM(T_SV_MEDALS[[#This Row],[GOLD]:[BRONZE]])</f>
        <v>0</v>
      </c>
      <c r="G117" s="3" t="str">
        <f>IF(T_SV_MEDALS[[#This Row],[TOTAL]]=0,"",IF(I_RANK_METHOD="TOTAL",(T_SV_MEDALS[[#This Row],[TOTAL]]*10000000),0)+(T_SV_MEDALS[[#This Row],[GOLD]]*100000)+(T_SV_MEDALS[[#This Row],[SILVER]]*1000)+(T_SV_MEDALS[[#This Row],[BRONZE]]*10))</f>
        <v/>
      </c>
      <c r="H117" s="3" t="str">
        <f>IFERROR(IF(T_SV_MEDALS[[#This Row],[TOTAL]]=0,"",RANK(T_SV_MEDALS[[#This Row],[RANK VALUE]],T_SV_MEDALS[RANK VALUE])),"")</f>
        <v/>
      </c>
      <c r="I117" s="3" t="str">
        <f>IFERROR(IF(T_SV_MEDALS[[#This Row],[TOTAL]]=0,"",RANK(T_SV_MEDALS[[#This Row],[RANK VALUE]],T_SV_MEDALS[RANK VALUE])+COUNTIF($H$2:H116,H117)),"")</f>
        <v/>
      </c>
      <c r="J117" s="3" t="str">
        <f>IF(I_VIEW=3, COUNTIFS(T_2016_EVENT_RESULTS[SPORT],I_SV_SPORT,T_2016_EVENT_RESULTS[Gold - Country],T_SV_MEDALS[[#This Row],[COUNTRY ABBR]])+COUNTIFS(T_2016_EVENT_RESULTS[SPORT],I_SV_SPORT,T_2016_EVENT_RESULTS[Gold - Country - 2],T_SV_MEDALS[[#This Row],[COUNTRY ABBR]]),"")</f>
        <v/>
      </c>
      <c r="K117" s="3" t="str">
        <f>IF(I_VIEW=3, COUNTIFS(T_2016_EVENT_RESULTS[SPORT],I_SV_SPORT,T_2016_EVENT_RESULTS[Silver - Country],T_SV_MEDALS[[#This Row],[COUNTRY ABBR]])+COUNTIFS(T_2016_EVENT_RESULTS[SPORT],I_SV_SPORT,T_2016_EVENT_RESULTS[Silver - Country - 2],T_SV_MEDALS[[#This Row],[COUNTRY ABBR]])+COUNTIFS(T_2016_EVENT_RESULTS[SPORT],I_SV_SPORT,T_2016_EVENT_RESULTS[Silver - Country - 3],T_SV_MEDALS[[#This Row],[COUNTRY ABBR]]),"")</f>
        <v/>
      </c>
      <c r="L117" s="3" t="str">
        <f>IF(I_VIEW=3, COUNTIFS(T_2016_EVENT_RESULTS[SPORT],I_SV_SPORT,T_2016_EVENT_RESULTS[Bronze - Country],T_SV_MEDALS[[#This Row],[COUNTRY ABBR]])+COUNTIFS(T_2016_EVENT_RESULTS[SPORT],I_SV_SPORT,T_2016_EVENT_RESULTS[Bronze - Country - 2],T_SV_MEDALS[[#This Row],[COUNTRY ABBR]]),"")</f>
        <v/>
      </c>
      <c r="M117" s="3">
        <f>SUM(T_SV_MEDALS[[#This Row],[SV_GOLD]:[SV_BRONZE]])</f>
        <v>0</v>
      </c>
      <c r="N117" s="3" t="str">
        <f>IF(T_SV_MEDALS[[#This Row],[SV_TOTAL]]=0,"",IF(I_RANK_METHOD="TOTAL",(T_SV_MEDALS[[#This Row],[SV_TOTAL]]*10000000),0)+(T_SV_MEDALS[[#This Row],[SV_GOLD]]*100000)+(T_SV_MEDALS[[#This Row],[SV_SILVER]]*1000)+(T_SV_MEDALS[[#This Row],[SV_BRONZE]]*10))</f>
        <v/>
      </c>
      <c r="O117" s="3" t="str">
        <f>IFERROR(IF(T_SV_MEDALS[[#This Row],[SV_TOTAL]]=0,"",RANK(T_SV_MEDALS[[#This Row],[SV_RANK VALUE]],T_SV_MEDALS[SV_RANK VALUE])),"")</f>
        <v/>
      </c>
      <c r="P117" s="3" t="str">
        <f>IFERROR(IF(T_SV_MEDALS[[#This Row],[SV_TOTAL]]=0,"",RANK(T_SV_MEDALS[[#This Row],[SV_RANK VALUE]],T_SV_MEDALS[SV_RANK VALUE])+COUNTIF($O$2:O116,O117)),"")</f>
        <v/>
      </c>
      <c r="Q117" s="3" t="str">
        <f>IFERROR(T_SV_MEDALS[[#This Row],[SV_TOTAL]]/T_SV_MEDALS[[#This Row],[TOTAL]],"")</f>
        <v/>
      </c>
      <c r="R117" s="3" t="str">
        <f>IFERROR(IF(T_SV_MEDALS[[#This Row],[SV_TOTAL]]=0,"",RANK(T_SV_MEDALS[[#This Row],[Dependency - Rank Value]],T_SV_MEDALS[Dependency - Rank Value])+COUNTIF($Q$2:Q116,Q117)),"")</f>
        <v/>
      </c>
    </row>
    <row r="118" spans="1:18" x14ac:dyDescent="0.25">
      <c r="A118" t="s">
        <v>216</v>
      </c>
      <c r="B118" t="s">
        <v>217</v>
      </c>
      <c r="C118" s="3">
        <f>IF(I_VIEW=2,"",COUNTIFS(T_2016_EVENT_RESULTS[Gold - Country],T_SV_MEDALS[[#This Row],[COUNTRY ABBR]])+COUNTIFS(T_2016_EVENT_RESULTS[Gold - Country - 2],T_SV_MEDALS[[#This Row],[COUNTRY ABBR]]))</f>
        <v>0</v>
      </c>
      <c r="D118" s="3">
        <f>IF(I_VIEW=2,"",COUNTIFS(T_2016_EVENT_RESULTS[Silver - Country],T_SV_MEDALS[[#This Row],[COUNTRY ABBR]])+COUNTIFS(T_2016_EVENT_RESULTS[Silver - Country - 2],T_SV_MEDALS[[#This Row],[COUNTRY ABBR]])+COUNTIFS(T_2016_EVENT_RESULTS[Silver - Country - 3],T_SV_MEDALS[[#This Row],[COUNTRY ABBR]]))</f>
        <v>4</v>
      </c>
      <c r="E118" s="3">
        <f>IF(I_VIEW=2,"",COUNTIFS(T_2016_EVENT_RESULTS[Bronze - Country],T_SV_MEDALS[[#This Row],[COUNTRY ABBR]])+COUNTIFS(T_2016_EVENT_RESULTS[Bronze - Country - 2],T_SV_MEDALS[[#This Row],[COUNTRY ABBR]]))</f>
        <v>1</v>
      </c>
      <c r="F118" s="3">
        <f>SUM(T_SV_MEDALS[[#This Row],[GOLD]:[BRONZE]])</f>
        <v>5</v>
      </c>
      <c r="G118" s="3">
        <f>IF(T_SV_MEDALS[[#This Row],[TOTAL]]=0,"",IF(I_RANK_METHOD="TOTAL",(T_SV_MEDALS[[#This Row],[TOTAL]]*10000000),0)+(T_SV_MEDALS[[#This Row],[GOLD]]*100000)+(T_SV_MEDALS[[#This Row],[SILVER]]*1000)+(T_SV_MEDALS[[#This Row],[BRONZE]]*10))</f>
        <v>50004010</v>
      </c>
      <c r="H118" s="3">
        <f>IFERROR(IF(T_SV_MEDALS[[#This Row],[TOTAL]]=0,"",RANK(T_SV_MEDALS[[#This Row],[RANK VALUE]],T_SV_MEDALS[RANK VALUE])),"")</f>
        <v>43</v>
      </c>
      <c r="I118" s="3">
        <f>IFERROR(IF(T_SV_MEDALS[[#This Row],[TOTAL]]=0,"",RANK(T_SV_MEDALS[[#This Row],[RANK VALUE]],T_SV_MEDALS[RANK VALUE])+COUNTIF($H$2:H117,H118)),"")</f>
        <v>43</v>
      </c>
      <c r="J118" s="3" t="str">
        <f>IF(I_VIEW=3, COUNTIFS(T_2016_EVENT_RESULTS[SPORT],I_SV_SPORT,T_2016_EVENT_RESULTS[Gold - Country],T_SV_MEDALS[[#This Row],[COUNTRY ABBR]])+COUNTIFS(T_2016_EVENT_RESULTS[SPORT],I_SV_SPORT,T_2016_EVENT_RESULTS[Gold - Country - 2],T_SV_MEDALS[[#This Row],[COUNTRY ABBR]]),"")</f>
        <v/>
      </c>
      <c r="K118" s="3" t="str">
        <f>IF(I_VIEW=3, COUNTIFS(T_2016_EVENT_RESULTS[SPORT],I_SV_SPORT,T_2016_EVENT_RESULTS[Silver - Country],T_SV_MEDALS[[#This Row],[COUNTRY ABBR]])+COUNTIFS(T_2016_EVENT_RESULTS[SPORT],I_SV_SPORT,T_2016_EVENT_RESULTS[Silver - Country - 2],T_SV_MEDALS[[#This Row],[COUNTRY ABBR]])+COUNTIFS(T_2016_EVENT_RESULTS[SPORT],I_SV_SPORT,T_2016_EVENT_RESULTS[Silver - Country - 3],T_SV_MEDALS[[#This Row],[COUNTRY ABBR]]),"")</f>
        <v/>
      </c>
      <c r="L118" s="3" t="str">
        <f>IF(I_VIEW=3, COUNTIFS(T_2016_EVENT_RESULTS[SPORT],I_SV_SPORT,T_2016_EVENT_RESULTS[Bronze - Country],T_SV_MEDALS[[#This Row],[COUNTRY ABBR]])+COUNTIFS(T_2016_EVENT_RESULTS[SPORT],I_SV_SPORT,T_2016_EVENT_RESULTS[Bronze - Country - 2],T_SV_MEDALS[[#This Row],[COUNTRY ABBR]]),"")</f>
        <v/>
      </c>
      <c r="M118" s="3">
        <f>SUM(T_SV_MEDALS[[#This Row],[SV_GOLD]:[SV_BRONZE]])</f>
        <v>0</v>
      </c>
      <c r="N118" s="3" t="str">
        <f>IF(T_SV_MEDALS[[#This Row],[SV_TOTAL]]=0,"",IF(I_RANK_METHOD="TOTAL",(T_SV_MEDALS[[#This Row],[SV_TOTAL]]*10000000),0)+(T_SV_MEDALS[[#This Row],[SV_GOLD]]*100000)+(T_SV_MEDALS[[#This Row],[SV_SILVER]]*1000)+(T_SV_MEDALS[[#This Row],[SV_BRONZE]]*10))</f>
        <v/>
      </c>
      <c r="O118" s="3" t="str">
        <f>IFERROR(IF(T_SV_MEDALS[[#This Row],[SV_TOTAL]]=0,"",RANK(T_SV_MEDALS[[#This Row],[SV_RANK VALUE]],T_SV_MEDALS[SV_RANK VALUE])),"")</f>
        <v/>
      </c>
      <c r="P118" s="3" t="str">
        <f>IFERROR(IF(T_SV_MEDALS[[#This Row],[SV_TOTAL]]=0,"",RANK(T_SV_MEDALS[[#This Row],[SV_RANK VALUE]],T_SV_MEDALS[SV_RANK VALUE])+COUNTIF($O$2:O117,O118)),"")</f>
        <v/>
      </c>
      <c r="Q118" s="3">
        <f>IFERROR(T_SV_MEDALS[[#This Row],[SV_TOTAL]]/T_SV_MEDALS[[#This Row],[TOTAL]],"")</f>
        <v>0</v>
      </c>
      <c r="R118" s="3" t="str">
        <f>IFERROR(IF(T_SV_MEDALS[[#This Row],[SV_TOTAL]]=0,"",RANK(T_SV_MEDALS[[#This Row],[Dependency - Rank Value]],T_SV_MEDALS[Dependency - Rank Value])+COUNTIF($Q$2:Q117,Q118)),"")</f>
        <v/>
      </c>
    </row>
    <row r="119" spans="1:18" x14ac:dyDescent="0.25">
      <c r="A119" t="s">
        <v>218</v>
      </c>
      <c r="B119" t="s">
        <v>219</v>
      </c>
      <c r="C119" s="3">
        <f>IF(I_VIEW=2,"",COUNTIFS(T_2016_EVENT_RESULTS[Gold - Country],T_SV_MEDALS[[#This Row],[COUNTRY ABBR]])+COUNTIFS(T_2016_EVENT_RESULTS[Gold - Country - 2],T_SV_MEDALS[[#This Row],[COUNTRY ABBR]]))</f>
        <v>0</v>
      </c>
      <c r="D119" s="3">
        <f>IF(I_VIEW=2,"",COUNTIFS(T_2016_EVENT_RESULTS[Silver - Country],T_SV_MEDALS[[#This Row],[COUNTRY ABBR]])+COUNTIFS(T_2016_EVENT_RESULTS[Silver - Country - 2],T_SV_MEDALS[[#This Row],[COUNTRY ABBR]])+COUNTIFS(T_2016_EVENT_RESULTS[Silver - Country - 3],T_SV_MEDALS[[#This Row],[COUNTRY ABBR]]))</f>
        <v>0</v>
      </c>
      <c r="E119" s="3">
        <f>IF(I_VIEW=2,"",COUNTIFS(T_2016_EVENT_RESULTS[Bronze - Country],T_SV_MEDALS[[#This Row],[COUNTRY ABBR]])+COUNTIFS(T_2016_EVENT_RESULTS[Bronze - Country - 2],T_SV_MEDALS[[#This Row],[COUNTRY ABBR]]))</f>
        <v>0</v>
      </c>
      <c r="F119" s="3">
        <f>SUM(T_SV_MEDALS[[#This Row],[GOLD]:[BRONZE]])</f>
        <v>0</v>
      </c>
      <c r="G119" s="3" t="str">
        <f>IF(T_SV_MEDALS[[#This Row],[TOTAL]]=0,"",IF(I_RANK_METHOD="TOTAL",(T_SV_MEDALS[[#This Row],[TOTAL]]*10000000),0)+(T_SV_MEDALS[[#This Row],[GOLD]]*100000)+(T_SV_MEDALS[[#This Row],[SILVER]]*1000)+(T_SV_MEDALS[[#This Row],[BRONZE]]*10))</f>
        <v/>
      </c>
      <c r="H119" s="3" t="str">
        <f>IFERROR(IF(T_SV_MEDALS[[#This Row],[TOTAL]]=0,"",RANK(T_SV_MEDALS[[#This Row],[RANK VALUE]],T_SV_MEDALS[RANK VALUE])),"")</f>
        <v/>
      </c>
      <c r="I119" s="3" t="str">
        <f>IFERROR(IF(T_SV_MEDALS[[#This Row],[TOTAL]]=0,"",RANK(T_SV_MEDALS[[#This Row],[RANK VALUE]],T_SV_MEDALS[RANK VALUE])+COUNTIF($H$2:H118,H119)),"")</f>
        <v/>
      </c>
      <c r="J119" s="3" t="str">
        <f>IF(I_VIEW=3, COUNTIFS(T_2016_EVENT_RESULTS[SPORT],I_SV_SPORT,T_2016_EVENT_RESULTS[Gold - Country],T_SV_MEDALS[[#This Row],[COUNTRY ABBR]])+COUNTIFS(T_2016_EVENT_RESULTS[SPORT],I_SV_SPORT,T_2016_EVENT_RESULTS[Gold - Country - 2],T_SV_MEDALS[[#This Row],[COUNTRY ABBR]]),"")</f>
        <v/>
      </c>
      <c r="K119" s="3" t="str">
        <f>IF(I_VIEW=3, COUNTIFS(T_2016_EVENT_RESULTS[SPORT],I_SV_SPORT,T_2016_EVENT_RESULTS[Silver - Country],T_SV_MEDALS[[#This Row],[COUNTRY ABBR]])+COUNTIFS(T_2016_EVENT_RESULTS[SPORT],I_SV_SPORT,T_2016_EVENT_RESULTS[Silver - Country - 2],T_SV_MEDALS[[#This Row],[COUNTRY ABBR]])+COUNTIFS(T_2016_EVENT_RESULTS[SPORT],I_SV_SPORT,T_2016_EVENT_RESULTS[Silver - Country - 3],T_SV_MEDALS[[#This Row],[COUNTRY ABBR]]),"")</f>
        <v/>
      </c>
      <c r="L119" s="3" t="str">
        <f>IF(I_VIEW=3, COUNTIFS(T_2016_EVENT_RESULTS[SPORT],I_SV_SPORT,T_2016_EVENT_RESULTS[Bronze - Country],T_SV_MEDALS[[#This Row],[COUNTRY ABBR]])+COUNTIFS(T_2016_EVENT_RESULTS[SPORT],I_SV_SPORT,T_2016_EVENT_RESULTS[Bronze - Country - 2],T_SV_MEDALS[[#This Row],[COUNTRY ABBR]]),"")</f>
        <v/>
      </c>
      <c r="M119" s="3">
        <f>SUM(T_SV_MEDALS[[#This Row],[SV_GOLD]:[SV_BRONZE]])</f>
        <v>0</v>
      </c>
      <c r="N119" s="3" t="str">
        <f>IF(T_SV_MEDALS[[#This Row],[SV_TOTAL]]=0,"",IF(I_RANK_METHOD="TOTAL",(T_SV_MEDALS[[#This Row],[SV_TOTAL]]*10000000),0)+(T_SV_MEDALS[[#This Row],[SV_GOLD]]*100000)+(T_SV_MEDALS[[#This Row],[SV_SILVER]]*1000)+(T_SV_MEDALS[[#This Row],[SV_BRONZE]]*10))</f>
        <v/>
      </c>
      <c r="O119" s="3" t="str">
        <f>IFERROR(IF(T_SV_MEDALS[[#This Row],[SV_TOTAL]]=0,"",RANK(T_SV_MEDALS[[#This Row],[SV_RANK VALUE]],T_SV_MEDALS[SV_RANK VALUE])),"")</f>
        <v/>
      </c>
      <c r="P119" s="3" t="str">
        <f>IFERROR(IF(T_SV_MEDALS[[#This Row],[SV_TOTAL]]=0,"",RANK(T_SV_MEDALS[[#This Row],[SV_RANK VALUE]],T_SV_MEDALS[SV_RANK VALUE])+COUNTIF($O$2:O118,O119)),"")</f>
        <v/>
      </c>
      <c r="Q119" s="3" t="str">
        <f>IFERROR(T_SV_MEDALS[[#This Row],[SV_TOTAL]]/T_SV_MEDALS[[#This Row],[TOTAL]],"")</f>
        <v/>
      </c>
      <c r="R119" s="3" t="str">
        <f>IFERROR(IF(T_SV_MEDALS[[#This Row],[SV_TOTAL]]=0,"",RANK(T_SV_MEDALS[[#This Row],[Dependency - Rank Value]],T_SV_MEDALS[Dependency - Rank Value])+COUNTIF($Q$2:Q118,Q119)),"")</f>
        <v/>
      </c>
    </row>
    <row r="120" spans="1:18" x14ac:dyDescent="0.25">
      <c r="A120" t="s">
        <v>220</v>
      </c>
      <c r="B120" t="s">
        <v>221</v>
      </c>
      <c r="C120" s="3">
        <f>IF(I_VIEW=2,"",COUNTIFS(T_2016_EVENT_RESULTS[Gold - Country],T_SV_MEDALS[[#This Row],[COUNTRY ABBR]])+COUNTIFS(T_2016_EVENT_RESULTS[Gold - Country - 2],T_SV_MEDALS[[#This Row],[COUNTRY ABBR]]))</f>
        <v>0</v>
      </c>
      <c r="D120" s="3">
        <f>IF(I_VIEW=2,"",COUNTIFS(T_2016_EVENT_RESULTS[Silver - Country],T_SV_MEDALS[[#This Row],[COUNTRY ABBR]])+COUNTIFS(T_2016_EVENT_RESULTS[Silver - Country - 2],T_SV_MEDALS[[#This Row],[COUNTRY ABBR]])+COUNTIFS(T_2016_EVENT_RESULTS[Silver - Country - 3],T_SV_MEDALS[[#This Row],[COUNTRY ABBR]]))</f>
        <v>0</v>
      </c>
      <c r="E120" s="3">
        <f>IF(I_VIEW=2,"",COUNTIFS(T_2016_EVENT_RESULTS[Bronze - Country],T_SV_MEDALS[[#This Row],[COUNTRY ABBR]])+COUNTIFS(T_2016_EVENT_RESULTS[Bronze - Country - 2],T_SV_MEDALS[[#This Row],[COUNTRY ABBR]]))</f>
        <v>0</v>
      </c>
      <c r="F120" s="3">
        <f>SUM(T_SV_MEDALS[[#This Row],[GOLD]:[BRONZE]])</f>
        <v>0</v>
      </c>
      <c r="G120" s="3" t="str">
        <f>IF(T_SV_MEDALS[[#This Row],[TOTAL]]=0,"",IF(I_RANK_METHOD="TOTAL",(T_SV_MEDALS[[#This Row],[TOTAL]]*10000000),0)+(T_SV_MEDALS[[#This Row],[GOLD]]*100000)+(T_SV_MEDALS[[#This Row],[SILVER]]*1000)+(T_SV_MEDALS[[#This Row],[BRONZE]]*10))</f>
        <v/>
      </c>
      <c r="H120" s="3" t="str">
        <f>IFERROR(IF(T_SV_MEDALS[[#This Row],[TOTAL]]=0,"",RANK(T_SV_MEDALS[[#This Row],[RANK VALUE]],T_SV_MEDALS[RANK VALUE])),"")</f>
        <v/>
      </c>
      <c r="I120" s="3" t="str">
        <f>IFERROR(IF(T_SV_MEDALS[[#This Row],[TOTAL]]=0,"",RANK(T_SV_MEDALS[[#This Row],[RANK VALUE]],T_SV_MEDALS[RANK VALUE])+COUNTIF($H$2:H119,H120)),"")</f>
        <v/>
      </c>
      <c r="J120" s="3" t="str">
        <f>IF(I_VIEW=3, COUNTIFS(T_2016_EVENT_RESULTS[SPORT],I_SV_SPORT,T_2016_EVENT_RESULTS[Gold - Country],T_SV_MEDALS[[#This Row],[COUNTRY ABBR]])+COUNTIFS(T_2016_EVENT_RESULTS[SPORT],I_SV_SPORT,T_2016_EVENT_RESULTS[Gold - Country - 2],T_SV_MEDALS[[#This Row],[COUNTRY ABBR]]),"")</f>
        <v/>
      </c>
      <c r="K120" s="3" t="str">
        <f>IF(I_VIEW=3, COUNTIFS(T_2016_EVENT_RESULTS[SPORT],I_SV_SPORT,T_2016_EVENT_RESULTS[Silver - Country],T_SV_MEDALS[[#This Row],[COUNTRY ABBR]])+COUNTIFS(T_2016_EVENT_RESULTS[SPORT],I_SV_SPORT,T_2016_EVENT_RESULTS[Silver - Country - 2],T_SV_MEDALS[[#This Row],[COUNTRY ABBR]])+COUNTIFS(T_2016_EVENT_RESULTS[SPORT],I_SV_SPORT,T_2016_EVENT_RESULTS[Silver - Country - 3],T_SV_MEDALS[[#This Row],[COUNTRY ABBR]]),"")</f>
        <v/>
      </c>
      <c r="L120" s="3" t="str">
        <f>IF(I_VIEW=3, COUNTIFS(T_2016_EVENT_RESULTS[SPORT],I_SV_SPORT,T_2016_EVENT_RESULTS[Bronze - Country],T_SV_MEDALS[[#This Row],[COUNTRY ABBR]])+COUNTIFS(T_2016_EVENT_RESULTS[SPORT],I_SV_SPORT,T_2016_EVENT_RESULTS[Bronze - Country - 2],T_SV_MEDALS[[#This Row],[COUNTRY ABBR]]),"")</f>
        <v/>
      </c>
      <c r="M120" s="3">
        <f>SUM(T_SV_MEDALS[[#This Row],[SV_GOLD]:[SV_BRONZE]])</f>
        <v>0</v>
      </c>
      <c r="N120" s="3" t="str">
        <f>IF(T_SV_MEDALS[[#This Row],[SV_TOTAL]]=0,"",IF(I_RANK_METHOD="TOTAL",(T_SV_MEDALS[[#This Row],[SV_TOTAL]]*10000000),0)+(T_SV_MEDALS[[#This Row],[SV_GOLD]]*100000)+(T_SV_MEDALS[[#This Row],[SV_SILVER]]*1000)+(T_SV_MEDALS[[#This Row],[SV_BRONZE]]*10))</f>
        <v/>
      </c>
      <c r="O120" s="3" t="str">
        <f>IFERROR(IF(T_SV_MEDALS[[#This Row],[SV_TOTAL]]=0,"",RANK(T_SV_MEDALS[[#This Row],[SV_RANK VALUE]],T_SV_MEDALS[SV_RANK VALUE])),"")</f>
        <v/>
      </c>
      <c r="P120" s="3" t="str">
        <f>IFERROR(IF(T_SV_MEDALS[[#This Row],[SV_TOTAL]]=0,"",RANK(T_SV_MEDALS[[#This Row],[SV_RANK VALUE]],T_SV_MEDALS[SV_RANK VALUE])+COUNTIF($O$2:O119,O120)),"")</f>
        <v/>
      </c>
      <c r="Q120" s="3" t="str">
        <f>IFERROR(T_SV_MEDALS[[#This Row],[SV_TOTAL]]/T_SV_MEDALS[[#This Row],[TOTAL]],"")</f>
        <v/>
      </c>
      <c r="R120" s="3" t="str">
        <f>IFERROR(IF(T_SV_MEDALS[[#This Row],[SV_TOTAL]]=0,"",RANK(T_SV_MEDALS[[#This Row],[Dependency - Rank Value]],T_SV_MEDALS[Dependency - Rank Value])+COUNTIF($Q$2:Q119,Q120)),"")</f>
        <v/>
      </c>
    </row>
    <row r="121" spans="1:18" x14ac:dyDescent="0.25">
      <c r="A121" t="s">
        <v>222</v>
      </c>
      <c r="B121" t="s">
        <v>223</v>
      </c>
      <c r="C121" s="3">
        <f>IF(I_VIEW=2,"",COUNTIFS(T_2016_EVENT_RESULTS[Gold - Country],T_SV_MEDALS[[#This Row],[COUNTRY ABBR]])+COUNTIFS(T_2016_EVENT_RESULTS[Gold - Country - 2],T_SV_MEDALS[[#This Row],[COUNTRY ABBR]]))</f>
        <v>0</v>
      </c>
      <c r="D121" s="3">
        <f>IF(I_VIEW=2,"",COUNTIFS(T_2016_EVENT_RESULTS[Silver - Country],T_SV_MEDALS[[#This Row],[COUNTRY ABBR]])+COUNTIFS(T_2016_EVENT_RESULTS[Silver - Country - 2],T_SV_MEDALS[[#This Row],[COUNTRY ABBR]])+COUNTIFS(T_2016_EVENT_RESULTS[Silver - Country - 3],T_SV_MEDALS[[#This Row],[COUNTRY ABBR]]))</f>
        <v>0</v>
      </c>
      <c r="E121" s="3">
        <f>IF(I_VIEW=2,"",COUNTIFS(T_2016_EVENT_RESULTS[Bronze - Country],T_SV_MEDALS[[#This Row],[COUNTRY ABBR]])+COUNTIFS(T_2016_EVENT_RESULTS[Bronze - Country - 2],T_SV_MEDALS[[#This Row],[COUNTRY ABBR]]))</f>
        <v>0</v>
      </c>
      <c r="F121" s="3">
        <f>SUM(T_SV_MEDALS[[#This Row],[GOLD]:[BRONZE]])</f>
        <v>0</v>
      </c>
      <c r="G121" s="3" t="str">
        <f>IF(T_SV_MEDALS[[#This Row],[TOTAL]]=0,"",IF(I_RANK_METHOD="TOTAL",(T_SV_MEDALS[[#This Row],[TOTAL]]*10000000),0)+(T_SV_MEDALS[[#This Row],[GOLD]]*100000)+(T_SV_MEDALS[[#This Row],[SILVER]]*1000)+(T_SV_MEDALS[[#This Row],[BRONZE]]*10))</f>
        <v/>
      </c>
      <c r="H121" s="3" t="str">
        <f>IFERROR(IF(T_SV_MEDALS[[#This Row],[TOTAL]]=0,"",RANK(T_SV_MEDALS[[#This Row],[RANK VALUE]],T_SV_MEDALS[RANK VALUE])),"")</f>
        <v/>
      </c>
      <c r="I121" s="3" t="str">
        <f>IFERROR(IF(T_SV_MEDALS[[#This Row],[TOTAL]]=0,"",RANK(T_SV_MEDALS[[#This Row],[RANK VALUE]],T_SV_MEDALS[RANK VALUE])+COUNTIF($H$2:H120,H121)),"")</f>
        <v/>
      </c>
      <c r="J121" s="3" t="str">
        <f>IF(I_VIEW=3, COUNTIFS(T_2016_EVENT_RESULTS[SPORT],I_SV_SPORT,T_2016_EVENT_RESULTS[Gold - Country],T_SV_MEDALS[[#This Row],[COUNTRY ABBR]])+COUNTIFS(T_2016_EVENT_RESULTS[SPORT],I_SV_SPORT,T_2016_EVENT_RESULTS[Gold - Country - 2],T_SV_MEDALS[[#This Row],[COUNTRY ABBR]]),"")</f>
        <v/>
      </c>
      <c r="K121" s="3" t="str">
        <f>IF(I_VIEW=3, COUNTIFS(T_2016_EVENT_RESULTS[SPORT],I_SV_SPORT,T_2016_EVENT_RESULTS[Silver - Country],T_SV_MEDALS[[#This Row],[COUNTRY ABBR]])+COUNTIFS(T_2016_EVENT_RESULTS[SPORT],I_SV_SPORT,T_2016_EVENT_RESULTS[Silver - Country - 2],T_SV_MEDALS[[#This Row],[COUNTRY ABBR]])+COUNTIFS(T_2016_EVENT_RESULTS[SPORT],I_SV_SPORT,T_2016_EVENT_RESULTS[Silver - Country - 3],T_SV_MEDALS[[#This Row],[COUNTRY ABBR]]),"")</f>
        <v/>
      </c>
      <c r="L121" s="3" t="str">
        <f>IF(I_VIEW=3, COUNTIFS(T_2016_EVENT_RESULTS[SPORT],I_SV_SPORT,T_2016_EVENT_RESULTS[Bronze - Country],T_SV_MEDALS[[#This Row],[COUNTRY ABBR]])+COUNTIFS(T_2016_EVENT_RESULTS[SPORT],I_SV_SPORT,T_2016_EVENT_RESULTS[Bronze - Country - 2],T_SV_MEDALS[[#This Row],[COUNTRY ABBR]]),"")</f>
        <v/>
      </c>
      <c r="M121" s="3">
        <f>SUM(T_SV_MEDALS[[#This Row],[SV_GOLD]:[SV_BRONZE]])</f>
        <v>0</v>
      </c>
      <c r="N121" s="3" t="str">
        <f>IF(T_SV_MEDALS[[#This Row],[SV_TOTAL]]=0,"",IF(I_RANK_METHOD="TOTAL",(T_SV_MEDALS[[#This Row],[SV_TOTAL]]*10000000),0)+(T_SV_MEDALS[[#This Row],[SV_GOLD]]*100000)+(T_SV_MEDALS[[#This Row],[SV_SILVER]]*1000)+(T_SV_MEDALS[[#This Row],[SV_BRONZE]]*10))</f>
        <v/>
      </c>
      <c r="O121" s="3" t="str">
        <f>IFERROR(IF(T_SV_MEDALS[[#This Row],[SV_TOTAL]]=0,"",RANK(T_SV_MEDALS[[#This Row],[SV_RANK VALUE]],T_SV_MEDALS[SV_RANK VALUE])),"")</f>
        <v/>
      </c>
      <c r="P121" s="3" t="str">
        <f>IFERROR(IF(T_SV_MEDALS[[#This Row],[SV_TOTAL]]=0,"",RANK(T_SV_MEDALS[[#This Row],[SV_RANK VALUE]],T_SV_MEDALS[SV_RANK VALUE])+COUNTIF($O$2:O120,O121)),"")</f>
        <v/>
      </c>
      <c r="Q121" s="3" t="str">
        <f>IFERROR(T_SV_MEDALS[[#This Row],[SV_TOTAL]]/T_SV_MEDALS[[#This Row],[TOTAL]],"")</f>
        <v/>
      </c>
      <c r="R121" s="3" t="str">
        <f>IFERROR(IF(T_SV_MEDALS[[#This Row],[SV_TOTAL]]=0,"",RANK(T_SV_MEDALS[[#This Row],[Dependency - Rank Value]],T_SV_MEDALS[Dependency - Rank Value])+COUNTIF($Q$2:Q120,Q121)),"")</f>
        <v/>
      </c>
    </row>
    <row r="122" spans="1:18" x14ac:dyDescent="0.25">
      <c r="A122" t="s">
        <v>1030</v>
      </c>
      <c r="B122" t="s">
        <v>1031</v>
      </c>
      <c r="C122" s="3">
        <f>IF(I_VIEW=2,"",COUNTIFS(T_2016_EVENT_RESULTS[Gold - Country],T_SV_MEDALS[[#This Row],[COUNTRY ABBR]])+COUNTIFS(T_2016_EVENT_RESULTS[Gold - Country - 2],T_SV_MEDALS[[#This Row],[COUNTRY ABBR]]))</f>
        <v>0</v>
      </c>
      <c r="D122" s="3">
        <f>IF(I_VIEW=2,"",COUNTIFS(T_2016_EVENT_RESULTS[Silver - Country],T_SV_MEDALS[[#This Row],[COUNTRY ABBR]])+COUNTIFS(T_2016_EVENT_RESULTS[Silver - Country - 2],T_SV_MEDALS[[#This Row],[COUNTRY ABBR]])+COUNTIFS(T_2016_EVENT_RESULTS[Silver - Country - 3],T_SV_MEDALS[[#This Row],[COUNTRY ABBR]]))</f>
        <v>0</v>
      </c>
      <c r="E122" s="3">
        <f>IF(I_VIEW=2,"",COUNTIFS(T_2016_EVENT_RESULTS[Bronze - Country],T_SV_MEDALS[[#This Row],[COUNTRY ABBR]])+COUNTIFS(T_2016_EVENT_RESULTS[Bronze - Country - 2],T_SV_MEDALS[[#This Row],[COUNTRY ABBR]]))</f>
        <v>0</v>
      </c>
      <c r="F122" s="3">
        <f>SUM(T_SV_MEDALS[[#This Row],[GOLD]:[BRONZE]])</f>
        <v>0</v>
      </c>
      <c r="G122" s="3" t="str">
        <f>IF(T_SV_MEDALS[[#This Row],[TOTAL]]=0,"",IF(I_RANK_METHOD="TOTAL",(T_SV_MEDALS[[#This Row],[TOTAL]]*10000000),0)+(T_SV_MEDALS[[#This Row],[GOLD]]*100000)+(T_SV_MEDALS[[#This Row],[SILVER]]*1000)+(T_SV_MEDALS[[#This Row],[BRONZE]]*10))</f>
        <v/>
      </c>
      <c r="H122" s="3" t="str">
        <f>IFERROR(IF(T_SV_MEDALS[[#This Row],[TOTAL]]=0,"",RANK(T_SV_MEDALS[[#This Row],[RANK VALUE]],T_SV_MEDALS[RANK VALUE])),"")</f>
        <v/>
      </c>
      <c r="I122" s="3" t="str">
        <f>IFERROR(IF(T_SV_MEDALS[[#This Row],[TOTAL]]=0,"",RANK(T_SV_MEDALS[[#This Row],[RANK VALUE]],T_SV_MEDALS[RANK VALUE])+COUNTIF($H$2:H121,H122)),"")</f>
        <v/>
      </c>
      <c r="J122" s="3" t="str">
        <f>IF(I_VIEW=3, COUNTIFS(T_2016_EVENT_RESULTS[SPORT],I_SV_SPORT,T_2016_EVENT_RESULTS[Gold - Country],T_SV_MEDALS[[#This Row],[COUNTRY ABBR]])+COUNTIFS(T_2016_EVENT_RESULTS[SPORT],I_SV_SPORT,T_2016_EVENT_RESULTS[Gold - Country - 2],T_SV_MEDALS[[#This Row],[COUNTRY ABBR]]),"")</f>
        <v/>
      </c>
      <c r="K122" s="3" t="str">
        <f>IF(I_VIEW=3, COUNTIFS(T_2016_EVENT_RESULTS[SPORT],I_SV_SPORT,T_2016_EVENT_RESULTS[Silver - Country],T_SV_MEDALS[[#This Row],[COUNTRY ABBR]])+COUNTIFS(T_2016_EVENT_RESULTS[SPORT],I_SV_SPORT,T_2016_EVENT_RESULTS[Silver - Country - 2],T_SV_MEDALS[[#This Row],[COUNTRY ABBR]])+COUNTIFS(T_2016_EVENT_RESULTS[SPORT],I_SV_SPORT,T_2016_EVENT_RESULTS[Silver - Country - 3],T_SV_MEDALS[[#This Row],[COUNTRY ABBR]]),"")</f>
        <v/>
      </c>
      <c r="L122" s="3" t="str">
        <f>IF(I_VIEW=3, COUNTIFS(T_2016_EVENT_RESULTS[SPORT],I_SV_SPORT,T_2016_EVENT_RESULTS[Bronze - Country],T_SV_MEDALS[[#This Row],[COUNTRY ABBR]])+COUNTIFS(T_2016_EVENT_RESULTS[SPORT],I_SV_SPORT,T_2016_EVENT_RESULTS[Bronze - Country - 2],T_SV_MEDALS[[#This Row],[COUNTRY ABBR]]),"")</f>
        <v/>
      </c>
      <c r="M122" s="3">
        <f>SUM(T_SV_MEDALS[[#This Row],[SV_GOLD]:[SV_BRONZE]])</f>
        <v>0</v>
      </c>
      <c r="N122" s="3" t="str">
        <f>IF(T_SV_MEDALS[[#This Row],[SV_TOTAL]]=0,"",IF(I_RANK_METHOD="TOTAL",(T_SV_MEDALS[[#This Row],[SV_TOTAL]]*10000000),0)+(T_SV_MEDALS[[#This Row],[SV_GOLD]]*100000)+(T_SV_MEDALS[[#This Row],[SV_SILVER]]*1000)+(T_SV_MEDALS[[#This Row],[SV_BRONZE]]*10))</f>
        <v/>
      </c>
      <c r="O122" s="3" t="str">
        <f>IFERROR(IF(T_SV_MEDALS[[#This Row],[SV_TOTAL]]=0,"",RANK(T_SV_MEDALS[[#This Row],[SV_RANK VALUE]],T_SV_MEDALS[SV_RANK VALUE])),"")</f>
        <v/>
      </c>
      <c r="P122" s="3" t="str">
        <f>IFERROR(IF(T_SV_MEDALS[[#This Row],[SV_TOTAL]]=0,"",RANK(T_SV_MEDALS[[#This Row],[SV_RANK VALUE]],T_SV_MEDALS[SV_RANK VALUE])+COUNTIF($O$2:O121,O122)),"")</f>
        <v/>
      </c>
      <c r="Q122" s="3" t="str">
        <f>IFERROR(T_SV_MEDALS[[#This Row],[SV_TOTAL]]/T_SV_MEDALS[[#This Row],[TOTAL]],"")</f>
        <v/>
      </c>
      <c r="R122" s="3" t="str">
        <f>IFERROR(IF(T_SV_MEDALS[[#This Row],[SV_TOTAL]]=0,"",RANK(T_SV_MEDALS[[#This Row],[Dependency - Rank Value]],T_SV_MEDALS[Dependency - Rank Value])+COUNTIF($Q$2:Q121,Q122)),"")</f>
        <v/>
      </c>
    </row>
    <row r="123" spans="1:18" x14ac:dyDescent="0.25">
      <c r="A123" t="s">
        <v>224</v>
      </c>
      <c r="B123" t="s">
        <v>225</v>
      </c>
      <c r="C123" s="3">
        <f>IF(I_VIEW=2,"",COUNTIFS(T_2016_EVENT_RESULTS[Gold - Country],T_SV_MEDALS[[#This Row],[COUNTRY ABBR]])+COUNTIFS(T_2016_EVENT_RESULTS[Gold - Country - 2],T_SV_MEDALS[[#This Row],[COUNTRY ABBR]]))</f>
        <v>0</v>
      </c>
      <c r="D123" s="3">
        <f>IF(I_VIEW=2,"",COUNTIFS(T_2016_EVENT_RESULTS[Silver - Country],T_SV_MEDALS[[#This Row],[COUNTRY ABBR]])+COUNTIFS(T_2016_EVENT_RESULTS[Silver - Country - 2],T_SV_MEDALS[[#This Row],[COUNTRY ABBR]])+COUNTIFS(T_2016_EVENT_RESULTS[Silver - Country - 3],T_SV_MEDALS[[#This Row],[COUNTRY ABBR]]))</f>
        <v>0</v>
      </c>
      <c r="E123" s="3">
        <f>IF(I_VIEW=2,"",COUNTIFS(T_2016_EVENT_RESULTS[Bronze - Country],T_SV_MEDALS[[#This Row],[COUNTRY ABBR]])+COUNTIFS(T_2016_EVENT_RESULTS[Bronze - Country - 2],T_SV_MEDALS[[#This Row],[COUNTRY ABBR]]))</f>
        <v>0</v>
      </c>
      <c r="F123" s="3">
        <f>SUM(T_SV_MEDALS[[#This Row],[GOLD]:[BRONZE]])</f>
        <v>0</v>
      </c>
      <c r="G123" s="3" t="str">
        <f>IF(T_SV_MEDALS[[#This Row],[TOTAL]]=0,"",IF(I_RANK_METHOD="TOTAL",(T_SV_MEDALS[[#This Row],[TOTAL]]*10000000),0)+(T_SV_MEDALS[[#This Row],[GOLD]]*100000)+(T_SV_MEDALS[[#This Row],[SILVER]]*1000)+(T_SV_MEDALS[[#This Row],[BRONZE]]*10))</f>
        <v/>
      </c>
      <c r="H123" s="3" t="str">
        <f>IFERROR(IF(T_SV_MEDALS[[#This Row],[TOTAL]]=0,"",RANK(T_SV_MEDALS[[#This Row],[RANK VALUE]],T_SV_MEDALS[RANK VALUE])),"")</f>
        <v/>
      </c>
      <c r="I123" s="3" t="str">
        <f>IFERROR(IF(T_SV_MEDALS[[#This Row],[TOTAL]]=0,"",RANK(T_SV_MEDALS[[#This Row],[RANK VALUE]],T_SV_MEDALS[RANK VALUE])+COUNTIF($H$2:H122,H123)),"")</f>
        <v/>
      </c>
      <c r="J123" s="3" t="str">
        <f>IF(I_VIEW=3, COUNTIFS(T_2016_EVENT_RESULTS[SPORT],I_SV_SPORT,T_2016_EVENT_RESULTS[Gold - Country],T_SV_MEDALS[[#This Row],[COUNTRY ABBR]])+COUNTIFS(T_2016_EVENT_RESULTS[SPORT],I_SV_SPORT,T_2016_EVENT_RESULTS[Gold - Country - 2],T_SV_MEDALS[[#This Row],[COUNTRY ABBR]]),"")</f>
        <v/>
      </c>
      <c r="K123" s="3" t="str">
        <f>IF(I_VIEW=3, COUNTIFS(T_2016_EVENT_RESULTS[SPORT],I_SV_SPORT,T_2016_EVENT_RESULTS[Silver - Country],T_SV_MEDALS[[#This Row],[COUNTRY ABBR]])+COUNTIFS(T_2016_EVENT_RESULTS[SPORT],I_SV_SPORT,T_2016_EVENT_RESULTS[Silver - Country - 2],T_SV_MEDALS[[#This Row],[COUNTRY ABBR]])+COUNTIFS(T_2016_EVENT_RESULTS[SPORT],I_SV_SPORT,T_2016_EVENT_RESULTS[Silver - Country - 3],T_SV_MEDALS[[#This Row],[COUNTRY ABBR]]),"")</f>
        <v/>
      </c>
      <c r="L123" s="3" t="str">
        <f>IF(I_VIEW=3, COUNTIFS(T_2016_EVENT_RESULTS[SPORT],I_SV_SPORT,T_2016_EVENT_RESULTS[Bronze - Country],T_SV_MEDALS[[#This Row],[COUNTRY ABBR]])+COUNTIFS(T_2016_EVENT_RESULTS[SPORT],I_SV_SPORT,T_2016_EVENT_RESULTS[Bronze - Country - 2],T_SV_MEDALS[[#This Row],[COUNTRY ABBR]]),"")</f>
        <v/>
      </c>
      <c r="M123" s="3">
        <f>SUM(T_SV_MEDALS[[#This Row],[SV_GOLD]:[SV_BRONZE]])</f>
        <v>0</v>
      </c>
      <c r="N123" s="3" t="str">
        <f>IF(T_SV_MEDALS[[#This Row],[SV_TOTAL]]=0,"",IF(I_RANK_METHOD="TOTAL",(T_SV_MEDALS[[#This Row],[SV_TOTAL]]*10000000),0)+(T_SV_MEDALS[[#This Row],[SV_GOLD]]*100000)+(T_SV_MEDALS[[#This Row],[SV_SILVER]]*1000)+(T_SV_MEDALS[[#This Row],[SV_BRONZE]]*10))</f>
        <v/>
      </c>
      <c r="O123" s="3" t="str">
        <f>IFERROR(IF(T_SV_MEDALS[[#This Row],[SV_TOTAL]]=0,"",RANK(T_SV_MEDALS[[#This Row],[SV_RANK VALUE]],T_SV_MEDALS[SV_RANK VALUE])),"")</f>
        <v/>
      </c>
      <c r="P123" s="3" t="str">
        <f>IFERROR(IF(T_SV_MEDALS[[#This Row],[SV_TOTAL]]=0,"",RANK(T_SV_MEDALS[[#This Row],[SV_RANK VALUE]],T_SV_MEDALS[SV_RANK VALUE])+COUNTIF($O$2:O122,O123)),"")</f>
        <v/>
      </c>
      <c r="Q123" s="3" t="str">
        <f>IFERROR(T_SV_MEDALS[[#This Row],[SV_TOTAL]]/T_SV_MEDALS[[#This Row],[TOTAL]],"")</f>
        <v/>
      </c>
      <c r="R123" s="3" t="str">
        <f>IFERROR(IF(T_SV_MEDALS[[#This Row],[SV_TOTAL]]=0,"",RANK(T_SV_MEDALS[[#This Row],[Dependency - Rank Value]],T_SV_MEDALS[Dependency - Rank Value])+COUNTIF($Q$2:Q122,Q123)),"")</f>
        <v/>
      </c>
    </row>
    <row r="124" spans="1:18" x14ac:dyDescent="0.25">
      <c r="A124" t="s">
        <v>226</v>
      </c>
      <c r="B124" t="s">
        <v>227</v>
      </c>
      <c r="C124" s="3">
        <f>IF(I_VIEW=2,"",COUNTIFS(T_2016_EVENT_RESULTS[Gold - Country],T_SV_MEDALS[[#This Row],[COUNTRY ABBR]])+COUNTIFS(T_2016_EVENT_RESULTS[Gold - Country - 2],T_SV_MEDALS[[#This Row],[COUNTRY ABBR]]))</f>
        <v>0</v>
      </c>
      <c r="D124" s="3">
        <f>IF(I_VIEW=2,"",COUNTIFS(T_2016_EVENT_RESULTS[Silver - Country],T_SV_MEDALS[[#This Row],[COUNTRY ABBR]])+COUNTIFS(T_2016_EVENT_RESULTS[Silver - Country - 2],T_SV_MEDALS[[#This Row],[COUNTRY ABBR]])+COUNTIFS(T_2016_EVENT_RESULTS[Silver - Country - 3],T_SV_MEDALS[[#This Row],[COUNTRY ABBR]]))</f>
        <v>0</v>
      </c>
      <c r="E124" s="3">
        <f>IF(I_VIEW=2,"",COUNTIFS(T_2016_EVENT_RESULTS[Bronze - Country],T_SV_MEDALS[[#This Row],[COUNTRY ABBR]])+COUNTIFS(T_2016_EVENT_RESULTS[Bronze - Country - 2],T_SV_MEDALS[[#This Row],[COUNTRY ABBR]]))</f>
        <v>0</v>
      </c>
      <c r="F124" s="3">
        <f>SUM(T_SV_MEDALS[[#This Row],[GOLD]:[BRONZE]])</f>
        <v>0</v>
      </c>
      <c r="G124" s="3" t="str">
        <f>IF(T_SV_MEDALS[[#This Row],[TOTAL]]=0,"",IF(I_RANK_METHOD="TOTAL",(T_SV_MEDALS[[#This Row],[TOTAL]]*10000000),0)+(T_SV_MEDALS[[#This Row],[GOLD]]*100000)+(T_SV_MEDALS[[#This Row],[SILVER]]*1000)+(T_SV_MEDALS[[#This Row],[BRONZE]]*10))</f>
        <v/>
      </c>
      <c r="H124" s="3" t="str">
        <f>IFERROR(IF(T_SV_MEDALS[[#This Row],[TOTAL]]=0,"",RANK(T_SV_MEDALS[[#This Row],[RANK VALUE]],T_SV_MEDALS[RANK VALUE])),"")</f>
        <v/>
      </c>
      <c r="I124" s="3" t="str">
        <f>IFERROR(IF(T_SV_MEDALS[[#This Row],[TOTAL]]=0,"",RANK(T_SV_MEDALS[[#This Row],[RANK VALUE]],T_SV_MEDALS[RANK VALUE])+COUNTIF($H$2:H123,H124)),"")</f>
        <v/>
      </c>
      <c r="J124" s="3" t="str">
        <f>IF(I_VIEW=3, COUNTIFS(T_2016_EVENT_RESULTS[SPORT],I_SV_SPORT,T_2016_EVENT_RESULTS[Gold - Country],T_SV_MEDALS[[#This Row],[COUNTRY ABBR]])+COUNTIFS(T_2016_EVENT_RESULTS[SPORT],I_SV_SPORT,T_2016_EVENT_RESULTS[Gold - Country - 2],T_SV_MEDALS[[#This Row],[COUNTRY ABBR]]),"")</f>
        <v/>
      </c>
      <c r="K124" s="3" t="str">
        <f>IF(I_VIEW=3, COUNTIFS(T_2016_EVENT_RESULTS[SPORT],I_SV_SPORT,T_2016_EVENT_RESULTS[Silver - Country],T_SV_MEDALS[[#This Row],[COUNTRY ABBR]])+COUNTIFS(T_2016_EVENT_RESULTS[SPORT],I_SV_SPORT,T_2016_EVENT_RESULTS[Silver - Country - 2],T_SV_MEDALS[[#This Row],[COUNTRY ABBR]])+COUNTIFS(T_2016_EVENT_RESULTS[SPORT],I_SV_SPORT,T_2016_EVENT_RESULTS[Silver - Country - 3],T_SV_MEDALS[[#This Row],[COUNTRY ABBR]]),"")</f>
        <v/>
      </c>
      <c r="L124" s="3" t="str">
        <f>IF(I_VIEW=3, COUNTIFS(T_2016_EVENT_RESULTS[SPORT],I_SV_SPORT,T_2016_EVENT_RESULTS[Bronze - Country],T_SV_MEDALS[[#This Row],[COUNTRY ABBR]])+COUNTIFS(T_2016_EVENT_RESULTS[SPORT],I_SV_SPORT,T_2016_EVENT_RESULTS[Bronze - Country - 2],T_SV_MEDALS[[#This Row],[COUNTRY ABBR]]),"")</f>
        <v/>
      </c>
      <c r="M124" s="3">
        <f>SUM(T_SV_MEDALS[[#This Row],[SV_GOLD]:[SV_BRONZE]])</f>
        <v>0</v>
      </c>
      <c r="N124" s="3" t="str">
        <f>IF(T_SV_MEDALS[[#This Row],[SV_TOTAL]]=0,"",IF(I_RANK_METHOD="TOTAL",(T_SV_MEDALS[[#This Row],[SV_TOTAL]]*10000000),0)+(T_SV_MEDALS[[#This Row],[SV_GOLD]]*100000)+(T_SV_MEDALS[[#This Row],[SV_SILVER]]*1000)+(T_SV_MEDALS[[#This Row],[SV_BRONZE]]*10))</f>
        <v/>
      </c>
      <c r="O124" s="3" t="str">
        <f>IFERROR(IF(T_SV_MEDALS[[#This Row],[SV_TOTAL]]=0,"",RANK(T_SV_MEDALS[[#This Row],[SV_RANK VALUE]],T_SV_MEDALS[SV_RANK VALUE])),"")</f>
        <v/>
      </c>
      <c r="P124" s="3" t="str">
        <f>IFERROR(IF(T_SV_MEDALS[[#This Row],[SV_TOTAL]]=0,"",RANK(T_SV_MEDALS[[#This Row],[SV_RANK VALUE]],T_SV_MEDALS[SV_RANK VALUE])+COUNTIF($O$2:O123,O124)),"")</f>
        <v/>
      </c>
      <c r="Q124" s="3" t="str">
        <f>IFERROR(T_SV_MEDALS[[#This Row],[SV_TOTAL]]/T_SV_MEDALS[[#This Row],[TOTAL]],"")</f>
        <v/>
      </c>
      <c r="R124" s="3" t="str">
        <f>IFERROR(IF(T_SV_MEDALS[[#This Row],[SV_TOTAL]]=0,"",RANK(T_SV_MEDALS[[#This Row],[Dependency - Rank Value]],T_SV_MEDALS[Dependency - Rank Value])+COUNTIF($Q$2:Q123,Q124)),"")</f>
        <v/>
      </c>
    </row>
    <row r="125" spans="1:18" x14ac:dyDescent="0.25">
      <c r="A125" t="s">
        <v>228</v>
      </c>
      <c r="B125" t="s">
        <v>229</v>
      </c>
      <c r="C125" s="3">
        <f>IF(I_VIEW=2,"",COUNTIFS(T_2016_EVENT_RESULTS[Gold - Country],T_SV_MEDALS[[#This Row],[COUNTRY ABBR]])+COUNTIFS(T_2016_EVENT_RESULTS[Gold - Country - 2],T_SV_MEDALS[[#This Row],[COUNTRY ABBR]]))</f>
        <v>0</v>
      </c>
      <c r="D125" s="3">
        <f>IF(I_VIEW=2,"",COUNTIFS(T_2016_EVENT_RESULTS[Silver - Country],T_SV_MEDALS[[#This Row],[COUNTRY ABBR]])+COUNTIFS(T_2016_EVENT_RESULTS[Silver - Country - 2],T_SV_MEDALS[[#This Row],[COUNTRY ABBR]])+COUNTIFS(T_2016_EVENT_RESULTS[Silver - Country - 3],T_SV_MEDALS[[#This Row],[COUNTRY ABBR]]))</f>
        <v>3</v>
      </c>
      <c r="E125" s="3">
        <f>IF(I_VIEW=2,"",COUNTIFS(T_2016_EVENT_RESULTS[Bronze - Country],T_SV_MEDALS[[#This Row],[COUNTRY ABBR]])+COUNTIFS(T_2016_EVENT_RESULTS[Bronze - Country - 2],T_SV_MEDALS[[#This Row],[COUNTRY ABBR]]))</f>
        <v>2</v>
      </c>
      <c r="F125" s="3">
        <f>SUM(T_SV_MEDALS[[#This Row],[GOLD]:[BRONZE]])</f>
        <v>5</v>
      </c>
      <c r="G125" s="3">
        <f>IF(T_SV_MEDALS[[#This Row],[TOTAL]]=0,"",IF(I_RANK_METHOD="TOTAL",(T_SV_MEDALS[[#This Row],[TOTAL]]*10000000),0)+(T_SV_MEDALS[[#This Row],[GOLD]]*100000)+(T_SV_MEDALS[[#This Row],[SILVER]]*1000)+(T_SV_MEDALS[[#This Row],[BRONZE]]*10))</f>
        <v>50003020</v>
      </c>
      <c r="H125" s="3">
        <f>IFERROR(IF(T_SV_MEDALS[[#This Row],[TOTAL]]=0,"",RANK(T_SV_MEDALS[[#This Row],[RANK VALUE]],T_SV_MEDALS[RANK VALUE])),"")</f>
        <v>44</v>
      </c>
      <c r="I125" s="3">
        <f>IFERROR(IF(T_SV_MEDALS[[#This Row],[TOTAL]]=0,"",RANK(T_SV_MEDALS[[#This Row],[RANK VALUE]],T_SV_MEDALS[RANK VALUE])+COUNTIF($H$2:H124,H125)),"")</f>
        <v>44</v>
      </c>
      <c r="J125" s="3" t="str">
        <f>IF(I_VIEW=3, COUNTIFS(T_2016_EVENT_RESULTS[SPORT],I_SV_SPORT,T_2016_EVENT_RESULTS[Gold - Country],T_SV_MEDALS[[#This Row],[COUNTRY ABBR]])+COUNTIFS(T_2016_EVENT_RESULTS[SPORT],I_SV_SPORT,T_2016_EVENT_RESULTS[Gold - Country - 2],T_SV_MEDALS[[#This Row],[COUNTRY ABBR]]),"")</f>
        <v/>
      </c>
      <c r="K125" s="3" t="str">
        <f>IF(I_VIEW=3, COUNTIFS(T_2016_EVENT_RESULTS[SPORT],I_SV_SPORT,T_2016_EVENT_RESULTS[Silver - Country],T_SV_MEDALS[[#This Row],[COUNTRY ABBR]])+COUNTIFS(T_2016_EVENT_RESULTS[SPORT],I_SV_SPORT,T_2016_EVENT_RESULTS[Silver - Country - 2],T_SV_MEDALS[[#This Row],[COUNTRY ABBR]])+COUNTIFS(T_2016_EVENT_RESULTS[SPORT],I_SV_SPORT,T_2016_EVENT_RESULTS[Silver - Country - 3],T_SV_MEDALS[[#This Row],[COUNTRY ABBR]]),"")</f>
        <v/>
      </c>
      <c r="L125" s="3" t="str">
        <f>IF(I_VIEW=3, COUNTIFS(T_2016_EVENT_RESULTS[SPORT],I_SV_SPORT,T_2016_EVENT_RESULTS[Bronze - Country],T_SV_MEDALS[[#This Row],[COUNTRY ABBR]])+COUNTIFS(T_2016_EVENT_RESULTS[SPORT],I_SV_SPORT,T_2016_EVENT_RESULTS[Bronze - Country - 2],T_SV_MEDALS[[#This Row],[COUNTRY ABBR]]),"")</f>
        <v/>
      </c>
      <c r="M125" s="3">
        <f>SUM(T_SV_MEDALS[[#This Row],[SV_GOLD]:[SV_BRONZE]])</f>
        <v>0</v>
      </c>
      <c r="N125" s="3" t="str">
        <f>IF(T_SV_MEDALS[[#This Row],[SV_TOTAL]]=0,"",IF(I_RANK_METHOD="TOTAL",(T_SV_MEDALS[[#This Row],[SV_TOTAL]]*10000000),0)+(T_SV_MEDALS[[#This Row],[SV_GOLD]]*100000)+(T_SV_MEDALS[[#This Row],[SV_SILVER]]*1000)+(T_SV_MEDALS[[#This Row],[SV_BRONZE]]*10))</f>
        <v/>
      </c>
      <c r="O125" s="3" t="str">
        <f>IFERROR(IF(T_SV_MEDALS[[#This Row],[SV_TOTAL]]=0,"",RANK(T_SV_MEDALS[[#This Row],[SV_RANK VALUE]],T_SV_MEDALS[SV_RANK VALUE])),"")</f>
        <v/>
      </c>
      <c r="P125" s="3" t="str">
        <f>IFERROR(IF(T_SV_MEDALS[[#This Row],[SV_TOTAL]]=0,"",RANK(T_SV_MEDALS[[#This Row],[SV_RANK VALUE]],T_SV_MEDALS[SV_RANK VALUE])+COUNTIF($O$2:O124,O125)),"")</f>
        <v/>
      </c>
      <c r="Q125" s="3">
        <f>IFERROR(T_SV_MEDALS[[#This Row],[SV_TOTAL]]/T_SV_MEDALS[[#This Row],[TOTAL]],"")</f>
        <v>0</v>
      </c>
      <c r="R125" s="3" t="str">
        <f>IFERROR(IF(T_SV_MEDALS[[#This Row],[SV_TOTAL]]=0,"",RANK(T_SV_MEDALS[[#This Row],[Dependency - Rank Value]],T_SV_MEDALS[Dependency - Rank Value])+COUNTIF($Q$2:Q124,Q125)),"")</f>
        <v/>
      </c>
    </row>
    <row r="126" spans="1:18" x14ac:dyDescent="0.25">
      <c r="A126" t="s">
        <v>230</v>
      </c>
      <c r="B126" t="s">
        <v>231</v>
      </c>
      <c r="C126" s="3">
        <f>IF(I_VIEW=2,"",COUNTIFS(T_2016_EVENT_RESULTS[Gold - Country],T_SV_MEDALS[[#This Row],[COUNTRY ABBR]])+COUNTIFS(T_2016_EVENT_RESULTS[Gold - Country - 2],T_SV_MEDALS[[#This Row],[COUNTRY ABBR]]))</f>
        <v>0</v>
      </c>
      <c r="D126" s="3">
        <f>IF(I_VIEW=2,"",COUNTIFS(T_2016_EVENT_RESULTS[Silver - Country],T_SV_MEDALS[[#This Row],[COUNTRY ABBR]])+COUNTIFS(T_2016_EVENT_RESULTS[Silver - Country - 2],T_SV_MEDALS[[#This Row],[COUNTRY ABBR]])+COUNTIFS(T_2016_EVENT_RESULTS[Silver - Country - 3],T_SV_MEDALS[[#This Row],[COUNTRY ABBR]]))</f>
        <v>0</v>
      </c>
      <c r="E126" s="3">
        <f>IF(I_VIEW=2,"",COUNTIFS(T_2016_EVENT_RESULTS[Bronze - Country],T_SV_MEDALS[[#This Row],[COUNTRY ABBR]])+COUNTIFS(T_2016_EVENT_RESULTS[Bronze - Country - 2],T_SV_MEDALS[[#This Row],[COUNTRY ABBR]]))</f>
        <v>0</v>
      </c>
      <c r="F126" s="3">
        <f>SUM(T_SV_MEDALS[[#This Row],[GOLD]:[BRONZE]])</f>
        <v>0</v>
      </c>
      <c r="G126" s="3" t="str">
        <f>IF(T_SV_MEDALS[[#This Row],[TOTAL]]=0,"",IF(I_RANK_METHOD="TOTAL",(T_SV_MEDALS[[#This Row],[TOTAL]]*10000000),0)+(T_SV_MEDALS[[#This Row],[GOLD]]*100000)+(T_SV_MEDALS[[#This Row],[SILVER]]*1000)+(T_SV_MEDALS[[#This Row],[BRONZE]]*10))</f>
        <v/>
      </c>
      <c r="H126" s="3" t="str">
        <f>IFERROR(IF(T_SV_MEDALS[[#This Row],[TOTAL]]=0,"",RANK(T_SV_MEDALS[[#This Row],[RANK VALUE]],T_SV_MEDALS[RANK VALUE])),"")</f>
        <v/>
      </c>
      <c r="I126" s="3" t="str">
        <f>IFERROR(IF(T_SV_MEDALS[[#This Row],[TOTAL]]=0,"",RANK(T_SV_MEDALS[[#This Row],[RANK VALUE]],T_SV_MEDALS[RANK VALUE])+COUNTIF($H$2:H125,H126)),"")</f>
        <v/>
      </c>
      <c r="J126" s="3" t="str">
        <f>IF(I_VIEW=3, COUNTIFS(T_2016_EVENT_RESULTS[SPORT],I_SV_SPORT,T_2016_EVENT_RESULTS[Gold - Country],T_SV_MEDALS[[#This Row],[COUNTRY ABBR]])+COUNTIFS(T_2016_EVENT_RESULTS[SPORT],I_SV_SPORT,T_2016_EVENT_RESULTS[Gold - Country - 2],T_SV_MEDALS[[#This Row],[COUNTRY ABBR]]),"")</f>
        <v/>
      </c>
      <c r="K126" s="3" t="str">
        <f>IF(I_VIEW=3, COUNTIFS(T_2016_EVENT_RESULTS[SPORT],I_SV_SPORT,T_2016_EVENT_RESULTS[Silver - Country],T_SV_MEDALS[[#This Row],[COUNTRY ABBR]])+COUNTIFS(T_2016_EVENT_RESULTS[SPORT],I_SV_SPORT,T_2016_EVENT_RESULTS[Silver - Country - 2],T_SV_MEDALS[[#This Row],[COUNTRY ABBR]])+COUNTIFS(T_2016_EVENT_RESULTS[SPORT],I_SV_SPORT,T_2016_EVENT_RESULTS[Silver - Country - 3],T_SV_MEDALS[[#This Row],[COUNTRY ABBR]]),"")</f>
        <v/>
      </c>
      <c r="L126" s="3" t="str">
        <f>IF(I_VIEW=3, COUNTIFS(T_2016_EVENT_RESULTS[SPORT],I_SV_SPORT,T_2016_EVENT_RESULTS[Bronze - Country],T_SV_MEDALS[[#This Row],[COUNTRY ABBR]])+COUNTIFS(T_2016_EVENT_RESULTS[SPORT],I_SV_SPORT,T_2016_EVENT_RESULTS[Bronze - Country - 2],T_SV_MEDALS[[#This Row],[COUNTRY ABBR]]),"")</f>
        <v/>
      </c>
      <c r="M126" s="3">
        <f>SUM(T_SV_MEDALS[[#This Row],[SV_GOLD]:[SV_BRONZE]])</f>
        <v>0</v>
      </c>
      <c r="N126" s="3" t="str">
        <f>IF(T_SV_MEDALS[[#This Row],[SV_TOTAL]]=0,"",IF(I_RANK_METHOD="TOTAL",(T_SV_MEDALS[[#This Row],[SV_TOTAL]]*10000000),0)+(T_SV_MEDALS[[#This Row],[SV_GOLD]]*100000)+(T_SV_MEDALS[[#This Row],[SV_SILVER]]*1000)+(T_SV_MEDALS[[#This Row],[SV_BRONZE]]*10))</f>
        <v/>
      </c>
      <c r="O126" s="3" t="str">
        <f>IFERROR(IF(T_SV_MEDALS[[#This Row],[SV_TOTAL]]=0,"",RANK(T_SV_MEDALS[[#This Row],[SV_RANK VALUE]],T_SV_MEDALS[SV_RANK VALUE])),"")</f>
        <v/>
      </c>
      <c r="P126" s="3" t="str">
        <f>IFERROR(IF(T_SV_MEDALS[[#This Row],[SV_TOTAL]]=0,"",RANK(T_SV_MEDALS[[#This Row],[SV_RANK VALUE]],T_SV_MEDALS[SV_RANK VALUE])+COUNTIF($O$2:O125,O126)),"")</f>
        <v/>
      </c>
      <c r="Q126" s="3" t="str">
        <f>IFERROR(T_SV_MEDALS[[#This Row],[SV_TOTAL]]/T_SV_MEDALS[[#This Row],[TOTAL]],"")</f>
        <v/>
      </c>
      <c r="R126" s="3" t="str">
        <f>IFERROR(IF(T_SV_MEDALS[[#This Row],[SV_TOTAL]]=0,"",RANK(T_SV_MEDALS[[#This Row],[Dependency - Rank Value]],T_SV_MEDALS[Dependency - Rank Value])+COUNTIF($Q$2:Q125,Q126)),"")</f>
        <v/>
      </c>
    </row>
    <row r="127" spans="1:18" x14ac:dyDescent="0.25">
      <c r="A127" t="s">
        <v>232</v>
      </c>
      <c r="B127" t="s">
        <v>233</v>
      </c>
      <c r="C127" s="3">
        <f>IF(I_VIEW=2,"",COUNTIFS(T_2016_EVENT_RESULTS[Gold - Country],T_SV_MEDALS[[#This Row],[COUNTRY ABBR]])+COUNTIFS(T_2016_EVENT_RESULTS[Gold - Country - 2],T_SV_MEDALS[[#This Row],[COUNTRY ABBR]]))</f>
        <v>0</v>
      </c>
      <c r="D127" s="3">
        <f>IF(I_VIEW=2,"",COUNTIFS(T_2016_EVENT_RESULTS[Silver - Country],T_SV_MEDALS[[#This Row],[COUNTRY ABBR]])+COUNTIFS(T_2016_EVENT_RESULTS[Silver - Country - 2],T_SV_MEDALS[[#This Row],[COUNTRY ABBR]])+COUNTIFS(T_2016_EVENT_RESULTS[Silver - Country - 3],T_SV_MEDALS[[#This Row],[COUNTRY ABBR]]))</f>
        <v>0</v>
      </c>
      <c r="E127" s="3">
        <f>IF(I_VIEW=2,"",COUNTIFS(T_2016_EVENT_RESULTS[Bronze - Country],T_SV_MEDALS[[#This Row],[COUNTRY ABBR]])+COUNTIFS(T_2016_EVENT_RESULTS[Bronze - Country - 2],T_SV_MEDALS[[#This Row],[COUNTRY ABBR]]))</f>
        <v>1</v>
      </c>
      <c r="F127" s="3">
        <f>SUM(T_SV_MEDALS[[#This Row],[GOLD]:[BRONZE]])</f>
        <v>1</v>
      </c>
      <c r="G127" s="3">
        <f>IF(T_SV_MEDALS[[#This Row],[TOTAL]]=0,"",IF(I_RANK_METHOD="TOTAL",(T_SV_MEDALS[[#This Row],[TOTAL]]*10000000),0)+(T_SV_MEDALS[[#This Row],[GOLD]]*100000)+(T_SV_MEDALS[[#This Row],[SILVER]]*1000)+(T_SV_MEDALS[[#This Row],[BRONZE]]*10))</f>
        <v>10000010</v>
      </c>
      <c r="H127" s="3">
        <f>IFERROR(IF(T_SV_MEDALS[[#This Row],[TOTAL]]=0,"",RANK(T_SV_MEDALS[[#This Row],[RANK VALUE]],T_SV_MEDALS[RANK VALUE])),"")</f>
        <v>78</v>
      </c>
      <c r="I127" s="3">
        <f>IFERROR(IF(T_SV_MEDALS[[#This Row],[TOTAL]]=0,"",RANK(T_SV_MEDALS[[#This Row],[RANK VALUE]],T_SV_MEDALS[RANK VALUE])+COUNTIF($H$2:H126,H127)),"")</f>
        <v>82</v>
      </c>
      <c r="J127" s="3" t="str">
        <f>IF(I_VIEW=3, COUNTIFS(T_2016_EVENT_RESULTS[SPORT],I_SV_SPORT,T_2016_EVENT_RESULTS[Gold - Country],T_SV_MEDALS[[#This Row],[COUNTRY ABBR]])+COUNTIFS(T_2016_EVENT_RESULTS[SPORT],I_SV_SPORT,T_2016_EVENT_RESULTS[Gold - Country - 2],T_SV_MEDALS[[#This Row],[COUNTRY ABBR]]),"")</f>
        <v/>
      </c>
      <c r="K127" s="3" t="str">
        <f>IF(I_VIEW=3, COUNTIFS(T_2016_EVENT_RESULTS[SPORT],I_SV_SPORT,T_2016_EVENT_RESULTS[Silver - Country],T_SV_MEDALS[[#This Row],[COUNTRY ABBR]])+COUNTIFS(T_2016_EVENT_RESULTS[SPORT],I_SV_SPORT,T_2016_EVENT_RESULTS[Silver - Country - 2],T_SV_MEDALS[[#This Row],[COUNTRY ABBR]])+COUNTIFS(T_2016_EVENT_RESULTS[SPORT],I_SV_SPORT,T_2016_EVENT_RESULTS[Silver - Country - 3],T_SV_MEDALS[[#This Row],[COUNTRY ABBR]]),"")</f>
        <v/>
      </c>
      <c r="L127" s="3" t="str">
        <f>IF(I_VIEW=3, COUNTIFS(T_2016_EVENT_RESULTS[SPORT],I_SV_SPORT,T_2016_EVENT_RESULTS[Bronze - Country],T_SV_MEDALS[[#This Row],[COUNTRY ABBR]])+COUNTIFS(T_2016_EVENT_RESULTS[SPORT],I_SV_SPORT,T_2016_EVENT_RESULTS[Bronze - Country - 2],T_SV_MEDALS[[#This Row],[COUNTRY ABBR]]),"")</f>
        <v/>
      </c>
      <c r="M127" s="3">
        <f>SUM(T_SV_MEDALS[[#This Row],[SV_GOLD]:[SV_BRONZE]])</f>
        <v>0</v>
      </c>
      <c r="N127" s="3" t="str">
        <f>IF(T_SV_MEDALS[[#This Row],[SV_TOTAL]]=0,"",IF(I_RANK_METHOD="TOTAL",(T_SV_MEDALS[[#This Row],[SV_TOTAL]]*10000000),0)+(T_SV_MEDALS[[#This Row],[SV_GOLD]]*100000)+(T_SV_MEDALS[[#This Row],[SV_SILVER]]*1000)+(T_SV_MEDALS[[#This Row],[SV_BRONZE]]*10))</f>
        <v/>
      </c>
      <c r="O127" s="3" t="str">
        <f>IFERROR(IF(T_SV_MEDALS[[#This Row],[SV_TOTAL]]=0,"",RANK(T_SV_MEDALS[[#This Row],[SV_RANK VALUE]],T_SV_MEDALS[SV_RANK VALUE])),"")</f>
        <v/>
      </c>
      <c r="P127" s="3" t="str">
        <f>IFERROR(IF(T_SV_MEDALS[[#This Row],[SV_TOTAL]]=0,"",RANK(T_SV_MEDALS[[#This Row],[SV_RANK VALUE]],T_SV_MEDALS[SV_RANK VALUE])+COUNTIF($O$2:O126,O127)),"")</f>
        <v/>
      </c>
      <c r="Q127" s="3">
        <f>IFERROR(T_SV_MEDALS[[#This Row],[SV_TOTAL]]/T_SV_MEDALS[[#This Row],[TOTAL]],"")</f>
        <v>0</v>
      </c>
      <c r="R127" s="3" t="str">
        <f>IFERROR(IF(T_SV_MEDALS[[#This Row],[SV_TOTAL]]=0,"",RANK(T_SV_MEDALS[[#This Row],[Dependency - Rank Value]],T_SV_MEDALS[Dependency - Rank Value])+COUNTIF($Q$2:Q126,Q127)),"")</f>
        <v/>
      </c>
    </row>
    <row r="128" spans="1:18" x14ac:dyDescent="0.25">
      <c r="A128" t="s">
        <v>234</v>
      </c>
      <c r="B128" t="s">
        <v>235</v>
      </c>
      <c r="C128" s="3">
        <f>IF(I_VIEW=2,"",COUNTIFS(T_2016_EVENT_RESULTS[Gold - Country],T_SV_MEDALS[[#This Row],[COUNTRY ABBR]])+COUNTIFS(T_2016_EVENT_RESULTS[Gold - Country - 2],T_SV_MEDALS[[#This Row],[COUNTRY ABBR]]))</f>
        <v>0</v>
      </c>
      <c r="D128" s="3">
        <f>IF(I_VIEW=2,"",COUNTIFS(T_2016_EVENT_RESULTS[Silver - Country],T_SV_MEDALS[[#This Row],[COUNTRY ABBR]])+COUNTIFS(T_2016_EVENT_RESULTS[Silver - Country - 2],T_SV_MEDALS[[#This Row],[COUNTRY ABBR]])+COUNTIFS(T_2016_EVENT_RESULTS[Silver - Country - 3],T_SV_MEDALS[[#This Row],[COUNTRY ABBR]]))</f>
        <v>0</v>
      </c>
      <c r="E128" s="3">
        <f>IF(I_VIEW=2,"",COUNTIFS(T_2016_EVENT_RESULTS[Bronze - Country],T_SV_MEDALS[[#This Row],[COUNTRY ABBR]])+COUNTIFS(T_2016_EVENT_RESULTS[Bronze - Country - 2],T_SV_MEDALS[[#This Row],[COUNTRY ABBR]]))</f>
        <v>0</v>
      </c>
      <c r="F128" s="3">
        <f>SUM(T_SV_MEDALS[[#This Row],[GOLD]:[BRONZE]])</f>
        <v>0</v>
      </c>
      <c r="G128" s="3" t="str">
        <f>IF(T_SV_MEDALS[[#This Row],[TOTAL]]=0,"",IF(I_RANK_METHOD="TOTAL",(T_SV_MEDALS[[#This Row],[TOTAL]]*10000000),0)+(T_SV_MEDALS[[#This Row],[GOLD]]*100000)+(T_SV_MEDALS[[#This Row],[SILVER]]*1000)+(T_SV_MEDALS[[#This Row],[BRONZE]]*10))</f>
        <v/>
      </c>
      <c r="H128" s="3" t="str">
        <f>IFERROR(IF(T_SV_MEDALS[[#This Row],[TOTAL]]=0,"",RANK(T_SV_MEDALS[[#This Row],[RANK VALUE]],T_SV_MEDALS[RANK VALUE])),"")</f>
        <v/>
      </c>
      <c r="I128" s="3" t="str">
        <f>IFERROR(IF(T_SV_MEDALS[[#This Row],[TOTAL]]=0,"",RANK(T_SV_MEDALS[[#This Row],[RANK VALUE]],T_SV_MEDALS[RANK VALUE])+COUNTIF($H$2:H127,H128)),"")</f>
        <v/>
      </c>
      <c r="J128" s="3" t="str">
        <f>IF(I_VIEW=3, COUNTIFS(T_2016_EVENT_RESULTS[SPORT],I_SV_SPORT,T_2016_EVENT_RESULTS[Gold - Country],T_SV_MEDALS[[#This Row],[COUNTRY ABBR]])+COUNTIFS(T_2016_EVENT_RESULTS[SPORT],I_SV_SPORT,T_2016_EVENT_RESULTS[Gold - Country - 2],T_SV_MEDALS[[#This Row],[COUNTRY ABBR]]),"")</f>
        <v/>
      </c>
      <c r="K128" s="3" t="str">
        <f>IF(I_VIEW=3, COUNTIFS(T_2016_EVENT_RESULTS[SPORT],I_SV_SPORT,T_2016_EVENT_RESULTS[Silver - Country],T_SV_MEDALS[[#This Row],[COUNTRY ABBR]])+COUNTIFS(T_2016_EVENT_RESULTS[SPORT],I_SV_SPORT,T_2016_EVENT_RESULTS[Silver - Country - 2],T_SV_MEDALS[[#This Row],[COUNTRY ABBR]])+COUNTIFS(T_2016_EVENT_RESULTS[SPORT],I_SV_SPORT,T_2016_EVENT_RESULTS[Silver - Country - 3],T_SV_MEDALS[[#This Row],[COUNTRY ABBR]]),"")</f>
        <v/>
      </c>
      <c r="L128" s="3" t="str">
        <f>IF(I_VIEW=3, COUNTIFS(T_2016_EVENT_RESULTS[SPORT],I_SV_SPORT,T_2016_EVENT_RESULTS[Bronze - Country],T_SV_MEDALS[[#This Row],[COUNTRY ABBR]])+COUNTIFS(T_2016_EVENT_RESULTS[SPORT],I_SV_SPORT,T_2016_EVENT_RESULTS[Bronze - Country - 2],T_SV_MEDALS[[#This Row],[COUNTRY ABBR]]),"")</f>
        <v/>
      </c>
      <c r="M128" s="3">
        <f>SUM(T_SV_MEDALS[[#This Row],[SV_GOLD]:[SV_BRONZE]])</f>
        <v>0</v>
      </c>
      <c r="N128" s="3" t="str">
        <f>IF(T_SV_MEDALS[[#This Row],[SV_TOTAL]]=0,"",IF(I_RANK_METHOD="TOTAL",(T_SV_MEDALS[[#This Row],[SV_TOTAL]]*10000000),0)+(T_SV_MEDALS[[#This Row],[SV_GOLD]]*100000)+(T_SV_MEDALS[[#This Row],[SV_SILVER]]*1000)+(T_SV_MEDALS[[#This Row],[SV_BRONZE]]*10))</f>
        <v/>
      </c>
      <c r="O128" s="3" t="str">
        <f>IFERROR(IF(T_SV_MEDALS[[#This Row],[SV_TOTAL]]=0,"",RANK(T_SV_MEDALS[[#This Row],[SV_RANK VALUE]],T_SV_MEDALS[SV_RANK VALUE])),"")</f>
        <v/>
      </c>
      <c r="P128" s="3" t="str">
        <f>IFERROR(IF(T_SV_MEDALS[[#This Row],[SV_TOTAL]]=0,"",RANK(T_SV_MEDALS[[#This Row],[SV_RANK VALUE]],T_SV_MEDALS[SV_RANK VALUE])+COUNTIF($O$2:O127,O128)),"")</f>
        <v/>
      </c>
      <c r="Q128" s="3" t="str">
        <f>IFERROR(T_SV_MEDALS[[#This Row],[SV_TOTAL]]/T_SV_MEDALS[[#This Row],[TOTAL]],"")</f>
        <v/>
      </c>
      <c r="R128" s="3" t="str">
        <f>IFERROR(IF(T_SV_MEDALS[[#This Row],[SV_TOTAL]]=0,"",RANK(T_SV_MEDALS[[#This Row],[Dependency - Rank Value]],T_SV_MEDALS[Dependency - Rank Value])+COUNTIF($Q$2:Q127,Q128)),"")</f>
        <v/>
      </c>
    </row>
    <row r="129" spans="1:18" x14ac:dyDescent="0.25">
      <c r="A129" t="s">
        <v>236</v>
      </c>
      <c r="B129" t="s">
        <v>237</v>
      </c>
      <c r="C129" s="3">
        <f>IF(I_VIEW=2,"",COUNTIFS(T_2016_EVENT_RESULTS[Gold - Country],T_SV_MEDALS[[#This Row],[COUNTRY ABBR]])+COUNTIFS(T_2016_EVENT_RESULTS[Gold - Country - 2],T_SV_MEDALS[[#This Row],[COUNTRY ABBR]]))</f>
        <v>0</v>
      </c>
      <c r="D129" s="3">
        <f>IF(I_VIEW=2,"",COUNTIFS(T_2016_EVENT_RESULTS[Silver - Country],T_SV_MEDALS[[#This Row],[COUNTRY ABBR]])+COUNTIFS(T_2016_EVENT_RESULTS[Silver - Country - 2],T_SV_MEDALS[[#This Row],[COUNTRY ABBR]])+COUNTIFS(T_2016_EVENT_RESULTS[Silver - Country - 3],T_SV_MEDALS[[#This Row],[COUNTRY ABBR]]))</f>
        <v>1</v>
      </c>
      <c r="E129" s="3">
        <f>IF(I_VIEW=2,"",COUNTIFS(T_2016_EVENT_RESULTS[Bronze - Country],T_SV_MEDALS[[#This Row],[COUNTRY ABBR]])+COUNTIFS(T_2016_EVENT_RESULTS[Bronze - Country - 2],T_SV_MEDALS[[#This Row],[COUNTRY ABBR]]))</f>
        <v>1</v>
      </c>
      <c r="F129" s="3">
        <f>SUM(T_SV_MEDALS[[#This Row],[GOLD]:[BRONZE]])</f>
        <v>2</v>
      </c>
      <c r="G129" s="3">
        <f>IF(T_SV_MEDALS[[#This Row],[TOTAL]]=0,"",IF(I_RANK_METHOD="TOTAL",(T_SV_MEDALS[[#This Row],[TOTAL]]*10000000),0)+(T_SV_MEDALS[[#This Row],[GOLD]]*100000)+(T_SV_MEDALS[[#This Row],[SILVER]]*1000)+(T_SV_MEDALS[[#This Row],[BRONZE]]*10))</f>
        <v>20001010</v>
      </c>
      <c r="H129" s="3">
        <f>IFERROR(IF(T_SV_MEDALS[[#This Row],[TOTAL]]=0,"",RANK(T_SV_MEDALS[[#This Row],[RANK VALUE]],T_SV_MEDALS[RANK VALUE])),"")</f>
        <v>64</v>
      </c>
      <c r="I129" s="3">
        <f>IFERROR(IF(T_SV_MEDALS[[#This Row],[TOTAL]]=0,"",RANK(T_SV_MEDALS[[#This Row],[RANK VALUE]],T_SV_MEDALS[RANK VALUE])+COUNTIF($H$2:H128,H129)),"")</f>
        <v>65</v>
      </c>
      <c r="J129" s="3" t="str">
        <f>IF(I_VIEW=3, COUNTIFS(T_2016_EVENT_RESULTS[SPORT],I_SV_SPORT,T_2016_EVENT_RESULTS[Gold - Country],T_SV_MEDALS[[#This Row],[COUNTRY ABBR]])+COUNTIFS(T_2016_EVENT_RESULTS[SPORT],I_SV_SPORT,T_2016_EVENT_RESULTS[Gold - Country - 2],T_SV_MEDALS[[#This Row],[COUNTRY ABBR]]),"")</f>
        <v/>
      </c>
      <c r="K129" s="3" t="str">
        <f>IF(I_VIEW=3, COUNTIFS(T_2016_EVENT_RESULTS[SPORT],I_SV_SPORT,T_2016_EVENT_RESULTS[Silver - Country],T_SV_MEDALS[[#This Row],[COUNTRY ABBR]])+COUNTIFS(T_2016_EVENT_RESULTS[SPORT],I_SV_SPORT,T_2016_EVENT_RESULTS[Silver - Country - 2],T_SV_MEDALS[[#This Row],[COUNTRY ABBR]])+COUNTIFS(T_2016_EVENT_RESULTS[SPORT],I_SV_SPORT,T_2016_EVENT_RESULTS[Silver - Country - 3],T_SV_MEDALS[[#This Row],[COUNTRY ABBR]]),"")</f>
        <v/>
      </c>
      <c r="L129" s="3" t="str">
        <f>IF(I_VIEW=3, COUNTIFS(T_2016_EVENT_RESULTS[SPORT],I_SV_SPORT,T_2016_EVENT_RESULTS[Bronze - Country],T_SV_MEDALS[[#This Row],[COUNTRY ABBR]])+COUNTIFS(T_2016_EVENT_RESULTS[SPORT],I_SV_SPORT,T_2016_EVENT_RESULTS[Bronze - Country - 2],T_SV_MEDALS[[#This Row],[COUNTRY ABBR]]),"")</f>
        <v/>
      </c>
      <c r="M129" s="3">
        <f>SUM(T_SV_MEDALS[[#This Row],[SV_GOLD]:[SV_BRONZE]])</f>
        <v>0</v>
      </c>
      <c r="N129" s="3" t="str">
        <f>IF(T_SV_MEDALS[[#This Row],[SV_TOTAL]]=0,"",IF(I_RANK_METHOD="TOTAL",(T_SV_MEDALS[[#This Row],[SV_TOTAL]]*10000000),0)+(T_SV_MEDALS[[#This Row],[SV_GOLD]]*100000)+(T_SV_MEDALS[[#This Row],[SV_SILVER]]*1000)+(T_SV_MEDALS[[#This Row],[SV_BRONZE]]*10))</f>
        <v/>
      </c>
      <c r="O129" s="3" t="str">
        <f>IFERROR(IF(T_SV_MEDALS[[#This Row],[SV_TOTAL]]=0,"",RANK(T_SV_MEDALS[[#This Row],[SV_RANK VALUE]],T_SV_MEDALS[SV_RANK VALUE])),"")</f>
        <v/>
      </c>
      <c r="P129" s="3" t="str">
        <f>IFERROR(IF(T_SV_MEDALS[[#This Row],[SV_TOTAL]]=0,"",RANK(T_SV_MEDALS[[#This Row],[SV_RANK VALUE]],T_SV_MEDALS[SV_RANK VALUE])+COUNTIF($O$2:O128,O129)),"")</f>
        <v/>
      </c>
      <c r="Q129" s="3">
        <f>IFERROR(T_SV_MEDALS[[#This Row],[SV_TOTAL]]/T_SV_MEDALS[[#This Row],[TOTAL]],"")</f>
        <v>0</v>
      </c>
      <c r="R129" s="3" t="str">
        <f>IFERROR(IF(T_SV_MEDALS[[#This Row],[SV_TOTAL]]=0,"",RANK(T_SV_MEDALS[[#This Row],[Dependency - Rank Value]],T_SV_MEDALS[Dependency - Rank Value])+COUNTIF($Q$2:Q128,Q129)),"")</f>
        <v/>
      </c>
    </row>
    <row r="130" spans="1:18" x14ac:dyDescent="0.25">
      <c r="A130" t="s">
        <v>429</v>
      </c>
      <c r="B130" t="s">
        <v>893</v>
      </c>
      <c r="C130" s="3">
        <f>IF(I_VIEW=2,"",COUNTIFS(T_2016_EVENT_RESULTS[Gold - Country],T_SV_MEDALS[[#This Row],[COUNTRY ABBR]])+COUNTIFS(T_2016_EVENT_RESULTS[Gold - Country - 2],T_SV_MEDALS[[#This Row],[COUNTRY ABBR]]))</f>
        <v>0</v>
      </c>
      <c r="D130" s="3">
        <f>IF(I_VIEW=2,"",COUNTIFS(T_2016_EVENT_RESULTS[Silver - Country],T_SV_MEDALS[[#This Row],[COUNTRY ABBR]])+COUNTIFS(T_2016_EVENT_RESULTS[Silver - Country - 2],T_SV_MEDALS[[#This Row],[COUNTRY ABBR]])+COUNTIFS(T_2016_EVENT_RESULTS[Silver - Country - 3],T_SV_MEDALS[[#This Row],[COUNTRY ABBR]]))</f>
        <v>0</v>
      </c>
      <c r="E130" s="3">
        <f>IF(I_VIEW=2,"",COUNTIFS(T_2016_EVENT_RESULTS[Bronze - Country],T_SV_MEDALS[[#This Row],[COUNTRY ABBR]])+COUNTIFS(T_2016_EVENT_RESULTS[Bronze - Country - 2],T_SV_MEDALS[[#This Row],[COUNTRY ABBR]]))</f>
        <v>0</v>
      </c>
      <c r="F130" s="3">
        <f>SUM(T_SV_MEDALS[[#This Row],[GOLD]:[BRONZE]])</f>
        <v>0</v>
      </c>
      <c r="G130" s="3" t="str">
        <f>IF(T_SV_MEDALS[[#This Row],[TOTAL]]=0,"",IF(I_RANK_METHOD="TOTAL",(T_SV_MEDALS[[#This Row],[TOTAL]]*10000000),0)+(T_SV_MEDALS[[#This Row],[GOLD]]*100000)+(T_SV_MEDALS[[#This Row],[SILVER]]*1000)+(T_SV_MEDALS[[#This Row],[BRONZE]]*10))</f>
        <v/>
      </c>
      <c r="H130" s="3" t="str">
        <f>IFERROR(IF(T_SV_MEDALS[[#This Row],[TOTAL]]=0,"",RANK(T_SV_MEDALS[[#This Row],[RANK VALUE]],T_SV_MEDALS[RANK VALUE])),"")</f>
        <v/>
      </c>
      <c r="I130" s="3" t="str">
        <f>IFERROR(IF(T_SV_MEDALS[[#This Row],[TOTAL]]=0,"",RANK(T_SV_MEDALS[[#This Row],[RANK VALUE]],T_SV_MEDALS[RANK VALUE])+COUNTIF($H$2:H129,H130)),"")</f>
        <v/>
      </c>
      <c r="J130" s="3" t="str">
        <f>IF(I_VIEW=3, COUNTIFS(T_2016_EVENT_RESULTS[SPORT],I_SV_SPORT,T_2016_EVENT_RESULTS[Gold - Country],T_SV_MEDALS[[#This Row],[COUNTRY ABBR]])+COUNTIFS(T_2016_EVENT_RESULTS[SPORT],I_SV_SPORT,T_2016_EVENT_RESULTS[Gold - Country - 2],T_SV_MEDALS[[#This Row],[COUNTRY ABBR]]),"")</f>
        <v/>
      </c>
      <c r="K130" s="3" t="str">
        <f>IF(I_VIEW=3, COUNTIFS(T_2016_EVENT_RESULTS[SPORT],I_SV_SPORT,T_2016_EVENT_RESULTS[Silver - Country],T_SV_MEDALS[[#This Row],[COUNTRY ABBR]])+COUNTIFS(T_2016_EVENT_RESULTS[SPORT],I_SV_SPORT,T_2016_EVENT_RESULTS[Silver - Country - 2],T_SV_MEDALS[[#This Row],[COUNTRY ABBR]])+COUNTIFS(T_2016_EVENT_RESULTS[SPORT],I_SV_SPORT,T_2016_EVENT_RESULTS[Silver - Country - 3],T_SV_MEDALS[[#This Row],[COUNTRY ABBR]]),"")</f>
        <v/>
      </c>
      <c r="L130" s="3" t="str">
        <f>IF(I_VIEW=3, COUNTIFS(T_2016_EVENT_RESULTS[SPORT],I_SV_SPORT,T_2016_EVENT_RESULTS[Bronze - Country],T_SV_MEDALS[[#This Row],[COUNTRY ABBR]])+COUNTIFS(T_2016_EVENT_RESULTS[SPORT],I_SV_SPORT,T_2016_EVENT_RESULTS[Bronze - Country - 2],T_SV_MEDALS[[#This Row],[COUNTRY ABBR]]),"")</f>
        <v/>
      </c>
      <c r="M130" s="3">
        <f>SUM(T_SV_MEDALS[[#This Row],[SV_GOLD]:[SV_BRONZE]])</f>
        <v>0</v>
      </c>
      <c r="N130" s="3" t="str">
        <f>IF(T_SV_MEDALS[[#This Row],[SV_TOTAL]]=0,"",IF(I_RANK_METHOD="TOTAL",(T_SV_MEDALS[[#This Row],[SV_TOTAL]]*10000000),0)+(T_SV_MEDALS[[#This Row],[SV_GOLD]]*100000)+(T_SV_MEDALS[[#This Row],[SV_SILVER]]*1000)+(T_SV_MEDALS[[#This Row],[SV_BRONZE]]*10))</f>
        <v/>
      </c>
      <c r="O130" s="3" t="str">
        <f>IFERROR(IF(T_SV_MEDALS[[#This Row],[SV_TOTAL]]=0,"",RANK(T_SV_MEDALS[[#This Row],[SV_RANK VALUE]],T_SV_MEDALS[SV_RANK VALUE])),"")</f>
        <v/>
      </c>
      <c r="P130" s="3" t="str">
        <f>IFERROR(IF(T_SV_MEDALS[[#This Row],[SV_TOTAL]]=0,"",RANK(T_SV_MEDALS[[#This Row],[SV_RANK VALUE]],T_SV_MEDALS[SV_RANK VALUE])+COUNTIF($O$2:O129,O130)),"")</f>
        <v/>
      </c>
      <c r="Q130" s="3" t="str">
        <f>IFERROR(T_SV_MEDALS[[#This Row],[SV_TOTAL]]/T_SV_MEDALS[[#This Row],[TOTAL]],"")</f>
        <v/>
      </c>
      <c r="R130" s="3" t="str">
        <f>IFERROR(IF(T_SV_MEDALS[[#This Row],[SV_TOTAL]]=0,"",RANK(T_SV_MEDALS[[#This Row],[Dependency - Rank Value]],T_SV_MEDALS[Dependency - Rank Value])+COUNTIF($Q$2:Q129,Q130)),"")</f>
        <v/>
      </c>
    </row>
    <row r="131" spans="1:18" x14ac:dyDescent="0.25">
      <c r="A131" t="s">
        <v>238</v>
      </c>
      <c r="B131" t="s">
        <v>239</v>
      </c>
      <c r="C131" s="3">
        <f>IF(I_VIEW=2,"",COUNTIFS(T_2016_EVENT_RESULTS[Gold - Country],T_SV_MEDALS[[#This Row],[COUNTRY ABBR]])+COUNTIFS(T_2016_EVENT_RESULTS[Gold - Country - 2],T_SV_MEDALS[[#This Row],[COUNTRY ABBR]]))</f>
        <v>0</v>
      </c>
      <c r="D131" s="3">
        <f>IF(I_VIEW=2,"",COUNTIFS(T_2016_EVENT_RESULTS[Silver - Country],T_SV_MEDALS[[#This Row],[COUNTRY ABBR]])+COUNTIFS(T_2016_EVENT_RESULTS[Silver - Country - 2],T_SV_MEDALS[[#This Row],[COUNTRY ABBR]])+COUNTIFS(T_2016_EVENT_RESULTS[Silver - Country - 3],T_SV_MEDALS[[#This Row],[COUNTRY ABBR]]))</f>
        <v>0</v>
      </c>
      <c r="E131" s="3">
        <f>IF(I_VIEW=2,"",COUNTIFS(T_2016_EVENT_RESULTS[Bronze - Country],T_SV_MEDALS[[#This Row],[COUNTRY ABBR]])+COUNTIFS(T_2016_EVENT_RESULTS[Bronze - Country - 2],T_SV_MEDALS[[#This Row],[COUNTRY ABBR]]))</f>
        <v>1</v>
      </c>
      <c r="F131" s="3">
        <f>SUM(T_SV_MEDALS[[#This Row],[GOLD]:[BRONZE]])</f>
        <v>1</v>
      </c>
      <c r="G131" s="3">
        <f>IF(T_SV_MEDALS[[#This Row],[TOTAL]]=0,"",IF(I_RANK_METHOD="TOTAL",(T_SV_MEDALS[[#This Row],[TOTAL]]*10000000),0)+(T_SV_MEDALS[[#This Row],[GOLD]]*100000)+(T_SV_MEDALS[[#This Row],[SILVER]]*1000)+(T_SV_MEDALS[[#This Row],[BRONZE]]*10))</f>
        <v>10000010</v>
      </c>
      <c r="H131" s="3">
        <f>IFERROR(IF(T_SV_MEDALS[[#This Row],[TOTAL]]=0,"",RANK(T_SV_MEDALS[[#This Row],[RANK VALUE]],T_SV_MEDALS[RANK VALUE])),"")</f>
        <v>78</v>
      </c>
      <c r="I131" s="3">
        <f>IFERROR(IF(T_SV_MEDALS[[#This Row],[TOTAL]]=0,"",RANK(T_SV_MEDALS[[#This Row],[RANK VALUE]],T_SV_MEDALS[RANK VALUE])+COUNTIF($H$2:H130,H131)),"")</f>
        <v>83</v>
      </c>
      <c r="J131" s="3" t="str">
        <f>IF(I_VIEW=3, COUNTIFS(T_2016_EVENT_RESULTS[SPORT],I_SV_SPORT,T_2016_EVENT_RESULTS[Gold - Country],T_SV_MEDALS[[#This Row],[COUNTRY ABBR]])+COUNTIFS(T_2016_EVENT_RESULTS[SPORT],I_SV_SPORT,T_2016_EVENT_RESULTS[Gold - Country - 2],T_SV_MEDALS[[#This Row],[COUNTRY ABBR]]),"")</f>
        <v/>
      </c>
      <c r="K131" s="3" t="str">
        <f>IF(I_VIEW=3, COUNTIFS(T_2016_EVENT_RESULTS[SPORT],I_SV_SPORT,T_2016_EVENT_RESULTS[Silver - Country],T_SV_MEDALS[[#This Row],[COUNTRY ABBR]])+COUNTIFS(T_2016_EVENT_RESULTS[SPORT],I_SV_SPORT,T_2016_EVENT_RESULTS[Silver - Country - 2],T_SV_MEDALS[[#This Row],[COUNTRY ABBR]])+COUNTIFS(T_2016_EVENT_RESULTS[SPORT],I_SV_SPORT,T_2016_EVENT_RESULTS[Silver - Country - 3],T_SV_MEDALS[[#This Row],[COUNTRY ABBR]]),"")</f>
        <v/>
      </c>
      <c r="L131" s="3" t="str">
        <f>IF(I_VIEW=3, COUNTIFS(T_2016_EVENT_RESULTS[SPORT],I_SV_SPORT,T_2016_EVENT_RESULTS[Bronze - Country],T_SV_MEDALS[[#This Row],[COUNTRY ABBR]])+COUNTIFS(T_2016_EVENT_RESULTS[SPORT],I_SV_SPORT,T_2016_EVENT_RESULTS[Bronze - Country - 2],T_SV_MEDALS[[#This Row],[COUNTRY ABBR]]),"")</f>
        <v/>
      </c>
      <c r="M131" s="3">
        <f>SUM(T_SV_MEDALS[[#This Row],[SV_GOLD]:[SV_BRONZE]])</f>
        <v>0</v>
      </c>
      <c r="N131" s="3" t="str">
        <f>IF(T_SV_MEDALS[[#This Row],[SV_TOTAL]]=0,"",IF(I_RANK_METHOD="TOTAL",(T_SV_MEDALS[[#This Row],[SV_TOTAL]]*10000000),0)+(T_SV_MEDALS[[#This Row],[SV_GOLD]]*100000)+(T_SV_MEDALS[[#This Row],[SV_SILVER]]*1000)+(T_SV_MEDALS[[#This Row],[SV_BRONZE]]*10))</f>
        <v/>
      </c>
      <c r="O131" s="3" t="str">
        <f>IFERROR(IF(T_SV_MEDALS[[#This Row],[SV_TOTAL]]=0,"",RANK(T_SV_MEDALS[[#This Row],[SV_RANK VALUE]],T_SV_MEDALS[SV_RANK VALUE])),"")</f>
        <v/>
      </c>
      <c r="P131" s="3" t="str">
        <f>IFERROR(IF(T_SV_MEDALS[[#This Row],[SV_TOTAL]]=0,"",RANK(T_SV_MEDALS[[#This Row],[SV_RANK VALUE]],T_SV_MEDALS[SV_RANK VALUE])+COUNTIF($O$2:O130,O131)),"")</f>
        <v/>
      </c>
      <c r="Q131" s="3">
        <f>IFERROR(T_SV_MEDALS[[#This Row],[SV_TOTAL]]/T_SV_MEDALS[[#This Row],[TOTAL]],"")</f>
        <v>0</v>
      </c>
      <c r="R131" s="3" t="str">
        <f>IFERROR(IF(T_SV_MEDALS[[#This Row],[SV_TOTAL]]=0,"",RANK(T_SV_MEDALS[[#This Row],[Dependency - Rank Value]],T_SV_MEDALS[Dependency - Rank Value])+COUNTIF($Q$2:Q130,Q131)),"")</f>
        <v/>
      </c>
    </row>
    <row r="132" spans="1:18" x14ac:dyDescent="0.25">
      <c r="A132" t="s">
        <v>240</v>
      </c>
      <c r="B132" t="s">
        <v>241</v>
      </c>
      <c r="C132" s="3">
        <f>IF(I_VIEW=2,"",COUNTIFS(T_2016_EVENT_RESULTS[Gold - Country],T_SV_MEDALS[[#This Row],[COUNTRY ABBR]])+COUNTIFS(T_2016_EVENT_RESULTS[Gold - Country - 2],T_SV_MEDALS[[#This Row],[COUNTRY ABBR]]))</f>
        <v>0</v>
      </c>
      <c r="D132" s="3">
        <f>IF(I_VIEW=2,"",COUNTIFS(T_2016_EVENT_RESULTS[Silver - Country],T_SV_MEDALS[[#This Row],[COUNTRY ABBR]])+COUNTIFS(T_2016_EVENT_RESULTS[Silver - Country - 2],T_SV_MEDALS[[#This Row],[COUNTRY ABBR]])+COUNTIFS(T_2016_EVENT_RESULTS[Silver - Country - 3],T_SV_MEDALS[[#This Row],[COUNTRY ABBR]]))</f>
        <v>0</v>
      </c>
      <c r="E132" s="3">
        <f>IF(I_VIEW=2,"",COUNTIFS(T_2016_EVENT_RESULTS[Bronze - Country],T_SV_MEDALS[[#This Row],[COUNTRY ABBR]])+COUNTIFS(T_2016_EVENT_RESULTS[Bronze - Country - 2],T_SV_MEDALS[[#This Row],[COUNTRY ABBR]]))</f>
        <v>0</v>
      </c>
      <c r="F132" s="3">
        <f>SUM(T_SV_MEDALS[[#This Row],[GOLD]:[BRONZE]])</f>
        <v>0</v>
      </c>
      <c r="G132" s="3" t="str">
        <f>IF(T_SV_MEDALS[[#This Row],[TOTAL]]=0,"",IF(I_RANK_METHOD="TOTAL",(T_SV_MEDALS[[#This Row],[TOTAL]]*10000000),0)+(T_SV_MEDALS[[#This Row],[GOLD]]*100000)+(T_SV_MEDALS[[#This Row],[SILVER]]*1000)+(T_SV_MEDALS[[#This Row],[BRONZE]]*10))</f>
        <v/>
      </c>
      <c r="H132" s="3" t="str">
        <f>IFERROR(IF(T_SV_MEDALS[[#This Row],[TOTAL]]=0,"",RANK(T_SV_MEDALS[[#This Row],[RANK VALUE]],T_SV_MEDALS[RANK VALUE])),"")</f>
        <v/>
      </c>
      <c r="I132" s="3" t="str">
        <f>IFERROR(IF(T_SV_MEDALS[[#This Row],[TOTAL]]=0,"",RANK(T_SV_MEDALS[[#This Row],[RANK VALUE]],T_SV_MEDALS[RANK VALUE])+COUNTIF($H$2:H131,H132)),"")</f>
        <v/>
      </c>
      <c r="J132" s="3" t="str">
        <f>IF(I_VIEW=3, COUNTIFS(T_2016_EVENT_RESULTS[SPORT],I_SV_SPORT,T_2016_EVENT_RESULTS[Gold - Country],T_SV_MEDALS[[#This Row],[COUNTRY ABBR]])+COUNTIFS(T_2016_EVENT_RESULTS[SPORT],I_SV_SPORT,T_2016_EVENT_RESULTS[Gold - Country - 2],T_SV_MEDALS[[#This Row],[COUNTRY ABBR]]),"")</f>
        <v/>
      </c>
      <c r="K132" s="3" t="str">
        <f>IF(I_VIEW=3, COUNTIFS(T_2016_EVENT_RESULTS[SPORT],I_SV_SPORT,T_2016_EVENT_RESULTS[Silver - Country],T_SV_MEDALS[[#This Row],[COUNTRY ABBR]])+COUNTIFS(T_2016_EVENT_RESULTS[SPORT],I_SV_SPORT,T_2016_EVENT_RESULTS[Silver - Country - 2],T_SV_MEDALS[[#This Row],[COUNTRY ABBR]])+COUNTIFS(T_2016_EVENT_RESULTS[SPORT],I_SV_SPORT,T_2016_EVENT_RESULTS[Silver - Country - 3],T_SV_MEDALS[[#This Row],[COUNTRY ABBR]]),"")</f>
        <v/>
      </c>
      <c r="L132" s="3" t="str">
        <f>IF(I_VIEW=3, COUNTIFS(T_2016_EVENT_RESULTS[SPORT],I_SV_SPORT,T_2016_EVENT_RESULTS[Bronze - Country],T_SV_MEDALS[[#This Row],[COUNTRY ABBR]])+COUNTIFS(T_2016_EVENT_RESULTS[SPORT],I_SV_SPORT,T_2016_EVENT_RESULTS[Bronze - Country - 2],T_SV_MEDALS[[#This Row],[COUNTRY ABBR]]),"")</f>
        <v/>
      </c>
      <c r="M132" s="3">
        <f>SUM(T_SV_MEDALS[[#This Row],[SV_GOLD]:[SV_BRONZE]])</f>
        <v>0</v>
      </c>
      <c r="N132" s="3" t="str">
        <f>IF(T_SV_MEDALS[[#This Row],[SV_TOTAL]]=0,"",IF(I_RANK_METHOD="TOTAL",(T_SV_MEDALS[[#This Row],[SV_TOTAL]]*10000000),0)+(T_SV_MEDALS[[#This Row],[SV_GOLD]]*100000)+(T_SV_MEDALS[[#This Row],[SV_SILVER]]*1000)+(T_SV_MEDALS[[#This Row],[SV_BRONZE]]*10))</f>
        <v/>
      </c>
      <c r="O132" s="3" t="str">
        <f>IFERROR(IF(T_SV_MEDALS[[#This Row],[SV_TOTAL]]=0,"",RANK(T_SV_MEDALS[[#This Row],[SV_RANK VALUE]],T_SV_MEDALS[SV_RANK VALUE])),"")</f>
        <v/>
      </c>
      <c r="P132" s="3" t="str">
        <f>IFERROR(IF(T_SV_MEDALS[[#This Row],[SV_TOTAL]]=0,"",RANK(T_SV_MEDALS[[#This Row],[SV_RANK VALUE]],T_SV_MEDALS[SV_RANK VALUE])+COUNTIF($O$2:O131,O132)),"")</f>
        <v/>
      </c>
      <c r="Q132" s="3" t="str">
        <f>IFERROR(T_SV_MEDALS[[#This Row],[SV_TOTAL]]/T_SV_MEDALS[[#This Row],[TOTAL]],"")</f>
        <v/>
      </c>
      <c r="R132" s="3" t="str">
        <f>IFERROR(IF(T_SV_MEDALS[[#This Row],[SV_TOTAL]]=0,"",RANK(T_SV_MEDALS[[#This Row],[Dependency - Rank Value]],T_SV_MEDALS[Dependency - Rank Value])+COUNTIF($Q$2:Q131,Q132)),"")</f>
        <v/>
      </c>
    </row>
    <row r="133" spans="1:18" x14ac:dyDescent="0.25">
      <c r="A133" t="s">
        <v>2769</v>
      </c>
      <c r="B133" t="s">
        <v>242</v>
      </c>
      <c r="C133" s="3">
        <f>IF(I_VIEW=2,"",COUNTIFS(T_2016_EVENT_RESULTS[Gold - Country],T_SV_MEDALS[[#This Row],[COUNTRY ABBR]])+COUNTIFS(T_2016_EVENT_RESULTS[Gold - Country - 2],T_SV_MEDALS[[#This Row],[COUNTRY ABBR]]))</f>
        <v>0</v>
      </c>
      <c r="D133" s="3">
        <f>IF(I_VIEW=2,"",COUNTIFS(T_2016_EVENT_RESULTS[Silver - Country],T_SV_MEDALS[[#This Row],[COUNTRY ABBR]])+COUNTIFS(T_2016_EVENT_RESULTS[Silver - Country - 2],T_SV_MEDALS[[#This Row],[COUNTRY ABBR]])+COUNTIFS(T_2016_EVENT_RESULTS[Silver - Country - 3],T_SV_MEDALS[[#This Row],[COUNTRY ABBR]]))</f>
        <v>0</v>
      </c>
      <c r="E133" s="3">
        <f>IF(I_VIEW=2,"",COUNTIFS(T_2016_EVENT_RESULTS[Bronze - Country],T_SV_MEDALS[[#This Row],[COUNTRY ABBR]])+COUNTIFS(T_2016_EVENT_RESULTS[Bronze - Country - 2],T_SV_MEDALS[[#This Row],[COUNTRY ABBR]]))</f>
        <v>0</v>
      </c>
      <c r="F133" s="3">
        <f>SUM(T_SV_MEDALS[[#This Row],[GOLD]:[BRONZE]])</f>
        <v>0</v>
      </c>
      <c r="G133" s="3" t="str">
        <f>IF(T_SV_MEDALS[[#This Row],[TOTAL]]=0,"",IF(I_RANK_METHOD="TOTAL",(T_SV_MEDALS[[#This Row],[TOTAL]]*10000000),0)+(T_SV_MEDALS[[#This Row],[GOLD]]*100000)+(T_SV_MEDALS[[#This Row],[SILVER]]*1000)+(T_SV_MEDALS[[#This Row],[BRONZE]]*10))</f>
        <v/>
      </c>
      <c r="H133" s="3" t="str">
        <f>IFERROR(IF(T_SV_MEDALS[[#This Row],[TOTAL]]=0,"",RANK(T_SV_MEDALS[[#This Row],[RANK VALUE]],T_SV_MEDALS[RANK VALUE])),"")</f>
        <v/>
      </c>
      <c r="I133" s="3" t="str">
        <f>IFERROR(IF(T_SV_MEDALS[[#This Row],[TOTAL]]=0,"",RANK(T_SV_MEDALS[[#This Row],[RANK VALUE]],T_SV_MEDALS[RANK VALUE])+COUNTIF($H$2:H132,H133)),"")</f>
        <v/>
      </c>
      <c r="J133" s="3" t="str">
        <f>IF(I_VIEW=3, COUNTIFS(T_2016_EVENT_RESULTS[SPORT],I_SV_SPORT,T_2016_EVENT_RESULTS[Gold - Country],T_SV_MEDALS[[#This Row],[COUNTRY ABBR]])+COUNTIFS(T_2016_EVENT_RESULTS[SPORT],I_SV_SPORT,T_2016_EVENT_RESULTS[Gold - Country - 2],T_SV_MEDALS[[#This Row],[COUNTRY ABBR]]),"")</f>
        <v/>
      </c>
      <c r="K133" s="3" t="str">
        <f>IF(I_VIEW=3, COUNTIFS(T_2016_EVENT_RESULTS[SPORT],I_SV_SPORT,T_2016_EVENT_RESULTS[Silver - Country],T_SV_MEDALS[[#This Row],[COUNTRY ABBR]])+COUNTIFS(T_2016_EVENT_RESULTS[SPORT],I_SV_SPORT,T_2016_EVENT_RESULTS[Silver - Country - 2],T_SV_MEDALS[[#This Row],[COUNTRY ABBR]])+COUNTIFS(T_2016_EVENT_RESULTS[SPORT],I_SV_SPORT,T_2016_EVENT_RESULTS[Silver - Country - 3],T_SV_MEDALS[[#This Row],[COUNTRY ABBR]]),"")</f>
        <v/>
      </c>
      <c r="L133" s="3" t="str">
        <f>IF(I_VIEW=3, COUNTIFS(T_2016_EVENT_RESULTS[SPORT],I_SV_SPORT,T_2016_EVENT_RESULTS[Bronze - Country],T_SV_MEDALS[[#This Row],[COUNTRY ABBR]])+COUNTIFS(T_2016_EVENT_RESULTS[SPORT],I_SV_SPORT,T_2016_EVENT_RESULTS[Bronze - Country - 2],T_SV_MEDALS[[#This Row],[COUNTRY ABBR]]),"")</f>
        <v/>
      </c>
      <c r="M133" s="3">
        <f>SUM(T_SV_MEDALS[[#This Row],[SV_GOLD]:[SV_BRONZE]])</f>
        <v>0</v>
      </c>
      <c r="N133" s="3" t="str">
        <f>IF(T_SV_MEDALS[[#This Row],[SV_TOTAL]]=0,"",IF(I_RANK_METHOD="TOTAL",(T_SV_MEDALS[[#This Row],[SV_TOTAL]]*10000000),0)+(T_SV_MEDALS[[#This Row],[SV_GOLD]]*100000)+(T_SV_MEDALS[[#This Row],[SV_SILVER]]*1000)+(T_SV_MEDALS[[#This Row],[SV_BRONZE]]*10))</f>
        <v/>
      </c>
      <c r="O133" s="3" t="str">
        <f>IFERROR(IF(T_SV_MEDALS[[#This Row],[SV_TOTAL]]=0,"",RANK(T_SV_MEDALS[[#This Row],[SV_RANK VALUE]],T_SV_MEDALS[SV_RANK VALUE])),"")</f>
        <v/>
      </c>
      <c r="P133" s="3" t="str">
        <f>IFERROR(IF(T_SV_MEDALS[[#This Row],[SV_TOTAL]]=0,"",RANK(T_SV_MEDALS[[#This Row],[SV_RANK VALUE]],T_SV_MEDALS[SV_RANK VALUE])+COUNTIF($O$2:O132,O133)),"")</f>
        <v/>
      </c>
      <c r="Q133" s="3" t="str">
        <f>IFERROR(T_SV_MEDALS[[#This Row],[SV_TOTAL]]/T_SV_MEDALS[[#This Row],[TOTAL]],"")</f>
        <v/>
      </c>
      <c r="R133" s="3" t="str">
        <f>IFERROR(IF(T_SV_MEDALS[[#This Row],[SV_TOTAL]]=0,"",RANK(T_SV_MEDALS[[#This Row],[Dependency - Rank Value]],T_SV_MEDALS[Dependency - Rank Value])+COUNTIF($Q$2:Q132,Q133)),"")</f>
        <v/>
      </c>
    </row>
    <row r="134" spans="1:18" x14ac:dyDescent="0.25">
      <c r="A134" t="s">
        <v>243</v>
      </c>
      <c r="B134" t="s">
        <v>244</v>
      </c>
      <c r="C134" s="3">
        <f>IF(I_VIEW=2,"",COUNTIFS(T_2016_EVENT_RESULTS[Gold - Country],T_SV_MEDALS[[#This Row],[COUNTRY ABBR]])+COUNTIFS(T_2016_EVENT_RESULTS[Gold - Country - 2],T_SV_MEDALS[[#This Row],[COUNTRY ABBR]]))</f>
        <v>0</v>
      </c>
      <c r="D134" s="3">
        <f>IF(I_VIEW=2,"",COUNTIFS(T_2016_EVENT_RESULTS[Silver - Country],T_SV_MEDALS[[#This Row],[COUNTRY ABBR]])+COUNTIFS(T_2016_EVENT_RESULTS[Silver - Country - 2],T_SV_MEDALS[[#This Row],[COUNTRY ABBR]])+COUNTIFS(T_2016_EVENT_RESULTS[Silver - Country - 3],T_SV_MEDALS[[#This Row],[COUNTRY ABBR]]))</f>
        <v>0</v>
      </c>
      <c r="E134" s="3">
        <f>IF(I_VIEW=2,"",COUNTIFS(T_2016_EVENT_RESULTS[Bronze - Country],T_SV_MEDALS[[#This Row],[COUNTRY ABBR]])+COUNTIFS(T_2016_EVENT_RESULTS[Bronze - Country - 2],T_SV_MEDALS[[#This Row],[COUNTRY ABBR]]))</f>
        <v>0</v>
      </c>
      <c r="F134" s="3">
        <f>SUM(T_SV_MEDALS[[#This Row],[GOLD]:[BRONZE]])</f>
        <v>0</v>
      </c>
      <c r="G134" s="3" t="str">
        <f>IF(T_SV_MEDALS[[#This Row],[TOTAL]]=0,"",IF(I_RANK_METHOD="TOTAL",(T_SV_MEDALS[[#This Row],[TOTAL]]*10000000),0)+(T_SV_MEDALS[[#This Row],[GOLD]]*100000)+(T_SV_MEDALS[[#This Row],[SILVER]]*1000)+(T_SV_MEDALS[[#This Row],[BRONZE]]*10))</f>
        <v/>
      </c>
      <c r="H134" s="3" t="str">
        <f>IFERROR(IF(T_SV_MEDALS[[#This Row],[TOTAL]]=0,"",RANK(T_SV_MEDALS[[#This Row],[RANK VALUE]],T_SV_MEDALS[RANK VALUE])),"")</f>
        <v/>
      </c>
      <c r="I134" s="3" t="str">
        <f>IFERROR(IF(T_SV_MEDALS[[#This Row],[TOTAL]]=0,"",RANK(T_SV_MEDALS[[#This Row],[RANK VALUE]],T_SV_MEDALS[RANK VALUE])+COUNTIF($H$2:H133,H134)),"")</f>
        <v/>
      </c>
      <c r="J134" s="3" t="str">
        <f>IF(I_VIEW=3, COUNTIFS(T_2016_EVENT_RESULTS[SPORT],I_SV_SPORT,T_2016_EVENT_RESULTS[Gold - Country],T_SV_MEDALS[[#This Row],[COUNTRY ABBR]])+COUNTIFS(T_2016_EVENT_RESULTS[SPORT],I_SV_SPORT,T_2016_EVENT_RESULTS[Gold - Country - 2],T_SV_MEDALS[[#This Row],[COUNTRY ABBR]]),"")</f>
        <v/>
      </c>
      <c r="K134" s="3" t="str">
        <f>IF(I_VIEW=3, COUNTIFS(T_2016_EVENT_RESULTS[SPORT],I_SV_SPORT,T_2016_EVENT_RESULTS[Silver - Country],T_SV_MEDALS[[#This Row],[COUNTRY ABBR]])+COUNTIFS(T_2016_EVENT_RESULTS[SPORT],I_SV_SPORT,T_2016_EVENT_RESULTS[Silver - Country - 2],T_SV_MEDALS[[#This Row],[COUNTRY ABBR]])+COUNTIFS(T_2016_EVENT_RESULTS[SPORT],I_SV_SPORT,T_2016_EVENT_RESULTS[Silver - Country - 3],T_SV_MEDALS[[#This Row],[COUNTRY ABBR]]),"")</f>
        <v/>
      </c>
      <c r="L134" s="3" t="str">
        <f>IF(I_VIEW=3, COUNTIFS(T_2016_EVENT_RESULTS[SPORT],I_SV_SPORT,T_2016_EVENT_RESULTS[Bronze - Country],T_SV_MEDALS[[#This Row],[COUNTRY ABBR]])+COUNTIFS(T_2016_EVENT_RESULTS[SPORT],I_SV_SPORT,T_2016_EVENT_RESULTS[Bronze - Country - 2],T_SV_MEDALS[[#This Row],[COUNTRY ABBR]]),"")</f>
        <v/>
      </c>
      <c r="M134" s="3">
        <f>SUM(T_SV_MEDALS[[#This Row],[SV_GOLD]:[SV_BRONZE]])</f>
        <v>0</v>
      </c>
      <c r="N134" s="3" t="str">
        <f>IF(T_SV_MEDALS[[#This Row],[SV_TOTAL]]=0,"",IF(I_RANK_METHOD="TOTAL",(T_SV_MEDALS[[#This Row],[SV_TOTAL]]*10000000),0)+(T_SV_MEDALS[[#This Row],[SV_GOLD]]*100000)+(T_SV_MEDALS[[#This Row],[SV_SILVER]]*1000)+(T_SV_MEDALS[[#This Row],[SV_BRONZE]]*10))</f>
        <v/>
      </c>
      <c r="O134" s="3" t="str">
        <f>IFERROR(IF(T_SV_MEDALS[[#This Row],[SV_TOTAL]]=0,"",RANK(T_SV_MEDALS[[#This Row],[SV_RANK VALUE]],T_SV_MEDALS[SV_RANK VALUE])),"")</f>
        <v/>
      </c>
      <c r="P134" s="3" t="str">
        <f>IFERROR(IF(T_SV_MEDALS[[#This Row],[SV_TOTAL]]=0,"",RANK(T_SV_MEDALS[[#This Row],[SV_RANK VALUE]],T_SV_MEDALS[SV_RANK VALUE])+COUNTIF($O$2:O133,O134)),"")</f>
        <v/>
      </c>
      <c r="Q134" s="3" t="str">
        <f>IFERROR(T_SV_MEDALS[[#This Row],[SV_TOTAL]]/T_SV_MEDALS[[#This Row],[TOTAL]],"")</f>
        <v/>
      </c>
      <c r="R134" s="3" t="str">
        <f>IFERROR(IF(T_SV_MEDALS[[#This Row],[SV_TOTAL]]=0,"",RANK(T_SV_MEDALS[[#This Row],[Dependency - Rank Value]],T_SV_MEDALS[Dependency - Rank Value])+COUNTIF($Q$2:Q133,Q134)),"")</f>
        <v/>
      </c>
    </row>
    <row r="135" spans="1:18" x14ac:dyDescent="0.25">
      <c r="A135" t="s">
        <v>245</v>
      </c>
      <c r="B135" t="s">
        <v>246</v>
      </c>
      <c r="C135" s="3">
        <f>IF(I_VIEW=2,"",COUNTIFS(T_2016_EVENT_RESULTS[Gold - Country],T_SV_MEDALS[[#This Row],[COUNTRY ABBR]])+COUNTIFS(T_2016_EVENT_RESULTS[Gold - Country - 2],T_SV_MEDALS[[#This Row],[COUNTRY ABBR]]))</f>
        <v>0</v>
      </c>
      <c r="D135" s="3">
        <f>IF(I_VIEW=2,"",COUNTIFS(T_2016_EVENT_RESULTS[Silver - Country],T_SV_MEDALS[[#This Row],[COUNTRY ABBR]])+COUNTIFS(T_2016_EVENT_RESULTS[Silver - Country - 2],T_SV_MEDALS[[#This Row],[COUNTRY ABBR]])+COUNTIFS(T_2016_EVENT_RESULTS[Silver - Country - 3],T_SV_MEDALS[[#This Row],[COUNTRY ABBR]]))</f>
        <v>0</v>
      </c>
      <c r="E135" s="3">
        <f>IF(I_VIEW=2,"",COUNTIFS(T_2016_EVENT_RESULTS[Bronze - Country],T_SV_MEDALS[[#This Row],[COUNTRY ABBR]])+COUNTIFS(T_2016_EVENT_RESULTS[Bronze - Country - 2],T_SV_MEDALS[[#This Row],[COUNTRY ABBR]]))</f>
        <v>0</v>
      </c>
      <c r="F135" s="3">
        <f>SUM(T_SV_MEDALS[[#This Row],[GOLD]:[BRONZE]])</f>
        <v>0</v>
      </c>
      <c r="G135" s="3" t="str">
        <f>IF(T_SV_MEDALS[[#This Row],[TOTAL]]=0,"",IF(I_RANK_METHOD="TOTAL",(T_SV_MEDALS[[#This Row],[TOTAL]]*10000000),0)+(T_SV_MEDALS[[#This Row],[GOLD]]*100000)+(T_SV_MEDALS[[#This Row],[SILVER]]*1000)+(T_SV_MEDALS[[#This Row],[BRONZE]]*10))</f>
        <v/>
      </c>
      <c r="H135" s="3" t="str">
        <f>IFERROR(IF(T_SV_MEDALS[[#This Row],[TOTAL]]=0,"",RANK(T_SV_MEDALS[[#This Row],[RANK VALUE]],T_SV_MEDALS[RANK VALUE])),"")</f>
        <v/>
      </c>
      <c r="I135" s="3" t="str">
        <f>IFERROR(IF(T_SV_MEDALS[[#This Row],[TOTAL]]=0,"",RANK(T_SV_MEDALS[[#This Row],[RANK VALUE]],T_SV_MEDALS[RANK VALUE])+COUNTIF($H$2:H134,H135)),"")</f>
        <v/>
      </c>
      <c r="J135" s="3" t="str">
        <f>IF(I_VIEW=3, COUNTIFS(T_2016_EVENT_RESULTS[SPORT],I_SV_SPORT,T_2016_EVENT_RESULTS[Gold - Country],T_SV_MEDALS[[#This Row],[COUNTRY ABBR]])+COUNTIFS(T_2016_EVENT_RESULTS[SPORT],I_SV_SPORT,T_2016_EVENT_RESULTS[Gold - Country - 2],T_SV_MEDALS[[#This Row],[COUNTRY ABBR]]),"")</f>
        <v/>
      </c>
      <c r="K135" s="3" t="str">
        <f>IF(I_VIEW=3, COUNTIFS(T_2016_EVENT_RESULTS[SPORT],I_SV_SPORT,T_2016_EVENT_RESULTS[Silver - Country],T_SV_MEDALS[[#This Row],[COUNTRY ABBR]])+COUNTIFS(T_2016_EVENT_RESULTS[SPORT],I_SV_SPORT,T_2016_EVENT_RESULTS[Silver - Country - 2],T_SV_MEDALS[[#This Row],[COUNTRY ABBR]])+COUNTIFS(T_2016_EVENT_RESULTS[SPORT],I_SV_SPORT,T_2016_EVENT_RESULTS[Silver - Country - 3],T_SV_MEDALS[[#This Row],[COUNTRY ABBR]]),"")</f>
        <v/>
      </c>
      <c r="L135" s="3" t="str">
        <f>IF(I_VIEW=3, COUNTIFS(T_2016_EVENT_RESULTS[SPORT],I_SV_SPORT,T_2016_EVENT_RESULTS[Bronze - Country],T_SV_MEDALS[[#This Row],[COUNTRY ABBR]])+COUNTIFS(T_2016_EVENT_RESULTS[SPORT],I_SV_SPORT,T_2016_EVENT_RESULTS[Bronze - Country - 2],T_SV_MEDALS[[#This Row],[COUNTRY ABBR]]),"")</f>
        <v/>
      </c>
      <c r="M135" s="3">
        <f>SUM(T_SV_MEDALS[[#This Row],[SV_GOLD]:[SV_BRONZE]])</f>
        <v>0</v>
      </c>
      <c r="N135" s="3" t="str">
        <f>IF(T_SV_MEDALS[[#This Row],[SV_TOTAL]]=0,"",IF(I_RANK_METHOD="TOTAL",(T_SV_MEDALS[[#This Row],[SV_TOTAL]]*10000000),0)+(T_SV_MEDALS[[#This Row],[SV_GOLD]]*100000)+(T_SV_MEDALS[[#This Row],[SV_SILVER]]*1000)+(T_SV_MEDALS[[#This Row],[SV_BRONZE]]*10))</f>
        <v/>
      </c>
      <c r="O135" s="3" t="str">
        <f>IFERROR(IF(T_SV_MEDALS[[#This Row],[SV_TOTAL]]=0,"",RANK(T_SV_MEDALS[[#This Row],[SV_RANK VALUE]],T_SV_MEDALS[SV_RANK VALUE])),"")</f>
        <v/>
      </c>
      <c r="P135" s="3" t="str">
        <f>IFERROR(IF(T_SV_MEDALS[[#This Row],[SV_TOTAL]]=0,"",RANK(T_SV_MEDALS[[#This Row],[SV_RANK VALUE]],T_SV_MEDALS[SV_RANK VALUE])+COUNTIF($O$2:O134,O135)),"")</f>
        <v/>
      </c>
      <c r="Q135" s="3" t="str">
        <f>IFERROR(T_SV_MEDALS[[#This Row],[SV_TOTAL]]/T_SV_MEDALS[[#This Row],[TOTAL]],"")</f>
        <v/>
      </c>
      <c r="R135" s="3" t="str">
        <f>IFERROR(IF(T_SV_MEDALS[[#This Row],[SV_TOTAL]]=0,"",RANK(T_SV_MEDALS[[#This Row],[Dependency - Rank Value]],T_SV_MEDALS[Dependency - Rank Value])+COUNTIF($Q$2:Q134,Q135)),"")</f>
        <v/>
      </c>
    </row>
    <row r="136" spans="1:18" x14ac:dyDescent="0.25">
      <c r="A136" t="s">
        <v>247</v>
      </c>
      <c r="B136" t="s">
        <v>248</v>
      </c>
      <c r="C136" s="3">
        <f>IF(I_VIEW=2,"",COUNTIFS(T_2016_EVENT_RESULTS[Gold - Country],T_SV_MEDALS[[#This Row],[COUNTRY ABBR]])+COUNTIFS(T_2016_EVENT_RESULTS[Gold - Country - 2],T_SV_MEDALS[[#This Row],[COUNTRY ABBR]]))</f>
        <v>0</v>
      </c>
      <c r="D136" s="3">
        <f>IF(I_VIEW=2,"",COUNTIFS(T_2016_EVENT_RESULTS[Silver - Country],T_SV_MEDALS[[#This Row],[COUNTRY ABBR]])+COUNTIFS(T_2016_EVENT_RESULTS[Silver - Country - 2],T_SV_MEDALS[[#This Row],[COUNTRY ABBR]])+COUNTIFS(T_2016_EVENT_RESULTS[Silver - Country - 3],T_SV_MEDALS[[#This Row],[COUNTRY ABBR]]))</f>
        <v>0</v>
      </c>
      <c r="E136" s="3">
        <f>IF(I_VIEW=2,"",COUNTIFS(T_2016_EVENT_RESULTS[Bronze - Country],T_SV_MEDALS[[#This Row],[COUNTRY ABBR]])+COUNTIFS(T_2016_EVENT_RESULTS[Bronze - Country - 2],T_SV_MEDALS[[#This Row],[COUNTRY ABBR]]))</f>
        <v>0</v>
      </c>
      <c r="F136" s="3">
        <f>SUM(T_SV_MEDALS[[#This Row],[GOLD]:[BRONZE]])</f>
        <v>0</v>
      </c>
      <c r="G136" s="3" t="str">
        <f>IF(T_SV_MEDALS[[#This Row],[TOTAL]]=0,"",IF(I_RANK_METHOD="TOTAL",(T_SV_MEDALS[[#This Row],[TOTAL]]*10000000),0)+(T_SV_MEDALS[[#This Row],[GOLD]]*100000)+(T_SV_MEDALS[[#This Row],[SILVER]]*1000)+(T_SV_MEDALS[[#This Row],[BRONZE]]*10))</f>
        <v/>
      </c>
      <c r="H136" s="3" t="str">
        <f>IFERROR(IF(T_SV_MEDALS[[#This Row],[TOTAL]]=0,"",RANK(T_SV_MEDALS[[#This Row],[RANK VALUE]],T_SV_MEDALS[RANK VALUE])),"")</f>
        <v/>
      </c>
      <c r="I136" s="3" t="str">
        <f>IFERROR(IF(T_SV_MEDALS[[#This Row],[TOTAL]]=0,"",RANK(T_SV_MEDALS[[#This Row],[RANK VALUE]],T_SV_MEDALS[RANK VALUE])+COUNTIF($H$2:H135,H136)),"")</f>
        <v/>
      </c>
      <c r="J136" s="3" t="str">
        <f>IF(I_VIEW=3, COUNTIFS(T_2016_EVENT_RESULTS[SPORT],I_SV_SPORT,T_2016_EVENT_RESULTS[Gold - Country],T_SV_MEDALS[[#This Row],[COUNTRY ABBR]])+COUNTIFS(T_2016_EVENT_RESULTS[SPORT],I_SV_SPORT,T_2016_EVENT_RESULTS[Gold - Country - 2],T_SV_MEDALS[[#This Row],[COUNTRY ABBR]]),"")</f>
        <v/>
      </c>
      <c r="K136" s="3" t="str">
        <f>IF(I_VIEW=3, COUNTIFS(T_2016_EVENT_RESULTS[SPORT],I_SV_SPORT,T_2016_EVENT_RESULTS[Silver - Country],T_SV_MEDALS[[#This Row],[COUNTRY ABBR]])+COUNTIFS(T_2016_EVENT_RESULTS[SPORT],I_SV_SPORT,T_2016_EVENT_RESULTS[Silver - Country - 2],T_SV_MEDALS[[#This Row],[COUNTRY ABBR]])+COUNTIFS(T_2016_EVENT_RESULTS[SPORT],I_SV_SPORT,T_2016_EVENT_RESULTS[Silver - Country - 3],T_SV_MEDALS[[#This Row],[COUNTRY ABBR]]),"")</f>
        <v/>
      </c>
      <c r="L136" s="3" t="str">
        <f>IF(I_VIEW=3, COUNTIFS(T_2016_EVENT_RESULTS[SPORT],I_SV_SPORT,T_2016_EVENT_RESULTS[Bronze - Country],T_SV_MEDALS[[#This Row],[COUNTRY ABBR]])+COUNTIFS(T_2016_EVENT_RESULTS[SPORT],I_SV_SPORT,T_2016_EVENT_RESULTS[Bronze - Country - 2],T_SV_MEDALS[[#This Row],[COUNTRY ABBR]]),"")</f>
        <v/>
      </c>
      <c r="M136" s="3">
        <f>SUM(T_SV_MEDALS[[#This Row],[SV_GOLD]:[SV_BRONZE]])</f>
        <v>0</v>
      </c>
      <c r="N136" s="3" t="str">
        <f>IF(T_SV_MEDALS[[#This Row],[SV_TOTAL]]=0,"",IF(I_RANK_METHOD="TOTAL",(T_SV_MEDALS[[#This Row],[SV_TOTAL]]*10000000),0)+(T_SV_MEDALS[[#This Row],[SV_GOLD]]*100000)+(T_SV_MEDALS[[#This Row],[SV_SILVER]]*1000)+(T_SV_MEDALS[[#This Row],[SV_BRONZE]]*10))</f>
        <v/>
      </c>
      <c r="O136" s="3" t="str">
        <f>IFERROR(IF(T_SV_MEDALS[[#This Row],[SV_TOTAL]]=0,"",RANK(T_SV_MEDALS[[#This Row],[SV_RANK VALUE]],T_SV_MEDALS[SV_RANK VALUE])),"")</f>
        <v/>
      </c>
      <c r="P136" s="3" t="str">
        <f>IFERROR(IF(T_SV_MEDALS[[#This Row],[SV_TOTAL]]=0,"",RANK(T_SV_MEDALS[[#This Row],[SV_RANK VALUE]],T_SV_MEDALS[SV_RANK VALUE])+COUNTIF($O$2:O135,O136)),"")</f>
        <v/>
      </c>
      <c r="Q136" s="3" t="str">
        <f>IFERROR(T_SV_MEDALS[[#This Row],[SV_TOTAL]]/T_SV_MEDALS[[#This Row],[TOTAL]],"")</f>
        <v/>
      </c>
      <c r="R136" s="3" t="str">
        <f>IFERROR(IF(T_SV_MEDALS[[#This Row],[SV_TOTAL]]=0,"",RANK(T_SV_MEDALS[[#This Row],[Dependency - Rank Value]],T_SV_MEDALS[Dependency - Rank Value])+COUNTIF($Q$2:Q135,Q136)),"")</f>
        <v/>
      </c>
    </row>
    <row r="137" spans="1:18" x14ac:dyDescent="0.25">
      <c r="A137" t="s">
        <v>249</v>
      </c>
      <c r="B137" t="s">
        <v>250</v>
      </c>
      <c r="C137" s="3">
        <f>IF(I_VIEW=2,"",COUNTIFS(T_2016_EVENT_RESULTS[Gold - Country],T_SV_MEDALS[[#This Row],[COUNTRY ABBR]])+COUNTIFS(T_2016_EVENT_RESULTS[Gold - Country - 2],T_SV_MEDALS[[#This Row],[COUNTRY ABBR]]))</f>
        <v>8</v>
      </c>
      <c r="D137" s="3">
        <f>IF(I_VIEW=2,"",COUNTIFS(T_2016_EVENT_RESULTS[Silver - Country],T_SV_MEDALS[[#This Row],[COUNTRY ABBR]])+COUNTIFS(T_2016_EVENT_RESULTS[Silver - Country - 2],T_SV_MEDALS[[#This Row],[COUNTRY ABBR]])+COUNTIFS(T_2016_EVENT_RESULTS[Silver - Country - 3],T_SV_MEDALS[[#This Row],[COUNTRY ABBR]]))</f>
        <v>7</v>
      </c>
      <c r="E137" s="3">
        <f>IF(I_VIEW=2,"",COUNTIFS(T_2016_EVENT_RESULTS[Bronze - Country],T_SV_MEDALS[[#This Row],[COUNTRY ABBR]])+COUNTIFS(T_2016_EVENT_RESULTS[Bronze - Country - 2],T_SV_MEDALS[[#This Row],[COUNTRY ABBR]]))</f>
        <v>4</v>
      </c>
      <c r="F137" s="3">
        <f>SUM(T_SV_MEDALS[[#This Row],[GOLD]:[BRONZE]])</f>
        <v>19</v>
      </c>
      <c r="G137" s="3">
        <f>IF(T_SV_MEDALS[[#This Row],[TOTAL]]=0,"",IF(I_RANK_METHOD="TOTAL",(T_SV_MEDALS[[#This Row],[TOTAL]]*10000000),0)+(T_SV_MEDALS[[#This Row],[GOLD]]*100000)+(T_SV_MEDALS[[#This Row],[SILVER]]*1000)+(T_SV_MEDALS[[#This Row],[BRONZE]]*10))</f>
        <v>190807040</v>
      </c>
      <c r="H137" s="3">
        <f>IFERROR(IF(T_SV_MEDALS[[#This Row],[TOTAL]]=0,"",RANK(T_SV_MEDALS[[#This Row],[RANK VALUE]],T_SV_MEDALS[RANK VALUE])),"")</f>
        <v>12</v>
      </c>
      <c r="I137" s="3">
        <f>IFERROR(IF(T_SV_MEDALS[[#This Row],[TOTAL]]=0,"",RANK(T_SV_MEDALS[[#This Row],[RANK VALUE]],T_SV_MEDALS[RANK VALUE])+COUNTIF($H$2:H136,H137)),"")</f>
        <v>12</v>
      </c>
      <c r="J137" s="3" t="str">
        <f>IF(I_VIEW=3, COUNTIFS(T_2016_EVENT_RESULTS[SPORT],I_SV_SPORT,T_2016_EVENT_RESULTS[Gold - Country],T_SV_MEDALS[[#This Row],[COUNTRY ABBR]])+COUNTIFS(T_2016_EVENT_RESULTS[SPORT],I_SV_SPORT,T_2016_EVENT_RESULTS[Gold - Country - 2],T_SV_MEDALS[[#This Row],[COUNTRY ABBR]]),"")</f>
        <v/>
      </c>
      <c r="K137" s="3" t="str">
        <f>IF(I_VIEW=3, COUNTIFS(T_2016_EVENT_RESULTS[SPORT],I_SV_SPORT,T_2016_EVENT_RESULTS[Silver - Country],T_SV_MEDALS[[#This Row],[COUNTRY ABBR]])+COUNTIFS(T_2016_EVENT_RESULTS[SPORT],I_SV_SPORT,T_2016_EVENT_RESULTS[Silver - Country - 2],T_SV_MEDALS[[#This Row],[COUNTRY ABBR]])+COUNTIFS(T_2016_EVENT_RESULTS[SPORT],I_SV_SPORT,T_2016_EVENT_RESULTS[Silver - Country - 3],T_SV_MEDALS[[#This Row],[COUNTRY ABBR]]),"")</f>
        <v/>
      </c>
      <c r="L137" s="3" t="str">
        <f>IF(I_VIEW=3, COUNTIFS(T_2016_EVENT_RESULTS[SPORT],I_SV_SPORT,T_2016_EVENT_RESULTS[Bronze - Country],T_SV_MEDALS[[#This Row],[COUNTRY ABBR]])+COUNTIFS(T_2016_EVENT_RESULTS[SPORT],I_SV_SPORT,T_2016_EVENT_RESULTS[Bronze - Country - 2],T_SV_MEDALS[[#This Row],[COUNTRY ABBR]]),"")</f>
        <v/>
      </c>
      <c r="M137" s="3">
        <f>SUM(T_SV_MEDALS[[#This Row],[SV_GOLD]:[SV_BRONZE]])</f>
        <v>0</v>
      </c>
      <c r="N137" s="3" t="str">
        <f>IF(T_SV_MEDALS[[#This Row],[SV_TOTAL]]=0,"",IF(I_RANK_METHOD="TOTAL",(T_SV_MEDALS[[#This Row],[SV_TOTAL]]*10000000),0)+(T_SV_MEDALS[[#This Row],[SV_GOLD]]*100000)+(T_SV_MEDALS[[#This Row],[SV_SILVER]]*1000)+(T_SV_MEDALS[[#This Row],[SV_BRONZE]]*10))</f>
        <v/>
      </c>
      <c r="O137" s="3" t="str">
        <f>IFERROR(IF(T_SV_MEDALS[[#This Row],[SV_TOTAL]]=0,"",RANK(T_SV_MEDALS[[#This Row],[SV_RANK VALUE]],T_SV_MEDALS[SV_RANK VALUE])),"")</f>
        <v/>
      </c>
      <c r="P137" s="3" t="str">
        <f>IFERROR(IF(T_SV_MEDALS[[#This Row],[SV_TOTAL]]=0,"",RANK(T_SV_MEDALS[[#This Row],[SV_RANK VALUE]],T_SV_MEDALS[SV_RANK VALUE])+COUNTIF($O$2:O136,O137)),"")</f>
        <v/>
      </c>
      <c r="Q137" s="3">
        <f>IFERROR(T_SV_MEDALS[[#This Row],[SV_TOTAL]]/T_SV_MEDALS[[#This Row],[TOTAL]],"")</f>
        <v>0</v>
      </c>
      <c r="R137" s="3" t="str">
        <f>IFERROR(IF(T_SV_MEDALS[[#This Row],[SV_TOTAL]]=0,"",RANK(T_SV_MEDALS[[#This Row],[Dependency - Rank Value]],T_SV_MEDALS[Dependency - Rank Value])+COUNTIF($Q$2:Q136,Q137)),"")</f>
        <v/>
      </c>
    </row>
    <row r="138" spans="1:18" x14ac:dyDescent="0.25">
      <c r="A138" t="s">
        <v>456</v>
      </c>
      <c r="B138" t="s">
        <v>251</v>
      </c>
      <c r="C138" s="3">
        <f>IF(I_VIEW=2,"",COUNTIFS(T_2016_EVENT_RESULTS[Gold - Country],T_SV_MEDALS[[#This Row],[COUNTRY ABBR]])+COUNTIFS(T_2016_EVENT_RESULTS[Gold - Country - 2],T_SV_MEDALS[[#This Row],[COUNTRY ABBR]]))</f>
        <v>0</v>
      </c>
      <c r="D138" s="3">
        <f>IF(I_VIEW=2,"",COUNTIFS(T_2016_EVENT_RESULTS[Silver - Country],T_SV_MEDALS[[#This Row],[COUNTRY ABBR]])+COUNTIFS(T_2016_EVENT_RESULTS[Silver - Country - 2],T_SV_MEDALS[[#This Row],[COUNTRY ABBR]])+COUNTIFS(T_2016_EVENT_RESULTS[Silver - Country - 3],T_SV_MEDALS[[#This Row],[COUNTRY ABBR]]))</f>
        <v>0</v>
      </c>
      <c r="E138" s="3">
        <f>IF(I_VIEW=2,"",COUNTIFS(T_2016_EVENT_RESULTS[Bronze - Country],T_SV_MEDALS[[#This Row],[COUNTRY ABBR]])+COUNTIFS(T_2016_EVENT_RESULTS[Bronze - Country - 2],T_SV_MEDALS[[#This Row],[COUNTRY ABBR]]))</f>
        <v>0</v>
      </c>
      <c r="F138" s="3">
        <f>SUM(T_SV_MEDALS[[#This Row],[GOLD]:[BRONZE]])</f>
        <v>0</v>
      </c>
      <c r="G138" s="3" t="str">
        <f>IF(T_SV_MEDALS[[#This Row],[TOTAL]]=0,"",IF(I_RANK_METHOD="TOTAL",(T_SV_MEDALS[[#This Row],[TOTAL]]*10000000),0)+(T_SV_MEDALS[[#This Row],[GOLD]]*100000)+(T_SV_MEDALS[[#This Row],[SILVER]]*1000)+(T_SV_MEDALS[[#This Row],[BRONZE]]*10))</f>
        <v/>
      </c>
      <c r="H138" s="3" t="str">
        <f>IFERROR(IF(T_SV_MEDALS[[#This Row],[TOTAL]]=0,"",RANK(T_SV_MEDALS[[#This Row],[RANK VALUE]],T_SV_MEDALS[RANK VALUE])),"")</f>
        <v/>
      </c>
      <c r="I138" s="3" t="str">
        <f>IFERROR(IF(T_SV_MEDALS[[#This Row],[TOTAL]]=0,"",RANK(T_SV_MEDALS[[#This Row],[RANK VALUE]],T_SV_MEDALS[RANK VALUE])+COUNTIF($H$2:H137,H138)),"")</f>
        <v/>
      </c>
      <c r="J138" s="3" t="str">
        <f>IF(I_VIEW=3, COUNTIFS(T_2016_EVENT_RESULTS[SPORT],I_SV_SPORT,T_2016_EVENT_RESULTS[Gold - Country],T_SV_MEDALS[[#This Row],[COUNTRY ABBR]])+COUNTIFS(T_2016_EVENT_RESULTS[SPORT],I_SV_SPORT,T_2016_EVENT_RESULTS[Gold - Country - 2],T_SV_MEDALS[[#This Row],[COUNTRY ABBR]]),"")</f>
        <v/>
      </c>
      <c r="K138" s="3" t="str">
        <f>IF(I_VIEW=3, COUNTIFS(T_2016_EVENT_RESULTS[SPORT],I_SV_SPORT,T_2016_EVENT_RESULTS[Silver - Country],T_SV_MEDALS[[#This Row],[COUNTRY ABBR]])+COUNTIFS(T_2016_EVENT_RESULTS[SPORT],I_SV_SPORT,T_2016_EVENT_RESULTS[Silver - Country - 2],T_SV_MEDALS[[#This Row],[COUNTRY ABBR]])+COUNTIFS(T_2016_EVENT_RESULTS[SPORT],I_SV_SPORT,T_2016_EVENT_RESULTS[Silver - Country - 3],T_SV_MEDALS[[#This Row],[COUNTRY ABBR]]),"")</f>
        <v/>
      </c>
      <c r="L138" s="3" t="str">
        <f>IF(I_VIEW=3, COUNTIFS(T_2016_EVENT_RESULTS[SPORT],I_SV_SPORT,T_2016_EVENT_RESULTS[Bronze - Country],T_SV_MEDALS[[#This Row],[COUNTRY ABBR]])+COUNTIFS(T_2016_EVENT_RESULTS[SPORT],I_SV_SPORT,T_2016_EVENT_RESULTS[Bronze - Country - 2],T_SV_MEDALS[[#This Row],[COUNTRY ABBR]]),"")</f>
        <v/>
      </c>
      <c r="M138" s="3">
        <f>SUM(T_SV_MEDALS[[#This Row],[SV_GOLD]:[SV_BRONZE]])</f>
        <v>0</v>
      </c>
      <c r="N138" s="3" t="str">
        <f>IF(T_SV_MEDALS[[#This Row],[SV_TOTAL]]=0,"",IF(I_RANK_METHOD="TOTAL",(T_SV_MEDALS[[#This Row],[SV_TOTAL]]*10000000),0)+(T_SV_MEDALS[[#This Row],[SV_GOLD]]*100000)+(T_SV_MEDALS[[#This Row],[SV_SILVER]]*1000)+(T_SV_MEDALS[[#This Row],[SV_BRONZE]]*10))</f>
        <v/>
      </c>
      <c r="O138" s="3" t="str">
        <f>IFERROR(IF(T_SV_MEDALS[[#This Row],[SV_TOTAL]]=0,"",RANK(T_SV_MEDALS[[#This Row],[SV_RANK VALUE]],T_SV_MEDALS[SV_RANK VALUE])),"")</f>
        <v/>
      </c>
      <c r="P138" s="3" t="str">
        <f>IFERROR(IF(T_SV_MEDALS[[#This Row],[SV_TOTAL]]=0,"",RANK(T_SV_MEDALS[[#This Row],[SV_RANK VALUE]],T_SV_MEDALS[SV_RANK VALUE])+COUNTIF($O$2:O137,O138)),"")</f>
        <v/>
      </c>
      <c r="Q138" s="3" t="str">
        <f>IFERROR(T_SV_MEDALS[[#This Row],[SV_TOTAL]]/T_SV_MEDALS[[#This Row],[TOTAL]],"")</f>
        <v/>
      </c>
      <c r="R138" s="3" t="str">
        <f>IFERROR(IF(T_SV_MEDALS[[#This Row],[SV_TOTAL]]=0,"",RANK(T_SV_MEDALS[[#This Row],[Dependency - Rank Value]],T_SV_MEDALS[Dependency - Rank Value])+COUNTIF($Q$2:Q137,Q138)),"")</f>
        <v/>
      </c>
    </row>
    <row r="139" spans="1:18" x14ac:dyDescent="0.25">
      <c r="A139" t="s">
        <v>252</v>
      </c>
      <c r="B139" t="s">
        <v>253</v>
      </c>
      <c r="C139" s="3">
        <f>IF(I_VIEW=2,"",COUNTIFS(T_2016_EVENT_RESULTS[Gold - Country],T_SV_MEDALS[[#This Row],[COUNTRY ABBR]])+COUNTIFS(T_2016_EVENT_RESULTS[Gold - Country - 2],T_SV_MEDALS[[#This Row],[COUNTRY ABBR]]))</f>
        <v>4</v>
      </c>
      <c r="D139" s="3">
        <f>IF(I_VIEW=2,"",COUNTIFS(T_2016_EVENT_RESULTS[Silver - Country],T_SV_MEDALS[[#This Row],[COUNTRY ABBR]])+COUNTIFS(T_2016_EVENT_RESULTS[Silver - Country - 2],T_SV_MEDALS[[#This Row],[COUNTRY ABBR]])+COUNTIFS(T_2016_EVENT_RESULTS[Silver - Country - 3],T_SV_MEDALS[[#This Row],[COUNTRY ABBR]]))</f>
        <v>9</v>
      </c>
      <c r="E139" s="3">
        <f>IF(I_VIEW=2,"",COUNTIFS(T_2016_EVENT_RESULTS[Bronze - Country],T_SV_MEDALS[[#This Row],[COUNTRY ABBR]])+COUNTIFS(T_2016_EVENT_RESULTS[Bronze - Country - 2],T_SV_MEDALS[[#This Row],[COUNTRY ABBR]]))</f>
        <v>5</v>
      </c>
      <c r="F139" s="3">
        <f>SUM(T_SV_MEDALS[[#This Row],[GOLD]:[BRONZE]])</f>
        <v>18</v>
      </c>
      <c r="G139" s="3">
        <f>IF(T_SV_MEDALS[[#This Row],[TOTAL]]=0,"",IF(I_RANK_METHOD="TOTAL",(T_SV_MEDALS[[#This Row],[TOTAL]]*10000000),0)+(T_SV_MEDALS[[#This Row],[GOLD]]*100000)+(T_SV_MEDALS[[#This Row],[SILVER]]*1000)+(T_SV_MEDALS[[#This Row],[BRONZE]]*10))</f>
        <v>180409050</v>
      </c>
      <c r="H139" s="3">
        <f>IFERROR(IF(T_SV_MEDALS[[#This Row],[TOTAL]]=0,"",RANK(T_SV_MEDALS[[#This Row],[RANK VALUE]],T_SV_MEDALS[RANK VALUE])),"")</f>
        <v>14</v>
      </c>
      <c r="I139" s="3">
        <f>IFERROR(IF(T_SV_MEDALS[[#This Row],[TOTAL]]=0,"",RANK(T_SV_MEDALS[[#This Row],[RANK VALUE]],T_SV_MEDALS[RANK VALUE])+COUNTIF($H$2:H138,H139)),"")</f>
        <v>14</v>
      </c>
      <c r="J139" s="3" t="str">
        <f>IF(I_VIEW=3, COUNTIFS(T_2016_EVENT_RESULTS[SPORT],I_SV_SPORT,T_2016_EVENT_RESULTS[Gold - Country],T_SV_MEDALS[[#This Row],[COUNTRY ABBR]])+COUNTIFS(T_2016_EVENT_RESULTS[SPORT],I_SV_SPORT,T_2016_EVENT_RESULTS[Gold - Country - 2],T_SV_MEDALS[[#This Row],[COUNTRY ABBR]]),"")</f>
        <v/>
      </c>
      <c r="K139" s="3" t="str">
        <f>IF(I_VIEW=3, COUNTIFS(T_2016_EVENT_RESULTS[SPORT],I_SV_SPORT,T_2016_EVENT_RESULTS[Silver - Country],T_SV_MEDALS[[#This Row],[COUNTRY ABBR]])+COUNTIFS(T_2016_EVENT_RESULTS[SPORT],I_SV_SPORT,T_2016_EVENT_RESULTS[Silver - Country - 2],T_SV_MEDALS[[#This Row],[COUNTRY ABBR]])+COUNTIFS(T_2016_EVENT_RESULTS[SPORT],I_SV_SPORT,T_2016_EVENT_RESULTS[Silver - Country - 3],T_SV_MEDALS[[#This Row],[COUNTRY ABBR]]),"")</f>
        <v/>
      </c>
      <c r="L139" s="3" t="str">
        <f>IF(I_VIEW=3, COUNTIFS(T_2016_EVENT_RESULTS[SPORT],I_SV_SPORT,T_2016_EVENT_RESULTS[Bronze - Country],T_SV_MEDALS[[#This Row],[COUNTRY ABBR]])+COUNTIFS(T_2016_EVENT_RESULTS[SPORT],I_SV_SPORT,T_2016_EVENT_RESULTS[Bronze - Country - 2],T_SV_MEDALS[[#This Row],[COUNTRY ABBR]]),"")</f>
        <v/>
      </c>
      <c r="M139" s="3">
        <f>SUM(T_SV_MEDALS[[#This Row],[SV_GOLD]:[SV_BRONZE]])</f>
        <v>0</v>
      </c>
      <c r="N139" s="3" t="str">
        <f>IF(T_SV_MEDALS[[#This Row],[SV_TOTAL]]=0,"",IF(I_RANK_METHOD="TOTAL",(T_SV_MEDALS[[#This Row],[SV_TOTAL]]*10000000),0)+(T_SV_MEDALS[[#This Row],[SV_GOLD]]*100000)+(T_SV_MEDALS[[#This Row],[SV_SILVER]]*1000)+(T_SV_MEDALS[[#This Row],[SV_BRONZE]]*10))</f>
        <v/>
      </c>
      <c r="O139" s="3" t="str">
        <f>IFERROR(IF(T_SV_MEDALS[[#This Row],[SV_TOTAL]]=0,"",RANK(T_SV_MEDALS[[#This Row],[SV_RANK VALUE]],T_SV_MEDALS[SV_RANK VALUE])),"")</f>
        <v/>
      </c>
      <c r="P139" s="3" t="str">
        <f>IFERROR(IF(T_SV_MEDALS[[#This Row],[SV_TOTAL]]=0,"",RANK(T_SV_MEDALS[[#This Row],[SV_RANK VALUE]],T_SV_MEDALS[SV_RANK VALUE])+COUNTIF($O$2:O138,O139)),"")</f>
        <v/>
      </c>
      <c r="Q139" s="3">
        <f>IFERROR(T_SV_MEDALS[[#This Row],[SV_TOTAL]]/T_SV_MEDALS[[#This Row],[TOTAL]],"")</f>
        <v>0</v>
      </c>
      <c r="R139" s="3" t="str">
        <f>IFERROR(IF(T_SV_MEDALS[[#This Row],[SV_TOTAL]]=0,"",RANK(T_SV_MEDALS[[#This Row],[Dependency - Rank Value]],T_SV_MEDALS[Dependency - Rank Value])+COUNTIF($Q$2:Q138,Q139)),"")</f>
        <v/>
      </c>
    </row>
    <row r="140" spans="1:18" x14ac:dyDescent="0.25">
      <c r="A140" t="s">
        <v>254</v>
      </c>
      <c r="B140" t="s">
        <v>255</v>
      </c>
      <c r="C140" s="3">
        <f>IF(I_VIEW=2,"",COUNTIFS(T_2016_EVENT_RESULTS[Gold - Country],T_SV_MEDALS[[#This Row],[COUNTRY ABBR]])+COUNTIFS(T_2016_EVENT_RESULTS[Gold - Country - 2],T_SV_MEDALS[[#This Row],[COUNTRY ABBR]]))</f>
        <v>0</v>
      </c>
      <c r="D140" s="3">
        <f>IF(I_VIEW=2,"",COUNTIFS(T_2016_EVENT_RESULTS[Silver - Country],T_SV_MEDALS[[#This Row],[COUNTRY ABBR]])+COUNTIFS(T_2016_EVENT_RESULTS[Silver - Country - 2],T_SV_MEDALS[[#This Row],[COUNTRY ABBR]])+COUNTIFS(T_2016_EVENT_RESULTS[Silver - Country - 3],T_SV_MEDALS[[#This Row],[COUNTRY ABBR]]))</f>
        <v>0</v>
      </c>
      <c r="E140" s="3">
        <f>IF(I_VIEW=2,"",COUNTIFS(T_2016_EVENT_RESULTS[Bronze - Country],T_SV_MEDALS[[#This Row],[COUNTRY ABBR]])+COUNTIFS(T_2016_EVENT_RESULTS[Bronze - Country - 2],T_SV_MEDALS[[#This Row],[COUNTRY ABBR]]))</f>
        <v>0</v>
      </c>
      <c r="F140" s="3">
        <f>SUM(T_SV_MEDALS[[#This Row],[GOLD]:[BRONZE]])</f>
        <v>0</v>
      </c>
      <c r="G140" s="3" t="str">
        <f>IF(T_SV_MEDALS[[#This Row],[TOTAL]]=0,"",IF(I_RANK_METHOD="TOTAL",(T_SV_MEDALS[[#This Row],[TOTAL]]*10000000),0)+(T_SV_MEDALS[[#This Row],[GOLD]]*100000)+(T_SV_MEDALS[[#This Row],[SILVER]]*1000)+(T_SV_MEDALS[[#This Row],[BRONZE]]*10))</f>
        <v/>
      </c>
      <c r="H140" s="3" t="str">
        <f>IFERROR(IF(T_SV_MEDALS[[#This Row],[TOTAL]]=0,"",RANK(T_SV_MEDALS[[#This Row],[RANK VALUE]],T_SV_MEDALS[RANK VALUE])),"")</f>
        <v/>
      </c>
      <c r="I140" s="3" t="str">
        <f>IFERROR(IF(T_SV_MEDALS[[#This Row],[TOTAL]]=0,"",RANK(T_SV_MEDALS[[#This Row],[RANK VALUE]],T_SV_MEDALS[RANK VALUE])+COUNTIF($H$2:H139,H140)),"")</f>
        <v/>
      </c>
      <c r="J140" s="3" t="str">
        <f>IF(I_VIEW=3, COUNTIFS(T_2016_EVENT_RESULTS[SPORT],I_SV_SPORT,T_2016_EVENT_RESULTS[Gold - Country],T_SV_MEDALS[[#This Row],[COUNTRY ABBR]])+COUNTIFS(T_2016_EVENT_RESULTS[SPORT],I_SV_SPORT,T_2016_EVENT_RESULTS[Gold - Country - 2],T_SV_MEDALS[[#This Row],[COUNTRY ABBR]]),"")</f>
        <v/>
      </c>
      <c r="K140" s="3" t="str">
        <f>IF(I_VIEW=3, COUNTIFS(T_2016_EVENT_RESULTS[SPORT],I_SV_SPORT,T_2016_EVENT_RESULTS[Silver - Country],T_SV_MEDALS[[#This Row],[COUNTRY ABBR]])+COUNTIFS(T_2016_EVENT_RESULTS[SPORT],I_SV_SPORT,T_2016_EVENT_RESULTS[Silver - Country - 2],T_SV_MEDALS[[#This Row],[COUNTRY ABBR]])+COUNTIFS(T_2016_EVENT_RESULTS[SPORT],I_SV_SPORT,T_2016_EVENT_RESULTS[Silver - Country - 3],T_SV_MEDALS[[#This Row],[COUNTRY ABBR]]),"")</f>
        <v/>
      </c>
      <c r="L140" s="3" t="str">
        <f>IF(I_VIEW=3, COUNTIFS(T_2016_EVENT_RESULTS[SPORT],I_SV_SPORT,T_2016_EVENT_RESULTS[Bronze - Country],T_SV_MEDALS[[#This Row],[COUNTRY ABBR]])+COUNTIFS(T_2016_EVENT_RESULTS[SPORT],I_SV_SPORT,T_2016_EVENT_RESULTS[Bronze - Country - 2],T_SV_MEDALS[[#This Row],[COUNTRY ABBR]]),"")</f>
        <v/>
      </c>
      <c r="M140" s="3">
        <f>SUM(T_SV_MEDALS[[#This Row],[SV_GOLD]:[SV_BRONZE]])</f>
        <v>0</v>
      </c>
      <c r="N140" s="3" t="str">
        <f>IF(T_SV_MEDALS[[#This Row],[SV_TOTAL]]=0,"",IF(I_RANK_METHOD="TOTAL",(T_SV_MEDALS[[#This Row],[SV_TOTAL]]*10000000),0)+(T_SV_MEDALS[[#This Row],[SV_GOLD]]*100000)+(T_SV_MEDALS[[#This Row],[SV_SILVER]]*1000)+(T_SV_MEDALS[[#This Row],[SV_BRONZE]]*10))</f>
        <v/>
      </c>
      <c r="O140" s="3" t="str">
        <f>IFERROR(IF(T_SV_MEDALS[[#This Row],[SV_TOTAL]]=0,"",RANK(T_SV_MEDALS[[#This Row],[SV_RANK VALUE]],T_SV_MEDALS[SV_RANK VALUE])),"")</f>
        <v/>
      </c>
      <c r="P140" s="3" t="str">
        <f>IFERROR(IF(T_SV_MEDALS[[#This Row],[SV_TOTAL]]=0,"",RANK(T_SV_MEDALS[[#This Row],[SV_RANK VALUE]],T_SV_MEDALS[SV_RANK VALUE])+COUNTIF($O$2:O139,O140)),"")</f>
        <v/>
      </c>
      <c r="Q140" s="3" t="str">
        <f>IFERROR(T_SV_MEDALS[[#This Row],[SV_TOTAL]]/T_SV_MEDALS[[#This Row],[TOTAL]],"")</f>
        <v/>
      </c>
      <c r="R140" s="3" t="str">
        <f>IFERROR(IF(T_SV_MEDALS[[#This Row],[SV_TOTAL]]=0,"",RANK(T_SV_MEDALS[[#This Row],[Dependency - Rank Value]],T_SV_MEDALS[Dependency - Rank Value])+COUNTIF($Q$2:Q139,Q140)),"")</f>
        <v/>
      </c>
    </row>
    <row r="141" spans="1:18" x14ac:dyDescent="0.25">
      <c r="A141" t="s">
        <v>256</v>
      </c>
      <c r="B141" t="s">
        <v>257</v>
      </c>
      <c r="C141" s="3">
        <f>IF(I_VIEW=2,"",COUNTIFS(T_2016_EVENT_RESULTS[Gold - Country],T_SV_MEDALS[[#This Row],[COUNTRY ABBR]])+COUNTIFS(T_2016_EVENT_RESULTS[Gold - Country - 2],T_SV_MEDALS[[#This Row],[COUNTRY ABBR]]))</f>
        <v>0</v>
      </c>
      <c r="D141" s="3">
        <f>IF(I_VIEW=2,"",COUNTIFS(T_2016_EVENT_RESULTS[Silver - Country],T_SV_MEDALS[[#This Row],[COUNTRY ABBR]])+COUNTIFS(T_2016_EVENT_RESULTS[Silver - Country - 2],T_SV_MEDALS[[#This Row],[COUNTRY ABBR]])+COUNTIFS(T_2016_EVENT_RESULTS[Silver - Country - 3],T_SV_MEDALS[[#This Row],[COUNTRY ABBR]]))</f>
        <v>1</v>
      </c>
      <c r="E141" s="3">
        <f>IF(I_VIEW=2,"",COUNTIFS(T_2016_EVENT_RESULTS[Bronze - Country],T_SV_MEDALS[[#This Row],[COUNTRY ABBR]])+COUNTIFS(T_2016_EVENT_RESULTS[Bronze - Country - 2],T_SV_MEDALS[[#This Row],[COUNTRY ABBR]]))</f>
        <v>0</v>
      </c>
      <c r="F141" s="3">
        <f>SUM(T_SV_MEDALS[[#This Row],[GOLD]:[BRONZE]])</f>
        <v>1</v>
      </c>
      <c r="G141" s="3">
        <f>IF(T_SV_MEDALS[[#This Row],[TOTAL]]=0,"",IF(I_RANK_METHOD="TOTAL",(T_SV_MEDALS[[#This Row],[TOTAL]]*10000000),0)+(T_SV_MEDALS[[#This Row],[GOLD]]*100000)+(T_SV_MEDALS[[#This Row],[SILVER]]*1000)+(T_SV_MEDALS[[#This Row],[BRONZE]]*10))</f>
        <v>10001000</v>
      </c>
      <c r="H141" s="3">
        <f>IFERROR(IF(T_SV_MEDALS[[#This Row],[TOTAL]]=0,"",RANK(T_SV_MEDALS[[#This Row],[RANK VALUE]],T_SV_MEDALS[RANK VALUE])),"")</f>
        <v>73</v>
      </c>
      <c r="I141" s="3">
        <f>IFERROR(IF(T_SV_MEDALS[[#This Row],[TOTAL]]=0,"",RANK(T_SV_MEDALS[[#This Row],[RANK VALUE]],T_SV_MEDALS[RANK VALUE])+COUNTIF($H$2:H140,H141)),"")</f>
        <v>75</v>
      </c>
      <c r="J141" s="3" t="str">
        <f>IF(I_VIEW=3, COUNTIFS(T_2016_EVENT_RESULTS[SPORT],I_SV_SPORT,T_2016_EVENT_RESULTS[Gold - Country],T_SV_MEDALS[[#This Row],[COUNTRY ABBR]])+COUNTIFS(T_2016_EVENT_RESULTS[SPORT],I_SV_SPORT,T_2016_EVENT_RESULTS[Gold - Country - 2],T_SV_MEDALS[[#This Row],[COUNTRY ABBR]]),"")</f>
        <v/>
      </c>
      <c r="K141" s="3" t="str">
        <f>IF(I_VIEW=3, COUNTIFS(T_2016_EVENT_RESULTS[SPORT],I_SV_SPORT,T_2016_EVENT_RESULTS[Silver - Country],T_SV_MEDALS[[#This Row],[COUNTRY ABBR]])+COUNTIFS(T_2016_EVENT_RESULTS[SPORT],I_SV_SPORT,T_2016_EVENT_RESULTS[Silver - Country - 2],T_SV_MEDALS[[#This Row],[COUNTRY ABBR]])+COUNTIFS(T_2016_EVENT_RESULTS[SPORT],I_SV_SPORT,T_2016_EVENT_RESULTS[Silver - Country - 3],T_SV_MEDALS[[#This Row],[COUNTRY ABBR]]),"")</f>
        <v/>
      </c>
      <c r="L141" s="3" t="str">
        <f>IF(I_VIEW=3, COUNTIFS(T_2016_EVENT_RESULTS[SPORT],I_SV_SPORT,T_2016_EVENT_RESULTS[Bronze - Country],T_SV_MEDALS[[#This Row],[COUNTRY ABBR]])+COUNTIFS(T_2016_EVENT_RESULTS[SPORT],I_SV_SPORT,T_2016_EVENT_RESULTS[Bronze - Country - 2],T_SV_MEDALS[[#This Row],[COUNTRY ABBR]]),"")</f>
        <v/>
      </c>
      <c r="M141" s="3">
        <f>SUM(T_SV_MEDALS[[#This Row],[SV_GOLD]:[SV_BRONZE]])</f>
        <v>0</v>
      </c>
      <c r="N141" s="3" t="str">
        <f>IF(T_SV_MEDALS[[#This Row],[SV_TOTAL]]=0,"",IF(I_RANK_METHOD="TOTAL",(T_SV_MEDALS[[#This Row],[SV_TOTAL]]*10000000),0)+(T_SV_MEDALS[[#This Row],[SV_GOLD]]*100000)+(T_SV_MEDALS[[#This Row],[SV_SILVER]]*1000)+(T_SV_MEDALS[[#This Row],[SV_BRONZE]]*10))</f>
        <v/>
      </c>
      <c r="O141" s="3" t="str">
        <f>IFERROR(IF(T_SV_MEDALS[[#This Row],[SV_TOTAL]]=0,"",RANK(T_SV_MEDALS[[#This Row],[SV_RANK VALUE]],T_SV_MEDALS[SV_RANK VALUE])),"")</f>
        <v/>
      </c>
      <c r="P141" s="3" t="str">
        <f>IFERROR(IF(T_SV_MEDALS[[#This Row],[SV_TOTAL]]=0,"",RANK(T_SV_MEDALS[[#This Row],[SV_RANK VALUE]],T_SV_MEDALS[SV_RANK VALUE])+COUNTIF($O$2:O140,O141)),"")</f>
        <v/>
      </c>
      <c r="Q141" s="3">
        <f>IFERROR(T_SV_MEDALS[[#This Row],[SV_TOTAL]]/T_SV_MEDALS[[#This Row],[TOTAL]],"")</f>
        <v>0</v>
      </c>
      <c r="R141" s="3" t="str">
        <f>IFERROR(IF(T_SV_MEDALS[[#This Row],[SV_TOTAL]]=0,"",RANK(T_SV_MEDALS[[#This Row],[Dependency - Rank Value]],T_SV_MEDALS[Dependency - Rank Value])+COUNTIF($Q$2:Q140,Q141)),"")</f>
        <v/>
      </c>
    </row>
    <row r="142" spans="1:18" x14ac:dyDescent="0.25">
      <c r="A142" t="s">
        <v>258</v>
      </c>
      <c r="B142" t="s">
        <v>259</v>
      </c>
      <c r="C142" s="3">
        <f>IF(I_VIEW=2,"",COUNTIFS(T_2016_EVENT_RESULTS[Gold - Country],T_SV_MEDALS[[#This Row],[COUNTRY ABBR]])+COUNTIFS(T_2016_EVENT_RESULTS[Gold - Country - 2],T_SV_MEDALS[[#This Row],[COUNTRY ABBR]]))</f>
        <v>0</v>
      </c>
      <c r="D142" s="3">
        <f>IF(I_VIEW=2,"",COUNTIFS(T_2016_EVENT_RESULTS[Silver - Country],T_SV_MEDALS[[#This Row],[COUNTRY ABBR]])+COUNTIFS(T_2016_EVENT_RESULTS[Silver - Country - 2],T_SV_MEDALS[[#This Row],[COUNTRY ABBR]])+COUNTIFS(T_2016_EVENT_RESULTS[Silver - Country - 3],T_SV_MEDALS[[#This Row],[COUNTRY ABBR]]))</f>
        <v>0</v>
      </c>
      <c r="E142" s="3">
        <f>IF(I_VIEW=2,"",COUNTIFS(T_2016_EVENT_RESULTS[Bronze - Country],T_SV_MEDALS[[#This Row],[COUNTRY ABBR]])+COUNTIFS(T_2016_EVENT_RESULTS[Bronze - Country - 2],T_SV_MEDALS[[#This Row],[COUNTRY ABBR]]))</f>
        <v>1</v>
      </c>
      <c r="F142" s="3">
        <f>SUM(T_SV_MEDALS[[#This Row],[GOLD]:[BRONZE]])</f>
        <v>1</v>
      </c>
      <c r="G142" s="3">
        <f>IF(T_SV_MEDALS[[#This Row],[TOTAL]]=0,"",IF(I_RANK_METHOD="TOTAL",(T_SV_MEDALS[[#This Row],[TOTAL]]*10000000),0)+(T_SV_MEDALS[[#This Row],[GOLD]]*100000)+(T_SV_MEDALS[[#This Row],[SILVER]]*1000)+(T_SV_MEDALS[[#This Row],[BRONZE]]*10))</f>
        <v>10000010</v>
      </c>
      <c r="H142" s="3">
        <f>IFERROR(IF(T_SV_MEDALS[[#This Row],[TOTAL]]=0,"",RANK(T_SV_MEDALS[[#This Row],[RANK VALUE]],T_SV_MEDALS[RANK VALUE])),"")</f>
        <v>78</v>
      </c>
      <c r="I142" s="3">
        <f>IFERROR(IF(T_SV_MEDALS[[#This Row],[TOTAL]]=0,"",RANK(T_SV_MEDALS[[#This Row],[RANK VALUE]],T_SV_MEDALS[RANK VALUE])+COUNTIF($H$2:H141,H142)),"")</f>
        <v>84</v>
      </c>
      <c r="J142" s="3" t="str">
        <f>IF(I_VIEW=3, COUNTIFS(T_2016_EVENT_RESULTS[SPORT],I_SV_SPORT,T_2016_EVENT_RESULTS[Gold - Country],T_SV_MEDALS[[#This Row],[COUNTRY ABBR]])+COUNTIFS(T_2016_EVENT_RESULTS[SPORT],I_SV_SPORT,T_2016_EVENT_RESULTS[Gold - Country - 2],T_SV_MEDALS[[#This Row],[COUNTRY ABBR]]),"")</f>
        <v/>
      </c>
      <c r="K142" s="3" t="str">
        <f>IF(I_VIEW=3, COUNTIFS(T_2016_EVENT_RESULTS[SPORT],I_SV_SPORT,T_2016_EVENT_RESULTS[Silver - Country],T_SV_MEDALS[[#This Row],[COUNTRY ABBR]])+COUNTIFS(T_2016_EVENT_RESULTS[SPORT],I_SV_SPORT,T_2016_EVENT_RESULTS[Silver - Country - 2],T_SV_MEDALS[[#This Row],[COUNTRY ABBR]])+COUNTIFS(T_2016_EVENT_RESULTS[SPORT],I_SV_SPORT,T_2016_EVENT_RESULTS[Silver - Country - 3],T_SV_MEDALS[[#This Row],[COUNTRY ABBR]]),"")</f>
        <v/>
      </c>
      <c r="L142" s="3" t="str">
        <f>IF(I_VIEW=3, COUNTIFS(T_2016_EVENT_RESULTS[SPORT],I_SV_SPORT,T_2016_EVENT_RESULTS[Bronze - Country],T_SV_MEDALS[[#This Row],[COUNTRY ABBR]])+COUNTIFS(T_2016_EVENT_RESULTS[SPORT],I_SV_SPORT,T_2016_EVENT_RESULTS[Bronze - Country - 2],T_SV_MEDALS[[#This Row],[COUNTRY ABBR]]),"")</f>
        <v/>
      </c>
      <c r="M142" s="3">
        <f>SUM(T_SV_MEDALS[[#This Row],[SV_GOLD]:[SV_BRONZE]])</f>
        <v>0</v>
      </c>
      <c r="N142" s="3" t="str">
        <f>IF(T_SV_MEDALS[[#This Row],[SV_TOTAL]]=0,"",IF(I_RANK_METHOD="TOTAL",(T_SV_MEDALS[[#This Row],[SV_TOTAL]]*10000000),0)+(T_SV_MEDALS[[#This Row],[SV_GOLD]]*100000)+(T_SV_MEDALS[[#This Row],[SV_SILVER]]*1000)+(T_SV_MEDALS[[#This Row],[SV_BRONZE]]*10))</f>
        <v/>
      </c>
      <c r="O142" s="3" t="str">
        <f>IFERROR(IF(T_SV_MEDALS[[#This Row],[SV_TOTAL]]=0,"",RANK(T_SV_MEDALS[[#This Row],[SV_RANK VALUE]],T_SV_MEDALS[SV_RANK VALUE])),"")</f>
        <v/>
      </c>
      <c r="P142" s="3" t="str">
        <f>IFERROR(IF(T_SV_MEDALS[[#This Row],[SV_TOTAL]]=0,"",RANK(T_SV_MEDALS[[#This Row],[SV_RANK VALUE]],T_SV_MEDALS[SV_RANK VALUE])+COUNTIF($O$2:O141,O142)),"")</f>
        <v/>
      </c>
      <c r="Q142" s="3">
        <f>IFERROR(T_SV_MEDALS[[#This Row],[SV_TOTAL]]/T_SV_MEDALS[[#This Row],[TOTAL]],"")</f>
        <v>0</v>
      </c>
      <c r="R142" s="3" t="str">
        <f>IFERROR(IF(T_SV_MEDALS[[#This Row],[SV_TOTAL]]=0,"",RANK(T_SV_MEDALS[[#This Row],[Dependency - Rank Value]],T_SV_MEDALS[Dependency - Rank Value])+COUNTIF($Q$2:Q141,Q142)),"")</f>
        <v/>
      </c>
    </row>
    <row r="143" spans="1:18" x14ac:dyDescent="0.25">
      <c r="A143" t="s">
        <v>260</v>
      </c>
      <c r="B143" t="s">
        <v>261</v>
      </c>
      <c r="C143" s="3">
        <f>IF(I_VIEW=2,"",COUNTIFS(T_2016_EVENT_RESULTS[Gold - Country],T_SV_MEDALS[[#This Row],[COUNTRY ABBR]])+COUNTIFS(T_2016_EVENT_RESULTS[Gold - Country - 2],T_SV_MEDALS[[#This Row],[COUNTRY ABBR]]))</f>
        <v>0</v>
      </c>
      <c r="D143" s="3">
        <f>IF(I_VIEW=2,"",COUNTIFS(T_2016_EVENT_RESULTS[Silver - Country],T_SV_MEDALS[[#This Row],[COUNTRY ABBR]])+COUNTIFS(T_2016_EVENT_RESULTS[Silver - Country - 2],T_SV_MEDALS[[#This Row],[COUNTRY ABBR]])+COUNTIFS(T_2016_EVENT_RESULTS[Silver - Country - 3],T_SV_MEDALS[[#This Row],[COUNTRY ABBR]]))</f>
        <v>0</v>
      </c>
      <c r="E143" s="3">
        <f>IF(I_VIEW=2,"",COUNTIFS(T_2016_EVENT_RESULTS[Bronze - Country],T_SV_MEDALS[[#This Row],[COUNTRY ABBR]])+COUNTIFS(T_2016_EVENT_RESULTS[Bronze - Country - 2],T_SV_MEDALS[[#This Row],[COUNTRY ABBR]]))</f>
        <v>4</v>
      </c>
      <c r="F143" s="3">
        <f>SUM(T_SV_MEDALS[[#This Row],[GOLD]:[BRONZE]])</f>
        <v>4</v>
      </c>
      <c r="G143" s="3">
        <f>IF(T_SV_MEDALS[[#This Row],[TOTAL]]=0,"",IF(I_RANK_METHOD="TOTAL",(T_SV_MEDALS[[#This Row],[TOTAL]]*10000000),0)+(T_SV_MEDALS[[#This Row],[GOLD]]*100000)+(T_SV_MEDALS[[#This Row],[SILVER]]*1000)+(T_SV_MEDALS[[#This Row],[BRONZE]]*10))</f>
        <v>40000040</v>
      </c>
      <c r="H143" s="3">
        <f>IFERROR(IF(T_SV_MEDALS[[#This Row],[TOTAL]]=0,"",RANK(T_SV_MEDALS[[#This Row],[RANK VALUE]],T_SV_MEDALS[RANK VALUE])),"")</f>
        <v>50</v>
      </c>
      <c r="I143" s="3">
        <f>IFERROR(IF(T_SV_MEDALS[[#This Row],[TOTAL]]=0,"",RANK(T_SV_MEDALS[[#This Row],[RANK VALUE]],T_SV_MEDALS[RANK VALUE])+COUNTIF($H$2:H142,H143)),"")</f>
        <v>50</v>
      </c>
      <c r="J143" s="3" t="str">
        <f>IF(I_VIEW=3, COUNTIFS(T_2016_EVENT_RESULTS[SPORT],I_SV_SPORT,T_2016_EVENT_RESULTS[Gold - Country],T_SV_MEDALS[[#This Row],[COUNTRY ABBR]])+COUNTIFS(T_2016_EVENT_RESULTS[SPORT],I_SV_SPORT,T_2016_EVENT_RESULTS[Gold - Country - 2],T_SV_MEDALS[[#This Row],[COUNTRY ABBR]]),"")</f>
        <v/>
      </c>
      <c r="K143" s="3" t="str">
        <f>IF(I_VIEW=3, COUNTIFS(T_2016_EVENT_RESULTS[SPORT],I_SV_SPORT,T_2016_EVENT_RESULTS[Silver - Country],T_SV_MEDALS[[#This Row],[COUNTRY ABBR]])+COUNTIFS(T_2016_EVENT_RESULTS[SPORT],I_SV_SPORT,T_2016_EVENT_RESULTS[Silver - Country - 2],T_SV_MEDALS[[#This Row],[COUNTRY ABBR]])+COUNTIFS(T_2016_EVENT_RESULTS[SPORT],I_SV_SPORT,T_2016_EVENT_RESULTS[Silver - Country - 3],T_SV_MEDALS[[#This Row],[COUNTRY ABBR]]),"")</f>
        <v/>
      </c>
      <c r="L143" s="3" t="str">
        <f>IF(I_VIEW=3, COUNTIFS(T_2016_EVENT_RESULTS[SPORT],I_SV_SPORT,T_2016_EVENT_RESULTS[Bronze - Country],T_SV_MEDALS[[#This Row],[COUNTRY ABBR]])+COUNTIFS(T_2016_EVENT_RESULTS[SPORT],I_SV_SPORT,T_2016_EVENT_RESULTS[Bronze - Country - 2],T_SV_MEDALS[[#This Row],[COUNTRY ABBR]]),"")</f>
        <v/>
      </c>
      <c r="M143" s="3">
        <f>SUM(T_SV_MEDALS[[#This Row],[SV_GOLD]:[SV_BRONZE]])</f>
        <v>0</v>
      </c>
      <c r="N143" s="3" t="str">
        <f>IF(T_SV_MEDALS[[#This Row],[SV_TOTAL]]=0,"",IF(I_RANK_METHOD="TOTAL",(T_SV_MEDALS[[#This Row],[SV_TOTAL]]*10000000),0)+(T_SV_MEDALS[[#This Row],[SV_GOLD]]*100000)+(T_SV_MEDALS[[#This Row],[SV_SILVER]]*1000)+(T_SV_MEDALS[[#This Row],[SV_BRONZE]]*10))</f>
        <v/>
      </c>
      <c r="O143" s="3" t="str">
        <f>IFERROR(IF(T_SV_MEDALS[[#This Row],[SV_TOTAL]]=0,"",RANK(T_SV_MEDALS[[#This Row],[SV_RANK VALUE]],T_SV_MEDALS[SV_RANK VALUE])),"")</f>
        <v/>
      </c>
      <c r="P143" s="3" t="str">
        <f>IFERROR(IF(T_SV_MEDALS[[#This Row],[SV_TOTAL]]=0,"",RANK(T_SV_MEDALS[[#This Row],[SV_RANK VALUE]],T_SV_MEDALS[SV_RANK VALUE])+COUNTIF($O$2:O142,O143)),"")</f>
        <v/>
      </c>
      <c r="Q143" s="3">
        <f>IFERROR(T_SV_MEDALS[[#This Row],[SV_TOTAL]]/T_SV_MEDALS[[#This Row],[TOTAL]],"")</f>
        <v>0</v>
      </c>
      <c r="R143" s="3" t="str">
        <f>IFERROR(IF(T_SV_MEDALS[[#This Row],[SV_TOTAL]]=0,"",RANK(T_SV_MEDALS[[#This Row],[Dependency - Rank Value]],T_SV_MEDALS[Dependency - Rank Value])+COUNTIF($Q$2:Q142,Q143)),"")</f>
        <v/>
      </c>
    </row>
    <row r="144" spans="1:18" x14ac:dyDescent="0.25">
      <c r="A144" t="s">
        <v>262</v>
      </c>
      <c r="B144" t="s">
        <v>263</v>
      </c>
      <c r="C144" s="3">
        <f>IF(I_VIEW=2,"",COUNTIFS(T_2016_EVENT_RESULTS[Gold - Country],T_SV_MEDALS[[#This Row],[COUNTRY ABBR]])+COUNTIFS(T_2016_EVENT_RESULTS[Gold - Country - 2],T_SV_MEDALS[[#This Row],[COUNTRY ABBR]]))</f>
        <v>0</v>
      </c>
      <c r="D144" s="3">
        <f>IF(I_VIEW=2,"",COUNTIFS(T_2016_EVENT_RESULTS[Silver - Country],T_SV_MEDALS[[#This Row],[COUNTRY ABBR]])+COUNTIFS(T_2016_EVENT_RESULTS[Silver - Country - 2],T_SV_MEDALS[[#This Row],[COUNTRY ABBR]])+COUNTIFS(T_2016_EVENT_RESULTS[Silver - Country - 3],T_SV_MEDALS[[#This Row],[COUNTRY ABBR]]))</f>
        <v>0</v>
      </c>
      <c r="E144" s="3">
        <f>IF(I_VIEW=2,"",COUNTIFS(T_2016_EVENT_RESULTS[Bronze - Country],T_SV_MEDALS[[#This Row],[COUNTRY ABBR]])+COUNTIFS(T_2016_EVENT_RESULTS[Bronze - Country - 2],T_SV_MEDALS[[#This Row],[COUNTRY ABBR]]))</f>
        <v>0</v>
      </c>
      <c r="F144" s="3">
        <f>SUM(T_SV_MEDALS[[#This Row],[GOLD]:[BRONZE]])</f>
        <v>0</v>
      </c>
      <c r="G144" s="3" t="str">
        <f>IF(T_SV_MEDALS[[#This Row],[TOTAL]]=0,"",IF(I_RANK_METHOD="TOTAL",(T_SV_MEDALS[[#This Row],[TOTAL]]*10000000),0)+(T_SV_MEDALS[[#This Row],[GOLD]]*100000)+(T_SV_MEDALS[[#This Row],[SILVER]]*1000)+(T_SV_MEDALS[[#This Row],[BRONZE]]*10))</f>
        <v/>
      </c>
      <c r="H144" s="3" t="str">
        <f>IFERROR(IF(T_SV_MEDALS[[#This Row],[TOTAL]]=0,"",RANK(T_SV_MEDALS[[#This Row],[RANK VALUE]],T_SV_MEDALS[RANK VALUE])),"")</f>
        <v/>
      </c>
      <c r="I144" s="3" t="str">
        <f>IFERROR(IF(T_SV_MEDALS[[#This Row],[TOTAL]]=0,"",RANK(T_SV_MEDALS[[#This Row],[RANK VALUE]],T_SV_MEDALS[RANK VALUE])+COUNTIF($H$2:H143,H144)),"")</f>
        <v/>
      </c>
      <c r="J144" s="3" t="str">
        <f>IF(I_VIEW=3, COUNTIFS(T_2016_EVENT_RESULTS[SPORT],I_SV_SPORT,T_2016_EVENT_RESULTS[Gold - Country],T_SV_MEDALS[[#This Row],[COUNTRY ABBR]])+COUNTIFS(T_2016_EVENT_RESULTS[SPORT],I_SV_SPORT,T_2016_EVENT_RESULTS[Gold - Country - 2],T_SV_MEDALS[[#This Row],[COUNTRY ABBR]]),"")</f>
        <v/>
      </c>
      <c r="K144" s="3" t="str">
        <f>IF(I_VIEW=3, COUNTIFS(T_2016_EVENT_RESULTS[SPORT],I_SV_SPORT,T_2016_EVENT_RESULTS[Silver - Country],T_SV_MEDALS[[#This Row],[COUNTRY ABBR]])+COUNTIFS(T_2016_EVENT_RESULTS[SPORT],I_SV_SPORT,T_2016_EVENT_RESULTS[Silver - Country - 2],T_SV_MEDALS[[#This Row],[COUNTRY ABBR]])+COUNTIFS(T_2016_EVENT_RESULTS[SPORT],I_SV_SPORT,T_2016_EVENT_RESULTS[Silver - Country - 3],T_SV_MEDALS[[#This Row],[COUNTRY ABBR]]),"")</f>
        <v/>
      </c>
      <c r="L144" s="3" t="str">
        <f>IF(I_VIEW=3, COUNTIFS(T_2016_EVENT_RESULTS[SPORT],I_SV_SPORT,T_2016_EVENT_RESULTS[Bronze - Country],T_SV_MEDALS[[#This Row],[COUNTRY ABBR]])+COUNTIFS(T_2016_EVENT_RESULTS[SPORT],I_SV_SPORT,T_2016_EVENT_RESULTS[Bronze - Country - 2],T_SV_MEDALS[[#This Row],[COUNTRY ABBR]]),"")</f>
        <v/>
      </c>
      <c r="M144" s="3">
        <f>SUM(T_SV_MEDALS[[#This Row],[SV_GOLD]:[SV_BRONZE]])</f>
        <v>0</v>
      </c>
      <c r="N144" s="3" t="str">
        <f>IF(T_SV_MEDALS[[#This Row],[SV_TOTAL]]=0,"",IF(I_RANK_METHOD="TOTAL",(T_SV_MEDALS[[#This Row],[SV_TOTAL]]*10000000),0)+(T_SV_MEDALS[[#This Row],[SV_GOLD]]*100000)+(T_SV_MEDALS[[#This Row],[SV_SILVER]]*1000)+(T_SV_MEDALS[[#This Row],[SV_BRONZE]]*10))</f>
        <v/>
      </c>
      <c r="O144" s="3" t="str">
        <f>IFERROR(IF(T_SV_MEDALS[[#This Row],[SV_TOTAL]]=0,"",RANK(T_SV_MEDALS[[#This Row],[SV_RANK VALUE]],T_SV_MEDALS[SV_RANK VALUE])),"")</f>
        <v/>
      </c>
      <c r="P144" s="3" t="str">
        <f>IFERROR(IF(T_SV_MEDALS[[#This Row],[SV_TOTAL]]=0,"",RANK(T_SV_MEDALS[[#This Row],[SV_RANK VALUE]],T_SV_MEDALS[SV_RANK VALUE])+COUNTIF($O$2:O143,O144)),"")</f>
        <v/>
      </c>
      <c r="Q144" s="3" t="str">
        <f>IFERROR(T_SV_MEDALS[[#This Row],[SV_TOTAL]]/T_SV_MEDALS[[#This Row],[TOTAL]],"")</f>
        <v/>
      </c>
      <c r="R144" s="3" t="str">
        <f>IFERROR(IF(T_SV_MEDALS[[#This Row],[SV_TOTAL]]=0,"",RANK(T_SV_MEDALS[[#This Row],[Dependency - Rank Value]],T_SV_MEDALS[Dependency - Rank Value])+COUNTIF($Q$2:Q143,Q144)),"")</f>
        <v/>
      </c>
    </row>
    <row r="145" spans="1:18" x14ac:dyDescent="0.25">
      <c r="A145" t="s">
        <v>264</v>
      </c>
      <c r="B145" t="s">
        <v>265</v>
      </c>
      <c r="C145" s="3">
        <f>IF(I_VIEW=2,"",COUNTIFS(T_2016_EVENT_RESULTS[Gold - Country],T_SV_MEDALS[[#This Row],[COUNTRY ABBR]])+COUNTIFS(T_2016_EVENT_RESULTS[Gold - Country - 2],T_SV_MEDALS[[#This Row],[COUNTRY ABBR]]))</f>
        <v>0</v>
      </c>
      <c r="D145" s="3">
        <f>IF(I_VIEW=2,"",COUNTIFS(T_2016_EVENT_RESULTS[Silver - Country],T_SV_MEDALS[[#This Row],[COUNTRY ABBR]])+COUNTIFS(T_2016_EVENT_RESULTS[Silver - Country - 2],T_SV_MEDALS[[#This Row],[COUNTRY ABBR]])+COUNTIFS(T_2016_EVENT_RESULTS[Silver - Country - 3],T_SV_MEDALS[[#This Row],[COUNTRY ABBR]]))</f>
        <v>0</v>
      </c>
      <c r="E145" s="3">
        <f>IF(I_VIEW=2,"",COUNTIFS(T_2016_EVENT_RESULTS[Bronze - Country],T_SV_MEDALS[[#This Row],[COUNTRY ABBR]])+COUNTIFS(T_2016_EVENT_RESULTS[Bronze - Country - 2],T_SV_MEDALS[[#This Row],[COUNTRY ABBR]]))</f>
        <v>0</v>
      </c>
      <c r="F145" s="3">
        <f>SUM(T_SV_MEDALS[[#This Row],[GOLD]:[BRONZE]])</f>
        <v>0</v>
      </c>
      <c r="G145" s="3" t="str">
        <f>IF(T_SV_MEDALS[[#This Row],[TOTAL]]=0,"",IF(I_RANK_METHOD="TOTAL",(T_SV_MEDALS[[#This Row],[TOTAL]]*10000000),0)+(T_SV_MEDALS[[#This Row],[GOLD]]*100000)+(T_SV_MEDALS[[#This Row],[SILVER]]*1000)+(T_SV_MEDALS[[#This Row],[BRONZE]]*10))</f>
        <v/>
      </c>
      <c r="H145" s="3" t="str">
        <f>IFERROR(IF(T_SV_MEDALS[[#This Row],[TOTAL]]=0,"",RANK(T_SV_MEDALS[[#This Row],[RANK VALUE]],T_SV_MEDALS[RANK VALUE])),"")</f>
        <v/>
      </c>
      <c r="I145" s="3" t="str">
        <f>IFERROR(IF(T_SV_MEDALS[[#This Row],[TOTAL]]=0,"",RANK(T_SV_MEDALS[[#This Row],[RANK VALUE]],T_SV_MEDALS[RANK VALUE])+COUNTIF($H$2:H144,H145)),"")</f>
        <v/>
      </c>
      <c r="J145" s="3" t="str">
        <f>IF(I_VIEW=3, COUNTIFS(T_2016_EVENT_RESULTS[SPORT],I_SV_SPORT,T_2016_EVENT_RESULTS[Gold - Country],T_SV_MEDALS[[#This Row],[COUNTRY ABBR]])+COUNTIFS(T_2016_EVENT_RESULTS[SPORT],I_SV_SPORT,T_2016_EVENT_RESULTS[Gold - Country - 2],T_SV_MEDALS[[#This Row],[COUNTRY ABBR]]),"")</f>
        <v/>
      </c>
      <c r="K145" s="3" t="str">
        <f>IF(I_VIEW=3, COUNTIFS(T_2016_EVENT_RESULTS[SPORT],I_SV_SPORT,T_2016_EVENT_RESULTS[Silver - Country],T_SV_MEDALS[[#This Row],[COUNTRY ABBR]])+COUNTIFS(T_2016_EVENT_RESULTS[SPORT],I_SV_SPORT,T_2016_EVENT_RESULTS[Silver - Country - 2],T_SV_MEDALS[[#This Row],[COUNTRY ABBR]])+COUNTIFS(T_2016_EVENT_RESULTS[SPORT],I_SV_SPORT,T_2016_EVENT_RESULTS[Silver - Country - 3],T_SV_MEDALS[[#This Row],[COUNTRY ABBR]]),"")</f>
        <v/>
      </c>
      <c r="L145" s="3" t="str">
        <f>IF(I_VIEW=3, COUNTIFS(T_2016_EVENT_RESULTS[SPORT],I_SV_SPORT,T_2016_EVENT_RESULTS[Bronze - Country],T_SV_MEDALS[[#This Row],[COUNTRY ABBR]])+COUNTIFS(T_2016_EVENT_RESULTS[SPORT],I_SV_SPORT,T_2016_EVENT_RESULTS[Bronze - Country - 2],T_SV_MEDALS[[#This Row],[COUNTRY ABBR]]),"")</f>
        <v/>
      </c>
      <c r="M145" s="3">
        <f>SUM(T_SV_MEDALS[[#This Row],[SV_GOLD]:[SV_BRONZE]])</f>
        <v>0</v>
      </c>
      <c r="N145" s="3" t="str">
        <f>IF(T_SV_MEDALS[[#This Row],[SV_TOTAL]]=0,"",IF(I_RANK_METHOD="TOTAL",(T_SV_MEDALS[[#This Row],[SV_TOTAL]]*10000000),0)+(T_SV_MEDALS[[#This Row],[SV_GOLD]]*100000)+(T_SV_MEDALS[[#This Row],[SV_SILVER]]*1000)+(T_SV_MEDALS[[#This Row],[SV_BRONZE]]*10))</f>
        <v/>
      </c>
      <c r="O145" s="3" t="str">
        <f>IFERROR(IF(T_SV_MEDALS[[#This Row],[SV_TOTAL]]=0,"",RANK(T_SV_MEDALS[[#This Row],[SV_RANK VALUE]],T_SV_MEDALS[SV_RANK VALUE])),"")</f>
        <v/>
      </c>
      <c r="P145" s="3" t="str">
        <f>IFERROR(IF(T_SV_MEDALS[[#This Row],[SV_TOTAL]]=0,"",RANK(T_SV_MEDALS[[#This Row],[SV_RANK VALUE]],T_SV_MEDALS[SV_RANK VALUE])+COUNTIF($O$2:O144,O145)),"")</f>
        <v/>
      </c>
      <c r="Q145" s="3" t="str">
        <f>IFERROR(T_SV_MEDALS[[#This Row],[SV_TOTAL]]/T_SV_MEDALS[[#This Row],[TOTAL]],"")</f>
        <v/>
      </c>
      <c r="R145" s="3" t="str">
        <f>IFERROR(IF(T_SV_MEDALS[[#This Row],[SV_TOTAL]]=0,"",RANK(T_SV_MEDALS[[#This Row],[Dependency - Rank Value]],T_SV_MEDALS[Dependency - Rank Value])+COUNTIF($Q$2:Q144,Q145)),"")</f>
        <v/>
      </c>
    </row>
    <row r="146" spans="1:18" x14ac:dyDescent="0.25">
      <c r="A146" t="s">
        <v>266</v>
      </c>
      <c r="B146" t="s">
        <v>267</v>
      </c>
      <c r="C146" s="3">
        <f>IF(I_VIEW=2,"",COUNTIFS(T_2016_EVENT_RESULTS[Gold - Country],T_SV_MEDALS[[#This Row],[COUNTRY ABBR]])+COUNTIFS(T_2016_EVENT_RESULTS[Gold - Country - 2],T_SV_MEDALS[[#This Row],[COUNTRY ABBR]]))</f>
        <v>0</v>
      </c>
      <c r="D146" s="3">
        <f>IF(I_VIEW=2,"",COUNTIFS(T_2016_EVENT_RESULTS[Silver - Country],T_SV_MEDALS[[#This Row],[COUNTRY ABBR]])+COUNTIFS(T_2016_EVENT_RESULTS[Silver - Country - 2],T_SV_MEDALS[[#This Row],[COUNTRY ABBR]])+COUNTIFS(T_2016_EVENT_RESULTS[Silver - Country - 3],T_SV_MEDALS[[#This Row],[COUNTRY ABBR]]))</f>
        <v>0</v>
      </c>
      <c r="E146" s="3">
        <f>IF(I_VIEW=2,"",COUNTIFS(T_2016_EVENT_RESULTS[Bronze - Country],T_SV_MEDALS[[#This Row],[COUNTRY ABBR]])+COUNTIFS(T_2016_EVENT_RESULTS[Bronze - Country - 2],T_SV_MEDALS[[#This Row],[COUNTRY ABBR]]))</f>
        <v>0</v>
      </c>
      <c r="F146" s="3">
        <f>SUM(T_SV_MEDALS[[#This Row],[GOLD]:[BRONZE]])</f>
        <v>0</v>
      </c>
      <c r="G146" s="3" t="str">
        <f>IF(T_SV_MEDALS[[#This Row],[TOTAL]]=0,"",IF(I_RANK_METHOD="TOTAL",(T_SV_MEDALS[[#This Row],[TOTAL]]*10000000),0)+(T_SV_MEDALS[[#This Row],[GOLD]]*100000)+(T_SV_MEDALS[[#This Row],[SILVER]]*1000)+(T_SV_MEDALS[[#This Row],[BRONZE]]*10))</f>
        <v/>
      </c>
      <c r="H146" s="3" t="str">
        <f>IFERROR(IF(T_SV_MEDALS[[#This Row],[TOTAL]]=0,"",RANK(T_SV_MEDALS[[#This Row],[RANK VALUE]],T_SV_MEDALS[RANK VALUE])),"")</f>
        <v/>
      </c>
      <c r="I146" s="3" t="str">
        <f>IFERROR(IF(T_SV_MEDALS[[#This Row],[TOTAL]]=0,"",RANK(T_SV_MEDALS[[#This Row],[RANK VALUE]],T_SV_MEDALS[RANK VALUE])+COUNTIF($H$2:H145,H146)),"")</f>
        <v/>
      </c>
      <c r="J146" s="3" t="str">
        <f>IF(I_VIEW=3, COUNTIFS(T_2016_EVENT_RESULTS[SPORT],I_SV_SPORT,T_2016_EVENT_RESULTS[Gold - Country],T_SV_MEDALS[[#This Row],[COUNTRY ABBR]])+COUNTIFS(T_2016_EVENT_RESULTS[SPORT],I_SV_SPORT,T_2016_EVENT_RESULTS[Gold - Country - 2],T_SV_MEDALS[[#This Row],[COUNTRY ABBR]]),"")</f>
        <v/>
      </c>
      <c r="K146" s="3" t="str">
        <f>IF(I_VIEW=3, COUNTIFS(T_2016_EVENT_RESULTS[SPORT],I_SV_SPORT,T_2016_EVENT_RESULTS[Silver - Country],T_SV_MEDALS[[#This Row],[COUNTRY ABBR]])+COUNTIFS(T_2016_EVENT_RESULTS[SPORT],I_SV_SPORT,T_2016_EVENT_RESULTS[Silver - Country - 2],T_SV_MEDALS[[#This Row],[COUNTRY ABBR]])+COUNTIFS(T_2016_EVENT_RESULTS[SPORT],I_SV_SPORT,T_2016_EVENT_RESULTS[Silver - Country - 3],T_SV_MEDALS[[#This Row],[COUNTRY ABBR]]),"")</f>
        <v/>
      </c>
      <c r="L146" s="3" t="str">
        <f>IF(I_VIEW=3, COUNTIFS(T_2016_EVENT_RESULTS[SPORT],I_SV_SPORT,T_2016_EVENT_RESULTS[Bronze - Country],T_SV_MEDALS[[#This Row],[COUNTRY ABBR]])+COUNTIFS(T_2016_EVENT_RESULTS[SPORT],I_SV_SPORT,T_2016_EVENT_RESULTS[Bronze - Country - 2],T_SV_MEDALS[[#This Row],[COUNTRY ABBR]]),"")</f>
        <v/>
      </c>
      <c r="M146" s="3">
        <f>SUM(T_SV_MEDALS[[#This Row],[SV_GOLD]:[SV_BRONZE]])</f>
        <v>0</v>
      </c>
      <c r="N146" s="3" t="str">
        <f>IF(T_SV_MEDALS[[#This Row],[SV_TOTAL]]=0,"",IF(I_RANK_METHOD="TOTAL",(T_SV_MEDALS[[#This Row],[SV_TOTAL]]*10000000),0)+(T_SV_MEDALS[[#This Row],[SV_GOLD]]*100000)+(T_SV_MEDALS[[#This Row],[SV_SILVER]]*1000)+(T_SV_MEDALS[[#This Row],[SV_BRONZE]]*10))</f>
        <v/>
      </c>
      <c r="O146" s="3" t="str">
        <f>IFERROR(IF(T_SV_MEDALS[[#This Row],[SV_TOTAL]]=0,"",RANK(T_SV_MEDALS[[#This Row],[SV_RANK VALUE]],T_SV_MEDALS[SV_RANK VALUE])),"")</f>
        <v/>
      </c>
      <c r="P146" s="3" t="str">
        <f>IFERROR(IF(T_SV_MEDALS[[#This Row],[SV_TOTAL]]=0,"",RANK(T_SV_MEDALS[[#This Row],[SV_RANK VALUE]],T_SV_MEDALS[SV_RANK VALUE])+COUNTIF($O$2:O145,O146)),"")</f>
        <v/>
      </c>
      <c r="Q146" s="3" t="str">
        <f>IFERROR(T_SV_MEDALS[[#This Row],[SV_TOTAL]]/T_SV_MEDALS[[#This Row],[TOTAL]],"")</f>
        <v/>
      </c>
      <c r="R146" s="3" t="str">
        <f>IFERROR(IF(T_SV_MEDALS[[#This Row],[SV_TOTAL]]=0,"",RANK(T_SV_MEDALS[[#This Row],[Dependency - Rank Value]],T_SV_MEDALS[Dependency - Rank Value])+COUNTIF($Q$2:Q145,Q146)),"")</f>
        <v/>
      </c>
    </row>
    <row r="147" spans="1:18" x14ac:dyDescent="0.25">
      <c r="A147" t="s">
        <v>2772</v>
      </c>
      <c r="B147" t="s">
        <v>268</v>
      </c>
      <c r="C147" s="3">
        <f>IF(I_VIEW=2,"",COUNTIFS(T_2016_EVENT_RESULTS[Gold - Country],T_SV_MEDALS[[#This Row],[COUNTRY ABBR]])+COUNTIFS(T_2016_EVENT_RESULTS[Gold - Country - 2],T_SV_MEDALS[[#This Row],[COUNTRY ABBR]]))</f>
        <v>0</v>
      </c>
      <c r="D147" s="3">
        <f>IF(I_VIEW=2,"",COUNTIFS(T_2016_EVENT_RESULTS[Silver - Country],T_SV_MEDALS[[#This Row],[COUNTRY ABBR]])+COUNTIFS(T_2016_EVENT_RESULTS[Silver - Country - 2],T_SV_MEDALS[[#This Row],[COUNTRY ABBR]])+COUNTIFS(T_2016_EVENT_RESULTS[Silver - Country - 3],T_SV_MEDALS[[#This Row],[COUNTRY ABBR]]))</f>
        <v>0</v>
      </c>
      <c r="E147" s="3">
        <f>IF(I_VIEW=2,"",COUNTIFS(T_2016_EVENT_RESULTS[Bronze - Country],T_SV_MEDALS[[#This Row],[COUNTRY ABBR]])+COUNTIFS(T_2016_EVENT_RESULTS[Bronze - Country - 2],T_SV_MEDALS[[#This Row],[COUNTRY ABBR]]))</f>
        <v>0</v>
      </c>
      <c r="F147" s="3">
        <f>SUM(T_SV_MEDALS[[#This Row],[GOLD]:[BRONZE]])</f>
        <v>0</v>
      </c>
      <c r="G147" s="3" t="str">
        <f>IF(T_SV_MEDALS[[#This Row],[TOTAL]]=0,"",IF(I_RANK_METHOD="TOTAL",(T_SV_MEDALS[[#This Row],[TOTAL]]*10000000),0)+(T_SV_MEDALS[[#This Row],[GOLD]]*100000)+(T_SV_MEDALS[[#This Row],[SILVER]]*1000)+(T_SV_MEDALS[[#This Row],[BRONZE]]*10))</f>
        <v/>
      </c>
      <c r="H147" s="3" t="str">
        <f>IFERROR(IF(T_SV_MEDALS[[#This Row],[TOTAL]]=0,"",RANK(T_SV_MEDALS[[#This Row],[RANK VALUE]],T_SV_MEDALS[RANK VALUE])),"")</f>
        <v/>
      </c>
      <c r="I147" s="3" t="str">
        <f>IFERROR(IF(T_SV_MEDALS[[#This Row],[TOTAL]]=0,"",RANK(T_SV_MEDALS[[#This Row],[RANK VALUE]],T_SV_MEDALS[RANK VALUE])+COUNTIF($H$2:H146,H147)),"")</f>
        <v/>
      </c>
      <c r="J147" s="3" t="str">
        <f>IF(I_VIEW=3, COUNTIFS(T_2016_EVENT_RESULTS[SPORT],I_SV_SPORT,T_2016_EVENT_RESULTS[Gold - Country],T_SV_MEDALS[[#This Row],[COUNTRY ABBR]])+COUNTIFS(T_2016_EVENT_RESULTS[SPORT],I_SV_SPORT,T_2016_EVENT_RESULTS[Gold - Country - 2],T_SV_MEDALS[[#This Row],[COUNTRY ABBR]]),"")</f>
        <v/>
      </c>
      <c r="K147" s="3" t="str">
        <f>IF(I_VIEW=3, COUNTIFS(T_2016_EVENT_RESULTS[SPORT],I_SV_SPORT,T_2016_EVENT_RESULTS[Silver - Country],T_SV_MEDALS[[#This Row],[COUNTRY ABBR]])+COUNTIFS(T_2016_EVENT_RESULTS[SPORT],I_SV_SPORT,T_2016_EVENT_RESULTS[Silver - Country - 2],T_SV_MEDALS[[#This Row],[COUNTRY ABBR]])+COUNTIFS(T_2016_EVENT_RESULTS[SPORT],I_SV_SPORT,T_2016_EVENT_RESULTS[Silver - Country - 3],T_SV_MEDALS[[#This Row],[COUNTRY ABBR]]),"")</f>
        <v/>
      </c>
      <c r="L147" s="3" t="str">
        <f>IF(I_VIEW=3, COUNTIFS(T_2016_EVENT_RESULTS[SPORT],I_SV_SPORT,T_2016_EVENT_RESULTS[Bronze - Country],T_SV_MEDALS[[#This Row],[COUNTRY ABBR]])+COUNTIFS(T_2016_EVENT_RESULTS[SPORT],I_SV_SPORT,T_2016_EVENT_RESULTS[Bronze - Country - 2],T_SV_MEDALS[[#This Row],[COUNTRY ABBR]]),"")</f>
        <v/>
      </c>
      <c r="M147" s="3">
        <f>SUM(T_SV_MEDALS[[#This Row],[SV_GOLD]:[SV_BRONZE]])</f>
        <v>0</v>
      </c>
      <c r="N147" s="3" t="str">
        <f>IF(T_SV_MEDALS[[#This Row],[SV_TOTAL]]=0,"",IF(I_RANK_METHOD="TOTAL",(T_SV_MEDALS[[#This Row],[SV_TOTAL]]*10000000),0)+(T_SV_MEDALS[[#This Row],[SV_GOLD]]*100000)+(T_SV_MEDALS[[#This Row],[SV_SILVER]]*1000)+(T_SV_MEDALS[[#This Row],[SV_BRONZE]]*10))</f>
        <v/>
      </c>
      <c r="O147" s="3" t="str">
        <f>IFERROR(IF(T_SV_MEDALS[[#This Row],[SV_TOTAL]]=0,"",RANK(T_SV_MEDALS[[#This Row],[SV_RANK VALUE]],T_SV_MEDALS[SV_RANK VALUE])),"")</f>
        <v/>
      </c>
      <c r="P147" s="3" t="str">
        <f>IFERROR(IF(T_SV_MEDALS[[#This Row],[SV_TOTAL]]=0,"",RANK(T_SV_MEDALS[[#This Row],[SV_RANK VALUE]],T_SV_MEDALS[SV_RANK VALUE])+COUNTIF($O$2:O146,O147)),"")</f>
        <v/>
      </c>
      <c r="Q147" s="3" t="str">
        <f>IFERROR(T_SV_MEDALS[[#This Row],[SV_TOTAL]]/T_SV_MEDALS[[#This Row],[TOTAL]],"")</f>
        <v/>
      </c>
      <c r="R147" s="3" t="str">
        <f>IFERROR(IF(T_SV_MEDALS[[#This Row],[SV_TOTAL]]=0,"",RANK(T_SV_MEDALS[[#This Row],[Dependency - Rank Value]],T_SV_MEDALS[Dependency - Rank Value])+COUNTIF($Q$2:Q146,Q147)),"")</f>
        <v/>
      </c>
    </row>
    <row r="148" spans="1:18" x14ac:dyDescent="0.25">
      <c r="A148" t="s">
        <v>269</v>
      </c>
      <c r="B148" t="s">
        <v>270</v>
      </c>
      <c r="C148" s="3">
        <f>IF(I_VIEW=2,"",COUNTIFS(T_2016_EVENT_RESULTS[Gold - Country],T_SV_MEDALS[[#This Row],[COUNTRY ABBR]])+COUNTIFS(T_2016_EVENT_RESULTS[Gold - Country - 2],T_SV_MEDALS[[#This Row],[COUNTRY ABBR]]))</f>
        <v>0</v>
      </c>
      <c r="D148" s="3">
        <f>IF(I_VIEW=2,"",COUNTIFS(T_2016_EVENT_RESULTS[Silver - Country],T_SV_MEDALS[[#This Row],[COUNTRY ABBR]])+COUNTIFS(T_2016_EVENT_RESULTS[Silver - Country - 2],T_SV_MEDALS[[#This Row],[COUNTRY ABBR]])+COUNTIFS(T_2016_EVENT_RESULTS[Silver - Country - 3],T_SV_MEDALS[[#This Row],[COUNTRY ABBR]]))</f>
        <v>0</v>
      </c>
      <c r="E148" s="3">
        <f>IF(I_VIEW=2,"",COUNTIFS(T_2016_EVENT_RESULTS[Bronze - Country],T_SV_MEDALS[[#This Row],[COUNTRY ABBR]])+COUNTIFS(T_2016_EVENT_RESULTS[Bronze - Country - 2],T_SV_MEDALS[[#This Row],[COUNTRY ABBR]]))</f>
        <v>0</v>
      </c>
      <c r="F148" s="3">
        <f>SUM(T_SV_MEDALS[[#This Row],[GOLD]:[BRONZE]])</f>
        <v>0</v>
      </c>
      <c r="G148" s="3" t="str">
        <f>IF(T_SV_MEDALS[[#This Row],[TOTAL]]=0,"",IF(I_RANK_METHOD="TOTAL",(T_SV_MEDALS[[#This Row],[TOTAL]]*10000000),0)+(T_SV_MEDALS[[#This Row],[GOLD]]*100000)+(T_SV_MEDALS[[#This Row],[SILVER]]*1000)+(T_SV_MEDALS[[#This Row],[BRONZE]]*10))</f>
        <v/>
      </c>
      <c r="H148" s="3" t="str">
        <f>IFERROR(IF(T_SV_MEDALS[[#This Row],[TOTAL]]=0,"",RANK(T_SV_MEDALS[[#This Row],[RANK VALUE]],T_SV_MEDALS[RANK VALUE])),"")</f>
        <v/>
      </c>
      <c r="I148" s="3" t="str">
        <f>IFERROR(IF(T_SV_MEDALS[[#This Row],[TOTAL]]=0,"",RANK(T_SV_MEDALS[[#This Row],[RANK VALUE]],T_SV_MEDALS[RANK VALUE])+COUNTIF($H$2:H147,H148)),"")</f>
        <v/>
      </c>
      <c r="J148" s="3" t="str">
        <f>IF(I_VIEW=3, COUNTIFS(T_2016_EVENT_RESULTS[SPORT],I_SV_SPORT,T_2016_EVENT_RESULTS[Gold - Country],T_SV_MEDALS[[#This Row],[COUNTRY ABBR]])+COUNTIFS(T_2016_EVENT_RESULTS[SPORT],I_SV_SPORT,T_2016_EVENT_RESULTS[Gold - Country - 2],T_SV_MEDALS[[#This Row],[COUNTRY ABBR]]),"")</f>
        <v/>
      </c>
      <c r="K148" s="3" t="str">
        <f>IF(I_VIEW=3, COUNTIFS(T_2016_EVENT_RESULTS[SPORT],I_SV_SPORT,T_2016_EVENT_RESULTS[Silver - Country],T_SV_MEDALS[[#This Row],[COUNTRY ABBR]])+COUNTIFS(T_2016_EVENT_RESULTS[SPORT],I_SV_SPORT,T_2016_EVENT_RESULTS[Silver - Country - 2],T_SV_MEDALS[[#This Row],[COUNTRY ABBR]])+COUNTIFS(T_2016_EVENT_RESULTS[SPORT],I_SV_SPORT,T_2016_EVENT_RESULTS[Silver - Country - 3],T_SV_MEDALS[[#This Row],[COUNTRY ABBR]]),"")</f>
        <v/>
      </c>
      <c r="L148" s="3" t="str">
        <f>IF(I_VIEW=3, COUNTIFS(T_2016_EVENT_RESULTS[SPORT],I_SV_SPORT,T_2016_EVENT_RESULTS[Bronze - Country],T_SV_MEDALS[[#This Row],[COUNTRY ABBR]])+COUNTIFS(T_2016_EVENT_RESULTS[SPORT],I_SV_SPORT,T_2016_EVENT_RESULTS[Bronze - Country - 2],T_SV_MEDALS[[#This Row],[COUNTRY ABBR]]),"")</f>
        <v/>
      </c>
      <c r="M148" s="3">
        <f>SUM(T_SV_MEDALS[[#This Row],[SV_GOLD]:[SV_BRONZE]])</f>
        <v>0</v>
      </c>
      <c r="N148" s="3" t="str">
        <f>IF(T_SV_MEDALS[[#This Row],[SV_TOTAL]]=0,"",IF(I_RANK_METHOD="TOTAL",(T_SV_MEDALS[[#This Row],[SV_TOTAL]]*10000000),0)+(T_SV_MEDALS[[#This Row],[SV_GOLD]]*100000)+(T_SV_MEDALS[[#This Row],[SV_SILVER]]*1000)+(T_SV_MEDALS[[#This Row],[SV_BRONZE]]*10))</f>
        <v/>
      </c>
      <c r="O148" s="3" t="str">
        <f>IFERROR(IF(T_SV_MEDALS[[#This Row],[SV_TOTAL]]=0,"",RANK(T_SV_MEDALS[[#This Row],[SV_RANK VALUE]],T_SV_MEDALS[SV_RANK VALUE])),"")</f>
        <v/>
      </c>
      <c r="P148" s="3" t="str">
        <f>IFERROR(IF(T_SV_MEDALS[[#This Row],[SV_TOTAL]]=0,"",RANK(T_SV_MEDALS[[#This Row],[SV_RANK VALUE]],T_SV_MEDALS[SV_RANK VALUE])+COUNTIF($O$2:O147,O148)),"")</f>
        <v/>
      </c>
      <c r="Q148" s="3" t="str">
        <f>IFERROR(T_SV_MEDALS[[#This Row],[SV_TOTAL]]/T_SV_MEDALS[[#This Row],[TOTAL]],"")</f>
        <v/>
      </c>
      <c r="R148" s="3" t="str">
        <f>IFERROR(IF(T_SV_MEDALS[[#This Row],[SV_TOTAL]]=0,"",RANK(T_SV_MEDALS[[#This Row],[Dependency - Rank Value]],T_SV_MEDALS[Dependency - Rank Value])+COUNTIF($Q$2:Q147,Q148)),"")</f>
        <v/>
      </c>
    </row>
    <row r="149" spans="1:18" x14ac:dyDescent="0.25">
      <c r="A149" t="s">
        <v>271</v>
      </c>
      <c r="B149" t="s">
        <v>272</v>
      </c>
      <c r="C149" s="3">
        <f>IF(I_VIEW=2,"",COUNTIFS(T_2016_EVENT_RESULTS[Gold - Country],T_SV_MEDALS[[#This Row],[COUNTRY ABBR]])+COUNTIFS(T_2016_EVENT_RESULTS[Gold - Country - 2],T_SV_MEDALS[[#This Row],[COUNTRY ABBR]]))</f>
        <v>0</v>
      </c>
      <c r="D149" s="3">
        <f>IF(I_VIEW=2,"",COUNTIFS(T_2016_EVENT_RESULTS[Silver - Country],T_SV_MEDALS[[#This Row],[COUNTRY ABBR]])+COUNTIFS(T_2016_EVENT_RESULTS[Silver - Country - 2],T_SV_MEDALS[[#This Row],[COUNTRY ABBR]])+COUNTIFS(T_2016_EVENT_RESULTS[Silver - Country - 3],T_SV_MEDALS[[#This Row],[COUNTRY ABBR]]))</f>
        <v>0</v>
      </c>
      <c r="E149" s="3">
        <f>IF(I_VIEW=2,"",COUNTIFS(T_2016_EVENT_RESULTS[Bronze - Country],T_SV_MEDALS[[#This Row],[COUNTRY ABBR]])+COUNTIFS(T_2016_EVENT_RESULTS[Bronze - Country - 2],T_SV_MEDALS[[#This Row],[COUNTRY ABBR]]))</f>
        <v>0</v>
      </c>
      <c r="F149" s="3">
        <f>SUM(T_SV_MEDALS[[#This Row],[GOLD]:[BRONZE]])</f>
        <v>0</v>
      </c>
      <c r="G149" s="3" t="str">
        <f>IF(T_SV_MEDALS[[#This Row],[TOTAL]]=0,"",IF(I_RANK_METHOD="TOTAL",(T_SV_MEDALS[[#This Row],[TOTAL]]*10000000),0)+(T_SV_MEDALS[[#This Row],[GOLD]]*100000)+(T_SV_MEDALS[[#This Row],[SILVER]]*1000)+(T_SV_MEDALS[[#This Row],[BRONZE]]*10))</f>
        <v/>
      </c>
      <c r="H149" s="3" t="str">
        <f>IFERROR(IF(T_SV_MEDALS[[#This Row],[TOTAL]]=0,"",RANK(T_SV_MEDALS[[#This Row],[RANK VALUE]],T_SV_MEDALS[RANK VALUE])),"")</f>
        <v/>
      </c>
      <c r="I149" s="3" t="str">
        <f>IFERROR(IF(T_SV_MEDALS[[#This Row],[TOTAL]]=0,"",RANK(T_SV_MEDALS[[#This Row],[RANK VALUE]],T_SV_MEDALS[RANK VALUE])+COUNTIF($H$2:H148,H149)),"")</f>
        <v/>
      </c>
      <c r="J149" s="3" t="str">
        <f>IF(I_VIEW=3, COUNTIFS(T_2016_EVENT_RESULTS[SPORT],I_SV_SPORT,T_2016_EVENT_RESULTS[Gold - Country],T_SV_MEDALS[[#This Row],[COUNTRY ABBR]])+COUNTIFS(T_2016_EVENT_RESULTS[SPORT],I_SV_SPORT,T_2016_EVENT_RESULTS[Gold - Country - 2],T_SV_MEDALS[[#This Row],[COUNTRY ABBR]]),"")</f>
        <v/>
      </c>
      <c r="K149" s="3" t="str">
        <f>IF(I_VIEW=3, COUNTIFS(T_2016_EVENT_RESULTS[SPORT],I_SV_SPORT,T_2016_EVENT_RESULTS[Silver - Country],T_SV_MEDALS[[#This Row],[COUNTRY ABBR]])+COUNTIFS(T_2016_EVENT_RESULTS[SPORT],I_SV_SPORT,T_2016_EVENT_RESULTS[Silver - Country - 2],T_SV_MEDALS[[#This Row],[COUNTRY ABBR]])+COUNTIFS(T_2016_EVENT_RESULTS[SPORT],I_SV_SPORT,T_2016_EVENT_RESULTS[Silver - Country - 3],T_SV_MEDALS[[#This Row],[COUNTRY ABBR]]),"")</f>
        <v/>
      </c>
      <c r="L149" s="3" t="str">
        <f>IF(I_VIEW=3, COUNTIFS(T_2016_EVENT_RESULTS[SPORT],I_SV_SPORT,T_2016_EVENT_RESULTS[Bronze - Country],T_SV_MEDALS[[#This Row],[COUNTRY ABBR]])+COUNTIFS(T_2016_EVENT_RESULTS[SPORT],I_SV_SPORT,T_2016_EVENT_RESULTS[Bronze - Country - 2],T_SV_MEDALS[[#This Row],[COUNTRY ABBR]]),"")</f>
        <v/>
      </c>
      <c r="M149" s="3">
        <f>SUM(T_SV_MEDALS[[#This Row],[SV_GOLD]:[SV_BRONZE]])</f>
        <v>0</v>
      </c>
      <c r="N149" s="3" t="str">
        <f>IF(T_SV_MEDALS[[#This Row],[SV_TOTAL]]=0,"",IF(I_RANK_METHOD="TOTAL",(T_SV_MEDALS[[#This Row],[SV_TOTAL]]*10000000),0)+(T_SV_MEDALS[[#This Row],[SV_GOLD]]*100000)+(T_SV_MEDALS[[#This Row],[SV_SILVER]]*1000)+(T_SV_MEDALS[[#This Row],[SV_BRONZE]]*10))</f>
        <v/>
      </c>
      <c r="O149" s="3" t="str">
        <f>IFERROR(IF(T_SV_MEDALS[[#This Row],[SV_TOTAL]]=0,"",RANK(T_SV_MEDALS[[#This Row],[SV_RANK VALUE]],T_SV_MEDALS[SV_RANK VALUE])),"")</f>
        <v/>
      </c>
      <c r="P149" s="3" t="str">
        <f>IFERROR(IF(T_SV_MEDALS[[#This Row],[SV_TOTAL]]=0,"",RANK(T_SV_MEDALS[[#This Row],[SV_RANK VALUE]],T_SV_MEDALS[SV_RANK VALUE])+COUNTIF($O$2:O148,O149)),"")</f>
        <v/>
      </c>
      <c r="Q149" s="3" t="str">
        <f>IFERROR(T_SV_MEDALS[[#This Row],[SV_TOTAL]]/T_SV_MEDALS[[#This Row],[TOTAL]],"")</f>
        <v/>
      </c>
      <c r="R149" s="3" t="str">
        <f>IFERROR(IF(T_SV_MEDALS[[#This Row],[SV_TOTAL]]=0,"",RANK(T_SV_MEDALS[[#This Row],[Dependency - Rank Value]],T_SV_MEDALS[Dependency - Rank Value])+COUNTIF($Q$2:Q148,Q149)),"")</f>
        <v/>
      </c>
    </row>
    <row r="150" spans="1:18" x14ac:dyDescent="0.25">
      <c r="A150" t="s">
        <v>273</v>
      </c>
      <c r="B150" t="s">
        <v>274</v>
      </c>
      <c r="C150" s="3">
        <f>IF(I_VIEW=2,"",COUNTIFS(T_2016_EVENT_RESULTS[Gold - Country],T_SV_MEDALS[[#This Row],[COUNTRY ABBR]])+COUNTIFS(T_2016_EVENT_RESULTS[Gold - Country - 2],T_SV_MEDALS[[#This Row],[COUNTRY ABBR]]))</f>
        <v>0</v>
      </c>
      <c r="D150" s="3">
        <f>IF(I_VIEW=2,"",COUNTIFS(T_2016_EVENT_RESULTS[Silver - Country],T_SV_MEDALS[[#This Row],[COUNTRY ABBR]])+COUNTIFS(T_2016_EVENT_RESULTS[Silver - Country - 2],T_SV_MEDALS[[#This Row],[COUNTRY ABBR]])+COUNTIFS(T_2016_EVENT_RESULTS[Silver - Country - 3],T_SV_MEDALS[[#This Row],[COUNTRY ABBR]]))</f>
        <v>0</v>
      </c>
      <c r="E150" s="3">
        <f>IF(I_VIEW=2,"",COUNTIFS(T_2016_EVENT_RESULTS[Bronze - Country],T_SV_MEDALS[[#This Row],[COUNTRY ABBR]])+COUNTIFS(T_2016_EVENT_RESULTS[Bronze - Country - 2],T_SV_MEDALS[[#This Row],[COUNTRY ABBR]]))</f>
        <v>0</v>
      </c>
      <c r="F150" s="3">
        <f>SUM(T_SV_MEDALS[[#This Row],[GOLD]:[BRONZE]])</f>
        <v>0</v>
      </c>
      <c r="G150" s="3" t="str">
        <f>IF(T_SV_MEDALS[[#This Row],[TOTAL]]=0,"",IF(I_RANK_METHOD="TOTAL",(T_SV_MEDALS[[#This Row],[TOTAL]]*10000000),0)+(T_SV_MEDALS[[#This Row],[GOLD]]*100000)+(T_SV_MEDALS[[#This Row],[SILVER]]*1000)+(T_SV_MEDALS[[#This Row],[BRONZE]]*10))</f>
        <v/>
      </c>
      <c r="H150" s="3" t="str">
        <f>IFERROR(IF(T_SV_MEDALS[[#This Row],[TOTAL]]=0,"",RANK(T_SV_MEDALS[[#This Row],[RANK VALUE]],T_SV_MEDALS[RANK VALUE])),"")</f>
        <v/>
      </c>
      <c r="I150" s="3" t="str">
        <f>IFERROR(IF(T_SV_MEDALS[[#This Row],[TOTAL]]=0,"",RANK(T_SV_MEDALS[[#This Row],[RANK VALUE]],T_SV_MEDALS[RANK VALUE])+COUNTIF($H$2:H149,H150)),"")</f>
        <v/>
      </c>
      <c r="J150" s="3" t="str">
        <f>IF(I_VIEW=3, COUNTIFS(T_2016_EVENT_RESULTS[SPORT],I_SV_SPORT,T_2016_EVENT_RESULTS[Gold - Country],T_SV_MEDALS[[#This Row],[COUNTRY ABBR]])+COUNTIFS(T_2016_EVENT_RESULTS[SPORT],I_SV_SPORT,T_2016_EVENT_RESULTS[Gold - Country - 2],T_SV_MEDALS[[#This Row],[COUNTRY ABBR]]),"")</f>
        <v/>
      </c>
      <c r="K150" s="3" t="str">
        <f>IF(I_VIEW=3, COUNTIFS(T_2016_EVENT_RESULTS[SPORT],I_SV_SPORT,T_2016_EVENT_RESULTS[Silver - Country],T_SV_MEDALS[[#This Row],[COUNTRY ABBR]])+COUNTIFS(T_2016_EVENT_RESULTS[SPORT],I_SV_SPORT,T_2016_EVENT_RESULTS[Silver - Country - 2],T_SV_MEDALS[[#This Row],[COUNTRY ABBR]])+COUNTIFS(T_2016_EVENT_RESULTS[SPORT],I_SV_SPORT,T_2016_EVENT_RESULTS[Silver - Country - 3],T_SV_MEDALS[[#This Row],[COUNTRY ABBR]]),"")</f>
        <v/>
      </c>
      <c r="L150" s="3" t="str">
        <f>IF(I_VIEW=3, COUNTIFS(T_2016_EVENT_RESULTS[SPORT],I_SV_SPORT,T_2016_EVENT_RESULTS[Bronze - Country],T_SV_MEDALS[[#This Row],[COUNTRY ABBR]])+COUNTIFS(T_2016_EVENT_RESULTS[SPORT],I_SV_SPORT,T_2016_EVENT_RESULTS[Bronze - Country - 2],T_SV_MEDALS[[#This Row],[COUNTRY ABBR]]),"")</f>
        <v/>
      </c>
      <c r="M150" s="3">
        <f>SUM(T_SV_MEDALS[[#This Row],[SV_GOLD]:[SV_BRONZE]])</f>
        <v>0</v>
      </c>
      <c r="N150" s="3" t="str">
        <f>IF(T_SV_MEDALS[[#This Row],[SV_TOTAL]]=0,"",IF(I_RANK_METHOD="TOTAL",(T_SV_MEDALS[[#This Row],[SV_TOTAL]]*10000000),0)+(T_SV_MEDALS[[#This Row],[SV_GOLD]]*100000)+(T_SV_MEDALS[[#This Row],[SV_SILVER]]*1000)+(T_SV_MEDALS[[#This Row],[SV_BRONZE]]*10))</f>
        <v/>
      </c>
      <c r="O150" s="3" t="str">
        <f>IFERROR(IF(T_SV_MEDALS[[#This Row],[SV_TOTAL]]=0,"",RANK(T_SV_MEDALS[[#This Row],[SV_RANK VALUE]],T_SV_MEDALS[SV_RANK VALUE])),"")</f>
        <v/>
      </c>
      <c r="P150" s="3" t="str">
        <f>IFERROR(IF(T_SV_MEDALS[[#This Row],[SV_TOTAL]]=0,"",RANK(T_SV_MEDALS[[#This Row],[SV_RANK VALUE]],T_SV_MEDALS[SV_RANK VALUE])+COUNTIF($O$2:O149,O150)),"")</f>
        <v/>
      </c>
      <c r="Q150" s="3" t="str">
        <f>IFERROR(T_SV_MEDALS[[#This Row],[SV_TOTAL]]/T_SV_MEDALS[[#This Row],[TOTAL]],"")</f>
        <v/>
      </c>
      <c r="R150" s="3" t="str">
        <f>IFERROR(IF(T_SV_MEDALS[[#This Row],[SV_TOTAL]]=0,"",RANK(T_SV_MEDALS[[#This Row],[Dependency - Rank Value]],T_SV_MEDALS[Dependency - Rank Value])+COUNTIF($Q$2:Q149,Q150)),"")</f>
        <v/>
      </c>
    </row>
    <row r="151" spans="1:18" x14ac:dyDescent="0.25">
      <c r="A151" t="s">
        <v>275</v>
      </c>
      <c r="B151" t="s">
        <v>276</v>
      </c>
      <c r="C151" s="3">
        <f>IF(I_VIEW=2,"",COUNTIFS(T_2016_EVENT_RESULTS[Gold - Country],T_SV_MEDALS[[#This Row],[COUNTRY ABBR]])+COUNTIFS(T_2016_EVENT_RESULTS[Gold - Country - 2],T_SV_MEDALS[[#This Row],[COUNTRY ABBR]]))</f>
        <v>0</v>
      </c>
      <c r="D151" s="3">
        <f>IF(I_VIEW=2,"",COUNTIFS(T_2016_EVENT_RESULTS[Silver - Country],T_SV_MEDALS[[#This Row],[COUNTRY ABBR]])+COUNTIFS(T_2016_EVENT_RESULTS[Silver - Country - 2],T_SV_MEDALS[[#This Row],[COUNTRY ABBR]])+COUNTIFS(T_2016_EVENT_RESULTS[Silver - Country - 3],T_SV_MEDALS[[#This Row],[COUNTRY ABBR]]))</f>
        <v>0</v>
      </c>
      <c r="E151" s="3">
        <f>IF(I_VIEW=2,"",COUNTIFS(T_2016_EVENT_RESULTS[Bronze - Country],T_SV_MEDALS[[#This Row],[COUNTRY ABBR]])+COUNTIFS(T_2016_EVENT_RESULTS[Bronze - Country - 2],T_SV_MEDALS[[#This Row],[COUNTRY ABBR]]))</f>
        <v>0</v>
      </c>
      <c r="F151" s="3">
        <f>SUM(T_SV_MEDALS[[#This Row],[GOLD]:[BRONZE]])</f>
        <v>0</v>
      </c>
      <c r="G151" s="3" t="str">
        <f>IF(T_SV_MEDALS[[#This Row],[TOTAL]]=0,"",IF(I_RANK_METHOD="TOTAL",(T_SV_MEDALS[[#This Row],[TOTAL]]*10000000),0)+(T_SV_MEDALS[[#This Row],[GOLD]]*100000)+(T_SV_MEDALS[[#This Row],[SILVER]]*1000)+(T_SV_MEDALS[[#This Row],[BRONZE]]*10))</f>
        <v/>
      </c>
      <c r="H151" s="3" t="str">
        <f>IFERROR(IF(T_SV_MEDALS[[#This Row],[TOTAL]]=0,"",RANK(T_SV_MEDALS[[#This Row],[RANK VALUE]],T_SV_MEDALS[RANK VALUE])),"")</f>
        <v/>
      </c>
      <c r="I151" s="3" t="str">
        <f>IFERROR(IF(T_SV_MEDALS[[#This Row],[TOTAL]]=0,"",RANK(T_SV_MEDALS[[#This Row],[RANK VALUE]],T_SV_MEDALS[RANK VALUE])+COUNTIF($H$2:H150,H151)),"")</f>
        <v/>
      </c>
      <c r="J151" s="3" t="str">
        <f>IF(I_VIEW=3, COUNTIFS(T_2016_EVENT_RESULTS[SPORT],I_SV_SPORT,T_2016_EVENT_RESULTS[Gold - Country],T_SV_MEDALS[[#This Row],[COUNTRY ABBR]])+COUNTIFS(T_2016_EVENT_RESULTS[SPORT],I_SV_SPORT,T_2016_EVENT_RESULTS[Gold - Country - 2],T_SV_MEDALS[[#This Row],[COUNTRY ABBR]]),"")</f>
        <v/>
      </c>
      <c r="K151" s="3" t="str">
        <f>IF(I_VIEW=3, COUNTIFS(T_2016_EVENT_RESULTS[SPORT],I_SV_SPORT,T_2016_EVENT_RESULTS[Silver - Country],T_SV_MEDALS[[#This Row],[COUNTRY ABBR]])+COUNTIFS(T_2016_EVENT_RESULTS[SPORT],I_SV_SPORT,T_2016_EVENT_RESULTS[Silver - Country - 2],T_SV_MEDALS[[#This Row],[COUNTRY ABBR]])+COUNTIFS(T_2016_EVENT_RESULTS[SPORT],I_SV_SPORT,T_2016_EVENT_RESULTS[Silver - Country - 3],T_SV_MEDALS[[#This Row],[COUNTRY ABBR]]),"")</f>
        <v/>
      </c>
      <c r="L151" s="3" t="str">
        <f>IF(I_VIEW=3, COUNTIFS(T_2016_EVENT_RESULTS[SPORT],I_SV_SPORT,T_2016_EVENT_RESULTS[Bronze - Country],T_SV_MEDALS[[#This Row],[COUNTRY ABBR]])+COUNTIFS(T_2016_EVENT_RESULTS[SPORT],I_SV_SPORT,T_2016_EVENT_RESULTS[Bronze - Country - 2],T_SV_MEDALS[[#This Row],[COUNTRY ABBR]]),"")</f>
        <v/>
      </c>
      <c r="M151" s="3">
        <f>SUM(T_SV_MEDALS[[#This Row],[SV_GOLD]:[SV_BRONZE]])</f>
        <v>0</v>
      </c>
      <c r="N151" s="3" t="str">
        <f>IF(T_SV_MEDALS[[#This Row],[SV_TOTAL]]=0,"",IF(I_RANK_METHOD="TOTAL",(T_SV_MEDALS[[#This Row],[SV_TOTAL]]*10000000),0)+(T_SV_MEDALS[[#This Row],[SV_GOLD]]*100000)+(T_SV_MEDALS[[#This Row],[SV_SILVER]]*1000)+(T_SV_MEDALS[[#This Row],[SV_BRONZE]]*10))</f>
        <v/>
      </c>
      <c r="O151" s="3" t="str">
        <f>IFERROR(IF(T_SV_MEDALS[[#This Row],[SV_TOTAL]]=0,"",RANK(T_SV_MEDALS[[#This Row],[SV_RANK VALUE]],T_SV_MEDALS[SV_RANK VALUE])),"")</f>
        <v/>
      </c>
      <c r="P151" s="3" t="str">
        <f>IFERROR(IF(T_SV_MEDALS[[#This Row],[SV_TOTAL]]=0,"",RANK(T_SV_MEDALS[[#This Row],[SV_RANK VALUE]],T_SV_MEDALS[SV_RANK VALUE])+COUNTIF($O$2:O150,O151)),"")</f>
        <v/>
      </c>
      <c r="Q151" s="3" t="str">
        <f>IFERROR(T_SV_MEDALS[[#This Row],[SV_TOTAL]]/T_SV_MEDALS[[#This Row],[TOTAL]],"")</f>
        <v/>
      </c>
      <c r="R151" s="3" t="str">
        <f>IFERROR(IF(T_SV_MEDALS[[#This Row],[SV_TOTAL]]=0,"",RANK(T_SV_MEDALS[[#This Row],[Dependency - Rank Value]],T_SV_MEDALS[Dependency - Rank Value])+COUNTIF($Q$2:Q150,Q151)),"")</f>
        <v/>
      </c>
    </row>
    <row r="152" spans="1:18" x14ac:dyDescent="0.25">
      <c r="A152" t="s">
        <v>277</v>
      </c>
      <c r="B152" t="s">
        <v>278</v>
      </c>
      <c r="C152" s="3">
        <f>IF(I_VIEW=2,"",COUNTIFS(T_2016_EVENT_RESULTS[Gold - Country],T_SV_MEDALS[[#This Row],[COUNTRY ABBR]])+COUNTIFS(T_2016_EVENT_RESULTS[Gold - Country - 2],T_SV_MEDALS[[#This Row],[COUNTRY ABBR]]))</f>
        <v>0</v>
      </c>
      <c r="D152" s="3">
        <f>IF(I_VIEW=2,"",COUNTIFS(T_2016_EVENT_RESULTS[Silver - Country],T_SV_MEDALS[[#This Row],[COUNTRY ABBR]])+COUNTIFS(T_2016_EVENT_RESULTS[Silver - Country - 2],T_SV_MEDALS[[#This Row],[COUNTRY ABBR]])+COUNTIFS(T_2016_EVENT_RESULTS[Silver - Country - 3],T_SV_MEDALS[[#This Row],[COUNTRY ABBR]]))</f>
        <v>1</v>
      </c>
      <c r="E152" s="3">
        <f>IF(I_VIEW=2,"",COUNTIFS(T_2016_EVENT_RESULTS[Bronze - Country],T_SV_MEDALS[[#This Row],[COUNTRY ABBR]])+COUNTIFS(T_2016_EVENT_RESULTS[Bronze - Country - 2],T_SV_MEDALS[[#This Row],[COUNTRY ABBR]]))</f>
        <v>0</v>
      </c>
      <c r="F152" s="3">
        <f>SUM(T_SV_MEDALS[[#This Row],[GOLD]:[BRONZE]])</f>
        <v>1</v>
      </c>
      <c r="G152" s="3">
        <f>IF(T_SV_MEDALS[[#This Row],[TOTAL]]=0,"",IF(I_RANK_METHOD="TOTAL",(T_SV_MEDALS[[#This Row],[TOTAL]]*10000000),0)+(T_SV_MEDALS[[#This Row],[GOLD]]*100000)+(T_SV_MEDALS[[#This Row],[SILVER]]*1000)+(T_SV_MEDALS[[#This Row],[BRONZE]]*10))</f>
        <v>10001000</v>
      </c>
      <c r="H152" s="3">
        <f>IFERROR(IF(T_SV_MEDALS[[#This Row],[TOTAL]]=0,"",RANK(T_SV_MEDALS[[#This Row],[RANK VALUE]],T_SV_MEDALS[RANK VALUE])),"")</f>
        <v>73</v>
      </c>
      <c r="I152" s="3">
        <f>IFERROR(IF(T_SV_MEDALS[[#This Row],[TOTAL]]=0,"",RANK(T_SV_MEDALS[[#This Row],[RANK VALUE]],T_SV_MEDALS[RANK VALUE])+COUNTIF($H$2:H151,H152)),"")</f>
        <v>76</v>
      </c>
      <c r="J152" s="3" t="str">
        <f>IF(I_VIEW=3, COUNTIFS(T_2016_EVENT_RESULTS[SPORT],I_SV_SPORT,T_2016_EVENT_RESULTS[Gold - Country],T_SV_MEDALS[[#This Row],[COUNTRY ABBR]])+COUNTIFS(T_2016_EVENT_RESULTS[SPORT],I_SV_SPORT,T_2016_EVENT_RESULTS[Gold - Country - 2],T_SV_MEDALS[[#This Row],[COUNTRY ABBR]]),"")</f>
        <v/>
      </c>
      <c r="K152" s="3" t="str">
        <f>IF(I_VIEW=3, COUNTIFS(T_2016_EVENT_RESULTS[SPORT],I_SV_SPORT,T_2016_EVENT_RESULTS[Silver - Country],T_SV_MEDALS[[#This Row],[COUNTRY ABBR]])+COUNTIFS(T_2016_EVENT_RESULTS[SPORT],I_SV_SPORT,T_2016_EVENT_RESULTS[Silver - Country - 2],T_SV_MEDALS[[#This Row],[COUNTRY ABBR]])+COUNTIFS(T_2016_EVENT_RESULTS[SPORT],I_SV_SPORT,T_2016_EVENT_RESULTS[Silver - Country - 3],T_SV_MEDALS[[#This Row],[COUNTRY ABBR]]),"")</f>
        <v/>
      </c>
      <c r="L152" s="3" t="str">
        <f>IF(I_VIEW=3, COUNTIFS(T_2016_EVENT_RESULTS[SPORT],I_SV_SPORT,T_2016_EVENT_RESULTS[Bronze - Country],T_SV_MEDALS[[#This Row],[COUNTRY ABBR]])+COUNTIFS(T_2016_EVENT_RESULTS[SPORT],I_SV_SPORT,T_2016_EVENT_RESULTS[Bronze - Country - 2],T_SV_MEDALS[[#This Row],[COUNTRY ABBR]]),"")</f>
        <v/>
      </c>
      <c r="M152" s="3">
        <f>SUM(T_SV_MEDALS[[#This Row],[SV_GOLD]:[SV_BRONZE]])</f>
        <v>0</v>
      </c>
      <c r="N152" s="3" t="str">
        <f>IF(T_SV_MEDALS[[#This Row],[SV_TOTAL]]=0,"",IF(I_RANK_METHOD="TOTAL",(T_SV_MEDALS[[#This Row],[SV_TOTAL]]*10000000),0)+(T_SV_MEDALS[[#This Row],[SV_GOLD]]*100000)+(T_SV_MEDALS[[#This Row],[SV_SILVER]]*1000)+(T_SV_MEDALS[[#This Row],[SV_BRONZE]]*10))</f>
        <v/>
      </c>
      <c r="O152" s="3" t="str">
        <f>IFERROR(IF(T_SV_MEDALS[[#This Row],[SV_TOTAL]]=0,"",RANK(T_SV_MEDALS[[#This Row],[SV_RANK VALUE]],T_SV_MEDALS[SV_RANK VALUE])),"")</f>
        <v/>
      </c>
      <c r="P152" s="3" t="str">
        <f>IFERROR(IF(T_SV_MEDALS[[#This Row],[SV_TOTAL]]=0,"",RANK(T_SV_MEDALS[[#This Row],[SV_RANK VALUE]],T_SV_MEDALS[SV_RANK VALUE])+COUNTIF($O$2:O151,O152)),"")</f>
        <v/>
      </c>
      <c r="Q152" s="3">
        <f>IFERROR(T_SV_MEDALS[[#This Row],[SV_TOTAL]]/T_SV_MEDALS[[#This Row],[TOTAL]],"")</f>
        <v>0</v>
      </c>
      <c r="R152" s="3" t="str">
        <f>IFERROR(IF(T_SV_MEDALS[[#This Row],[SV_TOTAL]]=0,"",RANK(T_SV_MEDALS[[#This Row],[Dependency - Rank Value]],T_SV_MEDALS[Dependency - Rank Value])+COUNTIF($Q$2:Q151,Q152)),"")</f>
        <v/>
      </c>
    </row>
    <row r="153" spans="1:18" x14ac:dyDescent="0.25">
      <c r="A153" t="s">
        <v>279</v>
      </c>
      <c r="B153" t="s">
        <v>280</v>
      </c>
      <c r="C153" s="3">
        <f>IF(I_VIEW=2,"",COUNTIFS(T_2016_EVENT_RESULTS[Gold - Country],T_SV_MEDALS[[#This Row],[COUNTRY ABBR]])+COUNTIFS(T_2016_EVENT_RESULTS[Gold - Country - 2],T_SV_MEDALS[[#This Row],[COUNTRY ABBR]]))</f>
        <v>2</v>
      </c>
      <c r="D153" s="3">
        <f>IF(I_VIEW=2,"",COUNTIFS(T_2016_EVENT_RESULTS[Silver - Country],T_SV_MEDALS[[#This Row],[COUNTRY ABBR]])+COUNTIFS(T_2016_EVENT_RESULTS[Silver - Country - 2],T_SV_MEDALS[[#This Row],[COUNTRY ABBR]])+COUNTIFS(T_2016_EVENT_RESULTS[Silver - Country - 3],T_SV_MEDALS[[#This Row],[COUNTRY ABBR]]))</f>
        <v>3</v>
      </c>
      <c r="E153" s="3">
        <f>IF(I_VIEW=2,"",COUNTIFS(T_2016_EVENT_RESULTS[Bronze - Country],T_SV_MEDALS[[#This Row],[COUNTRY ABBR]])+COUNTIFS(T_2016_EVENT_RESULTS[Bronze - Country - 2],T_SV_MEDALS[[#This Row],[COUNTRY ABBR]]))</f>
        <v>6</v>
      </c>
      <c r="F153" s="3">
        <f>SUM(T_SV_MEDALS[[#This Row],[GOLD]:[BRONZE]])</f>
        <v>11</v>
      </c>
      <c r="G153" s="3">
        <f>IF(T_SV_MEDALS[[#This Row],[TOTAL]]=0,"",IF(I_RANK_METHOD="TOTAL",(T_SV_MEDALS[[#This Row],[TOTAL]]*10000000),0)+(T_SV_MEDALS[[#This Row],[GOLD]]*100000)+(T_SV_MEDALS[[#This Row],[SILVER]]*1000)+(T_SV_MEDALS[[#This Row],[BRONZE]]*10))</f>
        <v>110203060</v>
      </c>
      <c r="H153" s="3">
        <f>IFERROR(IF(T_SV_MEDALS[[#This Row],[TOTAL]]=0,"",RANK(T_SV_MEDALS[[#This Row],[RANK VALUE]],T_SV_MEDALS[RANK VALUE])),"")</f>
        <v>26</v>
      </c>
      <c r="I153" s="3">
        <f>IFERROR(IF(T_SV_MEDALS[[#This Row],[TOTAL]]=0,"",RANK(T_SV_MEDALS[[#This Row],[RANK VALUE]],T_SV_MEDALS[RANK VALUE])+COUNTIF($H$2:H152,H153)),"")</f>
        <v>26</v>
      </c>
      <c r="J153" s="3" t="str">
        <f>IF(I_VIEW=3, COUNTIFS(T_2016_EVENT_RESULTS[SPORT],I_SV_SPORT,T_2016_EVENT_RESULTS[Gold - Country],T_SV_MEDALS[[#This Row],[COUNTRY ABBR]])+COUNTIFS(T_2016_EVENT_RESULTS[SPORT],I_SV_SPORT,T_2016_EVENT_RESULTS[Gold - Country - 2],T_SV_MEDALS[[#This Row],[COUNTRY ABBR]]),"")</f>
        <v/>
      </c>
      <c r="K153" s="3" t="str">
        <f>IF(I_VIEW=3, COUNTIFS(T_2016_EVENT_RESULTS[SPORT],I_SV_SPORT,T_2016_EVENT_RESULTS[Silver - Country],T_SV_MEDALS[[#This Row],[COUNTRY ABBR]])+COUNTIFS(T_2016_EVENT_RESULTS[SPORT],I_SV_SPORT,T_2016_EVENT_RESULTS[Silver - Country - 2],T_SV_MEDALS[[#This Row],[COUNTRY ABBR]])+COUNTIFS(T_2016_EVENT_RESULTS[SPORT],I_SV_SPORT,T_2016_EVENT_RESULTS[Silver - Country - 3],T_SV_MEDALS[[#This Row],[COUNTRY ABBR]]),"")</f>
        <v/>
      </c>
      <c r="L153" s="3" t="str">
        <f>IF(I_VIEW=3, COUNTIFS(T_2016_EVENT_RESULTS[SPORT],I_SV_SPORT,T_2016_EVENT_RESULTS[Bronze - Country],T_SV_MEDALS[[#This Row],[COUNTRY ABBR]])+COUNTIFS(T_2016_EVENT_RESULTS[SPORT],I_SV_SPORT,T_2016_EVENT_RESULTS[Bronze - Country - 2],T_SV_MEDALS[[#This Row],[COUNTRY ABBR]]),"")</f>
        <v/>
      </c>
      <c r="M153" s="3">
        <f>SUM(T_SV_MEDALS[[#This Row],[SV_GOLD]:[SV_BRONZE]])</f>
        <v>0</v>
      </c>
      <c r="N153" s="3" t="str">
        <f>IF(T_SV_MEDALS[[#This Row],[SV_TOTAL]]=0,"",IF(I_RANK_METHOD="TOTAL",(T_SV_MEDALS[[#This Row],[SV_TOTAL]]*10000000),0)+(T_SV_MEDALS[[#This Row],[SV_GOLD]]*100000)+(T_SV_MEDALS[[#This Row],[SV_SILVER]]*1000)+(T_SV_MEDALS[[#This Row],[SV_BRONZE]]*10))</f>
        <v/>
      </c>
      <c r="O153" s="3" t="str">
        <f>IFERROR(IF(T_SV_MEDALS[[#This Row],[SV_TOTAL]]=0,"",RANK(T_SV_MEDALS[[#This Row],[SV_RANK VALUE]],T_SV_MEDALS[SV_RANK VALUE])),"")</f>
        <v/>
      </c>
      <c r="P153" s="3" t="str">
        <f>IFERROR(IF(T_SV_MEDALS[[#This Row],[SV_TOTAL]]=0,"",RANK(T_SV_MEDALS[[#This Row],[SV_RANK VALUE]],T_SV_MEDALS[SV_RANK VALUE])+COUNTIF($O$2:O152,O153)),"")</f>
        <v/>
      </c>
      <c r="Q153" s="3">
        <f>IFERROR(T_SV_MEDALS[[#This Row],[SV_TOTAL]]/T_SV_MEDALS[[#This Row],[TOTAL]],"")</f>
        <v>0</v>
      </c>
      <c r="R153" s="3" t="str">
        <f>IFERROR(IF(T_SV_MEDALS[[#This Row],[SV_TOTAL]]=0,"",RANK(T_SV_MEDALS[[#This Row],[Dependency - Rank Value]],T_SV_MEDALS[Dependency - Rank Value])+COUNTIF($Q$2:Q152,Q153)),"")</f>
        <v/>
      </c>
    </row>
    <row r="154" spans="1:18" x14ac:dyDescent="0.25">
      <c r="A154" t="s">
        <v>281</v>
      </c>
      <c r="B154" t="s">
        <v>282</v>
      </c>
      <c r="C154" s="3">
        <f>IF(I_VIEW=2,"",COUNTIFS(T_2016_EVENT_RESULTS[Gold - Country],T_SV_MEDALS[[#This Row],[COUNTRY ABBR]])+COUNTIFS(T_2016_EVENT_RESULTS[Gold - Country - 2],T_SV_MEDALS[[#This Row],[COUNTRY ABBR]]))</f>
        <v>0</v>
      </c>
      <c r="D154" s="3">
        <f>IF(I_VIEW=2,"",COUNTIFS(T_2016_EVENT_RESULTS[Silver - Country],T_SV_MEDALS[[#This Row],[COUNTRY ABBR]])+COUNTIFS(T_2016_EVENT_RESULTS[Silver - Country - 2],T_SV_MEDALS[[#This Row],[COUNTRY ABBR]])+COUNTIFS(T_2016_EVENT_RESULTS[Silver - Country - 3],T_SV_MEDALS[[#This Row],[COUNTRY ABBR]]))</f>
        <v>0</v>
      </c>
      <c r="E154" s="3">
        <f>IF(I_VIEW=2,"",COUNTIFS(T_2016_EVENT_RESULTS[Bronze - Country],T_SV_MEDALS[[#This Row],[COUNTRY ABBR]])+COUNTIFS(T_2016_EVENT_RESULTS[Bronze - Country - 2],T_SV_MEDALS[[#This Row],[COUNTRY ABBR]]))</f>
        <v>1</v>
      </c>
      <c r="F154" s="3">
        <f>SUM(T_SV_MEDALS[[#This Row],[GOLD]:[BRONZE]])</f>
        <v>1</v>
      </c>
      <c r="G154" s="3">
        <f>IF(T_SV_MEDALS[[#This Row],[TOTAL]]=0,"",IF(I_RANK_METHOD="TOTAL",(T_SV_MEDALS[[#This Row],[TOTAL]]*10000000),0)+(T_SV_MEDALS[[#This Row],[GOLD]]*100000)+(T_SV_MEDALS[[#This Row],[SILVER]]*1000)+(T_SV_MEDALS[[#This Row],[BRONZE]]*10))</f>
        <v>10000010</v>
      </c>
      <c r="H154" s="3">
        <f>IFERROR(IF(T_SV_MEDALS[[#This Row],[TOTAL]]=0,"",RANK(T_SV_MEDALS[[#This Row],[RANK VALUE]],T_SV_MEDALS[RANK VALUE])),"")</f>
        <v>78</v>
      </c>
      <c r="I154" s="3">
        <f>IFERROR(IF(T_SV_MEDALS[[#This Row],[TOTAL]]=0,"",RANK(T_SV_MEDALS[[#This Row],[RANK VALUE]],T_SV_MEDALS[RANK VALUE])+COUNTIF($H$2:H153,H154)),"")</f>
        <v>85</v>
      </c>
      <c r="J154" s="3" t="str">
        <f>IF(I_VIEW=3, COUNTIFS(T_2016_EVENT_RESULTS[SPORT],I_SV_SPORT,T_2016_EVENT_RESULTS[Gold - Country],T_SV_MEDALS[[#This Row],[COUNTRY ABBR]])+COUNTIFS(T_2016_EVENT_RESULTS[SPORT],I_SV_SPORT,T_2016_EVENT_RESULTS[Gold - Country - 2],T_SV_MEDALS[[#This Row],[COUNTRY ABBR]]),"")</f>
        <v/>
      </c>
      <c r="K154" s="3" t="str">
        <f>IF(I_VIEW=3, COUNTIFS(T_2016_EVENT_RESULTS[SPORT],I_SV_SPORT,T_2016_EVENT_RESULTS[Silver - Country],T_SV_MEDALS[[#This Row],[COUNTRY ABBR]])+COUNTIFS(T_2016_EVENT_RESULTS[SPORT],I_SV_SPORT,T_2016_EVENT_RESULTS[Silver - Country - 2],T_SV_MEDALS[[#This Row],[COUNTRY ABBR]])+COUNTIFS(T_2016_EVENT_RESULTS[SPORT],I_SV_SPORT,T_2016_EVENT_RESULTS[Silver - Country - 3],T_SV_MEDALS[[#This Row],[COUNTRY ABBR]]),"")</f>
        <v/>
      </c>
      <c r="L154" s="3" t="str">
        <f>IF(I_VIEW=3, COUNTIFS(T_2016_EVENT_RESULTS[SPORT],I_SV_SPORT,T_2016_EVENT_RESULTS[Bronze - Country],T_SV_MEDALS[[#This Row],[COUNTRY ABBR]])+COUNTIFS(T_2016_EVENT_RESULTS[SPORT],I_SV_SPORT,T_2016_EVENT_RESULTS[Bronze - Country - 2],T_SV_MEDALS[[#This Row],[COUNTRY ABBR]]),"")</f>
        <v/>
      </c>
      <c r="M154" s="3">
        <f>SUM(T_SV_MEDALS[[#This Row],[SV_GOLD]:[SV_BRONZE]])</f>
        <v>0</v>
      </c>
      <c r="N154" s="3" t="str">
        <f>IF(T_SV_MEDALS[[#This Row],[SV_TOTAL]]=0,"",IF(I_RANK_METHOD="TOTAL",(T_SV_MEDALS[[#This Row],[SV_TOTAL]]*10000000),0)+(T_SV_MEDALS[[#This Row],[SV_GOLD]]*100000)+(T_SV_MEDALS[[#This Row],[SV_SILVER]]*1000)+(T_SV_MEDALS[[#This Row],[SV_BRONZE]]*10))</f>
        <v/>
      </c>
      <c r="O154" s="3" t="str">
        <f>IFERROR(IF(T_SV_MEDALS[[#This Row],[SV_TOTAL]]=0,"",RANK(T_SV_MEDALS[[#This Row],[SV_RANK VALUE]],T_SV_MEDALS[SV_RANK VALUE])),"")</f>
        <v/>
      </c>
      <c r="P154" s="3" t="str">
        <f>IFERROR(IF(T_SV_MEDALS[[#This Row],[SV_TOTAL]]=0,"",RANK(T_SV_MEDALS[[#This Row],[SV_RANK VALUE]],T_SV_MEDALS[SV_RANK VALUE])+COUNTIF($O$2:O153,O154)),"")</f>
        <v/>
      </c>
      <c r="Q154" s="3">
        <f>IFERROR(T_SV_MEDALS[[#This Row],[SV_TOTAL]]/T_SV_MEDALS[[#This Row],[TOTAL]],"")</f>
        <v>0</v>
      </c>
      <c r="R154" s="3" t="str">
        <f>IFERROR(IF(T_SV_MEDALS[[#This Row],[SV_TOTAL]]=0,"",RANK(T_SV_MEDALS[[#This Row],[Dependency - Rank Value]],T_SV_MEDALS[Dependency - Rank Value])+COUNTIF($Q$2:Q153,Q154)),"")</f>
        <v/>
      </c>
    </row>
    <row r="155" spans="1:18" x14ac:dyDescent="0.25">
      <c r="A155" t="s">
        <v>392</v>
      </c>
      <c r="B155" t="s">
        <v>283</v>
      </c>
      <c r="C155" s="3">
        <f>IF(I_VIEW=2,"",COUNTIFS(T_2016_EVENT_RESULTS[Gold - Country],T_SV_MEDALS[[#This Row],[COUNTRY ABBR]])+COUNTIFS(T_2016_EVENT_RESULTS[Gold - Country - 2],T_SV_MEDALS[[#This Row],[COUNTRY ABBR]]))</f>
        <v>1</v>
      </c>
      <c r="D155" s="3">
        <f>IF(I_VIEW=2,"",COUNTIFS(T_2016_EVENT_RESULTS[Silver - Country],T_SV_MEDALS[[#This Row],[COUNTRY ABBR]])+COUNTIFS(T_2016_EVENT_RESULTS[Silver - Country - 2],T_SV_MEDALS[[#This Row],[COUNTRY ABBR]])+COUNTIFS(T_2016_EVENT_RESULTS[Silver - Country - 3],T_SV_MEDALS[[#This Row],[COUNTRY ABBR]]))</f>
        <v>0</v>
      </c>
      <c r="E155" s="3">
        <f>IF(I_VIEW=2,"",COUNTIFS(T_2016_EVENT_RESULTS[Bronze - Country],T_SV_MEDALS[[#This Row],[COUNTRY ABBR]])+COUNTIFS(T_2016_EVENT_RESULTS[Bronze - Country - 2],T_SV_MEDALS[[#This Row],[COUNTRY ABBR]]))</f>
        <v>0</v>
      </c>
      <c r="F155" s="3">
        <f>SUM(T_SV_MEDALS[[#This Row],[GOLD]:[BRONZE]])</f>
        <v>1</v>
      </c>
      <c r="G155" s="3">
        <f>IF(T_SV_MEDALS[[#This Row],[TOTAL]]=0,"",IF(I_RANK_METHOD="TOTAL",(T_SV_MEDALS[[#This Row],[TOTAL]]*10000000),0)+(T_SV_MEDALS[[#This Row],[GOLD]]*100000)+(T_SV_MEDALS[[#This Row],[SILVER]]*1000)+(T_SV_MEDALS[[#This Row],[BRONZE]]*10))</f>
        <v>10100000</v>
      </c>
      <c r="H155" s="3">
        <f>IFERROR(IF(T_SV_MEDALS[[#This Row],[TOTAL]]=0,"",RANK(T_SV_MEDALS[[#This Row],[RANK VALUE]],T_SV_MEDALS[RANK VALUE])),"")</f>
        <v>67</v>
      </c>
      <c r="I155" s="3">
        <f>IFERROR(IF(T_SV_MEDALS[[#This Row],[TOTAL]]=0,"",RANK(T_SV_MEDALS[[#This Row],[RANK VALUE]],T_SV_MEDALS[RANK VALUE])+COUNTIF($H$2:H154,H155)),"")</f>
        <v>70</v>
      </c>
      <c r="J155" s="3" t="str">
        <f>IF(I_VIEW=3, COUNTIFS(T_2016_EVENT_RESULTS[SPORT],I_SV_SPORT,T_2016_EVENT_RESULTS[Gold - Country],T_SV_MEDALS[[#This Row],[COUNTRY ABBR]])+COUNTIFS(T_2016_EVENT_RESULTS[SPORT],I_SV_SPORT,T_2016_EVENT_RESULTS[Gold - Country - 2],T_SV_MEDALS[[#This Row],[COUNTRY ABBR]]),"")</f>
        <v/>
      </c>
      <c r="K155" s="3" t="str">
        <f>IF(I_VIEW=3, COUNTIFS(T_2016_EVENT_RESULTS[SPORT],I_SV_SPORT,T_2016_EVENT_RESULTS[Silver - Country],T_SV_MEDALS[[#This Row],[COUNTRY ABBR]])+COUNTIFS(T_2016_EVENT_RESULTS[SPORT],I_SV_SPORT,T_2016_EVENT_RESULTS[Silver - Country - 2],T_SV_MEDALS[[#This Row],[COUNTRY ABBR]])+COUNTIFS(T_2016_EVENT_RESULTS[SPORT],I_SV_SPORT,T_2016_EVENT_RESULTS[Silver - Country - 3],T_SV_MEDALS[[#This Row],[COUNTRY ABBR]]),"")</f>
        <v/>
      </c>
      <c r="L155" s="3" t="str">
        <f>IF(I_VIEW=3, COUNTIFS(T_2016_EVENT_RESULTS[SPORT],I_SV_SPORT,T_2016_EVENT_RESULTS[Bronze - Country],T_SV_MEDALS[[#This Row],[COUNTRY ABBR]])+COUNTIFS(T_2016_EVENT_RESULTS[SPORT],I_SV_SPORT,T_2016_EVENT_RESULTS[Bronze - Country - 2],T_SV_MEDALS[[#This Row],[COUNTRY ABBR]]),"")</f>
        <v/>
      </c>
      <c r="M155" s="3">
        <f>SUM(T_SV_MEDALS[[#This Row],[SV_GOLD]:[SV_BRONZE]])</f>
        <v>0</v>
      </c>
      <c r="N155" s="3" t="str">
        <f>IF(T_SV_MEDALS[[#This Row],[SV_TOTAL]]=0,"",IF(I_RANK_METHOD="TOTAL",(T_SV_MEDALS[[#This Row],[SV_TOTAL]]*10000000),0)+(T_SV_MEDALS[[#This Row],[SV_GOLD]]*100000)+(T_SV_MEDALS[[#This Row],[SV_SILVER]]*1000)+(T_SV_MEDALS[[#This Row],[SV_BRONZE]]*10))</f>
        <v/>
      </c>
      <c r="O155" s="3" t="str">
        <f>IFERROR(IF(T_SV_MEDALS[[#This Row],[SV_TOTAL]]=0,"",RANK(T_SV_MEDALS[[#This Row],[SV_RANK VALUE]],T_SV_MEDALS[SV_RANK VALUE])),"")</f>
        <v/>
      </c>
      <c r="P155" s="3" t="str">
        <f>IFERROR(IF(T_SV_MEDALS[[#This Row],[SV_TOTAL]]=0,"",RANK(T_SV_MEDALS[[#This Row],[SV_RANK VALUE]],T_SV_MEDALS[SV_RANK VALUE])+COUNTIF($O$2:O154,O155)),"")</f>
        <v/>
      </c>
      <c r="Q155" s="3">
        <f>IFERROR(T_SV_MEDALS[[#This Row],[SV_TOTAL]]/T_SV_MEDALS[[#This Row],[TOTAL]],"")</f>
        <v>0</v>
      </c>
      <c r="R155" s="3" t="str">
        <f>IFERROR(IF(T_SV_MEDALS[[#This Row],[SV_TOTAL]]=0,"",RANK(T_SV_MEDALS[[#This Row],[Dependency - Rank Value]],T_SV_MEDALS[Dependency - Rank Value])+COUNTIF($Q$2:Q154,Q155)),"")</f>
        <v/>
      </c>
    </row>
    <row r="156" spans="1:18" x14ac:dyDescent="0.25">
      <c r="A156" t="s">
        <v>284</v>
      </c>
      <c r="B156" t="s">
        <v>285</v>
      </c>
      <c r="C156" s="3">
        <f>IF(I_VIEW=2,"",COUNTIFS(T_2016_EVENT_RESULTS[Gold - Country],T_SV_MEDALS[[#This Row],[COUNTRY ABBR]])+COUNTIFS(T_2016_EVENT_RESULTS[Gold - Country - 2],T_SV_MEDALS[[#This Row],[COUNTRY ABBR]]))</f>
        <v>0</v>
      </c>
      <c r="D156" s="3">
        <f>IF(I_VIEW=2,"",COUNTIFS(T_2016_EVENT_RESULTS[Silver - Country],T_SV_MEDALS[[#This Row],[COUNTRY ABBR]])+COUNTIFS(T_2016_EVENT_RESULTS[Silver - Country - 2],T_SV_MEDALS[[#This Row],[COUNTRY ABBR]])+COUNTIFS(T_2016_EVENT_RESULTS[Silver - Country - 3],T_SV_MEDALS[[#This Row],[COUNTRY ABBR]]))</f>
        <v>1</v>
      </c>
      <c r="E156" s="3">
        <f>IF(I_VIEW=2,"",COUNTIFS(T_2016_EVENT_RESULTS[Bronze - Country],T_SV_MEDALS[[#This Row],[COUNTRY ABBR]])+COUNTIFS(T_2016_EVENT_RESULTS[Bronze - Country - 2],T_SV_MEDALS[[#This Row],[COUNTRY ABBR]]))</f>
        <v>0</v>
      </c>
      <c r="F156" s="3">
        <f>SUM(T_SV_MEDALS[[#This Row],[GOLD]:[BRONZE]])</f>
        <v>1</v>
      </c>
      <c r="G156" s="3">
        <f>IF(T_SV_MEDALS[[#This Row],[TOTAL]]=0,"",IF(I_RANK_METHOD="TOTAL",(T_SV_MEDALS[[#This Row],[TOTAL]]*10000000),0)+(T_SV_MEDALS[[#This Row],[GOLD]]*100000)+(T_SV_MEDALS[[#This Row],[SILVER]]*1000)+(T_SV_MEDALS[[#This Row],[BRONZE]]*10))</f>
        <v>10001000</v>
      </c>
      <c r="H156" s="3">
        <f>IFERROR(IF(T_SV_MEDALS[[#This Row],[TOTAL]]=0,"",RANK(T_SV_MEDALS[[#This Row],[RANK VALUE]],T_SV_MEDALS[RANK VALUE])),"")</f>
        <v>73</v>
      </c>
      <c r="I156" s="3">
        <f>IFERROR(IF(T_SV_MEDALS[[#This Row],[TOTAL]]=0,"",RANK(T_SV_MEDALS[[#This Row],[RANK VALUE]],T_SV_MEDALS[RANK VALUE])+COUNTIF($H$2:H155,H156)),"")</f>
        <v>77</v>
      </c>
      <c r="J156" s="3" t="str">
        <f>IF(I_VIEW=3, COUNTIFS(T_2016_EVENT_RESULTS[SPORT],I_SV_SPORT,T_2016_EVENT_RESULTS[Gold - Country],T_SV_MEDALS[[#This Row],[COUNTRY ABBR]])+COUNTIFS(T_2016_EVENT_RESULTS[SPORT],I_SV_SPORT,T_2016_EVENT_RESULTS[Gold - Country - 2],T_SV_MEDALS[[#This Row],[COUNTRY ABBR]]),"")</f>
        <v/>
      </c>
      <c r="K156" s="3" t="str">
        <f>IF(I_VIEW=3, COUNTIFS(T_2016_EVENT_RESULTS[SPORT],I_SV_SPORT,T_2016_EVENT_RESULTS[Silver - Country],T_SV_MEDALS[[#This Row],[COUNTRY ABBR]])+COUNTIFS(T_2016_EVENT_RESULTS[SPORT],I_SV_SPORT,T_2016_EVENT_RESULTS[Silver - Country - 2],T_SV_MEDALS[[#This Row],[COUNTRY ABBR]])+COUNTIFS(T_2016_EVENT_RESULTS[SPORT],I_SV_SPORT,T_2016_EVENT_RESULTS[Silver - Country - 3],T_SV_MEDALS[[#This Row],[COUNTRY ABBR]]),"")</f>
        <v/>
      </c>
      <c r="L156" s="3" t="str">
        <f>IF(I_VIEW=3, COUNTIFS(T_2016_EVENT_RESULTS[SPORT],I_SV_SPORT,T_2016_EVENT_RESULTS[Bronze - Country],T_SV_MEDALS[[#This Row],[COUNTRY ABBR]])+COUNTIFS(T_2016_EVENT_RESULTS[SPORT],I_SV_SPORT,T_2016_EVENT_RESULTS[Bronze - Country - 2],T_SV_MEDALS[[#This Row],[COUNTRY ABBR]]),"")</f>
        <v/>
      </c>
      <c r="M156" s="3">
        <f>SUM(T_SV_MEDALS[[#This Row],[SV_GOLD]:[SV_BRONZE]])</f>
        <v>0</v>
      </c>
      <c r="N156" s="3" t="str">
        <f>IF(T_SV_MEDALS[[#This Row],[SV_TOTAL]]=0,"",IF(I_RANK_METHOD="TOTAL",(T_SV_MEDALS[[#This Row],[SV_TOTAL]]*10000000),0)+(T_SV_MEDALS[[#This Row],[SV_GOLD]]*100000)+(T_SV_MEDALS[[#This Row],[SV_SILVER]]*1000)+(T_SV_MEDALS[[#This Row],[SV_BRONZE]]*10))</f>
        <v/>
      </c>
      <c r="O156" s="3" t="str">
        <f>IFERROR(IF(T_SV_MEDALS[[#This Row],[SV_TOTAL]]=0,"",RANK(T_SV_MEDALS[[#This Row],[SV_RANK VALUE]],T_SV_MEDALS[SV_RANK VALUE])),"")</f>
        <v/>
      </c>
      <c r="P156" s="3" t="str">
        <f>IFERROR(IF(T_SV_MEDALS[[#This Row],[SV_TOTAL]]=0,"",RANK(T_SV_MEDALS[[#This Row],[SV_RANK VALUE]],T_SV_MEDALS[SV_RANK VALUE])+COUNTIF($O$2:O155,O156)),"")</f>
        <v/>
      </c>
      <c r="Q156" s="3">
        <f>IFERROR(T_SV_MEDALS[[#This Row],[SV_TOTAL]]/T_SV_MEDALS[[#This Row],[TOTAL]],"")</f>
        <v>0</v>
      </c>
      <c r="R156" s="3" t="str">
        <f>IFERROR(IF(T_SV_MEDALS[[#This Row],[SV_TOTAL]]=0,"",RANK(T_SV_MEDALS[[#This Row],[Dependency - Rank Value]],T_SV_MEDALS[Dependency - Rank Value])+COUNTIF($Q$2:Q155,Q156)),"")</f>
        <v/>
      </c>
    </row>
    <row r="157" spans="1:18" x14ac:dyDescent="0.25">
      <c r="A157" t="s">
        <v>1037</v>
      </c>
      <c r="B157" t="s">
        <v>1036</v>
      </c>
      <c r="C157" s="3">
        <f>IF(I_VIEW=2,"",COUNTIFS(T_2016_EVENT_RESULTS[Gold - Country],T_SV_MEDALS[[#This Row],[COUNTRY ABBR]])+COUNTIFS(T_2016_EVENT_RESULTS[Gold - Country - 2],T_SV_MEDALS[[#This Row],[COUNTRY ABBR]]))</f>
        <v>0</v>
      </c>
      <c r="D157" s="3">
        <f>IF(I_VIEW=2,"",COUNTIFS(T_2016_EVENT_RESULTS[Silver - Country],T_SV_MEDALS[[#This Row],[COUNTRY ABBR]])+COUNTIFS(T_2016_EVENT_RESULTS[Silver - Country - 2],T_SV_MEDALS[[#This Row],[COUNTRY ABBR]])+COUNTIFS(T_2016_EVENT_RESULTS[Silver - Country - 3],T_SV_MEDALS[[#This Row],[COUNTRY ABBR]]))</f>
        <v>0</v>
      </c>
      <c r="E157" s="3">
        <f>IF(I_VIEW=2,"",COUNTIFS(T_2016_EVENT_RESULTS[Bronze - Country],T_SV_MEDALS[[#This Row],[COUNTRY ABBR]])+COUNTIFS(T_2016_EVENT_RESULTS[Bronze - Country - 2],T_SV_MEDALS[[#This Row],[COUNTRY ABBR]]))</f>
        <v>0</v>
      </c>
      <c r="F157" s="3">
        <f>SUM(T_SV_MEDALS[[#This Row],[GOLD]:[BRONZE]])</f>
        <v>0</v>
      </c>
      <c r="G157" s="3" t="str">
        <f>IF(T_SV_MEDALS[[#This Row],[TOTAL]]=0,"",IF(I_RANK_METHOD="TOTAL",(T_SV_MEDALS[[#This Row],[TOTAL]]*10000000),0)+(T_SV_MEDALS[[#This Row],[GOLD]]*100000)+(T_SV_MEDALS[[#This Row],[SILVER]]*1000)+(T_SV_MEDALS[[#This Row],[BRONZE]]*10))</f>
        <v/>
      </c>
      <c r="H157" s="3" t="str">
        <f>IFERROR(IF(T_SV_MEDALS[[#This Row],[TOTAL]]=0,"",RANK(T_SV_MEDALS[[#This Row],[RANK VALUE]],T_SV_MEDALS[RANK VALUE])),"")</f>
        <v/>
      </c>
      <c r="I157" s="3" t="str">
        <f>IFERROR(IF(T_SV_MEDALS[[#This Row],[TOTAL]]=0,"",RANK(T_SV_MEDALS[[#This Row],[RANK VALUE]],T_SV_MEDALS[RANK VALUE])+COUNTIF($H$2:H156,H157)),"")</f>
        <v/>
      </c>
      <c r="J157" s="3" t="str">
        <f>IF(I_VIEW=3, COUNTIFS(T_2016_EVENT_RESULTS[SPORT],I_SV_SPORT,T_2016_EVENT_RESULTS[Gold - Country],T_SV_MEDALS[[#This Row],[COUNTRY ABBR]])+COUNTIFS(T_2016_EVENT_RESULTS[SPORT],I_SV_SPORT,T_2016_EVENT_RESULTS[Gold - Country - 2],T_SV_MEDALS[[#This Row],[COUNTRY ABBR]]),"")</f>
        <v/>
      </c>
      <c r="K157" s="3" t="str">
        <f>IF(I_VIEW=3, COUNTIFS(T_2016_EVENT_RESULTS[SPORT],I_SV_SPORT,T_2016_EVENT_RESULTS[Silver - Country],T_SV_MEDALS[[#This Row],[COUNTRY ABBR]])+COUNTIFS(T_2016_EVENT_RESULTS[SPORT],I_SV_SPORT,T_2016_EVENT_RESULTS[Silver - Country - 2],T_SV_MEDALS[[#This Row],[COUNTRY ABBR]])+COUNTIFS(T_2016_EVENT_RESULTS[SPORT],I_SV_SPORT,T_2016_EVENT_RESULTS[Silver - Country - 3],T_SV_MEDALS[[#This Row],[COUNTRY ABBR]]),"")</f>
        <v/>
      </c>
      <c r="L157" s="3" t="str">
        <f>IF(I_VIEW=3, COUNTIFS(T_2016_EVENT_RESULTS[SPORT],I_SV_SPORT,T_2016_EVENT_RESULTS[Bronze - Country],T_SV_MEDALS[[#This Row],[COUNTRY ABBR]])+COUNTIFS(T_2016_EVENT_RESULTS[SPORT],I_SV_SPORT,T_2016_EVENT_RESULTS[Bronze - Country - 2],T_SV_MEDALS[[#This Row],[COUNTRY ABBR]]),"")</f>
        <v/>
      </c>
      <c r="M157" s="3">
        <f>SUM(T_SV_MEDALS[[#This Row],[SV_GOLD]:[SV_BRONZE]])</f>
        <v>0</v>
      </c>
      <c r="N157" s="3" t="str">
        <f>IF(T_SV_MEDALS[[#This Row],[SV_TOTAL]]=0,"",IF(I_RANK_METHOD="TOTAL",(T_SV_MEDALS[[#This Row],[SV_TOTAL]]*10000000),0)+(T_SV_MEDALS[[#This Row],[SV_GOLD]]*100000)+(T_SV_MEDALS[[#This Row],[SV_SILVER]]*1000)+(T_SV_MEDALS[[#This Row],[SV_BRONZE]]*10))</f>
        <v/>
      </c>
      <c r="O157" s="3" t="str">
        <f>IFERROR(IF(T_SV_MEDALS[[#This Row],[SV_TOTAL]]=0,"",RANK(T_SV_MEDALS[[#This Row],[SV_RANK VALUE]],T_SV_MEDALS[SV_RANK VALUE])),"")</f>
        <v/>
      </c>
      <c r="P157" s="3" t="str">
        <f>IFERROR(IF(T_SV_MEDALS[[#This Row],[SV_TOTAL]]=0,"",RANK(T_SV_MEDALS[[#This Row],[SV_RANK VALUE]],T_SV_MEDALS[SV_RANK VALUE])+COUNTIF($O$2:O156,O157)),"")</f>
        <v/>
      </c>
      <c r="Q157" s="3" t="str">
        <f>IFERROR(T_SV_MEDALS[[#This Row],[SV_TOTAL]]/T_SV_MEDALS[[#This Row],[TOTAL]],"")</f>
        <v/>
      </c>
      <c r="R157" s="3" t="str">
        <f>IFERROR(IF(T_SV_MEDALS[[#This Row],[SV_TOTAL]]=0,"",RANK(T_SV_MEDALS[[#This Row],[Dependency - Rank Value]],T_SV_MEDALS[Dependency - Rank Value])+COUNTIF($Q$2:Q156,Q157)),"")</f>
        <v/>
      </c>
    </row>
    <row r="158" spans="1:18" x14ac:dyDescent="0.25">
      <c r="A158" t="s">
        <v>2777</v>
      </c>
      <c r="B158" t="s">
        <v>187</v>
      </c>
      <c r="C158" s="3">
        <f>IF(I_VIEW=2,"",COUNTIFS(T_2016_EVENT_RESULTS[Gold - Country],T_SV_MEDALS[[#This Row],[COUNTRY ABBR]])+COUNTIFS(T_2016_EVENT_RESULTS[Gold - Country - 2],T_SV_MEDALS[[#This Row],[COUNTRY ABBR]]))</f>
        <v>9</v>
      </c>
      <c r="D158" s="3">
        <f>IF(I_VIEW=2,"",COUNTIFS(T_2016_EVENT_RESULTS[Silver - Country],T_SV_MEDALS[[#This Row],[COUNTRY ABBR]])+COUNTIFS(T_2016_EVENT_RESULTS[Silver - Country - 2],T_SV_MEDALS[[#This Row],[COUNTRY ABBR]])+COUNTIFS(T_2016_EVENT_RESULTS[Silver - Country - 3],T_SV_MEDALS[[#This Row],[COUNTRY ABBR]]))</f>
        <v>3</v>
      </c>
      <c r="E158" s="3">
        <f>IF(I_VIEW=2,"",COUNTIFS(T_2016_EVENT_RESULTS[Bronze - Country],T_SV_MEDALS[[#This Row],[COUNTRY ABBR]])+COUNTIFS(T_2016_EVENT_RESULTS[Bronze - Country - 2],T_SV_MEDALS[[#This Row],[COUNTRY ABBR]]))</f>
        <v>9</v>
      </c>
      <c r="F158" s="3">
        <f>SUM(T_SV_MEDALS[[#This Row],[GOLD]:[BRONZE]])</f>
        <v>21</v>
      </c>
      <c r="G158" s="3">
        <f>IF(T_SV_MEDALS[[#This Row],[TOTAL]]=0,"",IF(I_RANK_METHOD="TOTAL",(T_SV_MEDALS[[#This Row],[TOTAL]]*10000000),0)+(T_SV_MEDALS[[#This Row],[GOLD]]*100000)+(T_SV_MEDALS[[#This Row],[SILVER]]*1000)+(T_SV_MEDALS[[#This Row],[BRONZE]]*10))</f>
        <v>210903090</v>
      </c>
      <c r="H158" s="3">
        <f>IFERROR(IF(T_SV_MEDALS[[#This Row],[TOTAL]]=0,"",RANK(T_SV_MEDALS[[#This Row],[RANK VALUE]],T_SV_MEDALS[RANK VALUE])),"")</f>
        <v>11</v>
      </c>
      <c r="I158" s="3">
        <f>IFERROR(IF(T_SV_MEDALS[[#This Row],[TOTAL]]=0,"",RANK(T_SV_MEDALS[[#This Row],[RANK VALUE]],T_SV_MEDALS[RANK VALUE])+COUNTIF($H$2:H157,H158)),"")</f>
        <v>11</v>
      </c>
      <c r="J158" s="3" t="str">
        <f>IF(I_VIEW=3, COUNTIFS(T_2016_EVENT_RESULTS[SPORT],I_SV_SPORT,T_2016_EVENT_RESULTS[Gold - Country],T_SV_MEDALS[[#This Row],[COUNTRY ABBR]])+COUNTIFS(T_2016_EVENT_RESULTS[SPORT],I_SV_SPORT,T_2016_EVENT_RESULTS[Gold - Country - 2],T_SV_MEDALS[[#This Row],[COUNTRY ABBR]]),"")</f>
        <v/>
      </c>
      <c r="K158" s="3" t="str">
        <f>IF(I_VIEW=3, COUNTIFS(T_2016_EVENT_RESULTS[SPORT],I_SV_SPORT,T_2016_EVENT_RESULTS[Silver - Country],T_SV_MEDALS[[#This Row],[COUNTRY ABBR]])+COUNTIFS(T_2016_EVENT_RESULTS[SPORT],I_SV_SPORT,T_2016_EVENT_RESULTS[Silver - Country - 2],T_SV_MEDALS[[#This Row],[COUNTRY ABBR]])+COUNTIFS(T_2016_EVENT_RESULTS[SPORT],I_SV_SPORT,T_2016_EVENT_RESULTS[Silver - Country - 3],T_SV_MEDALS[[#This Row],[COUNTRY ABBR]]),"")</f>
        <v/>
      </c>
      <c r="L158" s="3" t="str">
        <f>IF(I_VIEW=3, COUNTIFS(T_2016_EVENT_RESULTS[SPORT],I_SV_SPORT,T_2016_EVENT_RESULTS[Bronze - Country],T_SV_MEDALS[[#This Row],[COUNTRY ABBR]])+COUNTIFS(T_2016_EVENT_RESULTS[SPORT],I_SV_SPORT,T_2016_EVENT_RESULTS[Bronze - Country - 2],T_SV_MEDALS[[#This Row],[COUNTRY ABBR]]),"")</f>
        <v/>
      </c>
      <c r="M158" s="3">
        <f>SUM(T_SV_MEDALS[[#This Row],[SV_GOLD]:[SV_BRONZE]])</f>
        <v>0</v>
      </c>
      <c r="N158" s="3" t="str">
        <f>IF(T_SV_MEDALS[[#This Row],[SV_TOTAL]]=0,"",IF(I_RANK_METHOD="TOTAL",(T_SV_MEDALS[[#This Row],[SV_TOTAL]]*10000000),0)+(T_SV_MEDALS[[#This Row],[SV_GOLD]]*100000)+(T_SV_MEDALS[[#This Row],[SV_SILVER]]*1000)+(T_SV_MEDALS[[#This Row],[SV_BRONZE]]*10))</f>
        <v/>
      </c>
      <c r="O158" s="3" t="str">
        <f>IFERROR(IF(T_SV_MEDALS[[#This Row],[SV_TOTAL]]=0,"",RANK(T_SV_MEDALS[[#This Row],[SV_RANK VALUE]],T_SV_MEDALS[SV_RANK VALUE])),"")</f>
        <v/>
      </c>
      <c r="P158" s="3" t="str">
        <f>IFERROR(IF(T_SV_MEDALS[[#This Row],[SV_TOTAL]]=0,"",RANK(T_SV_MEDALS[[#This Row],[SV_RANK VALUE]],T_SV_MEDALS[SV_RANK VALUE])+COUNTIF($O$2:O157,O158)),"")</f>
        <v/>
      </c>
      <c r="Q158" s="3">
        <f>IFERROR(T_SV_MEDALS[[#This Row],[SV_TOTAL]]/T_SV_MEDALS[[#This Row],[TOTAL]],"")</f>
        <v>0</v>
      </c>
      <c r="R158" s="3" t="str">
        <f>IFERROR(IF(T_SV_MEDALS[[#This Row],[SV_TOTAL]]=0,"",RANK(T_SV_MEDALS[[#This Row],[Dependency - Rank Value]],T_SV_MEDALS[Dependency - Rank Value])+COUNTIF($Q$2:Q157,Q158)),"")</f>
        <v/>
      </c>
    </row>
    <row r="159" spans="1:18" x14ac:dyDescent="0.25">
      <c r="A159" t="s">
        <v>286</v>
      </c>
      <c r="B159" t="s">
        <v>641</v>
      </c>
      <c r="C159" s="3">
        <f>IF(I_VIEW=2,"",COUNTIFS(T_2016_EVENT_RESULTS[Gold - Country],T_SV_MEDALS[[#This Row],[COUNTRY ABBR]])+COUNTIFS(T_2016_EVENT_RESULTS[Gold - Country - 2],T_SV_MEDALS[[#This Row],[COUNTRY ABBR]]))</f>
        <v>1</v>
      </c>
      <c r="D159" s="3">
        <f>IF(I_VIEW=2,"",COUNTIFS(T_2016_EVENT_RESULTS[Silver - Country],T_SV_MEDALS[[#This Row],[COUNTRY ABBR]])+COUNTIFS(T_2016_EVENT_RESULTS[Silver - Country - 2],T_SV_MEDALS[[#This Row],[COUNTRY ABBR]])+COUNTIFS(T_2016_EVENT_RESULTS[Silver - Country - 3],T_SV_MEDALS[[#This Row],[COUNTRY ABBR]]))</f>
        <v>1</v>
      </c>
      <c r="E159" s="3">
        <f>IF(I_VIEW=2,"",COUNTIFS(T_2016_EVENT_RESULTS[Bronze - Country],T_SV_MEDALS[[#This Row],[COUNTRY ABBR]])+COUNTIFS(T_2016_EVENT_RESULTS[Bronze - Country - 2],T_SV_MEDALS[[#This Row],[COUNTRY ABBR]]))</f>
        <v>3</v>
      </c>
      <c r="F159" s="3">
        <f>SUM(T_SV_MEDALS[[#This Row],[GOLD]:[BRONZE]])</f>
        <v>5</v>
      </c>
      <c r="G159" s="3">
        <f>IF(T_SV_MEDALS[[#This Row],[TOTAL]]=0,"",IF(I_RANK_METHOD="TOTAL",(T_SV_MEDALS[[#This Row],[TOTAL]]*10000000),0)+(T_SV_MEDALS[[#This Row],[GOLD]]*100000)+(T_SV_MEDALS[[#This Row],[SILVER]]*1000)+(T_SV_MEDALS[[#This Row],[BRONZE]]*10))</f>
        <v>50101030</v>
      </c>
      <c r="H159" s="3">
        <f>IFERROR(IF(T_SV_MEDALS[[#This Row],[TOTAL]]=0,"",RANK(T_SV_MEDALS[[#This Row],[RANK VALUE]],T_SV_MEDALS[RANK VALUE])),"")</f>
        <v>42</v>
      </c>
      <c r="I159" s="3">
        <f>IFERROR(IF(T_SV_MEDALS[[#This Row],[TOTAL]]=0,"",RANK(T_SV_MEDALS[[#This Row],[RANK VALUE]],T_SV_MEDALS[RANK VALUE])+COUNTIF($H$2:H158,H159)),"")</f>
        <v>42</v>
      </c>
      <c r="J159" s="3" t="str">
        <f>IF(I_VIEW=3, COUNTIFS(T_2016_EVENT_RESULTS[SPORT],I_SV_SPORT,T_2016_EVENT_RESULTS[Gold - Country],T_SV_MEDALS[[#This Row],[COUNTRY ABBR]])+COUNTIFS(T_2016_EVENT_RESULTS[SPORT],I_SV_SPORT,T_2016_EVENT_RESULTS[Gold - Country - 2],T_SV_MEDALS[[#This Row],[COUNTRY ABBR]]),"")</f>
        <v/>
      </c>
      <c r="K159" s="3" t="str">
        <f>IF(I_VIEW=3, COUNTIFS(T_2016_EVENT_RESULTS[SPORT],I_SV_SPORT,T_2016_EVENT_RESULTS[Silver - Country],T_SV_MEDALS[[#This Row],[COUNTRY ABBR]])+COUNTIFS(T_2016_EVENT_RESULTS[SPORT],I_SV_SPORT,T_2016_EVENT_RESULTS[Silver - Country - 2],T_SV_MEDALS[[#This Row],[COUNTRY ABBR]])+COUNTIFS(T_2016_EVENT_RESULTS[SPORT],I_SV_SPORT,T_2016_EVENT_RESULTS[Silver - Country - 3],T_SV_MEDALS[[#This Row],[COUNTRY ABBR]]),"")</f>
        <v/>
      </c>
      <c r="L159" s="3" t="str">
        <f>IF(I_VIEW=3, COUNTIFS(T_2016_EVENT_RESULTS[SPORT],I_SV_SPORT,T_2016_EVENT_RESULTS[Bronze - Country],T_SV_MEDALS[[#This Row],[COUNTRY ABBR]])+COUNTIFS(T_2016_EVENT_RESULTS[SPORT],I_SV_SPORT,T_2016_EVENT_RESULTS[Bronze - Country - 2],T_SV_MEDALS[[#This Row],[COUNTRY ABBR]]),"")</f>
        <v/>
      </c>
      <c r="M159" s="3">
        <f>SUM(T_SV_MEDALS[[#This Row],[SV_GOLD]:[SV_BRONZE]])</f>
        <v>0</v>
      </c>
      <c r="N159" s="3" t="str">
        <f>IF(T_SV_MEDALS[[#This Row],[SV_TOTAL]]=0,"",IF(I_RANK_METHOD="TOTAL",(T_SV_MEDALS[[#This Row],[SV_TOTAL]]*10000000),0)+(T_SV_MEDALS[[#This Row],[SV_GOLD]]*100000)+(T_SV_MEDALS[[#This Row],[SV_SILVER]]*1000)+(T_SV_MEDALS[[#This Row],[SV_BRONZE]]*10))</f>
        <v/>
      </c>
      <c r="O159" s="3" t="str">
        <f>IFERROR(IF(T_SV_MEDALS[[#This Row],[SV_TOTAL]]=0,"",RANK(T_SV_MEDALS[[#This Row],[SV_RANK VALUE]],T_SV_MEDALS[SV_RANK VALUE])),"")</f>
        <v/>
      </c>
      <c r="P159" s="3" t="str">
        <f>IFERROR(IF(T_SV_MEDALS[[#This Row],[SV_TOTAL]]=0,"",RANK(T_SV_MEDALS[[#This Row],[SV_RANK VALUE]],T_SV_MEDALS[SV_RANK VALUE])+COUNTIF($O$2:O158,O159)),"")</f>
        <v/>
      </c>
      <c r="Q159" s="3">
        <f>IFERROR(T_SV_MEDALS[[#This Row],[SV_TOTAL]]/T_SV_MEDALS[[#This Row],[TOTAL]],"")</f>
        <v>0</v>
      </c>
      <c r="R159" s="3" t="str">
        <f>IFERROR(IF(T_SV_MEDALS[[#This Row],[SV_TOTAL]]=0,"",RANK(T_SV_MEDALS[[#This Row],[Dependency - Rank Value]],T_SV_MEDALS[Dependency - Rank Value])+COUNTIF($Q$2:Q158,Q159)),"")</f>
        <v/>
      </c>
    </row>
    <row r="160" spans="1:18" x14ac:dyDescent="0.25">
      <c r="A160" t="s">
        <v>2773</v>
      </c>
      <c r="B160" t="s">
        <v>287</v>
      </c>
      <c r="C160" s="3">
        <f>IF(I_VIEW=2,"",COUNTIFS(T_2016_EVENT_RESULTS[Gold - Country],T_SV_MEDALS[[#This Row],[COUNTRY ABBR]])+COUNTIFS(T_2016_EVENT_RESULTS[Gold - Country - 2],T_SV_MEDALS[[#This Row],[COUNTRY ABBR]]))</f>
        <v>19</v>
      </c>
      <c r="D160" s="3">
        <f>IF(I_VIEW=2,"",COUNTIFS(T_2016_EVENT_RESULTS[Silver - Country],T_SV_MEDALS[[#This Row],[COUNTRY ABBR]])+COUNTIFS(T_2016_EVENT_RESULTS[Silver - Country - 2],T_SV_MEDALS[[#This Row],[COUNTRY ABBR]])+COUNTIFS(T_2016_EVENT_RESULTS[Silver - Country - 3],T_SV_MEDALS[[#This Row],[COUNTRY ABBR]]))</f>
        <v>18</v>
      </c>
      <c r="E160" s="3">
        <f>IF(I_VIEW=2,"",COUNTIFS(T_2016_EVENT_RESULTS[Bronze - Country],T_SV_MEDALS[[#This Row],[COUNTRY ABBR]])+COUNTIFS(T_2016_EVENT_RESULTS[Bronze - Country - 2],T_SV_MEDALS[[#This Row],[COUNTRY ABBR]]))</f>
        <v>19</v>
      </c>
      <c r="F160" s="3">
        <f>SUM(T_SV_MEDALS[[#This Row],[GOLD]:[BRONZE]])</f>
        <v>56</v>
      </c>
      <c r="G160" s="3">
        <f>IF(T_SV_MEDALS[[#This Row],[TOTAL]]=0,"",IF(I_RANK_METHOD="TOTAL",(T_SV_MEDALS[[#This Row],[TOTAL]]*10000000),0)+(T_SV_MEDALS[[#This Row],[GOLD]]*100000)+(T_SV_MEDALS[[#This Row],[SILVER]]*1000)+(T_SV_MEDALS[[#This Row],[BRONZE]]*10))</f>
        <v>561918190</v>
      </c>
      <c r="H160" s="3">
        <f>IFERROR(IF(T_SV_MEDALS[[#This Row],[TOTAL]]=0,"",RANK(T_SV_MEDALS[[#This Row],[RANK VALUE]],T_SV_MEDALS[RANK VALUE])),"")</f>
        <v>4</v>
      </c>
      <c r="I160" s="3">
        <f>IFERROR(IF(T_SV_MEDALS[[#This Row],[TOTAL]]=0,"",RANK(T_SV_MEDALS[[#This Row],[RANK VALUE]],T_SV_MEDALS[RANK VALUE])+COUNTIF($H$2:H159,H160)),"")</f>
        <v>4</v>
      </c>
      <c r="J160" s="3" t="str">
        <f>IF(I_VIEW=3, COUNTIFS(T_2016_EVENT_RESULTS[SPORT],I_SV_SPORT,T_2016_EVENT_RESULTS[Gold - Country],T_SV_MEDALS[[#This Row],[COUNTRY ABBR]])+COUNTIFS(T_2016_EVENT_RESULTS[SPORT],I_SV_SPORT,T_2016_EVENT_RESULTS[Gold - Country - 2],T_SV_MEDALS[[#This Row],[COUNTRY ABBR]]),"")</f>
        <v/>
      </c>
      <c r="K160" s="3" t="str">
        <f>IF(I_VIEW=3, COUNTIFS(T_2016_EVENT_RESULTS[SPORT],I_SV_SPORT,T_2016_EVENT_RESULTS[Silver - Country],T_SV_MEDALS[[#This Row],[COUNTRY ABBR]])+COUNTIFS(T_2016_EVENT_RESULTS[SPORT],I_SV_SPORT,T_2016_EVENT_RESULTS[Silver - Country - 2],T_SV_MEDALS[[#This Row],[COUNTRY ABBR]])+COUNTIFS(T_2016_EVENT_RESULTS[SPORT],I_SV_SPORT,T_2016_EVENT_RESULTS[Silver - Country - 3],T_SV_MEDALS[[#This Row],[COUNTRY ABBR]]),"")</f>
        <v/>
      </c>
      <c r="L160" s="3" t="str">
        <f>IF(I_VIEW=3, COUNTIFS(T_2016_EVENT_RESULTS[SPORT],I_SV_SPORT,T_2016_EVENT_RESULTS[Bronze - Country],T_SV_MEDALS[[#This Row],[COUNTRY ABBR]])+COUNTIFS(T_2016_EVENT_RESULTS[SPORT],I_SV_SPORT,T_2016_EVENT_RESULTS[Bronze - Country - 2],T_SV_MEDALS[[#This Row],[COUNTRY ABBR]]),"")</f>
        <v/>
      </c>
      <c r="M160" s="3">
        <f>SUM(T_SV_MEDALS[[#This Row],[SV_GOLD]:[SV_BRONZE]])</f>
        <v>0</v>
      </c>
      <c r="N160" s="3" t="str">
        <f>IF(T_SV_MEDALS[[#This Row],[SV_TOTAL]]=0,"",IF(I_RANK_METHOD="TOTAL",(T_SV_MEDALS[[#This Row],[SV_TOTAL]]*10000000),0)+(T_SV_MEDALS[[#This Row],[SV_GOLD]]*100000)+(T_SV_MEDALS[[#This Row],[SV_SILVER]]*1000)+(T_SV_MEDALS[[#This Row],[SV_BRONZE]]*10))</f>
        <v/>
      </c>
      <c r="O160" s="3" t="str">
        <f>IFERROR(IF(T_SV_MEDALS[[#This Row],[SV_TOTAL]]=0,"",RANK(T_SV_MEDALS[[#This Row],[SV_RANK VALUE]],T_SV_MEDALS[SV_RANK VALUE])),"")</f>
        <v/>
      </c>
      <c r="P160" s="3" t="str">
        <f>IFERROR(IF(T_SV_MEDALS[[#This Row],[SV_TOTAL]]=0,"",RANK(T_SV_MEDALS[[#This Row],[SV_RANK VALUE]],T_SV_MEDALS[SV_RANK VALUE])+COUNTIF($O$2:O159,O160)),"")</f>
        <v/>
      </c>
      <c r="Q160" s="3">
        <f>IFERROR(T_SV_MEDALS[[#This Row],[SV_TOTAL]]/T_SV_MEDALS[[#This Row],[TOTAL]],"")</f>
        <v>0</v>
      </c>
      <c r="R160" s="3" t="str">
        <f>IFERROR(IF(T_SV_MEDALS[[#This Row],[SV_TOTAL]]=0,"",RANK(T_SV_MEDALS[[#This Row],[Dependency - Rank Value]],T_SV_MEDALS[Dependency - Rank Value])+COUNTIF($Q$2:Q159,Q160)),"")</f>
        <v/>
      </c>
    </row>
    <row r="161" spans="1:18" x14ac:dyDescent="0.25">
      <c r="A161" t="s">
        <v>288</v>
      </c>
      <c r="B161" t="s">
        <v>289</v>
      </c>
      <c r="C161" s="3">
        <f>IF(I_VIEW=2,"",COUNTIFS(T_2016_EVENT_RESULTS[Gold - Country],T_SV_MEDALS[[#This Row],[COUNTRY ABBR]])+COUNTIFS(T_2016_EVENT_RESULTS[Gold - Country - 2],T_SV_MEDALS[[#This Row],[COUNTRY ABBR]]))</f>
        <v>0</v>
      </c>
      <c r="D161" s="3">
        <f>IF(I_VIEW=2,"",COUNTIFS(T_2016_EVENT_RESULTS[Silver - Country],T_SV_MEDALS[[#This Row],[COUNTRY ABBR]])+COUNTIFS(T_2016_EVENT_RESULTS[Silver - Country - 2],T_SV_MEDALS[[#This Row],[COUNTRY ABBR]])+COUNTIFS(T_2016_EVENT_RESULTS[Silver - Country - 3],T_SV_MEDALS[[#This Row],[COUNTRY ABBR]]))</f>
        <v>0</v>
      </c>
      <c r="E161" s="3">
        <f>IF(I_VIEW=2,"",COUNTIFS(T_2016_EVENT_RESULTS[Bronze - Country],T_SV_MEDALS[[#This Row],[COUNTRY ABBR]])+COUNTIFS(T_2016_EVENT_RESULTS[Bronze - Country - 2],T_SV_MEDALS[[#This Row],[COUNTRY ABBR]]))</f>
        <v>0</v>
      </c>
      <c r="F161" s="3">
        <f>SUM(T_SV_MEDALS[[#This Row],[GOLD]:[BRONZE]])</f>
        <v>0</v>
      </c>
      <c r="G161" s="3" t="str">
        <f>IF(T_SV_MEDALS[[#This Row],[TOTAL]]=0,"",IF(I_RANK_METHOD="TOTAL",(T_SV_MEDALS[[#This Row],[TOTAL]]*10000000),0)+(T_SV_MEDALS[[#This Row],[GOLD]]*100000)+(T_SV_MEDALS[[#This Row],[SILVER]]*1000)+(T_SV_MEDALS[[#This Row],[BRONZE]]*10))</f>
        <v/>
      </c>
      <c r="H161" s="3" t="str">
        <f>IFERROR(IF(T_SV_MEDALS[[#This Row],[TOTAL]]=0,"",RANK(T_SV_MEDALS[[#This Row],[RANK VALUE]],T_SV_MEDALS[RANK VALUE])),"")</f>
        <v/>
      </c>
      <c r="I161" s="3" t="str">
        <f>IFERROR(IF(T_SV_MEDALS[[#This Row],[TOTAL]]=0,"",RANK(T_SV_MEDALS[[#This Row],[RANK VALUE]],T_SV_MEDALS[RANK VALUE])+COUNTIF($H$2:H160,H161)),"")</f>
        <v/>
      </c>
      <c r="J161" s="3" t="str">
        <f>IF(I_VIEW=3, COUNTIFS(T_2016_EVENT_RESULTS[SPORT],I_SV_SPORT,T_2016_EVENT_RESULTS[Gold - Country],T_SV_MEDALS[[#This Row],[COUNTRY ABBR]])+COUNTIFS(T_2016_EVENT_RESULTS[SPORT],I_SV_SPORT,T_2016_EVENT_RESULTS[Gold - Country - 2],T_SV_MEDALS[[#This Row],[COUNTRY ABBR]]),"")</f>
        <v/>
      </c>
      <c r="K161" s="3" t="str">
        <f>IF(I_VIEW=3, COUNTIFS(T_2016_EVENT_RESULTS[SPORT],I_SV_SPORT,T_2016_EVENT_RESULTS[Silver - Country],T_SV_MEDALS[[#This Row],[COUNTRY ABBR]])+COUNTIFS(T_2016_EVENT_RESULTS[SPORT],I_SV_SPORT,T_2016_EVENT_RESULTS[Silver - Country - 2],T_SV_MEDALS[[#This Row],[COUNTRY ABBR]])+COUNTIFS(T_2016_EVENT_RESULTS[SPORT],I_SV_SPORT,T_2016_EVENT_RESULTS[Silver - Country - 3],T_SV_MEDALS[[#This Row],[COUNTRY ABBR]]),"")</f>
        <v/>
      </c>
      <c r="L161" s="3" t="str">
        <f>IF(I_VIEW=3, COUNTIFS(T_2016_EVENT_RESULTS[SPORT],I_SV_SPORT,T_2016_EVENT_RESULTS[Bronze - Country],T_SV_MEDALS[[#This Row],[COUNTRY ABBR]])+COUNTIFS(T_2016_EVENT_RESULTS[SPORT],I_SV_SPORT,T_2016_EVENT_RESULTS[Bronze - Country - 2],T_SV_MEDALS[[#This Row],[COUNTRY ABBR]]),"")</f>
        <v/>
      </c>
      <c r="M161" s="3">
        <f>SUM(T_SV_MEDALS[[#This Row],[SV_GOLD]:[SV_BRONZE]])</f>
        <v>0</v>
      </c>
      <c r="N161" s="3" t="str">
        <f>IF(T_SV_MEDALS[[#This Row],[SV_TOTAL]]=0,"",IF(I_RANK_METHOD="TOTAL",(T_SV_MEDALS[[#This Row],[SV_TOTAL]]*10000000),0)+(T_SV_MEDALS[[#This Row],[SV_GOLD]]*100000)+(T_SV_MEDALS[[#This Row],[SV_SILVER]]*1000)+(T_SV_MEDALS[[#This Row],[SV_BRONZE]]*10))</f>
        <v/>
      </c>
      <c r="O161" s="3" t="str">
        <f>IFERROR(IF(T_SV_MEDALS[[#This Row],[SV_TOTAL]]=0,"",RANK(T_SV_MEDALS[[#This Row],[SV_RANK VALUE]],T_SV_MEDALS[SV_RANK VALUE])),"")</f>
        <v/>
      </c>
      <c r="P161" s="3" t="str">
        <f>IFERROR(IF(T_SV_MEDALS[[#This Row],[SV_TOTAL]]=0,"",RANK(T_SV_MEDALS[[#This Row],[SV_RANK VALUE]],T_SV_MEDALS[SV_RANK VALUE])+COUNTIF($O$2:O160,O161)),"")</f>
        <v/>
      </c>
      <c r="Q161" s="3" t="str">
        <f>IFERROR(T_SV_MEDALS[[#This Row],[SV_TOTAL]]/T_SV_MEDALS[[#This Row],[TOTAL]],"")</f>
        <v/>
      </c>
      <c r="R161" s="3" t="str">
        <f>IFERROR(IF(T_SV_MEDALS[[#This Row],[SV_TOTAL]]=0,"",RANK(T_SV_MEDALS[[#This Row],[Dependency - Rank Value]],T_SV_MEDALS[Dependency - Rank Value])+COUNTIF($Q$2:Q160,Q161)),"")</f>
        <v/>
      </c>
    </row>
    <row r="162" spans="1:18" x14ac:dyDescent="0.25">
      <c r="A162" t="s">
        <v>2774</v>
      </c>
      <c r="B162" t="s">
        <v>290</v>
      </c>
      <c r="C162" s="3">
        <f>IF(I_VIEW=2,"",COUNTIFS(T_2016_EVENT_RESULTS[Gold - Country],T_SV_MEDALS[[#This Row],[COUNTRY ABBR]])+COUNTIFS(T_2016_EVENT_RESULTS[Gold - Country - 2],T_SV_MEDALS[[#This Row],[COUNTRY ABBR]]))</f>
        <v>0</v>
      </c>
      <c r="D162" s="3">
        <f>IF(I_VIEW=2,"",COUNTIFS(T_2016_EVENT_RESULTS[Silver - Country],T_SV_MEDALS[[#This Row],[COUNTRY ABBR]])+COUNTIFS(T_2016_EVENT_RESULTS[Silver - Country - 2],T_SV_MEDALS[[#This Row],[COUNTRY ABBR]])+COUNTIFS(T_2016_EVENT_RESULTS[Silver - Country - 3],T_SV_MEDALS[[#This Row],[COUNTRY ABBR]]))</f>
        <v>0</v>
      </c>
      <c r="E162" s="3">
        <f>IF(I_VIEW=2,"",COUNTIFS(T_2016_EVENT_RESULTS[Bronze - Country],T_SV_MEDALS[[#This Row],[COUNTRY ABBR]])+COUNTIFS(T_2016_EVENT_RESULTS[Bronze - Country - 2],T_SV_MEDALS[[#This Row],[COUNTRY ABBR]]))</f>
        <v>0</v>
      </c>
      <c r="F162" s="3">
        <f>SUM(T_SV_MEDALS[[#This Row],[GOLD]:[BRONZE]])</f>
        <v>0</v>
      </c>
      <c r="G162" s="3" t="str">
        <f>IF(T_SV_MEDALS[[#This Row],[TOTAL]]=0,"",IF(I_RANK_METHOD="TOTAL",(T_SV_MEDALS[[#This Row],[TOTAL]]*10000000),0)+(T_SV_MEDALS[[#This Row],[GOLD]]*100000)+(T_SV_MEDALS[[#This Row],[SILVER]]*1000)+(T_SV_MEDALS[[#This Row],[BRONZE]]*10))</f>
        <v/>
      </c>
      <c r="H162" s="3" t="str">
        <f>IFERROR(IF(T_SV_MEDALS[[#This Row],[TOTAL]]=0,"",RANK(T_SV_MEDALS[[#This Row],[RANK VALUE]],T_SV_MEDALS[RANK VALUE])),"")</f>
        <v/>
      </c>
      <c r="I162" s="3" t="str">
        <f>IFERROR(IF(T_SV_MEDALS[[#This Row],[TOTAL]]=0,"",RANK(T_SV_MEDALS[[#This Row],[RANK VALUE]],T_SV_MEDALS[RANK VALUE])+COUNTIF($H$2:H161,H162)),"")</f>
        <v/>
      </c>
      <c r="J162" s="3" t="str">
        <f>IF(I_VIEW=3, COUNTIFS(T_2016_EVENT_RESULTS[SPORT],I_SV_SPORT,T_2016_EVENT_RESULTS[Gold - Country],T_SV_MEDALS[[#This Row],[COUNTRY ABBR]])+COUNTIFS(T_2016_EVENT_RESULTS[SPORT],I_SV_SPORT,T_2016_EVENT_RESULTS[Gold - Country - 2],T_SV_MEDALS[[#This Row],[COUNTRY ABBR]]),"")</f>
        <v/>
      </c>
      <c r="K162" s="3" t="str">
        <f>IF(I_VIEW=3, COUNTIFS(T_2016_EVENT_RESULTS[SPORT],I_SV_SPORT,T_2016_EVENT_RESULTS[Silver - Country],T_SV_MEDALS[[#This Row],[COUNTRY ABBR]])+COUNTIFS(T_2016_EVENT_RESULTS[SPORT],I_SV_SPORT,T_2016_EVENT_RESULTS[Silver - Country - 2],T_SV_MEDALS[[#This Row],[COUNTRY ABBR]])+COUNTIFS(T_2016_EVENT_RESULTS[SPORT],I_SV_SPORT,T_2016_EVENT_RESULTS[Silver - Country - 3],T_SV_MEDALS[[#This Row],[COUNTRY ABBR]]),"")</f>
        <v/>
      </c>
      <c r="L162" s="3" t="str">
        <f>IF(I_VIEW=3, COUNTIFS(T_2016_EVENT_RESULTS[SPORT],I_SV_SPORT,T_2016_EVENT_RESULTS[Bronze - Country],T_SV_MEDALS[[#This Row],[COUNTRY ABBR]])+COUNTIFS(T_2016_EVENT_RESULTS[SPORT],I_SV_SPORT,T_2016_EVENT_RESULTS[Bronze - Country - 2],T_SV_MEDALS[[#This Row],[COUNTRY ABBR]]),"")</f>
        <v/>
      </c>
      <c r="M162" s="3">
        <f>SUM(T_SV_MEDALS[[#This Row],[SV_GOLD]:[SV_BRONZE]])</f>
        <v>0</v>
      </c>
      <c r="N162" s="3" t="str">
        <f>IF(T_SV_MEDALS[[#This Row],[SV_TOTAL]]=0,"",IF(I_RANK_METHOD="TOTAL",(T_SV_MEDALS[[#This Row],[SV_TOTAL]]*10000000),0)+(T_SV_MEDALS[[#This Row],[SV_GOLD]]*100000)+(T_SV_MEDALS[[#This Row],[SV_SILVER]]*1000)+(T_SV_MEDALS[[#This Row],[SV_BRONZE]]*10))</f>
        <v/>
      </c>
      <c r="O162" s="3" t="str">
        <f>IFERROR(IF(T_SV_MEDALS[[#This Row],[SV_TOTAL]]=0,"",RANK(T_SV_MEDALS[[#This Row],[SV_RANK VALUE]],T_SV_MEDALS[SV_RANK VALUE])),"")</f>
        <v/>
      </c>
      <c r="P162" s="3" t="str">
        <f>IFERROR(IF(T_SV_MEDALS[[#This Row],[SV_TOTAL]]=0,"",RANK(T_SV_MEDALS[[#This Row],[SV_RANK VALUE]],T_SV_MEDALS[SV_RANK VALUE])+COUNTIF($O$2:O161,O162)),"")</f>
        <v/>
      </c>
      <c r="Q162" s="3" t="str">
        <f>IFERROR(T_SV_MEDALS[[#This Row],[SV_TOTAL]]/T_SV_MEDALS[[#This Row],[TOTAL]],"")</f>
        <v/>
      </c>
      <c r="R162" s="3" t="str">
        <f>IFERROR(IF(T_SV_MEDALS[[#This Row],[SV_TOTAL]]=0,"",RANK(T_SV_MEDALS[[#This Row],[Dependency - Rank Value]],T_SV_MEDALS[Dependency - Rank Value])+COUNTIF($Q$2:Q161,Q162)),"")</f>
        <v/>
      </c>
    </row>
    <row r="163" spans="1:18" x14ac:dyDescent="0.25">
      <c r="A163" t="s">
        <v>291</v>
      </c>
      <c r="B163" t="s">
        <v>292</v>
      </c>
      <c r="C163" s="3">
        <f>IF(I_VIEW=2,"",COUNTIFS(T_2016_EVENT_RESULTS[Gold - Country],T_SV_MEDALS[[#This Row],[COUNTRY ABBR]])+COUNTIFS(T_2016_EVENT_RESULTS[Gold - Country - 2],T_SV_MEDALS[[#This Row],[COUNTRY ABBR]]))</f>
        <v>0</v>
      </c>
      <c r="D163" s="3">
        <f>IF(I_VIEW=2,"",COUNTIFS(T_2016_EVENT_RESULTS[Silver - Country],T_SV_MEDALS[[#This Row],[COUNTRY ABBR]])+COUNTIFS(T_2016_EVENT_RESULTS[Silver - Country - 2],T_SV_MEDALS[[#This Row],[COUNTRY ABBR]])+COUNTIFS(T_2016_EVENT_RESULTS[Silver - Country - 3],T_SV_MEDALS[[#This Row],[COUNTRY ABBR]]))</f>
        <v>0</v>
      </c>
      <c r="E163" s="3">
        <f>IF(I_VIEW=2,"",COUNTIFS(T_2016_EVENT_RESULTS[Bronze - Country],T_SV_MEDALS[[#This Row],[COUNTRY ABBR]])+COUNTIFS(T_2016_EVENT_RESULTS[Bronze - Country - 2],T_SV_MEDALS[[#This Row],[COUNTRY ABBR]]))</f>
        <v>0</v>
      </c>
      <c r="F163" s="3">
        <f>SUM(T_SV_MEDALS[[#This Row],[GOLD]:[BRONZE]])</f>
        <v>0</v>
      </c>
      <c r="G163" s="3" t="str">
        <f>IF(T_SV_MEDALS[[#This Row],[TOTAL]]=0,"",IF(I_RANK_METHOD="TOTAL",(T_SV_MEDALS[[#This Row],[TOTAL]]*10000000),0)+(T_SV_MEDALS[[#This Row],[GOLD]]*100000)+(T_SV_MEDALS[[#This Row],[SILVER]]*1000)+(T_SV_MEDALS[[#This Row],[BRONZE]]*10))</f>
        <v/>
      </c>
      <c r="H163" s="3" t="str">
        <f>IFERROR(IF(T_SV_MEDALS[[#This Row],[TOTAL]]=0,"",RANK(T_SV_MEDALS[[#This Row],[RANK VALUE]],T_SV_MEDALS[RANK VALUE])),"")</f>
        <v/>
      </c>
      <c r="I163" s="3" t="str">
        <f>IFERROR(IF(T_SV_MEDALS[[#This Row],[TOTAL]]=0,"",RANK(T_SV_MEDALS[[#This Row],[RANK VALUE]],T_SV_MEDALS[RANK VALUE])+COUNTIF($H$2:H162,H163)),"")</f>
        <v/>
      </c>
      <c r="J163" s="3" t="str">
        <f>IF(I_VIEW=3, COUNTIFS(T_2016_EVENT_RESULTS[SPORT],I_SV_SPORT,T_2016_EVENT_RESULTS[Gold - Country],T_SV_MEDALS[[#This Row],[COUNTRY ABBR]])+COUNTIFS(T_2016_EVENT_RESULTS[SPORT],I_SV_SPORT,T_2016_EVENT_RESULTS[Gold - Country - 2],T_SV_MEDALS[[#This Row],[COUNTRY ABBR]]),"")</f>
        <v/>
      </c>
      <c r="K163" s="3" t="str">
        <f>IF(I_VIEW=3, COUNTIFS(T_2016_EVENT_RESULTS[SPORT],I_SV_SPORT,T_2016_EVENT_RESULTS[Silver - Country],T_SV_MEDALS[[#This Row],[COUNTRY ABBR]])+COUNTIFS(T_2016_EVENT_RESULTS[SPORT],I_SV_SPORT,T_2016_EVENT_RESULTS[Silver - Country - 2],T_SV_MEDALS[[#This Row],[COUNTRY ABBR]])+COUNTIFS(T_2016_EVENT_RESULTS[SPORT],I_SV_SPORT,T_2016_EVENT_RESULTS[Silver - Country - 3],T_SV_MEDALS[[#This Row],[COUNTRY ABBR]]),"")</f>
        <v/>
      </c>
      <c r="L163" s="3" t="str">
        <f>IF(I_VIEW=3, COUNTIFS(T_2016_EVENT_RESULTS[SPORT],I_SV_SPORT,T_2016_EVENT_RESULTS[Bronze - Country],T_SV_MEDALS[[#This Row],[COUNTRY ABBR]])+COUNTIFS(T_2016_EVENT_RESULTS[SPORT],I_SV_SPORT,T_2016_EVENT_RESULTS[Bronze - Country - 2],T_SV_MEDALS[[#This Row],[COUNTRY ABBR]]),"")</f>
        <v/>
      </c>
      <c r="M163" s="3">
        <f>SUM(T_SV_MEDALS[[#This Row],[SV_GOLD]:[SV_BRONZE]])</f>
        <v>0</v>
      </c>
      <c r="N163" s="3" t="str">
        <f>IF(T_SV_MEDALS[[#This Row],[SV_TOTAL]]=0,"",IF(I_RANK_METHOD="TOTAL",(T_SV_MEDALS[[#This Row],[SV_TOTAL]]*10000000),0)+(T_SV_MEDALS[[#This Row],[SV_GOLD]]*100000)+(T_SV_MEDALS[[#This Row],[SV_SILVER]]*1000)+(T_SV_MEDALS[[#This Row],[SV_BRONZE]]*10))</f>
        <v/>
      </c>
      <c r="O163" s="3" t="str">
        <f>IFERROR(IF(T_SV_MEDALS[[#This Row],[SV_TOTAL]]=0,"",RANK(T_SV_MEDALS[[#This Row],[SV_RANK VALUE]],T_SV_MEDALS[SV_RANK VALUE])),"")</f>
        <v/>
      </c>
      <c r="P163" s="3" t="str">
        <f>IFERROR(IF(T_SV_MEDALS[[#This Row],[SV_TOTAL]]=0,"",RANK(T_SV_MEDALS[[#This Row],[SV_RANK VALUE]],T_SV_MEDALS[SV_RANK VALUE])+COUNTIF($O$2:O162,O163)),"")</f>
        <v/>
      </c>
      <c r="Q163" s="3" t="str">
        <f>IFERROR(T_SV_MEDALS[[#This Row],[SV_TOTAL]]/T_SV_MEDALS[[#This Row],[TOTAL]],"")</f>
        <v/>
      </c>
      <c r="R163" s="3" t="str">
        <f>IFERROR(IF(T_SV_MEDALS[[#This Row],[SV_TOTAL]]=0,"",RANK(T_SV_MEDALS[[#This Row],[Dependency - Rank Value]],T_SV_MEDALS[Dependency - Rank Value])+COUNTIF($Q$2:Q162,Q163)),"")</f>
        <v/>
      </c>
    </row>
    <row r="164" spans="1:18" x14ac:dyDescent="0.25">
      <c r="A164" t="s">
        <v>2775</v>
      </c>
      <c r="B164" t="s">
        <v>293</v>
      </c>
      <c r="C164" s="3">
        <f>IF(I_VIEW=2,"",COUNTIFS(T_2016_EVENT_RESULTS[Gold - Country],T_SV_MEDALS[[#This Row],[COUNTRY ABBR]])+COUNTIFS(T_2016_EVENT_RESULTS[Gold - Country - 2],T_SV_MEDALS[[#This Row],[COUNTRY ABBR]]))</f>
        <v>0</v>
      </c>
      <c r="D164" s="3">
        <f>IF(I_VIEW=2,"",COUNTIFS(T_2016_EVENT_RESULTS[Silver - Country],T_SV_MEDALS[[#This Row],[COUNTRY ABBR]])+COUNTIFS(T_2016_EVENT_RESULTS[Silver - Country - 2],T_SV_MEDALS[[#This Row],[COUNTRY ABBR]])+COUNTIFS(T_2016_EVENT_RESULTS[Silver - Country - 3],T_SV_MEDALS[[#This Row],[COUNTRY ABBR]]))</f>
        <v>0</v>
      </c>
      <c r="E164" s="3">
        <f>IF(I_VIEW=2,"",COUNTIFS(T_2016_EVENT_RESULTS[Bronze - Country],T_SV_MEDALS[[#This Row],[COUNTRY ABBR]])+COUNTIFS(T_2016_EVENT_RESULTS[Bronze - Country - 2],T_SV_MEDALS[[#This Row],[COUNTRY ABBR]]))</f>
        <v>0</v>
      </c>
      <c r="F164" s="3">
        <f>SUM(T_SV_MEDALS[[#This Row],[GOLD]:[BRONZE]])</f>
        <v>0</v>
      </c>
      <c r="G164" s="3" t="str">
        <f>IF(T_SV_MEDALS[[#This Row],[TOTAL]]=0,"",IF(I_RANK_METHOD="TOTAL",(T_SV_MEDALS[[#This Row],[TOTAL]]*10000000),0)+(T_SV_MEDALS[[#This Row],[GOLD]]*100000)+(T_SV_MEDALS[[#This Row],[SILVER]]*1000)+(T_SV_MEDALS[[#This Row],[BRONZE]]*10))</f>
        <v/>
      </c>
      <c r="H164" s="3" t="str">
        <f>IFERROR(IF(T_SV_MEDALS[[#This Row],[TOTAL]]=0,"",RANK(T_SV_MEDALS[[#This Row],[RANK VALUE]],T_SV_MEDALS[RANK VALUE])),"")</f>
        <v/>
      </c>
      <c r="I164" s="3" t="str">
        <f>IFERROR(IF(T_SV_MEDALS[[#This Row],[TOTAL]]=0,"",RANK(T_SV_MEDALS[[#This Row],[RANK VALUE]],T_SV_MEDALS[RANK VALUE])+COUNTIF($H$2:H163,H164)),"")</f>
        <v/>
      </c>
      <c r="J164" s="3" t="str">
        <f>IF(I_VIEW=3, COUNTIFS(T_2016_EVENT_RESULTS[SPORT],I_SV_SPORT,T_2016_EVENT_RESULTS[Gold - Country],T_SV_MEDALS[[#This Row],[COUNTRY ABBR]])+COUNTIFS(T_2016_EVENT_RESULTS[SPORT],I_SV_SPORT,T_2016_EVENT_RESULTS[Gold - Country - 2],T_SV_MEDALS[[#This Row],[COUNTRY ABBR]]),"")</f>
        <v/>
      </c>
      <c r="K164" s="3" t="str">
        <f>IF(I_VIEW=3, COUNTIFS(T_2016_EVENT_RESULTS[SPORT],I_SV_SPORT,T_2016_EVENT_RESULTS[Silver - Country],T_SV_MEDALS[[#This Row],[COUNTRY ABBR]])+COUNTIFS(T_2016_EVENT_RESULTS[SPORT],I_SV_SPORT,T_2016_EVENT_RESULTS[Silver - Country - 2],T_SV_MEDALS[[#This Row],[COUNTRY ABBR]])+COUNTIFS(T_2016_EVENT_RESULTS[SPORT],I_SV_SPORT,T_2016_EVENT_RESULTS[Silver - Country - 3],T_SV_MEDALS[[#This Row],[COUNTRY ABBR]]),"")</f>
        <v/>
      </c>
      <c r="L164" s="3" t="str">
        <f>IF(I_VIEW=3, COUNTIFS(T_2016_EVENT_RESULTS[SPORT],I_SV_SPORT,T_2016_EVENT_RESULTS[Bronze - Country],T_SV_MEDALS[[#This Row],[COUNTRY ABBR]])+COUNTIFS(T_2016_EVENT_RESULTS[SPORT],I_SV_SPORT,T_2016_EVENT_RESULTS[Bronze - Country - 2],T_SV_MEDALS[[#This Row],[COUNTRY ABBR]]),"")</f>
        <v/>
      </c>
      <c r="M164" s="3">
        <f>SUM(T_SV_MEDALS[[#This Row],[SV_GOLD]:[SV_BRONZE]])</f>
        <v>0</v>
      </c>
      <c r="N164" s="3" t="str">
        <f>IF(T_SV_MEDALS[[#This Row],[SV_TOTAL]]=0,"",IF(I_RANK_METHOD="TOTAL",(T_SV_MEDALS[[#This Row],[SV_TOTAL]]*10000000),0)+(T_SV_MEDALS[[#This Row],[SV_GOLD]]*100000)+(T_SV_MEDALS[[#This Row],[SV_SILVER]]*1000)+(T_SV_MEDALS[[#This Row],[SV_BRONZE]]*10))</f>
        <v/>
      </c>
      <c r="O164" s="3" t="str">
        <f>IFERROR(IF(T_SV_MEDALS[[#This Row],[SV_TOTAL]]=0,"",RANK(T_SV_MEDALS[[#This Row],[SV_RANK VALUE]],T_SV_MEDALS[SV_RANK VALUE])),"")</f>
        <v/>
      </c>
      <c r="P164" s="3" t="str">
        <f>IFERROR(IF(T_SV_MEDALS[[#This Row],[SV_TOTAL]]=0,"",RANK(T_SV_MEDALS[[#This Row],[SV_RANK VALUE]],T_SV_MEDALS[SV_RANK VALUE])+COUNTIF($O$2:O163,O164)),"")</f>
        <v/>
      </c>
      <c r="Q164" s="3" t="str">
        <f>IFERROR(T_SV_MEDALS[[#This Row],[SV_TOTAL]]/T_SV_MEDALS[[#This Row],[TOTAL]],"")</f>
        <v/>
      </c>
      <c r="R164" s="3" t="str">
        <f>IFERROR(IF(T_SV_MEDALS[[#This Row],[SV_TOTAL]]=0,"",RANK(T_SV_MEDALS[[#This Row],[Dependency - Rank Value]],T_SV_MEDALS[Dependency - Rank Value])+COUNTIF($Q$2:Q163,Q164)),"")</f>
        <v/>
      </c>
    </row>
    <row r="165" spans="1:18" x14ac:dyDescent="0.25">
      <c r="A165" t="s">
        <v>294</v>
      </c>
      <c r="B165" t="s">
        <v>295</v>
      </c>
      <c r="C165" s="3">
        <f>IF(I_VIEW=2,"",COUNTIFS(T_2016_EVENT_RESULTS[Gold - Country],T_SV_MEDALS[[#This Row],[COUNTRY ABBR]])+COUNTIFS(T_2016_EVENT_RESULTS[Gold - Country - 2],T_SV_MEDALS[[#This Row],[COUNTRY ABBR]]))</f>
        <v>0</v>
      </c>
      <c r="D165" s="3">
        <f>IF(I_VIEW=2,"",COUNTIFS(T_2016_EVENT_RESULTS[Silver - Country],T_SV_MEDALS[[#This Row],[COUNTRY ABBR]])+COUNTIFS(T_2016_EVENT_RESULTS[Silver - Country - 2],T_SV_MEDALS[[#This Row],[COUNTRY ABBR]])+COUNTIFS(T_2016_EVENT_RESULTS[Silver - Country - 3],T_SV_MEDALS[[#This Row],[COUNTRY ABBR]]))</f>
        <v>0</v>
      </c>
      <c r="E165" s="3">
        <f>IF(I_VIEW=2,"",COUNTIFS(T_2016_EVENT_RESULTS[Bronze - Country],T_SV_MEDALS[[#This Row],[COUNTRY ABBR]])+COUNTIFS(T_2016_EVENT_RESULTS[Bronze - Country - 2],T_SV_MEDALS[[#This Row],[COUNTRY ABBR]]))</f>
        <v>0</v>
      </c>
      <c r="F165" s="3">
        <f>SUM(T_SV_MEDALS[[#This Row],[GOLD]:[BRONZE]])</f>
        <v>0</v>
      </c>
      <c r="G165" s="3" t="str">
        <f>IF(T_SV_MEDALS[[#This Row],[TOTAL]]=0,"",IF(I_RANK_METHOD="TOTAL",(T_SV_MEDALS[[#This Row],[TOTAL]]*10000000),0)+(T_SV_MEDALS[[#This Row],[GOLD]]*100000)+(T_SV_MEDALS[[#This Row],[SILVER]]*1000)+(T_SV_MEDALS[[#This Row],[BRONZE]]*10))</f>
        <v/>
      </c>
      <c r="H165" s="3" t="str">
        <f>IFERROR(IF(T_SV_MEDALS[[#This Row],[TOTAL]]=0,"",RANK(T_SV_MEDALS[[#This Row],[RANK VALUE]],T_SV_MEDALS[RANK VALUE])),"")</f>
        <v/>
      </c>
      <c r="I165" s="3" t="str">
        <f>IFERROR(IF(T_SV_MEDALS[[#This Row],[TOTAL]]=0,"",RANK(T_SV_MEDALS[[#This Row],[RANK VALUE]],T_SV_MEDALS[RANK VALUE])+COUNTIF($H$2:H164,H165)),"")</f>
        <v/>
      </c>
      <c r="J165" s="3" t="str">
        <f>IF(I_VIEW=3, COUNTIFS(T_2016_EVENT_RESULTS[SPORT],I_SV_SPORT,T_2016_EVENT_RESULTS[Gold - Country],T_SV_MEDALS[[#This Row],[COUNTRY ABBR]])+COUNTIFS(T_2016_EVENT_RESULTS[SPORT],I_SV_SPORT,T_2016_EVENT_RESULTS[Gold - Country - 2],T_SV_MEDALS[[#This Row],[COUNTRY ABBR]]),"")</f>
        <v/>
      </c>
      <c r="K165" s="3" t="str">
        <f>IF(I_VIEW=3, COUNTIFS(T_2016_EVENT_RESULTS[SPORT],I_SV_SPORT,T_2016_EVENT_RESULTS[Silver - Country],T_SV_MEDALS[[#This Row],[COUNTRY ABBR]])+COUNTIFS(T_2016_EVENT_RESULTS[SPORT],I_SV_SPORT,T_2016_EVENT_RESULTS[Silver - Country - 2],T_SV_MEDALS[[#This Row],[COUNTRY ABBR]])+COUNTIFS(T_2016_EVENT_RESULTS[SPORT],I_SV_SPORT,T_2016_EVENT_RESULTS[Silver - Country - 3],T_SV_MEDALS[[#This Row],[COUNTRY ABBR]]),"")</f>
        <v/>
      </c>
      <c r="L165" s="3" t="str">
        <f>IF(I_VIEW=3, COUNTIFS(T_2016_EVENT_RESULTS[SPORT],I_SV_SPORT,T_2016_EVENT_RESULTS[Bronze - Country],T_SV_MEDALS[[#This Row],[COUNTRY ABBR]])+COUNTIFS(T_2016_EVENT_RESULTS[SPORT],I_SV_SPORT,T_2016_EVENT_RESULTS[Bronze - Country - 2],T_SV_MEDALS[[#This Row],[COUNTRY ABBR]]),"")</f>
        <v/>
      </c>
      <c r="M165" s="3">
        <f>SUM(T_SV_MEDALS[[#This Row],[SV_GOLD]:[SV_BRONZE]])</f>
        <v>0</v>
      </c>
      <c r="N165" s="3" t="str">
        <f>IF(T_SV_MEDALS[[#This Row],[SV_TOTAL]]=0,"",IF(I_RANK_METHOD="TOTAL",(T_SV_MEDALS[[#This Row],[SV_TOTAL]]*10000000),0)+(T_SV_MEDALS[[#This Row],[SV_GOLD]]*100000)+(T_SV_MEDALS[[#This Row],[SV_SILVER]]*1000)+(T_SV_MEDALS[[#This Row],[SV_BRONZE]]*10))</f>
        <v/>
      </c>
      <c r="O165" s="3" t="str">
        <f>IFERROR(IF(T_SV_MEDALS[[#This Row],[SV_TOTAL]]=0,"",RANK(T_SV_MEDALS[[#This Row],[SV_RANK VALUE]],T_SV_MEDALS[SV_RANK VALUE])),"")</f>
        <v/>
      </c>
      <c r="P165" s="3" t="str">
        <f>IFERROR(IF(T_SV_MEDALS[[#This Row],[SV_TOTAL]]=0,"",RANK(T_SV_MEDALS[[#This Row],[SV_RANK VALUE]],T_SV_MEDALS[SV_RANK VALUE])+COUNTIF($O$2:O164,O165)),"")</f>
        <v/>
      </c>
      <c r="Q165" s="3" t="str">
        <f>IFERROR(T_SV_MEDALS[[#This Row],[SV_TOTAL]]/T_SV_MEDALS[[#This Row],[TOTAL]],"")</f>
        <v/>
      </c>
      <c r="R165" s="3" t="str">
        <f>IFERROR(IF(T_SV_MEDALS[[#This Row],[SV_TOTAL]]=0,"",RANK(T_SV_MEDALS[[#This Row],[Dependency - Rank Value]],T_SV_MEDALS[Dependency - Rank Value])+COUNTIF($Q$2:Q164,Q165)),"")</f>
        <v/>
      </c>
    </row>
    <row r="166" spans="1:18" x14ac:dyDescent="0.25">
      <c r="A166" t="s">
        <v>296</v>
      </c>
      <c r="B166" t="s">
        <v>297</v>
      </c>
      <c r="C166" s="3">
        <f>IF(I_VIEW=2,"",COUNTIFS(T_2016_EVENT_RESULTS[Gold - Country],T_SV_MEDALS[[#This Row],[COUNTRY ABBR]])+COUNTIFS(T_2016_EVENT_RESULTS[Gold - Country - 2],T_SV_MEDALS[[#This Row],[COUNTRY ABBR]]))</f>
        <v>0</v>
      </c>
      <c r="D166" s="3">
        <f>IF(I_VIEW=2,"",COUNTIFS(T_2016_EVENT_RESULTS[Silver - Country],T_SV_MEDALS[[#This Row],[COUNTRY ABBR]])+COUNTIFS(T_2016_EVENT_RESULTS[Silver - Country - 2],T_SV_MEDALS[[#This Row],[COUNTRY ABBR]])+COUNTIFS(T_2016_EVENT_RESULTS[Silver - Country - 3],T_SV_MEDALS[[#This Row],[COUNTRY ABBR]]))</f>
        <v>0</v>
      </c>
      <c r="E166" s="3">
        <f>IF(I_VIEW=2,"",COUNTIFS(T_2016_EVENT_RESULTS[Bronze - Country],T_SV_MEDALS[[#This Row],[COUNTRY ABBR]])+COUNTIFS(T_2016_EVENT_RESULTS[Bronze - Country - 2],T_SV_MEDALS[[#This Row],[COUNTRY ABBR]]))</f>
        <v>0</v>
      </c>
      <c r="F166" s="3">
        <f>SUM(T_SV_MEDALS[[#This Row],[GOLD]:[BRONZE]])</f>
        <v>0</v>
      </c>
      <c r="G166" s="3" t="str">
        <f>IF(T_SV_MEDALS[[#This Row],[TOTAL]]=0,"",IF(I_RANK_METHOD="TOTAL",(T_SV_MEDALS[[#This Row],[TOTAL]]*10000000),0)+(T_SV_MEDALS[[#This Row],[GOLD]]*100000)+(T_SV_MEDALS[[#This Row],[SILVER]]*1000)+(T_SV_MEDALS[[#This Row],[BRONZE]]*10))</f>
        <v/>
      </c>
      <c r="H166" s="3" t="str">
        <f>IFERROR(IF(T_SV_MEDALS[[#This Row],[TOTAL]]=0,"",RANK(T_SV_MEDALS[[#This Row],[RANK VALUE]],T_SV_MEDALS[RANK VALUE])),"")</f>
        <v/>
      </c>
      <c r="I166" s="3" t="str">
        <f>IFERROR(IF(T_SV_MEDALS[[#This Row],[TOTAL]]=0,"",RANK(T_SV_MEDALS[[#This Row],[RANK VALUE]],T_SV_MEDALS[RANK VALUE])+COUNTIF($H$2:H165,H166)),"")</f>
        <v/>
      </c>
      <c r="J166" s="3" t="str">
        <f>IF(I_VIEW=3, COUNTIFS(T_2016_EVENT_RESULTS[SPORT],I_SV_SPORT,T_2016_EVENT_RESULTS[Gold - Country],T_SV_MEDALS[[#This Row],[COUNTRY ABBR]])+COUNTIFS(T_2016_EVENT_RESULTS[SPORT],I_SV_SPORT,T_2016_EVENT_RESULTS[Gold - Country - 2],T_SV_MEDALS[[#This Row],[COUNTRY ABBR]]),"")</f>
        <v/>
      </c>
      <c r="K166" s="3" t="str">
        <f>IF(I_VIEW=3, COUNTIFS(T_2016_EVENT_RESULTS[SPORT],I_SV_SPORT,T_2016_EVENT_RESULTS[Silver - Country],T_SV_MEDALS[[#This Row],[COUNTRY ABBR]])+COUNTIFS(T_2016_EVENT_RESULTS[SPORT],I_SV_SPORT,T_2016_EVENT_RESULTS[Silver - Country - 2],T_SV_MEDALS[[#This Row],[COUNTRY ABBR]])+COUNTIFS(T_2016_EVENT_RESULTS[SPORT],I_SV_SPORT,T_2016_EVENT_RESULTS[Silver - Country - 3],T_SV_MEDALS[[#This Row],[COUNTRY ABBR]]),"")</f>
        <v/>
      </c>
      <c r="L166" s="3" t="str">
        <f>IF(I_VIEW=3, COUNTIFS(T_2016_EVENT_RESULTS[SPORT],I_SV_SPORT,T_2016_EVENT_RESULTS[Bronze - Country],T_SV_MEDALS[[#This Row],[COUNTRY ABBR]])+COUNTIFS(T_2016_EVENT_RESULTS[SPORT],I_SV_SPORT,T_2016_EVENT_RESULTS[Bronze - Country - 2],T_SV_MEDALS[[#This Row],[COUNTRY ABBR]]),"")</f>
        <v/>
      </c>
      <c r="M166" s="3">
        <f>SUM(T_SV_MEDALS[[#This Row],[SV_GOLD]:[SV_BRONZE]])</f>
        <v>0</v>
      </c>
      <c r="N166" s="3" t="str">
        <f>IF(T_SV_MEDALS[[#This Row],[SV_TOTAL]]=0,"",IF(I_RANK_METHOD="TOTAL",(T_SV_MEDALS[[#This Row],[SV_TOTAL]]*10000000),0)+(T_SV_MEDALS[[#This Row],[SV_GOLD]]*100000)+(T_SV_MEDALS[[#This Row],[SV_SILVER]]*1000)+(T_SV_MEDALS[[#This Row],[SV_BRONZE]]*10))</f>
        <v/>
      </c>
      <c r="O166" s="3" t="str">
        <f>IFERROR(IF(T_SV_MEDALS[[#This Row],[SV_TOTAL]]=0,"",RANK(T_SV_MEDALS[[#This Row],[SV_RANK VALUE]],T_SV_MEDALS[SV_RANK VALUE])),"")</f>
        <v/>
      </c>
      <c r="P166" s="3" t="str">
        <f>IFERROR(IF(T_SV_MEDALS[[#This Row],[SV_TOTAL]]=0,"",RANK(T_SV_MEDALS[[#This Row],[SV_RANK VALUE]],T_SV_MEDALS[SV_RANK VALUE])+COUNTIF($O$2:O165,O166)),"")</f>
        <v/>
      </c>
      <c r="Q166" s="3" t="str">
        <f>IFERROR(T_SV_MEDALS[[#This Row],[SV_TOTAL]]/T_SV_MEDALS[[#This Row],[TOTAL]],"")</f>
        <v/>
      </c>
      <c r="R166" s="3" t="str">
        <f>IFERROR(IF(T_SV_MEDALS[[#This Row],[SV_TOTAL]]=0,"",RANK(T_SV_MEDALS[[#This Row],[Dependency - Rank Value]],T_SV_MEDALS[Dependency - Rank Value])+COUNTIF($Q$2:Q165,Q166)),"")</f>
        <v/>
      </c>
    </row>
    <row r="167" spans="1:18" x14ac:dyDescent="0.25">
      <c r="A167" t="s">
        <v>2776</v>
      </c>
      <c r="B167" t="s">
        <v>298</v>
      </c>
      <c r="C167" s="3">
        <f>IF(I_VIEW=2,"",COUNTIFS(T_2016_EVENT_RESULTS[Gold - Country],T_SV_MEDALS[[#This Row],[COUNTRY ABBR]])+COUNTIFS(T_2016_EVENT_RESULTS[Gold - Country - 2],T_SV_MEDALS[[#This Row],[COUNTRY ABBR]]))</f>
        <v>0</v>
      </c>
      <c r="D167" s="3">
        <f>IF(I_VIEW=2,"",COUNTIFS(T_2016_EVENT_RESULTS[Silver - Country],T_SV_MEDALS[[#This Row],[COUNTRY ABBR]])+COUNTIFS(T_2016_EVENT_RESULTS[Silver - Country - 2],T_SV_MEDALS[[#This Row],[COUNTRY ABBR]])+COUNTIFS(T_2016_EVENT_RESULTS[Silver - Country - 3],T_SV_MEDALS[[#This Row],[COUNTRY ABBR]]))</f>
        <v>0</v>
      </c>
      <c r="E167" s="3">
        <f>IF(I_VIEW=2,"",COUNTIFS(T_2016_EVENT_RESULTS[Bronze - Country],T_SV_MEDALS[[#This Row],[COUNTRY ABBR]])+COUNTIFS(T_2016_EVENT_RESULTS[Bronze - Country - 2],T_SV_MEDALS[[#This Row],[COUNTRY ABBR]]))</f>
        <v>0</v>
      </c>
      <c r="F167" s="3">
        <f>SUM(T_SV_MEDALS[[#This Row],[GOLD]:[BRONZE]])</f>
        <v>0</v>
      </c>
      <c r="G167" s="3" t="str">
        <f>IF(T_SV_MEDALS[[#This Row],[TOTAL]]=0,"",IF(I_RANK_METHOD="TOTAL",(T_SV_MEDALS[[#This Row],[TOTAL]]*10000000),0)+(T_SV_MEDALS[[#This Row],[GOLD]]*100000)+(T_SV_MEDALS[[#This Row],[SILVER]]*1000)+(T_SV_MEDALS[[#This Row],[BRONZE]]*10))</f>
        <v/>
      </c>
      <c r="H167" s="3" t="str">
        <f>IFERROR(IF(T_SV_MEDALS[[#This Row],[TOTAL]]=0,"",RANK(T_SV_MEDALS[[#This Row],[RANK VALUE]],T_SV_MEDALS[RANK VALUE])),"")</f>
        <v/>
      </c>
      <c r="I167" s="3" t="str">
        <f>IFERROR(IF(T_SV_MEDALS[[#This Row],[TOTAL]]=0,"",RANK(T_SV_MEDALS[[#This Row],[RANK VALUE]],T_SV_MEDALS[RANK VALUE])+COUNTIF($H$2:H166,H167)),"")</f>
        <v/>
      </c>
      <c r="J167" s="3" t="str">
        <f>IF(I_VIEW=3, COUNTIFS(T_2016_EVENT_RESULTS[SPORT],I_SV_SPORT,T_2016_EVENT_RESULTS[Gold - Country],T_SV_MEDALS[[#This Row],[COUNTRY ABBR]])+COUNTIFS(T_2016_EVENT_RESULTS[SPORT],I_SV_SPORT,T_2016_EVENT_RESULTS[Gold - Country - 2],T_SV_MEDALS[[#This Row],[COUNTRY ABBR]]),"")</f>
        <v/>
      </c>
      <c r="K167" s="3" t="str">
        <f>IF(I_VIEW=3, COUNTIFS(T_2016_EVENT_RESULTS[SPORT],I_SV_SPORT,T_2016_EVENT_RESULTS[Silver - Country],T_SV_MEDALS[[#This Row],[COUNTRY ABBR]])+COUNTIFS(T_2016_EVENT_RESULTS[SPORT],I_SV_SPORT,T_2016_EVENT_RESULTS[Silver - Country - 2],T_SV_MEDALS[[#This Row],[COUNTRY ABBR]])+COUNTIFS(T_2016_EVENT_RESULTS[SPORT],I_SV_SPORT,T_2016_EVENT_RESULTS[Silver - Country - 3],T_SV_MEDALS[[#This Row],[COUNTRY ABBR]]),"")</f>
        <v/>
      </c>
      <c r="L167" s="3" t="str">
        <f>IF(I_VIEW=3, COUNTIFS(T_2016_EVENT_RESULTS[SPORT],I_SV_SPORT,T_2016_EVENT_RESULTS[Bronze - Country],T_SV_MEDALS[[#This Row],[COUNTRY ABBR]])+COUNTIFS(T_2016_EVENT_RESULTS[SPORT],I_SV_SPORT,T_2016_EVENT_RESULTS[Bronze - Country - 2],T_SV_MEDALS[[#This Row],[COUNTRY ABBR]]),"")</f>
        <v/>
      </c>
      <c r="M167" s="3">
        <f>SUM(T_SV_MEDALS[[#This Row],[SV_GOLD]:[SV_BRONZE]])</f>
        <v>0</v>
      </c>
      <c r="N167" s="3" t="str">
        <f>IF(T_SV_MEDALS[[#This Row],[SV_TOTAL]]=0,"",IF(I_RANK_METHOD="TOTAL",(T_SV_MEDALS[[#This Row],[SV_TOTAL]]*10000000),0)+(T_SV_MEDALS[[#This Row],[SV_GOLD]]*100000)+(T_SV_MEDALS[[#This Row],[SV_SILVER]]*1000)+(T_SV_MEDALS[[#This Row],[SV_BRONZE]]*10))</f>
        <v/>
      </c>
      <c r="O167" s="3" t="str">
        <f>IFERROR(IF(T_SV_MEDALS[[#This Row],[SV_TOTAL]]=0,"",RANK(T_SV_MEDALS[[#This Row],[SV_RANK VALUE]],T_SV_MEDALS[SV_RANK VALUE])),"")</f>
        <v/>
      </c>
      <c r="P167" s="3" t="str">
        <f>IFERROR(IF(T_SV_MEDALS[[#This Row],[SV_TOTAL]]=0,"",RANK(T_SV_MEDALS[[#This Row],[SV_RANK VALUE]],T_SV_MEDALS[SV_RANK VALUE])+COUNTIF($O$2:O166,O167)),"")</f>
        <v/>
      </c>
      <c r="Q167" s="3" t="str">
        <f>IFERROR(T_SV_MEDALS[[#This Row],[SV_TOTAL]]/T_SV_MEDALS[[#This Row],[TOTAL]],"")</f>
        <v/>
      </c>
      <c r="R167" s="3" t="str">
        <f>IFERROR(IF(T_SV_MEDALS[[#This Row],[SV_TOTAL]]=0,"",RANK(T_SV_MEDALS[[#This Row],[Dependency - Rank Value]],T_SV_MEDALS[Dependency - Rank Value])+COUNTIF($Q$2:Q166,Q167)),"")</f>
        <v/>
      </c>
    </row>
    <row r="168" spans="1:18" x14ac:dyDescent="0.25">
      <c r="A168" t="s">
        <v>299</v>
      </c>
      <c r="B168" t="s">
        <v>300</v>
      </c>
      <c r="C168" s="3">
        <f>IF(I_VIEW=2,"",COUNTIFS(T_2016_EVENT_RESULTS[Gold - Country],T_SV_MEDALS[[#This Row],[COUNTRY ABBR]])+COUNTIFS(T_2016_EVENT_RESULTS[Gold - Country - 2],T_SV_MEDALS[[#This Row],[COUNTRY ABBR]]))</f>
        <v>0</v>
      </c>
      <c r="D168" s="3">
        <f>IF(I_VIEW=2,"",COUNTIFS(T_2016_EVENT_RESULTS[Silver - Country],T_SV_MEDALS[[#This Row],[COUNTRY ABBR]])+COUNTIFS(T_2016_EVENT_RESULTS[Silver - Country - 2],T_SV_MEDALS[[#This Row],[COUNTRY ABBR]])+COUNTIFS(T_2016_EVENT_RESULTS[Silver - Country - 3],T_SV_MEDALS[[#This Row],[COUNTRY ABBR]]))</f>
        <v>0</v>
      </c>
      <c r="E168" s="3">
        <f>IF(I_VIEW=2,"",COUNTIFS(T_2016_EVENT_RESULTS[Bronze - Country],T_SV_MEDALS[[#This Row],[COUNTRY ABBR]])+COUNTIFS(T_2016_EVENT_RESULTS[Bronze - Country - 2],T_SV_MEDALS[[#This Row],[COUNTRY ABBR]]))</f>
        <v>0</v>
      </c>
      <c r="F168" s="3">
        <f>SUM(T_SV_MEDALS[[#This Row],[GOLD]:[BRONZE]])</f>
        <v>0</v>
      </c>
      <c r="G168" s="3" t="str">
        <f>IF(T_SV_MEDALS[[#This Row],[TOTAL]]=0,"",IF(I_RANK_METHOD="TOTAL",(T_SV_MEDALS[[#This Row],[TOTAL]]*10000000),0)+(T_SV_MEDALS[[#This Row],[GOLD]]*100000)+(T_SV_MEDALS[[#This Row],[SILVER]]*1000)+(T_SV_MEDALS[[#This Row],[BRONZE]]*10))</f>
        <v/>
      </c>
      <c r="H168" s="3" t="str">
        <f>IFERROR(IF(T_SV_MEDALS[[#This Row],[TOTAL]]=0,"",RANK(T_SV_MEDALS[[#This Row],[RANK VALUE]],T_SV_MEDALS[RANK VALUE])),"")</f>
        <v/>
      </c>
      <c r="I168" s="3" t="str">
        <f>IFERROR(IF(T_SV_MEDALS[[#This Row],[TOTAL]]=0,"",RANK(T_SV_MEDALS[[#This Row],[RANK VALUE]],T_SV_MEDALS[RANK VALUE])+COUNTIF($H$2:H167,H168)),"")</f>
        <v/>
      </c>
      <c r="J168" s="3" t="str">
        <f>IF(I_VIEW=3, COUNTIFS(T_2016_EVENT_RESULTS[SPORT],I_SV_SPORT,T_2016_EVENT_RESULTS[Gold - Country],T_SV_MEDALS[[#This Row],[COUNTRY ABBR]])+COUNTIFS(T_2016_EVENT_RESULTS[SPORT],I_SV_SPORT,T_2016_EVENT_RESULTS[Gold - Country - 2],T_SV_MEDALS[[#This Row],[COUNTRY ABBR]]),"")</f>
        <v/>
      </c>
      <c r="K168" s="3" t="str">
        <f>IF(I_VIEW=3, COUNTIFS(T_2016_EVENT_RESULTS[SPORT],I_SV_SPORT,T_2016_EVENT_RESULTS[Silver - Country],T_SV_MEDALS[[#This Row],[COUNTRY ABBR]])+COUNTIFS(T_2016_EVENT_RESULTS[SPORT],I_SV_SPORT,T_2016_EVENT_RESULTS[Silver - Country - 2],T_SV_MEDALS[[#This Row],[COUNTRY ABBR]])+COUNTIFS(T_2016_EVENT_RESULTS[SPORT],I_SV_SPORT,T_2016_EVENT_RESULTS[Silver - Country - 3],T_SV_MEDALS[[#This Row],[COUNTRY ABBR]]),"")</f>
        <v/>
      </c>
      <c r="L168" s="3" t="str">
        <f>IF(I_VIEW=3, COUNTIFS(T_2016_EVENT_RESULTS[SPORT],I_SV_SPORT,T_2016_EVENT_RESULTS[Bronze - Country],T_SV_MEDALS[[#This Row],[COUNTRY ABBR]])+COUNTIFS(T_2016_EVENT_RESULTS[SPORT],I_SV_SPORT,T_2016_EVENT_RESULTS[Bronze - Country - 2],T_SV_MEDALS[[#This Row],[COUNTRY ABBR]]),"")</f>
        <v/>
      </c>
      <c r="M168" s="3">
        <f>SUM(T_SV_MEDALS[[#This Row],[SV_GOLD]:[SV_BRONZE]])</f>
        <v>0</v>
      </c>
      <c r="N168" s="3" t="str">
        <f>IF(T_SV_MEDALS[[#This Row],[SV_TOTAL]]=0,"",IF(I_RANK_METHOD="TOTAL",(T_SV_MEDALS[[#This Row],[SV_TOTAL]]*10000000),0)+(T_SV_MEDALS[[#This Row],[SV_GOLD]]*100000)+(T_SV_MEDALS[[#This Row],[SV_SILVER]]*1000)+(T_SV_MEDALS[[#This Row],[SV_BRONZE]]*10))</f>
        <v/>
      </c>
      <c r="O168" s="3" t="str">
        <f>IFERROR(IF(T_SV_MEDALS[[#This Row],[SV_TOTAL]]=0,"",RANK(T_SV_MEDALS[[#This Row],[SV_RANK VALUE]],T_SV_MEDALS[SV_RANK VALUE])),"")</f>
        <v/>
      </c>
      <c r="P168" s="3" t="str">
        <f>IFERROR(IF(T_SV_MEDALS[[#This Row],[SV_TOTAL]]=0,"",RANK(T_SV_MEDALS[[#This Row],[SV_RANK VALUE]],T_SV_MEDALS[SV_RANK VALUE])+COUNTIF($O$2:O167,O168)),"")</f>
        <v/>
      </c>
      <c r="Q168" s="3" t="str">
        <f>IFERROR(T_SV_MEDALS[[#This Row],[SV_TOTAL]]/T_SV_MEDALS[[#This Row],[TOTAL]],"")</f>
        <v/>
      </c>
      <c r="R168" s="3" t="str">
        <f>IFERROR(IF(T_SV_MEDALS[[#This Row],[SV_TOTAL]]=0,"",RANK(T_SV_MEDALS[[#This Row],[Dependency - Rank Value]],T_SV_MEDALS[Dependency - Rank Value])+COUNTIF($Q$2:Q167,Q168)),"")</f>
        <v/>
      </c>
    </row>
    <row r="169" spans="1:18" x14ac:dyDescent="0.25">
      <c r="A169" t="s">
        <v>301</v>
      </c>
      <c r="B169" t="s">
        <v>302</v>
      </c>
      <c r="C169" s="3">
        <f>IF(I_VIEW=2,"",COUNTIFS(T_2016_EVENT_RESULTS[Gold - Country],T_SV_MEDALS[[#This Row],[COUNTRY ABBR]])+COUNTIFS(T_2016_EVENT_RESULTS[Gold - Country - 2],T_SV_MEDALS[[#This Row],[COUNTRY ABBR]]))</f>
        <v>0</v>
      </c>
      <c r="D169" s="3">
        <f>IF(I_VIEW=2,"",COUNTIFS(T_2016_EVENT_RESULTS[Silver - Country],T_SV_MEDALS[[#This Row],[COUNTRY ABBR]])+COUNTIFS(T_2016_EVENT_RESULTS[Silver - Country - 2],T_SV_MEDALS[[#This Row],[COUNTRY ABBR]])+COUNTIFS(T_2016_EVENT_RESULTS[Silver - Country - 3],T_SV_MEDALS[[#This Row],[COUNTRY ABBR]]))</f>
        <v>0</v>
      </c>
      <c r="E169" s="3">
        <f>IF(I_VIEW=2,"",COUNTIFS(T_2016_EVENT_RESULTS[Bronze - Country],T_SV_MEDALS[[#This Row],[COUNTRY ABBR]])+COUNTIFS(T_2016_EVENT_RESULTS[Bronze - Country - 2],T_SV_MEDALS[[#This Row],[COUNTRY ABBR]]))</f>
        <v>0</v>
      </c>
      <c r="F169" s="3">
        <f>SUM(T_SV_MEDALS[[#This Row],[GOLD]:[BRONZE]])</f>
        <v>0</v>
      </c>
      <c r="G169" s="3" t="str">
        <f>IF(T_SV_MEDALS[[#This Row],[TOTAL]]=0,"",IF(I_RANK_METHOD="TOTAL",(T_SV_MEDALS[[#This Row],[TOTAL]]*10000000),0)+(T_SV_MEDALS[[#This Row],[GOLD]]*100000)+(T_SV_MEDALS[[#This Row],[SILVER]]*1000)+(T_SV_MEDALS[[#This Row],[BRONZE]]*10))</f>
        <v/>
      </c>
      <c r="H169" s="3" t="str">
        <f>IFERROR(IF(T_SV_MEDALS[[#This Row],[TOTAL]]=0,"",RANK(T_SV_MEDALS[[#This Row],[RANK VALUE]],T_SV_MEDALS[RANK VALUE])),"")</f>
        <v/>
      </c>
      <c r="I169" s="3" t="str">
        <f>IFERROR(IF(T_SV_MEDALS[[#This Row],[TOTAL]]=0,"",RANK(T_SV_MEDALS[[#This Row],[RANK VALUE]],T_SV_MEDALS[RANK VALUE])+COUNTIF($H$2:H168,H169)),"")</f>
        <v/>
      </c>
      <c r="J169" s="3" t="str">
        <f>IF(I_VIEW=3, COUNTIFS(T_2016_EVENT_RESULTS[SPORT],I_SV_SPORT,T_2016_EVENT_RESULTS[Gold - Country],T_SV_MEDALS[[#This Row],[COUNTRY ABBR]])+COUNTIFS(T_2016_EVENT_RESULTS[SPORT],I_SV_SPORT,T_2016_EVENT_RESULTS[Gold - Country - 2],T_SV_MEDALS[[#This Row],[COUNTRY ABBR]]),"")</f>
        <v/>
      </c>
      <c r="K169" s="3" t="str">
        <f>IF(I_VIEW=3, COUNTIFS(T_2016_EVENT_RESULTS[SPORT],I_SV_SPORT,T_2016_EVENT_RESULTS[Silver - Country],T_SV_MEDALS[[#This Row],[COUNTRY ABBR]])+COUNTIFS(T_2016_EVENT_RESULTS[SPORT],I_SV_SPORT,T_2016_EVENT_RESULTS[Silver - Country - 2],T_SV_MEDALS[[#This Row],[COUNTRY ABBR]])+COUNTIFS(T_2016_EVENT_RESULTS[SPORT],I_SV_SPORT,T_2016_EVENT_RESULTS[Silver - Country - 3],T_SV_MEDALS[[#This Row],[COUNTRY ABBR]]),"")</f>
        <v/>
      </c>
      <c r="L169" s="3" t="str">
        <f>IF(I_VIEW=3, COUNTIFS(T_2016_EVENT_RESULTS[SPORT],I_SV_SPORT,T_2016_EVENT_RESULTS[Bronze - Country],T_SV_MEDALS[[#This Row],[COUNTRY ABBR]])+COUNTIFS(T_2016_EVENT_RESULTS[SPORT],I_SV_SPORT,T_2016_EVENT_RESULTS[Bronze - Country - 2],T_SV_MEDALS[[#This Row],[COUNTRY ABBR]]),"")</f>
        <v/>
      </c>
      <c r="M169" s="3">
        <f>SUM(T_SV_MEDALS[[#This Row],[SV_GOLD]:[SV_BRONZE]])</f>
        <v>0</v>
      </c>
      <c r="N169" s="3" t="str">
        <f>IF(T_SV_MEDALS[[#This Row],[SV_TOTAL]]=0,"",IF(I_RANK_METHOD="TOTAL",(T_SV_MEDALS[[#This Row],[SV_TOTAL]]*10000000),0)+(T_SV_MEDALS[[#This Row],[SV_GOLD]]*100000)+(T_SV_MEDALS[[#This Row],[SV_SILVER]]*1000)+(T_SV_MEDALS[[#This Row],[SV_BRONZE]]*10))</f>
        <v/>
      </c>
      <c r="O169" s="3" t="str">
        <f>IFERROR(IF(T_SV_MEDALS[[#This Row],[SV_TOTAL]]=0,"",RANK(T_SV_MEDALS[[#This Row],[SV_RANK VALUE]],T_SV_MEDALS[SV_RANK VALUE])),"")</f>
        <v/>
      </c>
      <c r="P169" s="3" t="str">
        <f>IFERROR(IF(T_SV_MEDALS[[#This Row],[SV_TOTAL]]=0,"",RANK(T_SV_MEDALS[[#This Row],[SV_RANK VALUE]],T_SV_MEDALS[SV_RANK VALUE])+COUNTIF($O$2:O168,O169)),"")</f>
        <v/>
      </c>
      <c r="Q169" s="3" t="str">
        <f>IFERROR(T_SV_MEDALS[[#This Row],[SV_TOTAL]]/T_SV_MEDALS[[#This Row],[TOTAL]],"")</f>
        <v/>
      </c>
      <c r="R169" s="3" t="str">
        <f>IFERROR(IF(T_SV_MEDALS[[#This Row],[SV_TOTAL]]=0,"",RANK(T_SV_MEDALS[[#This Row],[Dependency - Rank Value]],T_SV_MEDALS[Dependency - Rank Value])+COUNTIF($Q$2:Q168,Q169)),"")</f>
        <v/>
      </c>
    </row>
    <row r="170" spans="1:18" x14ac:dyDescent="0.25">
      <c r="A170" t="s">
        <v>303</v>
      </c>
      <c r="B170" t="s">
        <v>536</v>
      </c>
      <c r="C170" s="3">
        <f>IF(I_VIEW=2,"",COUNTIFS(T_2016_EVENT_RESULTS[Gold - Country],T_SV_MEDALS[[#This Row],[COUNTRY ABBR]])+COUNTIFS(T_2016_EVENT_RESULTS[Gold - Country - 2],T_SV_MEDALS[[#This Row],[COUNTRY ABBR]]))</f>
        <v>2</v>
      </c>
      <c r="D170" s="3">
        <f>IF(I_VIEW=2,"",COUNTIFS(T_2016_EVENT_RESULTS[Silver - Country],T_SV_MEDALS[[#This Row],[COUNTRY ABBR]])+COUNTIFS(T_2016_EVENT_RESULTS[Silver - Country - 2],T_SV_MEDALS[[#This Row],[COUNTRY ABBR]])+COUNTIFS(T_2016_EVENT_RESULTS[Silver - Country - 3],T_SV_MEDALS[[#This Row],[COUNTRY ABBR]]))</f>
        <v>4</v>
      </c>
      <c r="E170" s="3">
        <f>IF(I_VIEW=2,"",COUNTIFS(T_2016_EVENT_RESULTS[Bronze - Country],T_SV_MEDALS[[#This Row],[COUNTRY ABBR]])+COUNTIFS(T_2016_EVENT_RESULTS[Bronze - Country - 2],T_SV_MEDALS[[#This Row],[COUNTRY ABBR]]))</f>
        <v>2</v>
      </c>
      <c r="F170" s="3">
        <f>SUM(T_SV_MEDALS[[#This Row],[GOLD]:[BRONZE]])</f>
        <v>8</v>
      </c>
      <c r="G170" s="3">
        <f>IF(T_SV_MEDALS[[#This Row],[TOTAL]]=0,"",IF(I_RANK_METHOD="TOTAL",(T_SV_MEDALS[[#This Row],[TOTAL]]*10000000),0)+(T_SV_MEDALS[[#This Row],[GOLD]]*100000)+(T_SV_MEDALS[[#This Row],[SILVER]]*1000)+(T_SV_MEDALS[[#This Row],[BRONZE]]*10))</f>
        <v>80204020</v>
      </c>
      <c r="H170" s="3">
        <f>IFERROR(IF(T_SV_MEDALS[[#This Row],[TOTAL]]=0,"",RANK(T_SV_MEDALS[[#This Row],[RANK VALUE]],T_SV_MEDALS[RANK VALUE])),"")</f>
        <v>33</v>
      </c>
      <c r="I170" s="3">
        <f>IFERROR(IF(T_SV_MEDALS[[#This Row],[TOTAL]]=0,"",RANK(T_SV_MEDALS[[#This Row],[RANK VALUE]],T_SV_MEDALS[RANK VALUE])+COUNTIF($H$2:H169,H170)),"")</f>
        <v>33</v>
      </c>
      <c r="J170" s="3" t="str">
        <f>IF(I_VIEW=3, COUNTIFS(T_2016_EVENT_RESULTS[SPORT],I_SV_SPORT,T_2016_EVENT_RESULTS[Gold - Country],T_SV_MEDALS[[#This Row],[COUNTRY ABBR]])+COUNTIFS(T_2016_EVENT_RESULTS[SPORT],I_SV_SPORT,T_2016_EVENT_RESULTS[Gold - Country - 2],T_SV_MEDALS[[#This Row],[COUNTRY ABBR]]),"")</f>
        <v/>
      </c>
      <c r="K170" s="3" t="str">
        <f>IF(I_VIEW=3, COUNTIFS(T_2016_EVENT_RESULTS[SPORT],I_SV_SPORT,T_2016_EVENT_RESULTS[Silver - Country],T_SV_MEDALS[[#This Row],[COUNTRY ABBR]])+COUNTIFS(T_2016_EVENT_RESULTS[SPORT],I_SV_SPORT,T_2016_EVENT_RESULTS[Silver - Country - 2],T_SV_MEDALS[[#This Row],[COUNTRY ABBR]])+COUNTIFS(T_2016_EVENT_RESULTS[SPORT],I_SV_SPORT,T_2016_EVENT_RESULTS[Silver - Country - 3],T_SV_MEDALS[[#This Row],[COUNTRY ABBR]]),"")</f>
        <v/>
      </c>
      <c r="L170" s="3" t="str">
        <f>IF(I_VIEW=3, COUNTIFS(T_2016_EVENT_RESULTS[SPORT],I_SV_SPORT,T_2016_EVENT_RESULTS[Bronze - Country],T_SV_MEDALS[[#This Row],[COUNTRY ABBR]])+COUNTIFS(T_2016_EVENT_RESULTS[SPORT],I_SV_SPORT,T_2016_EVENT_RESULTS[Bronze - Country - 2],T_SV_MEDALS[[#This Row],[COUNTRY ABBR]]),"")</f>
        <v/>
      </c>
      <c r="M170" s="3">
        <f>SUM(T_SV_MEDALS[[#This Row],[SV_GOLD]:[SV_BRONZE]])</f>
        <v>0</v>
      </c>
      <c r="N170" s="3" t="str">
        <f>IF(T_SV_MEDALS[[#This Row],[SV_TOTAL]]=0,"",IF(I_RANK_METHOD="TOTAL",(T_SV_MEDALS[[#This Row],[SV_TOTAL]]*10000000),0)+(T_SV_MEDALS[[#This Row],[SV_GOLD]]*100000)+(T_SV_MEDALS[[#This Row],[SV_SILVER]]*1000)+(T_SV_MEDALS[[#This Row],[SV_BRONZE]]*10))</f>
        <v/>
      </c>
      <c r="O170" s="3" t="str">
        <f>IFERROR(IF(T_SV_MEDALS[[#This Row],[SV_TOTAL]]=0,"",RANK(T_SV_MEDALS[[#This Row],[SV_RANK VALUE]],T_SV_MEDALS[SV_RANK VALUE])),"")</f>
        <v/>
      </c>
      <c r="P170" s="3" t="str">
        <f>IFERROR(IF(T_SV_MEDALS[[#This Row],[SV_TOTAL]]=0,"",RANK(T_SV_MEDALS[[#This Row],[SV_RANK VALUE]],T_SV_MEDALS[SV_RANK VALUE])+COUNTIF($O$2:O169,O170)),"")</f>
        <v/>
      </c>
      <c r="Q170" s="3">
        <f>IFERROR(T_SV_MEDALS[[#This Row],[SV_TOTAL]]/T_SV_MEDALS[[#This Row],[TOTAL]],"")</f>
        <v>0</v>
      </c>
      <c r="R170" s="3" t="str">
        <f>IFERROR(IF(T_SV_MEDALS[[#This Row],[SV_TOTAL]]=0,"",RANK(T_SV_MEDALS[[#This Row],[Dependency - Rank Value]],T_SV_MEDALS[Dependency - Rank Value])+COUNTIF($Q$2:Q169,Q170)),"")</f>
        <v/>
      </c>
    </row>
    <row r="171" spans="1:18" x14ac:dyDescent="0.25">
      <c r="A171" t="s">
        <v>304</v>
      </c>
      <c r="B171" t="s">
        <v>305</v>
      </c>
      <c r="C171" s="3">
        <f>IF(I_VIEW=2,"",COUNTIFS(T_2016_EVENT_RESULTS[Gold - Country],T_SV_MEDALS[[#This Row],[COUNTRY ABBR]])+COUNTIFS(T_2016_EVENT_RESULTS[Gold - Country - 2],T_SV_MEDALS[[#This Row],[COUNTRY ABBR]]))</f>
        <v>0</v>
      </c>
      <c r="D171" s="3">
        <f>IF(I_VIEW=2,"",COUNTIFS(T_2016_EVENT_RESULTS[Silver - Country],T_SV_MEDALS[[#This Row],[COUNTRY ABBR]])+COUNTIFS(T_2016_EVENT_RESULTS[Silver - Country - 2],T_SV_MEDALS[[#This Row],[COUNTRY ABBR]])+COUNTIFS(T_2016_EVENT_RESULTS[Silver - Country - 3],T_SV_MEDALS[[#This Row],[COUNTRY ABBR]]))</f>
        <v>0</v>
      </c>
      <c r="E171" s="3">
        <f>IF(I_VIEW=2,"",COUNTIFS(T_2016_EVENT_RESULTS[Bronze - Country],T_SV_MEDALS[[#This Row],[COUNTRY ABBR]])+COUNTIFS(T_2016_EVENT_RESULTS[Bronze - Country - 2],T_SV_MEDALS[[#This Row],[COUNTRY ABBR]]))</f>
        <v>0</v>
      </c>
      <c r="F171" s="3">
        <f>SUM(T_SV_MEDALS[[#This Row],[GOLD]:[BRONZE]])</f>
        <v>0</v>
      </c>
      <c r="G171" s="3" t="str">
        <f>IF(T_SV_MEDALS[[#This Row],[TOTAL]]=0,"",IF(I_RANK_METHOD="TOTAL",(T_SV_MEDALS[[#This Row],[TOTAL]]*10000000),0)+(T_SV_MEDALS[[#This Row],[GOLD]]*100000)+(T_SV_MEDALS[[#This Row],[SILVER]]*1000)+(T_SV_MEDALS[[#This Row],[BRONZE]]*10))</f>
        <v/>
      </c>
      <c r="H171" s="3" t="str">
        <f>IFERROR(IF(T_SV_MEDALS[[#This Row],[TOTAL]]=0,"",RANK(T_SV_MEDALS[[#This Row],[RANK VALUE]],T_SV_MEDALS[RANK VALUE])),"")</f>
        <v/>
      </c>
      <c r="I171" s="3" t="str">
        <f>IFERROR(IF(T_SV_MEDALS[[#This Row],[TOTAL]]=0,"",RANK(T_SV_MEDALS[[#This Row],[RANK VALUE]],T_SV_MEDALS[RANK VALUE])+COUNTIF($H$2:H170,H171)),"")</f>
        <v/>
      </c>
      <c r="J171" s="3" t="str">
        <f>IF(I_VIEW=3, COUNTIFS(T_2016_EVENT_RESULTS[SPORT],I_SV_SPORT,T_2016_EVENT_RESULTS[Gold - Country],T_SV_MEDALS[[#This Row],[COUNTRY ABBR]])+COUNTIFS(T_2016_EVENT_RESULTS[SPORT],I_SV_SPORT,T_2016_EVENT_RESULTS[Gold - Country - 2],T_SV_MEDALS[[#This Row],[COUNTRY ABBR]]),"")</f>
        <v/>
      </c>
      <c r="K171" s="3" t="str">
        <f>IF(I_VIEW=3, COUNTIFS(T_2016_EVENT_RESULTS[SPORT],I_SV_SPORT,T_2016_EVENT_RESULTS[Silver - Country],T_SV_MEDALS[[#This Row],[COUNTRY ABBR]])+COUNTIFS(T_2016_EVENT_RESULTS[SPORT],I_SV_SPORT,T_2016_EVENT_RESULTS[Silver - Country - 2],T_SV_MEDALS[[#This Row],[COUNTRY ABBR]])+COUNTIFS(T_2016_EVENT_RESULTS[SPORT],I_SV_SPORT,T_2016_EVENT_RESULTS[Silver - Country - 3],T_SV_MEDALS[[#This Row],[COUNTRY ABBR]]),"")</f>
        <v/>
      </c>
      <c r="L171" s="3" t="str">
        <f>IF(I_VIEW=3, COUNTIFS(T_2016_EVENT_RESULTS[SPORT],I_SV_SPORT,T_2016_EVENT_RESULTS[Bronze - Country],T_SV_MEDALS[[#This Row],[COUNTRY ABBR]])+COUNTIFS(T_2016_EVENT_RESULTS[SPORT],I_SV_SPORT,T_2016_EVENT_RESULTS[Bronze - Country - 2],T_SV_MEDALS[[#This Row],[COUNTRY ABBR]]),"")</f>
        <v/>
      </c>
      <c r="M171" s="3">
        <f>SUM(T_SV_MEDALS[[#This Row],[SV_GOLD]:[SV_BRONZE]])</f>
        <v>0</v>
      </c>
      <c r="N171" s="3" t="str">
        <f>IF(T_SV_MEDALS[[#This Row],[SV_TOTAL]]=0,"",IF(I_RANK_METHOD="TOTAL",(T_SV_MEDALS[[#This Row],[SV_TOTAL]]*10000000),0)+(T_SV_MEDALS[[#This Row],[SV_GOLD]]*100000)+(T_SV_MEDALS[[#This Row],[SV_SILVER]]*1000)+(T_SV_MEDALS[[#This Row],[SV_BRONZE]]*10))</f>
        <v/>
      </c>
      <c r="O171" s="3" t="str">
        <f>IFERROR(IF(T_SV_MEDALS[[#This Row],[SV_TOTAL]]=0,"",RANK(T_SV_MEDALS[[#This Row],[SV_RANK VALUE]],T_SV_MEDALS[SV_RANK VALUE])),"")</f>
        <v/>
      </c>
      <c r="P171" s="3" t="str">
        <f>IFERROR(IF(T_SV_MEDALS[[#This Row],[SV_TOTAL]]=0,"",RANK(T_SV_MEDALS[[#This Row],[SV_RANK VALUE]],T_SV_MEDALS[SV_RANK VALUE])+COUNTIF($O$2:O170,O171)),"")</f>
        <v/>
      </c>
      <c r="Q171" s="3" t="str">
        <f>IFERROR(T_SV_MEDALS[[#This Row],[SV_TOTAL]]/T_SV_MEDALS[[#This Row],[TOTAL]],"")</f>
        <v/>
      </c>
      <c r="R171" s="3" t="str">
        <f>IFERROR(IF(T_SV_MEDALS[[#This Row],[SV_TOTAL]]=0,"",RANK(T_SV_MEDALS[[#This Row],[Dependency - Rank Value]],T_SV_MEDALS[Dependency - Rank Value])+COUNTIF($Q$2:Q170,Q171)),"")</f>
        <v/>
      </c>
    </row>
    <row r="172" spans="1:18" x14ac:dyDescent="0.25">
      <c r="A172" t="s">
        <v>306</v>
      </c>
      <c r="B172" t="s">
        <v>307</v>
      </c>
      <c r="C172" s="3">
        <f>IF(I_VIEW=2,"",COUNTIFS(T_2016_EVENT_RESULTS[Gold - Country],T_SV_MEDALS[[#This Row],[COUNTRY ABBR]])+COUNTIFS(T_2016_EVENT_RESULTS[Gold - Country - 2],T_SV_MEDALS[[#This Row],[COUNTRY ABBR]]))</f>
        <v>0</v>
      </c>
      <c r="D172" s="3">
        <f>IF(I_VIEW=2,"",COUNTIFS(T_2016_EVENT_RESULTS[Silver - Country],T_SV_MEDALS[[#This Row],[COUNTRY ABBR]])+COUNTIFS(T_2016_EVENT_RESULTS[Silver - Country - 2],T_SV_MEDALS[[#This Row],[COUNTRY ABBR]])+COUNTIFS(T_2016_EVENT_RESULTS[Silver - Country - 3],T_SV_MEDALS[[#This Row],[COUNTRY ABBR]]))</f>
        <v>0</v>
      </c>
      <c r="E172" s="3">
        <f>IF(I_VIEW=2,"",COUNTIFS(T_2016_EVENT_RESULTS[Bronze - Country],T_SV_MEDALS[[#This Row],[COUNTRY ABBR]])+COUNTIFS(T_2016_EVENT_RESULTS[Bronze - Country - 2],T_SV_MEDALS[[#This Row],[COUNTRY ABBR]]))</f>
        <v>0</v>
      </c>
      <c r="F172" s="3">
        <f>SUM(T_SV_MEDALS[[#This Row],[GOLD]:[BRONZE]])</f>
        <v>0</v>
      </c>
      <c r="G172" s="3" t="str">
        <f>IF(T_SV_MEDALS[[#This Row],[TOTAL]]=0,"",IF(I_RANK_METHOD="TOTAL",(T_SV_MEDALS[[#This Row],[TOTAL]]*10000000),0)+(T_SV_MEDALS[[#This Row],[GOLD]]*100000)+(T_SV_MEDALS[[#This Row],[SILVER]]*1000)+(T_SV_MEDALS[[#This Row],[BRONZE]]*10))</f>
        <v/>
      </c>
      <c r="H172" s="3" t="str">
        <f>IFERROR(IF(T_SV_MEDALS[[#This Row],[TOTAL]]=0,"",RANK(T_SV_MEDALS[[#This Row],[RANK VALUE]],T_SV_MEDALS[RANK VALUE])),"")</f>
        <v/>
      </c>
      <c r="I172" s="3" t="str">
        <f>IFERROR(IF(T_SV_MEDALS[[#This Row],[TOTAL]]=0,"",RANK(T_SV_MEDALS[[#This Row],[RANK VALUE]],T_SV_MEDALS[RANK VALUE])+COUNTIF($H$2:H171,H172)),"")</f>
        <v/>
      </c>
      <c r="J172" s="3" t="str">
        <f>IF(I_VIEW=3, COUNTIFS(T_2016_EVENT_RESULTS[SPORT],I_SV_SPORT,T_2016_EVENT_RESULTS[Gold - Country],T_SV_MEDALS[[#This Row],[COUNTRY ABBR]])+COUNTIFS(T_2016_EVENT_RESULTS[SPORT],I_SV_SPORT,T_2016_EVENT_RESULTS[Gold - Country - 2],T_SV_MEDALS[[#This Row],[COUNTRY ABBR]]),"")</f>
        <v/>
      </c>
      <c r="K172" s="3" t="str">
        <f>IF(I_VIEW=3, COUNTIFS(T_2016_EVENT_RESULTS[SPORT],I_SV_SPORT,T_2016_EVENT_RESULTS[Silver - Country],T_SV_MEDALS[[#This Row],[COUNTRY ABBR]])+COUNTIFS(T_2016_EVENT_RESULTS[SPORT],I_SV_SPORT,T_2016_EVENT_RESULTS[Silver - Country - 2],T_SV_MEDALS[[#This Row],[COUNTRY ABBR]])+COUNTIFS(T_2016_EVENT_RESULTS[SPORT],I_SV_SPORT,T_2016_EVENT_RESULTS[Silver - Country - 3],T_SV_MEDALS[[#This Row],[COUNTRY ABBR]]),"")</f>
        <v/>
      </c>
      <c r="L172" s="3" t="str">
        <f>IF(I_VIEW=3, COUNTIFS(T_2016_EVENT_RESULTS[SPORT],I_SV_SPORT,T_2016_EVENT_RESULTS[Bronze - Country],T_SV_MEDALS[[#This Row],[COUNTRY ABBR]])+COUNTIFS(T_2016_EVENT_RESULTS[SPORT],I_SV_SPORT,T_2016_EVENT_RESULTS[Bronze - Country - 2],T_SV_MEDALS[[#This Row],[COUNTRY ABBR]]),"")</f>
        <v/>
      </c>
      <c r="M172" s="3">
        <f>SUM(T_SV_MEDALS[[#This Row],[SV_GOLD]:[SV_BRONZE]])</f>
        <v>0</v>
      </c>
      <c r="N172" s="3" t="str">
        <f>IF(T_SV_MEDALS[[#This Row],[SV_TOTAL]]=0,"",IF(I_RANK_METHOD="TOTAL",(T_SV_MEDALS[[#This Row],[SV_TOTAL]]*10000000),0)+(T_SV_MEDALS[[#This Row],[SV_GOLD]]*100000)+(T_SV_MEDALS[[#This Row],[SV_SILVER]]*1000)+(T_SV_MEDALS[[#This Row],[SV_BRONZE]]*10))</f>
        <v/>
      </c>
      <c r="O172" s="3" t="str">
        <f>IFERROR(IF(T_SV_MEDALS[[#This Row],[SV_TOTAL]]=0,"",RANK(T_SV_MEDALS[[#This Row],[SV_RANK VALUE]],T_SV_MEDALS[SV_RANK VALUE])),"")</f>
        <v/>
      </c>
      <c r="P172" s="3" t="str">
        <f>IFERROR(IF(T_SV_MEDALS[[#This Row],[SV_TOTAL]]=0,"",RANK(T_SV_MEDALS[[#This Row],[SV_RANK VALUE]],T_SV_MEDALS[SV_RANK VALUE])+COUNTIF($O$2:O171,O172)),"")</f>
        <v/>
      </c>
      <c r="Q172" s="3" t="str">
        <f>IFERROR(T_SV_MEDALS[[#This Row],[SV_TOTAL]]/T_SV_MEDALS[[#This Row],[TOTAL]],"")</f>
        <v/>
      </c>
      <c r="R172" s="3" t="str">
        <f>IFERROR(IF(T_SV_MEDALS[[#This Row],[SV_TOTAL]]=0,"",RANK(T_SV_MEDALS[[#This Row],[Dependency - Rank Value]],T_SV_MEDALS[Dependency - Rank Value])+COUNTIF($Q$2:Q171,Q172)),"")</f>
        <v/>
      </c>
    </row>
    <row r="173" spans="1:18" x14ac:dyDescent="0.25">
      <c r="A173" t="s">
        <v>308</v>
      </c>
      <c r="B173" t="s">
        <v>309</v>
      </c>
      <c r="C173" s="3">
        <f>IF(I_VIEW=2,"",COUNTIFS(T_2016_EVENT_RESULTS[Gold - Country],T_SV_MEDALS[[#This Row],[COUNTRY ABBR]])+COUNTIFS(T_2016_EVENT_RESULTS[Gold - Country - 2],T_SV_MEDALS[[#This Row],[COUNTRY ABBR]]))</f>
        <v>1</v>
      </c>
      <c r="D173" s="3">
        <f>IF(I_VIEW=2,"",COUNTIFS(T_2016_EVENT_RESULTS[Silver - Country],T_SV_MEDALS[[#This Row],[COUNTRY ABBR]])+COUNTIFS(T_2016_EVENT_RESULTS[Silver - Country - 2],T_SV_MEDALS[[#This Row],[COUNTRY ABBR]])+COUNTIFS(T_2016_EVENT_RESULTS[Silver - Country - 3],T_SV_MEDALS[[#This Row],[COUNTRY ABBR]]))</f>
        <v>0</v>
      </c>
      <c r="E173" s="3">
        <f>IF(I_VIEW=2,"",COUNTIFS(T_2016_EVENT_RESULTS[Bronze - Country],T_SV_MEDALS[[#This Row],[COUNTRY ABBR]])+COUNTIFS(T_2016_EVENT_RESULTS[Bronze - Country - 2],T_SV_MEDALS[[#This Row],[COUNTRY ABBR]]))</f>
        <v>0</v>
      </c>
      <c r="F173" s="3">
        <f>SUM(T_SV_MEDALS[[#This Row],[GOLD]:[BRONZE]])</f>
        <v>1</v>
      </c>
      <c r="G173" s="3">
        <f>IF(T_SV_MEDALS[[#This Row],[TOTAL]]=0,"",IF(I_RANK_METHOD="TOTAL",(T_SV_MEDALS[[#This Row],[TOTAL]]*10000000),0)+(T_SV_MEDALS[[#This Row],[GOLD]]*100000)+(T_SV_MEDALS[[#This Row],[SILVER]]*1000)+(T_SV_MEDALS[[#This Row],[BRONZE]]*10))</f>
        <v>10100000</v>
      </c>
      <c r="H173" s="3">
        <f>IFERROR(IF(T_SV_MEDALS[[#This Row],[TOTAL]]=0,"",RANK(T_SV_MEDALS[[#This Row],[RANK VALUE]],T_SV_MEDALS[RANK VALUE])),"")</f>
        <v>67</v>
      </c>
      <c r="I173" s="3">
        <f>IFERROR(IF(T_SV_MEDALS[[#This Row],[TOTAL]]=0,"",RANK(T_SV_MEDALS[[#This Row],[RANK VALUE]],T_SV_MEDALS[RANK VALUE])+COUNTIF($H$2:H172,H173)),"")</f>
        <v>71</v>
      </c>
      <c r="J173" s="3" t="str">
        <f>IF(I_VIEW=3, COUNTIFS(T_2016_EVENT_RESULTS[SPORT],I_SV_SPORT,T_2016_EVENT_RESULTS[Gold - Country],T_SV_MEDALS[[#This Row],[COUNTRY ABBR]])+COUNTIFS(T_2016_EVENT_RESULTS[SPORT],I_SV_SPORT,T_2016_EVENT_RESULTS[Gold - Country - 2],T_SV_MEDALS[[#This Row],[COUNTRY ABBR]]),"")</f>
        <v/>
      </c>
      <c r="K173" s="3" t="str">
        <f>IF(I_VIEW=3, COUNTIFS(T_2016_EVENT_RESULTS[SPORT],I_SV_SPORT,T_2016_EVENT_RESULTS[Silver - Country],T_SV_MEDALS[[#This Row],[COUNTRY ABBR]])+COUNTIFS(T_2016_EVENT_RESULTS[SPORT],I_SV_SPORT,T_2016_EVENT_RESULTS[Silver - Country - 2],T_SV_MEDALS[[#This Row],[COUNTRY ABBR]])+COUNTIFS(T_2016_EVENT_RESULTS[SPORT],I_SV_SPORT,T_2016_EVENT_RESULTS[Silver - Country - 3],T_SV_MEDALS[[#This Row],[COUNTRY ABBR]]),"")</f>
        <v/>
      </c>
      <c r="L173" s="3" t="str">
        <f>IF(I_VIEW=3, COUNTIFS(T_2016_EVENT_RESULTS[SPORT],I_SV_SPORT,T_2016_EVENT_RESULTS[Bronze - Country],T_SV_MEDALS[[#This Row],[COUNTRY ABBR]])+COUNTIFS(T_2016_EVENT_RESULTS[SPORT],I_SV_SPORT,T_2016_EVENT_RESULTS[Bronze - Country - 2],T_SV_MEDALS[[#This Row],[COUNTRY ABBR]]),"")</f>
        <v/>
      </c>
      <c r="M173" s="3">
        <f>SUM(T_SV_MEDALS[[#This Row],[SV_GOLD]:[SV_BRONZE]])</f>
        <v>0</v>
      </c>
      <c r="N173" s="3" t="str">
        <f>IF(T_SV_MEDALS[[#This Row],[SV_TOTAL]]=0,"",IF(I_RANK_METHOD="TOTAL",(T_SV_MEDALS[[#This Row],[SV_TOTAL]]*10000000),0)+(T_SV_MEDALS[[#This Row],[SV_GOLD]]*100000)+(T_SV_MEDALS[[#This Row],[SV_SILVER]]*1000)+(T_SV_MEDALS[[#This Row],[SV_BRONZE]]*10))</f>
        <v/>
      </c>
      <c r="O173" s="3" t="str">
        <f>IFERROR(IF(T_SV_MEDALS[[#This Row],[SV_TOTAL]]=0,"",RANK(T_SV_MEDALS[[#This Row],[SV_RANK VALUE]],T_SV_MEDALS[SV_RANK VALUE])),"")</f>
        <v/>
      </c>
      <c r="P173" s="3" t="str">
        <f>IFERROR(IF(T_SV_MEDALS[[#This Row],[SV_TOTAL]]=0,"",RANK(T_SV_MEDALS[[#This Row],[SV_RANK VALUE]],T_SV_MEDALS[SV_RANK VALUE])+COUNTIF($O$2:O172,O173)),"")</f>
        <v/>
      </c>
      <c r="Q173" s="3">
        <f>IFERROR(T_SV_MEDALS[[#This Row],[SV_TOTAL]]/T_SV_MEDALS[[#This Row],[TOTAL]],"")</f>
        <v>0</v>
      </c>
      <c r="R173" s="3" t="str">
        <f>IFERROR(IF(T_SV_MEDALS[[#This Row],[SV_TOTAL]]=0,"",RANK(T_SV_MEDALS[[#This Row],[Dependency - Rank Value]],T_SV_MEDALS[Dependency - Rank Value])+COUNTIF($Q$2:Q172,Q173)),"")</f>
        <v/>
      </c>
    </row>
    <row r="174" spans="1:18" x14ac:dyDescent="0.25">
      <c r="A174" t="s">
        <v>310</v>
      </c>
      <c r="B174" t="s">
        <v>311</v>
      </c>
      <c r="C174" s="3">
        <f>IF(I_VIEW=2,"",COUNTIFS(T_2016_EVENT_RESULTS[Gold - Country],T_SV_MEDALS[[#This Row],[COUNTRY ABBR]])+COUNTIFS(T_2016_EVENT_RESULTS[Gold - Country - 2],T_SV_MEDALS[[#This Row],[COUNTRY ABBR]]))</f>
        <v>2</v>
      </c>
      <c r="D174" s="3">
        <f>IF(I_VIEW=2,"",COUNTIFS(T_2016_EVENT_RESULTS[Silver - Country],T_SV_MEDALS[[#This Row],[COUNTRY ABBR]])+COUNTIFS(T_2016_EVENT_RESULTS[Silver - Country - 2],T_SV_MEDALS[[#This Row],[COUNTRY ABBR]])+COUNTIFS(T_2016_EVENT_RESULTS[Silver - Country - 3],T_SV_MEDALS[[#This Row],[COUNTRY ABBR]]))</f>
        <v>2</v>
      </c>
      <c r="E174" s="3">
        <f>IF(I_VIEW=2,"",COUNTIFS(T_2016_EVENT_RESULTS[Bronze - Country],T_SV_MEDALS[[#This Row],[COUNTRY ABBR]])+COUNTIFS(T_2016_EVENT_RESULTS[Bronze - Country - 2],T_SV_MEDALS[[#This Row],[COUNTRY ABBR]]))</f>
        <v>0</v>
      </c>
      <c r="F174" s="3">
        <f>SUM(T_SV_MEDALS[[#This Row],[GOLD]:[BRONZE]])</f>
        <v>4</v>
      </c>
      <c r="G174" s="3">
        <f>IF(T_SV_MEDALS[[#This Row],[TOTAL]]=0,"",IF(I_RANK_METHOD="TOTAL",(T_SV_MEDALS[[#This Row],[TOTAL]]*10000000),0)+(T_SV_MEDALS[[#This Row],[GOLD]]*100000)+(T_SV_MEDALS[[#This Row],[SILVER]]*1000)+(T_SV_MEDALS[[#This Row],[BRONZE]]*10))</f>
        <v>40202000</v>
      </c>
      <c r="H174" s="3">
        <f>IFERROR(IF(T_SV_MEDALS[[#This Row],[TOTAL]]=0,"",RANK(T_SV_MEDALS[[#This Row],[RANK VALUE]],T_SV_MEDALS[RANK VALUE])),"")</f>
        <v>46</v>
      </c>
      <c r="I174" s="3">
        <f>IFERROR(IF(T_SV_MEDALS[[#This Row],[TOTAL]]=0,"",RANK(T_SV_MEDALS[[#This Row],[RANK VALUE]],T_SV_MEDALS[RANK VALUE])+COUNTIF($H$2:H173,H174)),"")</f>
        <v>46</v>
      </c>
      <c r="J174" s="3" t="str">
        <f>IF(I_VIEW=3, COUNTIFS(T_2016_EVENT_RESULTS[SPORT],I_SV_SPORT,T_2016_EVENT_RESULTS[Gold - Country],T_SV_MEDALS[[#This Row],[COUNTRY ABBR]])+COUNTIFS(T_2016_EVENT_RESULTS[SPORT],I_SV_SPORT,T_2016_EVENT_RESULTS[Gold - Country - 2],T_SV_MEDALS[[#This Row],[COUNTRY ABBR]]),"")</f>
        <v/>
      </c>
      <c r="K174" s="3" t="str">
        <f>IF(I_VIEW=3, COUNTIFS(T_2016_EVENT_RESULTS[SPORT],I_SV_SPORT,T_2016_EVENT_RESULTS[Silver - Country],T_SV_MEDALS[[#This Row],[COUNTRY ABBR]])+COUNTIFS(T_2016_EVENT_RESULTS[SPORT],I_SV_SPORT,T_2016_EVENT_RESULTS[Silver - Country - 2],T_SV_MEDALS[[#This Row],[COUNTRY ABBR]])+COUNTIFS(T_2016_EVENT_RESULTS[SPORT],I_SV_SPORT,T_2016_EVENT_RESULTS[Silver - Country - 3],T_SV_MEDALS[[#This Row],[COUNTRY ABBR]]),"")</f>
        <v/>
      </c>
      <c r="L174" s="3" t="str">
        <f>IF(I_VIEW=3, COUNTIFS(T_2016_EVENT_RESULTS[SPORT],I_SV_SPORT,T_2016_EVENT_RESULTS[Bronze - Country],T_SV_MEDALS[[#This Row],[COUNTRY ABBR]])+COUNTIFS(T_2016_EVENT_RESULTS[SPORT],I_SV_SPORT,T_2016_EVENT_RESULTS[Bronze - Country - 2],T_SV_MEDALS[[#This Row],[COUNTRY ABBR]]),"")</f>
        <v/>
      </c>
      <c r="M174" s="3">
        <f>SUM(T_SV_MEDALS[[#This Row],[SV_GOLD]:[SV_BRONZE]])</f>
        <v>0</v>
      </c>
      <c r="N174" s="3" t="str">
        <f>IF(T_SV_MEDALS[[#This Row],[SV_TOTAL]]=0,"",IF(I_RANK_METHOD="TOTAL",(T_SV_MEDALS[[#This Row],[SV_TOTAL]]*10000000),0)+(T_SV_MEDALS[[#This Row],[SV_GOLD]]*100000)+(T_SV_MEDALS[[#This Row],[SV_SILVER]]*1000)+(T_SV_MEDALS[[#This Row],[SV_BRONZE]]*10))</f>
        <v/>
      </c>
      <c r="O174" s="3" t="str">
        <f>IFERROR(IF(T_SV_MEDALS[[#This Row],[SV_TOTAL]]=0,"",RANK(T_SV_MEDALS[[#This Row],[SV_RANK VALUE]],T_SV_MEDALS[SV_RANK VALUE])),"")</f>
        <v/>
      </c>
      <c r="P174" s="3" t="str">
        <f>IFERROR(IF(T_SV_MEDALS[[#This Row],[SV_TOTAL]]=0,"",RANK(T_SV_MEDALS[[#This Row],[SV_RANK VALUE]],T_SV_MEDALS[SV_RANK VALUE])+COUNTIF($O$2:O173,O174)),"")</f>
        <v/>
      </c>
      <c r="Q174" s="3">
        <f>IFERROR(T_SV_MEDALS[[#This Row],[SV_TOTAL]]/T_SV_MEDALS[[#This Row],[TOTAL]],"")</f>
        <v>0</v>
      </c>
      <c r="R174" s="3" t="str">
        <f>IFERROR(IF(T_SV_MEDALS[[#This Row],[SV_TOTAL]]=0,"",RANK(T_SV_MEDALS[[#This Row],[Dependency - Rank Value]],T_SV_MEDALS[Dependency - Rank Value])+COUNTIF($Q$2:Q173,Q174)),"")</f>
        <v/>
      </c>
    </row>
    <row r="175" spans="1:18" x14ac:dyDescent="0.25">
      <c r="A175" t="s">
        <v>312</v>
      </c>
      <c r="B175" t="s">
        <v>313</v>
      </c>
      <c r="C175" s="3">
        <f>IF(I_VIEW=2,"",COUNTIFS(T_2016_EVENT_RESULTS[Gold - Country],T_SV_MEDALS[[#This Row],[COUNTRY ABBR]])+COUNTIFS(T_2016_EVENT_RESULTS[Gold - Country - 2],T_SV_MEDALS[[#This Row],[COUNTRY ABBR]]))</f>
        <v>1</v>
      </c>
      <c r="D175" s="3">
        <f>IF(I_VIEW=2,"",COUNTIFS(T_2016_EVENT_RESULTS[Silver - Country],T_SV_MEDALS[[#This Row],[COUNTRY ABBR]])+COUNTIFS(T_2016_EVENT_RESULTS[Silver - Country - 2],T_SV_MEDALS[[#This Row],[COUNTRY ABBR]])+COUNTIFS(T_2016_EVENT_RESULTS[Silver - Country - 3],T_SV_MEDALS[[#This Row],[COUNTRY ABBR]]))</f>
        <v>2</v>
      </c>
      <c r="E175" s="3">
        <f>IF(I_VIEW=2,"",COUNTIFS(T_2016_EVENT_RESULTS[Bronze - Country],T_SV_MEDALS[[#This Row],[COUNTRY ABBR]])+COUNTIFS(T_2016_EVENT_RESULTS[Bronze - Country - 2],T_SV_MEDALS[[#This Row],[COUNTRY ABBR]]))</f>
        <v>1</v>
      </c>
      <c r="F175" s="3">
        <f>SUM(T_SV_MEDALS[[#This Row],[GOLD]:[BRONZE]])</f>
        <v>4</v>
      </c>
      <c r="G175" s="3">
        <f>IF(T_SV_MEDALS[[#This Row],[TOTAL]]=0,"",IF(I_RANK_METHOD="TOTAL",(T_SV_MEDALS[[#This Row],[TOTAL]]*10000000),0)+(T_SV_MEDALS[[#This Row],[GOLD]]*100000)+(T_SV_MEDALS[[#This Row],[SILVER]]*1000)+(T_SV_MEDALS[[#This Row],[BRONZE]]*10))</f>
        <v>40102010</v>
      </c>
      <c r="H175" s="3">
        <f>IFERROR(IF(T_SV_MEDALS[[#This Row],[TOTAL]]=0,"",RANK(T_SV_MEDALS[[#This Row],[RANK VALUE]],T_SV_MEDALS[RANK VALUE])),"")</f>
        <v>48</v>
      </c>
      <c r="I175" s="3">
        <f>IFERROR(IF(T_SV_MEDALS[[#This Row],[TOTAL]]=0,"",RANK(T_SV_MEDALS[[#This Row],[RANK VALUE]],T_SV_MEDALS[RANK VALUE])+COUNTIF($H$2:H174,H175)),"")</f>
        <v>48</v>
      </c>
      <c r="J175" s="3" t="str">
        <f>IF(I_VIEW=3, COUNTIFS(T_2016_EVENT_RESULTS[SPORT],I_SV_SPORT,T_2016_EVENT_RESULTS[Gold - Country],T_SV_MEDALS[[#This Row],[COUNTRY ABBR]])+COUNTIFS(T_2016_EVENT_RESULTS[SPORT],I_SV_SPORT,T_2016_EVENT_RESULTS[Gold - Country - 2],T_SV_MEDALS[[#This Row],[COUNTRY ABBR]]),"")</f>
        <v/>
      </c>
      <c r="K175" s="3" t="str">
        <f>IF(I_VIEW=3, COUNTIFS(T_2016_EVENT_RESULTS[SPORT],I_SV_SPORT,T_2016_EVENT_RESULTS[Silver - Country],T_SV_MEDALS[[#This Row],[COUNTRY ABBR]])+COUNTIFS(T_2016_EVENT_RESULTS[SPORT],I_SV_SPORT,T_2016_EVENT_RESULTS[Silver - Country - 2],T_SV_MEDALS[[#This Row],[COUNTRY ABBR]])+COUNTIFS(T_2016_EVENT_RESULTS[SPORT],I_SV_SPORT,T_2016_EVENT_RESULTS[Silver - Country - 3],T_SV_MEDALS[[#This Row],[COUNTRY ABBR]]),"")</f>
        <v/>
      </c>
      <c r="L175" s="3" t="str">
        <f>IF(I_VIEW=3, COUNTIFS(T_2016_EVENT_RESULTS[SPORT],I_SV_SPORT,T_2016_EVENT_RESULTS[Bronze - Country],T_SV_MEDALS[[#This Row],[COUNTRY ABBR]])+COUNTIFS(T_2016_EVENT_RESULTS[SPORT],I_SV_SPORT,T_2016_EVENT_RESULTS[Bronze - Country - 2],T_SV_MEDALS[[#This Row],[COUNTRY ABBR]]),"")</f>
        <v/>
      </c>
      <c r="M175" s="3">
        <f>SUM(T_SV_MEDALS[[#This Row],[SV_GOLD]:[SV_BRONZE]])</f>
        <v>0</v>
      </c>
      <c r="N175" s="3" t="str">
        <f>IF(T_SV_MEDALS[[#This Row],[SV_TOTAL]]=0,"",IF(I_RANK_METHOD="TOTAL",(T_SV_MEDALS[[#This Row],[SV_TOTAL]]*10000000),0)+(T_SV_MEDALS[[#This Row],[SV_GOLD]]*100000)+(T_SV_MEDALS[[#This Row],[SV_SILVER]]*1000)+(T_SV_MEDALS[[#This Row],[SV_BRONZE]]*10))</f>
        <v/>
      </c>
      <c r="O175" s="3" t="str">
        <f>IFERROR(IF(T_SV_MEDALS[[#This Row],[SV_TOTAL]]=0,"",RANK(T_SV_MEDALS[[#This Row],[SV_RANK VALUE]],T_SV_MEDALS[SV_RANK VALUE])),"")</f>
        <v/>
      </c>
      <c r="P175" s="3" t="str">
        <f>IFERROR(IF(T_SV_MEDALS[[#This Row],[SV_TOTAL]]=0,"",RANK(T_SV_MEDALS[[#This Row],[SV_RANK VALUE]],T_SV_MEDALS[SV_RANK VALUE])+COUNTIF($O$2:O174,O175)),"")</f>
        <v/>
      </c>
      <c r="Q175" s="3">
        <f>IFERROR(T_SV_MEDALS[[#This Row],[SV_TOTAL]]/T_SV_MEDALS[[#This Row],[TOTAL]],"")</f>
        <v>0</v>
      </c>
      <c r="R175" s="3" t="str">
        <f>IFERROR(IF(T_SV_MEDALS[[#This Row],[SV_TOTAL]]=0,"",RANK(T_SV_MEDALS[[#This Row],[Dependency - Rank Value]],T_SV_MEDALS[Dependency - Rank Value])+COUNTIF($Q$2:Q174,Q175)),"")</f>
        <v/>
      </c>
    </row>
    <row r="176" spans="1:18" x14ac:dyDescent="0.25">
      <c r="A176" t="s">
        <v>314</v>
      </c>
      <c r="B176" t="s">
        <v>315</v>
      </c>
      <c r="C176" s="3">
        <f>IF(I_VIEW=2,"",COUNTIFS(T_2016_EVENT_RESULTS[Gold - Country],T_SV_MEDALS[[#This Row],[COUNTRY ABBR]])+COUNTIFS(T_2016_EVENT_RESULTS[Gold - Country - 2],T_SV_MEDALS[[#This Row],[COUNTRY ABBR]]))</f>
        <v>0</v>
      </c>
      <c r="D176" s="3">
        <f>IF(I_VIEW=2,"",COUNTIFS(T_2016_EVENT_RESULTS[Silver - Country],T_SV_MEDALS[[#This Row],[COUNTRY ABBR]])+COUNTIFS(T_2016_EVENT_RESULTS[Silver - Country - 2],T_SV_MEDALS[[#This Row],[COUNTRY ABBR]])+COUNTIFS(T_2016_EVENT_RESULTS[Silver - Country - 3],T_SV_MEDALS[[#This Row],[COUNTRY ABBR]]))</f>
        <v>0</v>
      </c>
      <c r="E176" s="3">
        <f>IF(I_VIEW=2,"",COUNTIFS(T_2016_EVENT_RESULTS[Bronze - Country],T_SV_MEDALS[[#This Row],[COUNTRY ABBR]])+COUNTIFS(T_2016_EVENT_RESULTS[Bronze - Country - 2],T_SV_MEDALS[[#This Row],[COUNTRY ABBR]]))</f>
        <v>0</v>
      </c>
      <c r="F176" s="3">
        <f>SUM(T_SV_MEDALS[[#This Row],[GOLD]:[BRONZE]])</f>
        <v>0</v>
      </c>
      <c r="G176" s="3" t="str">
        <f>IF(T_SV_MEDALS[[#This Row],[TOTAL]]=0,"",IF(I_RANK_METHOD="TOTAL",(T_SV_MEDALS[[#This Row],[TOTAL]]*10000000),0)+(T_SV_MEDALS[[#This Row],[GOLD]]*100000)+(T_SV_MEDALS[[#This Row],[SILVER]]*1000)+(T_SV_MEDALS[[#This Row],[BRONZE]]*10))</f>
        <v/>
      </c>
      <c r="H176" s="3" t="str">
        <f>IFERROR(IF(T_SV_MEDALS[[#This Row],[TOTAL]]=0,"",RANK(T_SV_MEDALS[[#This Row],[RANK VALUE]],T_SV_MEDALS[RANK VALUE])),"")</f>
        <v/>
      </c>
      <c r="I176" s="3" t="str">
        <f>IFERROR(IF(T_SV_MEDALS[[#This Row],[TOTAL]]=0,"",RANK(T_SV_MEDALS[[#This Row],[RANK VALUE]],T_SV_MEDALS[RANK VALUE])+COUNTIF($H$2:H175,H176)),"")</f>
        <v/>
      </c>
      <c r="J176" s="3" t="str">
        <f>IF(I_VIEW=3, COUNTIFS(T_2016_EVENT_RESULTS[SPORT],I_SV_SPORT,T_2016_EVENT_RESULTS[Gold - Country],T_SV_MEDALS[[#This Row],[COUNTRY ABBR]])+COUNTIFS(T_2016_EVENT_RESULTS[SPORT],I_SV_SPORT,T_2016_EVENT_RESULTS[Gold - Country - 2],T_SV_MEDALS[[#This Row],[COUNTRY ABBR]]),"")</f>
        <v/>
      </c>
      <c r="K176" s="3" t="str">
        <f>IF(I_VIEW=3, COUNTIFS(T_2016_EVENT_RESULTS[SPORT],I_SV_SPORT,T_2016_EVENT_RESULTS[Silver - Country],T_SV_MEDALS[[#This Row],[COUNTRY ABBR]])+COUNTIFS(T_2016_EVENT_RESULTS[SPORT],I_SV_SPORT,T_2016_EVENT_RESULTS[Silver - Country - 2],T_SV_MEDALS[[#This Row],[COUNTRY ABBR]])+COUNTIFS(T_2016_EVENT_RESULTS[SPORT],I_SV_SPORT,T_2016_EVENT_RESULTS[Silver - Country - 3],T_SV_MEDALS[[#This Row],[COUNTRY ABBR]]),"")</f>
        <v/>
      </c>
      <c r="L176" s="3" t="str">
        <f>IF(I_VIEW=3, COUNTIFS(T_2016_EVENT_RESULTS[SPORT],I_SV_SPORT,T_2016_EVENT_RESULTS[Bronze - Country],T_SV_MEDALS[[#This Row],[COUNTRY ABBR]])+COUNTIFS(T_2016_EVENT_RESULTS[SPORT],I_SV_SPORT,T_2016_EVENT_RESULTS[Bronze - Country - 2],T_SV_MEDALS[[#This Row],[COUNTRY ABBR]]),"")</f>
        <v/>
      </c>
      <c r="M176" s="3">
        <f>SUM(T_SV_MEDALS[[#This Row],[SV_GOLD]:[SV_BRONZE]])</f>
        <v>0</v>
      </c>
      <c r="N176" s="3" t="str">
        <f>IF(T_SV_MEDALS[[#This Row],[SV_TOTAL]]=0,"",IF(I_RANK_METHOD="TOTAL",(T_SV_MEDALS[[#This Row],[SV_TOTAL]]*10000000),0)+(T_SV_MEDALS[[#This Row],[SV_GOLD]]*100000)+(T_SV_MEDALS[[#This Row],[SV_SILVER]]*1000)+(T_SV_MEDALS[[#This Row],[SV_BRONZE]]*10))</f>
        <v/>
      </c>
      <c r="O176" s="3" t="str">
        <f>IFERROR(IF(T_SV_MEDALS[[#This Row],[SV_TOTAL]]=0,"",RANK(T_SV_MEDALS[[#This Row],[SV_RANK VALUE]],T_SV_MEDALS[SV_RANK VALUE])),"")</f>
        <v/>
      </c>
      <c r="P176" s="3" t="str">
        <f>IFERROR(IF(T_SV_MEDALS[[#This Row],[SV_TOTAL]]=0,"",RANK(T_SV_MEDALS[[#This Row],[SV_RANK VALUE]],T_SV_MEDALS[SV_RANK VALUE])+COUNTIF($O$2:O175,O176)),"")</f>
        <v/>
      </c>
      <c r="Q176" s="3" t="str">
        <f>IFERROR(T_SV_MEDALS[[#This Row],[SV_TOTAL]]/T_SV_MEDALS[[#This Row],[TOTAL]],"")</f>
        <v/>
      </c>
      <c r="R176" s="3" t="str">
        <f>IFERROR(IF(T_SV_MEDALS[[#This Row],[SV_TOTAL]]=0,"",RANK(T_SV_MEDALS[[#This Row],[Dependency - Rank Value]],T_SV_MEDALS[Dependency - Rank Value])+COUNTIF($Q$2:Q175,Q176)),"")</f>
        <v/>
      </c>
    </row>
    <row r="177" spans="1:18" x14ac:dyDescent="0.25">
      <c r="A177" t="s">
        <v>316</v>
      </c>
      <c r="B177" t="s">
        <v>317</v>
      </c>
      <c r="C177" s="3">
        <f>IF(I_VIEW=2,"",COUNTIFS(T_2016_EVENT_RESULTS[Gold - Country],T_SV_MEDALS[[#This Row],[COUNTRY ABBR]])+COUNTIFS(T_2016_EVENT_RESULTS[Gold - Country - 2],T_SV_MEDALS[[#This Row],[COUNTRY ABBR]]))</f>
        <v>0</v>
      </c>
      <c r="D177" s="3">
        <f>IF(I_VIEW=2,"",COUNTIFS(T_2016_EVENT_RESULTS[Silver - Country],T_SV_MEDALS[[#This Row],[COUNTRY ABBR]])+COUNTIFS(T_2016_EVENT_RESULTS[Silver - Country - 2],T_SV_MEDALS[[#This Row],[COUNTRY ABBR]])+COUNTIFS(T_2016_EVENT_RESULTS[Silver - Country - 3],T_SV_MEDALS[[#This Row],[COUNTRY ABBR]]))</f>
        <v>0</v>
      </c>
      <c r="E177" s="3">
        <f>IF(I_VIEW=2,"",COUNTIFS(T_2016_EVENT_RESULTS[Bronze - Country],T_SV_MEDALS[[#This Row],[COUNTRY ABBR]])+COUNTIFS(T_2016_EVENT_RESULTS[Bronze - Country - 2],T_SV_MEDALS[[#This Row],[COUNTRY ABBR]]))</f>
        <v>0</v>
      </c>
      <c r="F177" s="3">
        <f>SUM(T_SV_MEDALS[[#This Row],[GOLD]:[BRONZE]])</f>
        <v>0</v>
      </c>
      <c r="G177" s="3" t="str">
        <f>IF(T_SV_MEDALS[[#This Row],[TOTAL]]=0,"",IF(I_RANK_METHOD="TOTAL",(T_SV_MEDALS[[#This Row],[TOTAL]]*10000000),0)+(T_SV_MEDALS[[#This Row],[GOLD]]*100000)+(T_SV_MEDALS[[#This Row],[SILVER]]*1000)+(T_SV_MEDALS[[#This Row],[BRONZE]]*10))</f>
        <v/>
      </c>
      <c r="H177" s="3" t="str">
        <f>IFERROR(IF(T_SV_MEDALS[[#This Row],[TOTAL]]=0,"",RANK(T_SV_MEDALS[[#This Row],[RANK VALUE]],T_SV_MEDALS[RANK VALUE])),"")</f>
        <v/>
      </c>
      <c r="I177" s="3" t="str">
        <f>IFERROR(IF(T_SV_MEDALS[[#This Row],[TOTAL]]=0,"",RANK(T_SV_MEDALS[[#This Row],[RANK VALUE]],T_SV_MEDALS[RANK VALUE])+COUNTIF($H$2:H176,H177)),"")</f>
        <v/>
      </c>
      <c r="J177" s="3" t="str">
        <f>IF(I_VIEW=3, COUNTIFS(T_2016_EVENT_RESULTS[SPORT],I_SV_SPORT,T_2016_EVENT_RESULTS[Gold - Country],T_SV_MEDALS[[#This Row],[COUNTRY ABBR]])+COUNTIFS(T_2016_EVENT_RESULTS[SPORT],I_SV_SPORT,T_2016_EVENT_RESULTS[Gold - Country - 2],T_SV_MEDALS[[#This Row],[COUNTRY ABBR]]),"")</f>
        <v/>
      </c>
      <c r="K177" s="3" t="str">
        <f>IF(I_VIEW=3, COUNTIFS(T_2016_EVENT_RESULTS[SPORT],I_SV_SPORT,T_2016_EVENT_RESULTS[Silver - Country],T_SV_MEDALS[[#This Row],[COUNTRY ABBR]])+COUNTIFS(T_2016_EVENT_RESULTS[SPORT],I_SV_SPORT,T_2016_EVENT_RESULTS[Silver - Country - 2],T_SV_MEDALS[[#This Row],[COUNTRY ABBR]])+COUNTIFS(T_2016_EVENT_RESULTS[SPORT],I_SV_SPORT,T_2016_EVENT_RESULTS[Silver - Country - 3],T_SV_MEDALS[[#This Row],[COUNTRY ABBR]]),"")</f>
        <v/>
      </c>
      <c r="L177" s="3" t="str">
        <f>IF(I_VIEW=3, COUNTIFS(T_2016_EVENT_RESULTS[SPORT],I_SV_SPORT,T_2016_EVENT_RESULTS[Bronze - Country],T_SV_MEDALS[[#This Row],[COUNTRY ABBR]])+COUNTIFS(T_2016_EVENT_RESULTS[SPORT],I_SV_SPORT,T_2016_EVENT_RESULTS[Bronze - Country - 2],T_SV_MEDALS[[#This Row],[COUNTRY ABBR]]),"")</f>
        <v/>
      </c>
      <c r="M177" s="3">
        <f>SUM(T_SV_MEDALS[[#This Row],[SV_GOLD]:[SV_BRONZE]])</f>
        <v>0</v>
      </c>
      <c r="N177" s="3" t="str">
        <f>IF(T_SV_MEDALS[[#This Row],[SV_TOTAL]]=0,"",IF(I_RANK_METHOD="TOTAL",(T_SV_MEDALS[[#This Row],[SV_TOTAL]]*10000000),0)+(T_SV_MEDALS[[#This Row],[SV_GOLD]]*100000)+(T_SV_MEDALS[[#This Row],[SV_SILVER]]*1000)+(T_SV_MEDALS[[#This Row],[SV_BRONZE]]*10))</f>
        <v/>
      </c>
      <c r="O177" s="3" t="str">
        <f>IFERROR(IF(T_SV_MEDALS[[#This Row],[SV_TOTAL]]=0,"",RANK(T_SV_MEDALS[[#This Row],[SV_RANK VALUE]],T_SV_MEDALS[SV_RANK VALUE])),"")</f>
        <v/>
      </c>
      <c r="P177" s="3" t="str">
        <f>IFERROR(IF(T_SV_MEDALS[[#This Row],[SV_TOTAL]]=0,"",RANK(T_SV_MEDALS[[#This Row],[SV_RANK VALUE]],T_SV_MEDALS[SV_RANK VALUE])+COUNTIF($O$2:O176,O177)),"")</f>
        <v/>
      </c>
      <c r="Q177" s="3" t="str">
        <f>IFERROR(T_SV_MEDALS[[#This Row],[SV_TOTAL]]/T_SV_MEDALS[[#This Row],[TOTAL]],"")</f>
        <v/>
      </c>
      <c r="R177" s="3" t="str">
        <f>IFERROR(IF(T_SV_MEDALS[[#This Row],[SV_TOTAL]]=0,"",RANK(T_SV_MEDALS[[#This Row],[Dependency - Rank Value]],T_SV_MEDALS[Dependency - Rank Value])+COUNTIF($Q$2:Q176,Q177)),"")</f>
        <v/>
      </c>
    </row>
    <row r="178" spans="1:18" x14ac:dyDescent="0.25">
      <c r="A178" t="s">
        <v>318</v>
      </c>
      <c r="B178" t="s">
        <v>319</v>
      </c>
      <c r="C178" s="3">
        <f>IF(I_VIEW=2,"",COUNTIFS(T_2016_EVENT_RESULTS[Gold - Country],T_SV_MEDALS[[#This Row],[COUNTRY ABBR]])+COUNTIFS(T_2016_EVENT_RESULTS[Gold - Country - 2],T_SV_MEDALS[[#This Row],[COUNTRY ABBR]]))</f>
        <v>2</v>
      </c>
      <c r="D178" s="3">
        <f>IF(I_VIEW=2,"",COUNTIFS(T_2016_EVENT_RESULTS[Silver - Country],T_SV_MEDALS[[#This Row],[COUNTRY ABBR]])+COUNTIFS(T_2016_EVENT_RESULTS[Silver - Country - 2],T_SV_MEDALS[[#This Row],[COUNTRY ABBR]])+COUNTIFS(T_2016_EVENT_RESULTS[Silver - Country - 3],T_SV_MEDALS[[#This Row],[COUNTRY ABBR]]))</f>
        <v>6</v>
      </c>
      <c r="E178" s="3">
        <f>IF(I_VIEW=2,"",COUNTIFS(T_2016_EVENT_RESULTS[Bronze - Country],T_SV_MEDALS[[#This Row],[COUNTRY ABBR]])+COUNTIFS(T_2016_EVENT_RESULTS[Bronze - Country - 2],T_SV_MEDALS[[#This Row],[COUNTRY ABBR]]))</f>
        <v>2</v>
      </c>
      <c r="F178" s="3">
        <f>SUM(T_SV_MEDALS[[#This Row],[GOLD]:[BRONZE]])</f>
        <v>10</v>
      </c>
      <c r="G178" s="3">
        <f>IF(T_SV_MEDALS[[#This Row],[TOTAL]]=0,"",IF(I_RANK_METHOD="TOTAL",(T_SV_MEDALS[[#This Row],[TOTAL]]*10000000),0)+(T_SV_MEDALS[[#This Row],[GOLD]]*100000)+(T_SV_MEDALS[[#This Row],[SILVER]]*1000)+(T_SV_MEDALS[[#This Row],[BRONZE]]*10))</f>
        <v>100206020</v>
      </c>
      <c r="H178" s="3">
        <f>IFERROR(IF(T_SV_MEDALS[[#This Row],[TOTAL]]=0,"",RANK(T_SV_MEDALS[[#This Row],[RANK VALUE]],T_SV_MEDALS[RANK VALUE])),"")</f>
        <v>28</v>
      </c>
      <c r="I178" s="3">
        <f>IFERROR(IF(T_SV_MEDALS[[#This Row],[TOTAL]]=0,"",RANK(T_SV_MEDALS[[#This Row],[RANK VALUE]],T_SV_MEDALS[RANK VALUE])+COUNTIF($H$2:H177,H178)),"")</f>
        <v>28</v>
      </c>
      <c r="J178" s="3" t="str">
        <f>IF(I_VIEW=3, COUNTIFS(T_2016_EVENT_RESULTS[SPORT],I_SV_SPORT,T_2016_EVENT_RESULTS[Gold - Country],T_SV_MEDALS[[#This Row],[COUNTRY ABBR]])+COUNTIFS(T_2016_EVENT_RESULTS[SPORT],I_SV_SPORT,T_2016_EVENT_RESULTS[Gold - Country - 2],T_SV_MEDALS[[#This Row],[COUNTRY ABBR]]),"")</f>
        <v/>
      </c>
      <c r="K178" s="3" t="str">
        <f>IF(I_VIEW=3, COUNTIFS(T_2016_EVENT_RESULTS[SPORT],I_SV_SPORT,T_2016_EVENT_RESULTS[Silver - Country],T_SV_MEDALS[[#This Row],[COUNTRY ABBR]])+COUNTIFS(T_2016_EVENT_RESULTS[SPORT],I_SV_SPORT,T_2016_EVENT_RESULTS[Silver - Country - 2],T_SV_MEDALS[[#This Row],[COUNTRY ABBR]])+COUNTIFS(T_2016_EVENT_RESULTS[SPORT],I_SV_SPORT,T_2016_EVENT_RESULTS[Silver - Country - 3],T_SV_MEDALS[[#This Row],[COUNTRY ABBR]]),"")</f>
        <v/>
      </c>
      <c r="L178" s="3" t="str">
        <f>IF(I_VIEW=3, COUNTIFS(T_2016_EVENT_RESULTS[SPORT],I_SV_SPORT,T_2016_EVENT_RESULTS[Bronze - Country],T_SV_MEDALS[[#This Row],[COUNTRY ABBR]])+COUNTIFS(T_2016_EVENT_RESULTS[SPORT],I_SV_SPORT,T_2016_EVENT_RESULTS[Bronze - Country - 2],T_SV_MEDALS[[#This Row],[COUNTRY ABBR]]),"")</f>
        <v/>
      </c>
      <c r="M178" s="3">
        <f>SUM(T_SV_MEDALS[[#This Row],[SV_GOLD]:[SV_BRONZE]])</f>
        <v>0</v>
      </c>
      <c r="N178" s="3" t="str">
        <f>IF(T_SV_MEDALS[[#This Row],[SV_TOTAL]]=0,"",IF(I_RANK_METHOD="TOTAL",(T_SV_MEDALS[[#This Row],[SV_TOTAL]]*10000000),0)+(T_SV_MEDALS[[#This Row],[SV_GOLD]]*100000)+(T_SV_MEDALS[[#This Row],[SV_SILVER]]*1000)+(T_SV_MEDALS[[#This Row],[SV_BRONZE]]*10))</f>
        <v/>
      </c>
      <c r="O178" s="3" t="str">
        <f>IFERROR(IF(T_SV_MEDALS[[#This Row],[SV_TOTAL]]=0,"",RANK(T_SV_MEDALS[[#This Row],[SV_RANK VALUE]],T_SV_MEDALS[SV_RANK VALUE])),"")</f>
        <v/>
      </c>
      <c r="P178" s="3" t="str">
        <f>IFERROR(IF(T_SV_MEDALS[[#This Row],[SV_TOTAL]]=0,"",RANK(T_SV_MEDALS[[#This Row],[SV_RANK VALUE]],T_SV_MEDALS[SV_RANK VALUE])+COUNTIF($O$2:O177,O178)),"")</f>
        <v/>
      </c>
      <c r="Q178" s="3">
        <f>IFERROR(T_SV_MEDALS[[#This Row],[SV_TOTAL]]/T_SV_MEDALS[[#This Row],[TOTAL]],"")</f>
        <v>0</v>
      </c>
      <c r="R178" s="3" t="str">
        <f>IFERROR(IF(T_SV_MEDALS[[#This Row],[SV_TOTAL]]=0,"",RANK(T_SV_MEDALS[[#This Row],[Dependency - Rank Value]],T_SV_MEDALS[Dependency - Rank Value])+COUNTIF($Q$2:Q177,Q178)),"")</f>
        <v/>
      </c>
    </row>
    <row r="179" spans="1:18" x14ac:dyDescent="0.25">
      <c r="A179" t="s">
        <v>1032</v>
      </c>
      <c r="B179" t="s">
        <v>1033</v>
      </c>
      <c r="C179" s="3">
        <f>IF(I_VIEW=2,"",COUNTIFS(T_2016_EVENT_RESULTS[Gold - Country],T_SV_MEDALS[[#This Row],[COUNTRY ABBR]])+COUNTIFS(T_2016_EVENT_RESULTS[Gold - Country - 2],T_SV_MEDALS[[#This Row],[COUNTRY ABBR]]))</f>
        <v>0</v>
      </c>
      <c r="D179" s="3">
        <f>IF(I_VIEW=2,"",COUNTIFS(T_2016_EVENT_RESULTS[Silver - Country],T_SV_MEDALS[[#This Row],[COUNTRY ABBR]])+COUNTIFS(T_2016_EVENT_RESULTS[Silver - Country - 2],T_SV_MEDALS[[#This Row],[COUNTRY ABBR]])+COUNTIFS(T_2016_EVENT_RESULTS[Silver - Country - 3],T_SV_MEDALS[[#This Row],[COUNTRY ABBR]]))</f>
        <v>0</v>
      </c>
      <c r="E179" s="3">
        <f>IF(I_VIEW=2,"",COUNTIFS(T_2016_EVENT_RESULTS[Bronze - Country],T_SV_MEDALS[[#This Row],[COUNTRY ABBR]])+COUNTIFS(T_2016_EVENT_RESULTS[Bronze - Country - 2],T_SV_MEDALS[[#This Row],[COUNTRY ABBR]]))</f>
        <v>0</v>
      </c>
      <c r="F179" s="3">
        <f>SUM(T_SV_MEDALS[[#This Row],[GOLD]:[BRONZE]])</f>
        <v>0</v>
      </c>
      <c r="G179" s="3" t="str">
        <f>IF(T_SV_MEDALS[[#This Row],[TOTAL]]=0,"",IF(I_RANK_METHOD="TOTAL",(T_SV_MEDALS[[#This Row],[TOTAL]]*10000000),0)+(T_SV_MEDALS[[#This Row],[GOLD]]*100000)+(T_SV_MEDALS[[#This Row],[SILVER]]*1000)+(T_SV_MEDALS[[#This Row],[BRONZE]]*10))</f>
        <v/>
      </c>
      <c r="H179" s="3" t="str">
        <f>IFERROR(IF(T_SV_MEDALS[[#This Row],[TOTAL]]=0,"",RANK(T_SV_MEDALS[[#This Row],[RANK VALUE]],T_SV_MEDALS[RANK VALUE])),"")</f>
        <v/>
      </c>
      <c r="I179" s="3" t="str">
        <f>IFERROR(IF(T_SV_MEDALS[[#This Row],[TOTAL]]=0,"",RANK(T_SV_MEDALS[[#This Row],[RANK VALUE]],T_SV_MEDALS[RANK VALUE])+COUNTIF($H$2:H178,H179)),"")</f>
        <v/>
      </c>
      <c r="J179" s="3" t="str">
        <f>IF(I_VIEW=3, COUNTIFS(T_2016_EVENT_RESULTS[SPORT],I_SV_SPORT,T_2016_EVENT_RESULTS[Gold - Country],T_SV_MEDALS[[#This Row],[COUNTRY ABBR]])+COUNTIFS(T_2016_EVENT_RESULTS[SPORT],I_SV_SPORT,T_2016_EVENT_RESULTS[Gold - Country - 2],T_SV_MEDALS[[#This Row],[COUNTRY ABBR]]),"")</f>
        <v/>
      </c>
      <c r="K179" s="3" t="str">
        <f>IF(I_VIEW=3, COUNTIFS(T_2016_EVENT_RESULTS[SPORT],I_SV_SPORT,T_2016_EVENT_RESULTS[Silver - Country],T_SV_MEDALS[[#This Row],[COUNTRY ABBR]])+COUNTIFS(T_2016_EVENT_RESULTS[SPORT],I_SV_SPORT,T_2016_EVENT_RESULTS[Silver - Country - 2],T_SV_MEDALS[[#This Row],[COUNTRY ABBR]])+COUNTIFS(T_2016_EVENT_RESULTS[SPORT],I_SV_SPORT,T_2016_EVENT_RESULTS[Silver - Country - 3],T_SV_MEDALS[[#This Row],[COUNTRY ABBR]]),"")</f>
        <v/>
      </c>
      <c r="L179" s="3" t="str">
        <f>IF(I_VIEW=3, COUNTIFS(T_2016_EVENT_RESULTS[SPORT],I_SV_SPORT,T_2016_EVENT_RESULTS[Bronze - Country],T_SV_MEDALS[[#This Row],[COUNTRY ABBR]])+COUNTIFS(T_2016_EVENT_RESULTS[SPORT],I_SV_SPORT,T_2016_EVENT_RESULTS[Bronze - Country - 2],T_SV_MEDALS[[#This Row],[COUNTRY ABBR]]),"")</f>
        <v/>
      </c>
      <c r="M179" s="3">
        <f>SUM(T_SV_MEDALS[[#This Row],[SV_GOLD]:[SV_BRONZE]])</f>
        <v>0</v>
      </c>
      <c r="N179" s="3" t="str">
        <f>IF(T_SV_MEDALS[[#This Row],[SV_TOTAL]]=0,"",IF(I_RANK_METHOD="TOTAL",(T_SV_MEDALS[[#This Row],[SV_TOTAL]]*10000000),0)+(T_SV_MEDALS[[#This Row],[SV_GOLD]]*100000)+(T_SV_MEDALS[[#This Row],[SV_SILVER]]*1000)+(T_SV_MEDALS[[#This Row],[SV_BRONZE]]*10))</f>
        <v/>
      </c>
      <c r="O179" s="3" t="str">
        <f>IFERROR(IF(T_SV_MEDALS[[#This Row],[SV_TOTAL]]=0,"",RANK(T_SV_MEDALS[[#This Row],[SV_RANK VALUE]],T_SV_MEDALS[SV_RANK VALUE])),"")</f>
        <v/>
      </c>
      <c r="P179" s="3" t="str">
        <f>IFERROR(IF(T_SV_MEDALS[[#This Row],[SV_TOTAL]]=0,"",RANK(T_SV_MEDALS[[#This Row],[SV_RANK VALUE]],T_SV_MEDALS[SV_RANK VALUE])+COUNTIF($O$2:O178,O179)),"")</f>
        <v/>
      </c>
      <c r="Q179" s="3" t="str">
        <f>IFERROR(T_SV_MEDALS[[#This Row],[SV_TOTAL]]/T_SV_MEDALS[[#This Row],[TOTAL]],"")</f>
        <v/>
      </c>
      <c r="R179" s="3" t="str">
        <f>IFERROR(IF(T_SV_MEDALS[[#This Row],[SV_TOTAL]]=0,"",RANK(T_SV_MEDALS[[#This Row],[Dependency - Rank Value]],T_SV_MEDALS[Dependency - Rank Value])+COUNTIF($Q$2:Q178,Q179)),"")</f>
        <v/>
      </c>
    </row>
    <row r="180" spans="1:18" x14ac:dyDescent="0.25">
      <c r="A180" t="s">
        <v>320</v>
      </c>
      <c r="B180" t="s">
        <v>321</v>
      </c>
      <c r="C180" s="3">
        <f>IF(I_VIEW=2,"",COUNTIFS(T_2016_EVENT_RESULTS[Gold - Country],T_SV_MEDALS[[#This Row],[COUNTRY ABBR]])+COUNTIFS(T_2016_EVENT_RESULTS[Gold - Country - 2],T_SV_MEDALS[[#This Row],[COUNTRY ABBR]]))</f>
        <v>7</v>
      </c>
      <c r="D180" s="3">
        <f>IF(I_VIEW=2,"",COUNTIFS(T_2016_EVENT_RESULTS[Silver - Country],T_SV_MEDALS[[#This Row],[COUNTRY ABBR]])+COUNTIFS(T_2016_EVENT_RESULTS[Silver - Country - 2],T_SV_MEDALS[[#This Row],[COUNTRY ABBR]])+COUNTIFS(T_2016_EVENT_RESULTS[Silver - Country - 3],T_SV_MEDALS[[#This Row],[COUNTRY ABBR]]))</f>
        <v>4</v>
      </c>
      <c r="E180" s="3">
        <f>IF(I_VIEW=2,"",COUNTIFS(T_2016_EVENT_RESULTS[Bronze - Country],T_SV_MEDALS[[#This Row],[COUNTRY ABBR]])+COUNTIFS(T_2016_EVENT_RESULTS[Bronze - Country - 2],T_SV_MEDALS[[#This Row],[COUNTRY ABBR]]))</f>
        <v>6</v>
      </c>
      <c r="F180" s="3">
        <f>SUM(T_SV_MEDALS[[#This Row],[GOLD]:[BRONZE]])</f>
        <v>17</v>
      </c>
      <c r="G180" s="3">
        <f>IF(T_SV_MEDALS[[#This Row],[TOTAL]]=0,"",IF(I_RANK_METHOD="TOTAL",(T_SV_MEDALS[[#This Row],[TOTAL]]*10000000),0)+(T_SV_MEDALS[[#This Row],[GOLD]]*100000)+(T_SV_MEDALS[[#This Row],[SILVER]]*1000)+(T_SV_MEDALS[[#This Row],[BRONZE]]*10))</f>
        <v>170704060</v>
      </c>
      <c r="H180" s="3">
        <f>IFERROR(IF(T_SV_MEDALS[[#This Row],[TOTAL]]=0,"",RANK(T_SV_MEDALS[[#This Row],[RANK VALUE]],T_SV_MEDALS[RANK VALUE])),"")</f>
        <v>16</v>
      </c>
      <c r="I180" s="3">
        <f>IFERROR(IF(T_SV_MEDALS[[#This Row],[TOTAL]]=0,"",RANK(T_SV_MEDALS[[#This Row],[RANK VALUE]],T_SV_MEDALS[RANK VALUE])+COUNTIF($H$2:H179,H180)),"")</f>
        <v>16</v>
      </c>
      <c r="J180" s="3" t="str">
        <f>IF(I_VIEW=3, COUNTIFS(T_2016_EVENT_RESULTS[SPORT],I_SV_SPORT,T_2016_EVENT_RESULTS[Gold - Country],T_SV_MEDALS[[#This Row],[COUNTRY ABBR]])+COUNTIFS(T_2016_EVENT_RESULTS[SPORT],I_SV_SPORT,T_2016_EVENT_RESULTS[Gold - Country - 2],T_SV_MEDALS[[#This Row],[COUNTRY ABBR]]),"")</f>
        <v/>
      </c>
      <c r="K180" s="3" t="str">
        <f>IF(I_VIEW=3, COUNTIFS(T_2016_EVENT_RESULTS[SPORT],I_SV_SPORT,T_2016_EVENT_RESULTS[Silver - Country],T_SV_MEDALS[[#This Row],[COUNTRY ABBR]])+COUNTIFS(T_2016_EVENT_RESULTS[SPORT],I_SV_SPORT,T_2016_EVENT_RESULTS[Silver - Country - 2],T_SV_MEDALS[[#This Row],[COUNTRY ABBR]])+COUNTIFS(T_2016_EVENT_RESULTS[SPORT],I_SV_SPORT,T_2016_EVENT_RESULTS[Silver - Country - 3],T_SV_MEDALS[[#This Row],[COUNTRY ABBR]]),"")</f>
        <v/>
      </c>
      <c r="L180" s="3" t="str">
        <f>IF(I_VIEW=3, COUNTIFS(T_2016_EVENT_RESULTS[SPORT],I_SV_SPORT,T_2016_EVENT_RESULTS[Bronze - Country],T_SV_MEDALS[[#This Row],[COUNTRY ABBR]])+COUNTIFS(T_2016_EVENT_RESULTS[SPORT],I_SV_SPORT,T_2016_EVENT_RESULTS[Bronze - Country - 2],T_SV_MEDALS[[#This Row],[COUNTRY ABBR]]),"")</f>
        <v/>
      </c>
      <c r="M180" s="3">
        <f>SUM(T_SV_MEDALS[[#This Row],[SV_GOLD]:[SV_BRONZE]])</f>
        <v>0</v>
      </c>
      <c r="N180" s="3" t="str">
        <f>IF(T_SV_MEDALS[[#This Row],[SV_TOTAL]]=0,"",IF(I_RANK_METHOD="TOTAL",(T_SV_MEDALS[[#This Row],[SV_TOTAL]]*10000000),0)+(T_SV_MEDALS[[#This Row],[SV_GOLD]]*100000)+(T_SV_MEDALS[[#This Row],[SV_SILVER]]*1000)+(T_SV_MEDALS[[#This Row],[SV_BRONZE]]*10))</f>
        <v/>
      </c>
      <c r="O180" s="3" t="str">
        <f>IFERROR(IF(T_SV_MEDALS[[#This Row],[SV_TOTAL]]=0,"",RANK(T_SV_MEDALS[[#This Row],[SV_RANK VALUE]],T_SV_MEDALS[SV_RANK VALUE])),"")</f>
        <v/>
      </c>
      <c r="P180" s="3" t="str">
        <f>IFERROR(IF(T_SV_MEDALS[[#This Row],[SV_TOTAL]]=0,"",RANK(T_SV_MEDALS[[#This Row],[SV_RANK VALUE]],T_SV_MEDALS[SV_RANK VALUE])+COUNTIF($O$2:O179,O180)),"")</f>
        <v/>
      </c>
      <c r="Q180" s="3">
        <f>IFERROR(T_SV_MEDALS[[#This Row],[SV_TOTAL]]/T_SV_MEDALS[[#This Row],[TOTAL]],"")</f>
        <v>0</v>
      </c>
      <c r="R180" s="3" t="str">
        <f>IFERROR(IF(T_SV_MEDALS[[#This Row],[SV_TOTAL]]=0,"",RANK(T_SV_MEDALS[[#This Row],[Dependency - Rank Value]],T_SV_MEDALS[Dependency - Rank Value])+COUNTIF($Q$2:Q179,Q180)),"")</f>
        <v/>
      </c>
    </row>
    <row r="181" spans="1:18" x14ac:dyDescent="0.25">
      <c r="A181" t="s">
        <v>322</v>
      </c>
      <c r="B181" t="s">
        <v>323</v>
      </c>
      <c r="C181" s="3">
        <f>IF(I_VIEW=2,"",COUNTIFS(T_2016_EVENT_RESULTS[Gold - Country],T_SV_MEDALS[[#This Row],[COUNTRY ABBR]])+COUNTIFS(T_2016_EVENT_RESULTS[Gold - Country - 2],T_SV_MEDALS[[#This Row],[COUNTRY ABBR]]))</f>
        <v>0</v>
      </c>
      <c r="D181" s="3">
        <f>IF(I_VIEW=2,"",COUNTIFS(T_2016_EVENT_RESULTS[Silver - Country],T_SV_MEDALS[[#This Row],[COUNTRY ABBR]])+COUNTIFS(T_2016_EVENT_RESULTS[Silver - Country - 2],T_SV_MEDALS[[#This Row],[COUNTRY ABBR]])+COUNTIFS(T_2016_EVENT_RESULTS[Silver - Country - 3],T_SV_MEDALS[[#This Row],[COUNTRY ABBR]]))</f>
        <v>0</v>
      </c>
      <c r="E181" s="3">
        <f>IF(I_VIEW=2,"",COUNTIFS(T_2016_EVENT_RESULTS[Bronze - Country],T_SV_MEDALS[[#This Row],[COUNTRY ABBR]])+COUNTIFS(T_2016_EVENT_RESULTS[Bronze - Country - 2],T_SV_MEDALS[[#This Row],[COUNTRY ABBR]]))</f>
        <v>0</v>
      </c>
      <c r="F181" s="3">
        <f>SUM(T_SV_MEDALS[[#This Row],[GOLD]:[BRONZE]])</f>
        <v>0</v>
      </c>
      <c r="G181" s="3" t="str">
        <f>IF(T_SV_MEDALS[[#This Row],[TOTAL]]=0,"",IF(I_RANK_METHOD="TOTAL",(T_SV_MEDALS[[#This Row],[TOTAL]]*10000000),0)+(T_SV_MEDALS[[#This Row],[GOLD]]*100000)+(T_SV_MEDALS[[#This Row],[SILVER]]*1000)+(T_SV_MEDALS[[#This Row],[BRONZE]]*10))</f>
        <v/>
      </c>
      <c r="H181" s="3" t="str">
        <f>IFERROR(IF(T_SV_MEDALS[[#This Row],[TOTAL]]=0,"",RANK(T_SV_MEDALS[[#This Row],[RANK VALUE]],T_SV_MEDALS[RANK VALUE])),"")</f>
        <v/>
      </c>
      <c r="I181" s="3" t="str">
        <f>IFERROR(IF(T_SV_MEDALS[[#This Row],[TOTAL]]=0,"",RANK(T_SV_MEDALS[[#This Row],[RANK VALUE]],T_SV_MEDALS[RANK VALUE])+COUNTIF($H$2:H180,H181)),"")</f>
        <v/>
      </c>
      <c r="J181" s="3" t="str">
        <f>IF(I_VIEW=3, COUNTIFS(T_2016_EVENT_RESULTS[SPORT],I_SV_SPORT,T_2016_EVENT_RESULTS[Gold - Country],T_SV_MEDALS[[#This Row],[COUNTRY ABBR]])+COUNTIFS(T_2016_EVENT_RESULTS[SPORT],I_SV_SPORT,T_2016_EVENT_RESULTS[Gold - Country - 2],T_SV_MEDALS[[#This Row],[COUNTRY ABBR]]),"")</f>
        <v/>
      </c>
      <c r="K181" s="3" t="str">
        <f>IF(I_VIEW=3, COUNTIFS(T_2016_EVENT_RESULTS[SPORT],I_SV_SPORT,T_2016_EVENT_RESULTS[Silver - Country],T_SV_MEDALS[[#This Row],[COUNTRY ABBR]])+COUNTIFS(T_2016_EVENT_RESULTS[SPORT],I_SV_SPORT,T_2016_EVENT_RESULTS[Silver - Country - 2],T_SV_MEDALS[[#This Row],[COUNTRY ABBR]])+COUNTIFS(T_2016_EVENT_RESULTS[SPORT],I_SV_SPORT,T_2016_EVENT_RESULTS[Silver - Country - 3],T_SV_MEDALS[[#This Row],[COUNTRY ABBR]]),"")</f>
        <v/>
      </c>
      <c r="L181" s="3" t="str">
        <f>IF(I_VIEW=3, COUNTIFS(T_2016_EVENT_RESULTS[SPORT],I_SV_SPORT,T_2016_EVENT_RESULTS[Bronze - Country],T_SV_MEDALS[[#This Row],[COUNTRY ABBR]])+COUNTIFS(T_2016_EVENT_RESULTS[SPORT],I_SV_SPORT,T_2016_EVENT_RESULTS[Bronze - Country - 2],T_SV_MEDALS[[#This Row],[COUNTRY ABBR]]),"")</f>
        <v/>
      </c>
      <c r="M181" s="3">
        <f>SUM(T_SV_MEDALS[[#This Row],[SV_GOLD]:[SV_BRONZE]])</f>
        <v>0</v>
      </c>
      <c r="N181" s="3" t="str">
        <f>IF(T_SV_MEDALS[[#This Row],[SV_TOTAL]]=0,"",IF(I_RANK_METHOD="TOTAL",(T_SV_MEDALS[[#This Row],[SV_TOTAL]]*10000000),0)+(T_SV_MEDALS[[#This Row],[SV_GOLD]]*100000)+(T_SV_MEDALS[[#This Row],[SV_SILVER]]*1000)+(T_SV_MEDALS[[#This Row],[SV_BRONZE]]*10))</f>
        <v/>
      </c>
      <c r="O181" s="3" t="str">
        <f>IFERROR(IF(T_SV_MEDALS[[#This Row],[SV_TOTAL]]=0,"",RANK(T_SV_MEDALS[[#This Row],[SV_RANK VALUE]],T_SV_MEDALS[SV_RANK VALUE])),"")</f>
        <v/>
      </c>
      <c r="P181" s="3" t="str">
        <f>IFERROR(IF(T_SV_MEDALS[[#This Row],[SV_TOTAL]]=0,"",RANK(T_SV_MEDALS[[#This Row],[SV_RANK VALUE]],T_SV_MEDALS[SV_RANK VALUE])+COUNTIF($O$2:O180,O181)),"")</f>
        <v/>
      </c>
      <c r="Q181" s="3" t="str">
        <f>IFERROR(T_SV_MEDALS[[#This Row],[SV_TOTAL]]/T_SV_MEDALS[[#This Row],[TOTAL]],"")</f>
        <v/>
      </c>
      <c r="R181" s="3" t="str">
        <f>IFERROR(IF(T_SV_MEDALS[[#This Row],[SV_TOTAL]]=0,"",RANK(T_SV_MEDALS[[#This Row],[Dependency - Rank Value]],T_SV_MEDALS[Dependency - Rank Value])+COUNTIF($Q$2:Q180,Q181)),"")</f>
        <v/>
      </c>
    </row>
    <row r="182" spans="1:18" x14ac:dyDescent="0.25">
      <c r="A182" t="s">
        <v>324</v>
      </c>
      <c r="B182" t="s">
        <v>325</v>
      </c>
      <c r="C182" s="3">
        <f>IF(I_VIEW=2,"",COUNTIFS(T_2016_EVENT_RESULTS[Gold - Country],T_SV_MEDALS[[#This Row],[COUNTRY ABBR]])+COUNTIFS(T_2016_EVENT_RESULTS[Gold - Country - 2],T_SV_MEDALS[[#This Row],[COUNTRY ABBR]]))</f>
        <v>0</v>
      </c>
      <c r="D182" s="3">
        <f>IF(I_VIEW=2,"",COUNTIFS(T_2016_EVENT_RESULTS[Silver - Country],T_SV_MEDALS[[#This Row],[COUNTRY ABBR]])+COUNTIFS(T_2016_EVENT_RESULTS[Silver - Country - 2],T_SV_MEDALS[[#This Row],[COUNTRY ABBR]])+COUNTIFS(T_2016_EVENT_RESULTS[Silver - Country - 3],T_SV_MEDALS[[#This Row],[COUNTRY ABBR]]))</f>
        <v>0</v>
      </c>
      <c r="E182" s="3">
        <f>IF(I_VIEW=2,"",COUNTIFS(T_2016_EVENT_RESULTS[Bronze - Country],T_SV_MEDALS[[#This Row],[COUNTRY ABBR]])+COUNTIFS(T_2016_EVENT_RESULTS[Bronze - Country - 2],T_SV_MEDALS[[#This Row],[COUNTRY ABBR]]))</f>
        <v>0</v>
      </c>
      <c r="F182" s="3">
        <f>SUM(T_SV_MEDALS[[#This Row],[GOLD]:[BRONZE]])</f>
        <v>0</v>
      </c>
      <c r="G182" s="3" t="str">
        <f>IF(T_SV_MEDALS[[#This Row],[TOTAL]]=0,"",IF(I_RANK_METHOD="TOTAL",(T_SV_MEDALS[[#This Row],[TOTAL]]*10000000),0)+(T_SV_MEDALS[[#This Row],[GOLD]]*100000)+(T_SV_MEDALS[[#This Row],[SILVER]]*1000)+(T_SV_MEDALS[[#This Row],[BRONZE]]*10))</f>
        <v/>
      </c>
      <c r="H182" s="3" t="str">
        <f>IFERROR(IF(T_SV_MEDALS[[#This Row],[TOTAL]]=0,"",RANK(T_SV_MEDALS[[#This Row],[RANK VALUE]],T_SV_MEDALS[RANK VALUE])),"")</f>
        <v/>
      </c>
      <c r="I182" s="3" t="str">
        <f>IFERROR(IF(T_SV_MEDALS[[#This Row],[TOTAL]]=0,"",RANK(T_SV_MEDALS[[#This Row],[RANK VALUE]],T_SV_MEDALS[RANK VALUE])+COUNTIF($H$2:H181,H182)),"")</f>
        <v/>
      </c>
      <c r="J182" s="3" t="str">
        <f>IF(I_VIEW=3, COUNTIFS(T_2016_EVENT_RESULTS[SPORT],I_SV_SPORT,T_2016_EVENT_RESULTS[Gold - Country],T_SV_MEDALS[[#This Row],[COUNTRY ABBR]])+COUNTIFS(T_2016_EVENT_RESULTS[SPORT],I_SV_SPORT,T_2016_EVENT_RESULTS[Gold - Country - 2],T_SV_MEDALS[[#This Row],[COUNTRY ABBR]]),"")</f>
        <v/>
      </c>
      <c r="K182" s="3" t="str">
        <f>IF(I_VIEW=3, COUNTIFS(T_2016_EVENT_RESULTS[SPORT],I_SV_SPORT,T_2016_EVENT_RESULTS[Silver - Country],T_SV_MEDALS[[#This Row],[COUNTRY ABBR]])+COUNTIFS(T_2016_EVENT_RESULTS[SPORT],I_SV_SPORT,T_2016_EVENT_RESULTS[Silver - Country - 2],T_SV_MEDALS[[#This Row],[COUNTRY ABBR]])+COUNTIFS(T_2016_EVENT_RESULTS[SPORT],I_SV_SPORT,T_2016_EVENT_RESULTS[Silver - Country - 3],T_SV_MEDALS[[#This Row],[COUNTRY ABBR]]),"")</f>
        <v/>
      </c>
      <c r="L182" s="3" t="str">
        <f>IF(I_VIEW=3, COUNTIFS(T_2016_EVENT_RESULTS[SPORT],I_SV_SPORT,T_2016_EVENT_RESULTS[Bronze - Country],T_SV_MEDALS[[#This Row],[COUNTRY ABBR]])+COUNTIFS(T_2016_EVENT_RESULTS[SPORT],I_SV_SPORT,T_2016_EVENT_RESULTS[Bronze - Country - 2],T_SV_MEDALS[[#This Row],[COUNTRY ABBR]]),"")</f>
        <v/>
      </c>
      <c r="M182" s="3">
        <f>SUM(T_SV_MEDALS[[#This Row],[SV_GOLD]:[SV_BRONZE]])</f>
        <v>0</v>
      </c>
      <c r="N182" s="3" t="str">
        <f>IF(T_SV_MEDALS[[#This Row],[SV_TOTAL]]=0,"",IF(I_RANK_METHOD="TOTAL",(T_SV_MEDALS[[#This Row],[SV_TOTAL]]*10000000),0)+(T_SV_MEDALS[[#This Row],[SV_GOLD]]*100000)+(T_SV_MEDALS[[#This Row],[SV_SILVER]]*1000)+(T_SV_MEDALS[[#This Row],[SV_BRONZE]]*10))</f>
        <v/>
      </c>
      <c r="O182" s="3" t="str">
        <f>IFERROR(IF(T_SV_MEDALS[[#This Row],[SV_TOTAL]]=0,"",RANK(T_SV_MEDALS[[#This Row],[SV_RANK VALUE]],T_SV_MEDALS[SV_RANK VALUE])),"")</f>
        <v/>
      </c>
      <c r="P182" s="3" t="str">
        <f>IFERROR(IF(T_SV_MEDALS[[#This Row],[SV_TOTAL]]=0,"",RANK(T_SV_MEDALS[[#This Row],[SV_RANK VALUE]],T_SV_MEDALS[SV_RANK VALUE])+COUNTIF($O$2:O181,O182)),"")</f>
        <v/>
      </c>
      <c r="Q182" s="3" t="str">
        <f>IFERROR(T_SV_MEDALS[[#This Row],[SV_TOTAL]]/T_SV_MEDALS[[#This Row],[TOTAL]],"")</f>
        <v/>
      </c>
      <c r="R182" s="3" t="str">
        <f>IFERROR(IF(T_SV_MEDALS[[#This Row],[SV_TOTAL]]=0,"",RANK(T_SV_MEDALS[[#This Row],[Dependency - Rank Value]],T_SV_MEDALS[Dependency - Rank Value])+COUNTIF($Q$2:Q181,Q182)),"")</f>
        <v/>
      </c>
    </row>
    <row r="183" spans="1:18" x14ac:dyDescent="0.25">
      <c r="A183" t="s">
        <v>326</v>
      </c>
      <c r="B183" t="s">
        <v>327</v>
      </c>
      <c r="C183" s="3">
        <f>IF(I_VIEW=2,"",COUNTIFS(T_2016_EVENT_RESULTS[Gold - Country],T_SV_MEDALS[[#This Row],[COUNTRY ABBR]])+COUNTIFS(T_2016_EVENT_RESULTS[Gold - Country - 2],T_SV_MEDALS[[#This Row],[COUNTRY ABBR]]))</f>
        <v>0</v>
      </c>
      <c r="D183" s="3">
        <f>IF(I_VIEW=2,"",COUNTIFS(T_2016_EVENT_RESULTS[Silver - Country],T_SV_MEDALS[[#This Row],[COUNTRY ABBR]])+COUNTIFS(T_2016_EVENT_RESULTS[Silver - Country - 2],T_SV_MEDALS[[#This Row],[COUNTRY ABBR]])+COUNTIFS(T_2016_EVENT_RESULTS[Silver - Country - 3],T_SV_MEDALS[[#This Row],[COUNTRY ABBR]]))</f>
        <v>0</v>
      </c>
      <c r="E183" s="3">
        <f>IF(I_VIEW=2,"",COUNTIFS(T_2016_EVENT_RESULTS[Bronze - Country],T_SV_MEDALS[[#This Row],[COUNTRY ABBR]])+COUNTIFS(T_2016_EVENT_RESULTS[Bronze - Country - 2],T_SV_MEDALS[[#This Row],[COUNTRY ABBR]]))</f>
        <v>0</v>
      </c>
      <c r="F183" s="3">
        <f>SUM(T_SV_MEDALS[[#This Row],[GOLD]:[BRONZE]])</f>
        <v>0</v>
      </c>
      <c r="G183" s="3" t="str">
        <f>IF(T_SV_MEDALS[[#This Row],[TOTAL]]=0,"",IF(I_RANK_METHOD="TOTAL",(T_SV_MEDALS[[#This Row],[TOTAL]]*10000000),0)+(T_SV_MEDALS[[#This Row],[GOLD]]*100000)+(T_SV_MEDALS[[#This Row],[SILVER]]*1000)+(T_SV_MEDALS[[#This Row],[BRONZE]]*10))</f>
        <v/>
      </c>
      <c r="H183" s="3" t="str">
        <f>IFERROR(IF(T_SV_MEDALS[[#This Row],[TOTAL]]=0,"",RANK(T_SV_MEDALS[[#This Row],[RANK VALUE]],T_SV_MEDALS[RANK VALUE])),"")</f>
        <v/>
      </c>
      <c r="I183" s="3" t="str">
        <f>IFERROR(IF(T_SV_MEDALS[[#This Row],[TOTAL]]=0,"",RANK(T_SV_MEDALS[[#This Row],[RANK VALUE]],T_SV_MEDALS[RANK VALUE])+COUNTIF($H$2:H182,H183)),"")</f>
        <v/>
      </c>
      <c r="J183" s="3" t="str">
        <f>IF(I_VIEW=3, COUNTIFS(T_2016_EVENT_RESULTS[SPORT],I_SV_SPORT,T_2016_EVENT_RESULTS[Gold - Country],T_SV_MEDALS[[#This Row],[COUNTRY ABBR]])+COUNTIFS(T_2016_EVENT_RESULTS[SPORT],I_SV_SPORT,T_2016_EVENT_RESULTS[Gold - Country - 2],T_SV_MEDALS[[#This Row],[COUNTRY ABBR]]),"")</f>
        <v/>
      </c>
      <c r="K183" s="3" t="str">
        <f>IF(I_VIEW=3, COUNTIFS(T_2016_EVENT_RESULTS[SPORT],I_SV_SPORT,T_2016_EVENT_RESULTS[Silver - Country],T_SV_MEDALS[[#This Row],[COUNTRY ABBR]])+COUNTIFS(T_2016_EVENT_RESULTS[SPORT],I_SV_SPORT,T_2016_EVENT_RESULTS[Silver - Country - 2],T_SV_MEDALS[[#This Row],[COUNTRY ABBR]])+COUNTIFS(T_2016_EVENT_RESULTS[SPORT],I_SV_SPORT,T_2016_EVENT_RESULTS[Silver - Country - 3],T_SV_MEDALS[[#This Row],[COUNTRY ABBR]]),"")</f>
        <v/>
      </c>
      <c r="L183" s="3" t="str">
        <f>IF(I_VIEW=3, COUNTIFS(T_2016_EVENT_RESULTS[SPORT],I_SV_SPORT,T_2016_EVENT_RESULTS[Bronze - Country],T_SV_MEDALS[[#This Row],[COUNTRY ABBR]])+COUNTIFS(T_2016_EVENT_RESULTS[SPORT],I_SV_SPORT,T_2016_EVENT_RESULTS[Bronze - Country - 2],T_SV_MEDALS[[#This Row],[COUNTRY ABBR]]),"")</f>
        <v/>
      </c>
      <c r="M183" s="3">
        <f>SUM(T_SV_MEDALS[[#This Row],[SV_GOLD]:[SV_BRONZE]])</f>
        <v>0</v>
      </c>
      <c r="N183" s="3" t="str">
        <f>IF(T_SV_MEDALS[[#This Row],[SV_TOTAL]]=0,"",IF(I_RANK_METHOD="TOTAL",(T_SV_MEDALS[[#This Row],[SV_TOTAL]]*10000000),0)+(T_SV_MEDALS[[#This Row],[SV_GOLD]]*100000)+(T_SV_MEDALS[[#This Row],[SV_SILVER]]*1000)+(T_SV_MEDALS[[#This Row],[SV_BRONZE]]*10))</f>
        <v/>
      </c>
      <c r="O183" s="3" t="str">
        <f>IFERROR(IF(T_SV_MEDALS[[#This Row],[SV_TOTAL]]=0,"",RANK(T_SV_MEDALS[[#This Row],[SV_RANK VALUE]],T_SV_MEDALS[SV_RANK VALUE])),"")</f>
        <v/>
      </c>
      <c r="P183" s="3" t="str">
        <f>IFERROR(IF(T_SV_MEDALS[[#This Row],[SV_TOTAL]]=0,"",RANK(T_SV_MEDALS[[#This Row],[SV_RANK VALUE]],T_SV_MEDALS[SV_RANK VALUE])+COUNTIF($O$2:O182,O183)),"")</f>
        <v/>
      </c>
      <c r="Q183" s="3" t="str">
        <f>IFERROR(T_SV_MEDALS[[#This Row],[SV_TOTAL]]/T_SV_MEDALS[[#This Row],[TOTAL]],"")</f>
        <v/>
      </c>
      <c r="R183" s="3" t="str">
        <f>IFERROR(IF(T_SV_MEDALS[[#This Row],[SV_TOTAL]]=0,"",RANK(T_SV_MEDALS[[#This Row],[Dependency - Rank Value]],T_SV_MEDALS[Dependency - Rank Value])+COUNTIF($Q$2:Q182,Q183)),"")</f>
        <v/>
      </c>
    </row>
    <row r="184" spans="1:18" x14ac:dyDescent="0.25">
      <c r="A184" t="s">
        <v>328</v>
      </c>
      <c r="B184" t="s">
        <v>329</v>
      </c>
      <c r="C184" s="3">
        <f>IF(I_VIEW=2,"",COUNTIFS(T_2016_EVENT_RESULTS[Gold - Country],T_SV_MEDALS[[#This Row],[COUNTRY ABBR]])+COUNTIFS(T_2016_EVENT_RESULTS[Gold - Country - 2],T_SV_MEDALS[[#This Row],[COUNTRY ABBR]]))</f>
        <v>0</v>
      </c>
      <c r="D184" s="3">
        <f>IF(I_VIEW=2,"",COUNTIFS(T_2016_EVENT_RESULTS[Silver - Country],T_SV_MEDALS[[#This Row],[COUNTRY ABBR]])+COUNTIFS(T_2016_EVENT_RESULTS[Silver - Country - 2],T_SV_MEDALS[[#This Row],[COUNTRY ABBR]])+COUNTIFS(T_2016_EVENT_RESULTS[Silver - Country - 3],T_SV_MEDALS[[#This Row],[COUNTRY ABBR]]))</f>
        <v>0</v>
      </c>
      <c r="E184" s="3">
        <f>IF(I_VIEW=2,"",COUNTIFS(T_2016_EVENT_RESULTS[Bronze - Country],T_SV_MEDALS[[#This Row],[COUNTRY ABBR]])+COUNTIFS(T_2016_EVENT_RESULTS[Bronze - Country - 2],T_SV_MEDALS[[#This Row],[COUNTRY ABBR]]))</f>
        <v>0</v>
      </c>
      <c r="F184" s="3">
        <f>SUM(T_SV_MEDALS[[#This Row],[GOLD]:[BRONZE]])</f>
        <v>0</v>
      </c>
      <c r="G184" s="3" t="str">
        <f>IF(T_SV_MEDALS[[#This Row],[TOTAL]]=0,"",IF(I_RANK_METHOD="TOTAL",(T_SV_MEDALS[[#This Row],[TOTAL]]*10000000),0)+(T_SV_MEDALS[[#This Row],[GOLD]]*100000)+(T_SV_MEDALS[[#This Row],[SILVER]]*1000)+(T_SV_MEDALS[[#This Row],[BRONZE]]*10))</f>
        <v/>
      </c>
      <c r="H184" s="3" t="str">
        <f>IFERROR(IF(T_SV_MEDALS[[#This Row],[TOTAL]]=0,"",RANK(T_SV_MEDALS[[#This Row],[RANK VALUE]],T_SV_MEDALS[RANK VALUE])),"")</f>
        <v/>
      </c>
      <c r="I184" s="3" t="str">
        <f>IFERROR(IF(T_SV_MEDALS[[#This Row],[TOTAL]]=0,"",RANK(T_SV_MEDALS[[#This Row],[RANK VALUE]],T_SV_MEDALS[RANK VALUE])+COUNTIF($H$2:H183,H184)),"")</f>
        <v/>
      </c>
      <c r="J184" s="3" t="str">
        <f>IF(I_VIEW=3, COUNTIFS(T_2016_EVENT_RESULTS[SPORT],I_SV_SPORT,T_2016_EVENT_RESULTS[Gold - Country],T_SV_MEDALS[[#This Row],[COUNTRY ABBR]])+COUNTIFS(T_2016_EVENT_RESULTS[SPORT],I_SV_SPORT,T_2016_EVENT_RESULTS[Gold - Country - 2],T_SV_MEDALS[[#This Row],[COUNTRY ABBR]]),"")</f>
        <v/>
      </c>
      <c r="K184" s="3" t="str">
        <f>IF(I_VIEW=3, COUNTIFS(T_2016_EVENT_RESULTS[SPORT],I_SV_SPORT,T_2016_EVENT_RESULTS[Silver - Country],T_SV_MEDALS[[#This Row],[COUNTRY ABBR]])+COUNTIFS(T_2016_EVENT_RESULTS[SPORT],I_SV_SPORT,T_2016_EVENT_RESULTS[Silver - Country - 2],T_SV_MEDALS[[#This Row],[COUNTRY ABBR]])+COUNTIFS(T_2016_EVENT_RESULTS[SPORT],I_SV_SPORT,T_2016_EVENT_RESULTS[Silver - Country - 3],T_SV_MEDALS[[#This Row],[COUNTRY ABBR]]),"")</f>
        <v/>
      </c>
      <c r="L184" s="3" t="str">
        <f>IF(I_VIEW=3, COUNTIFS(T_2016_EVENT_RESULTS[SPORT],I_SV_SPORT,T_2016_EVENT_RESULTS[Bronze - Country],T_SV_MEDALS[[#This Row],[COUNTRY ABBR]])+COUNTIFS(T_2016_EVENT_RESULTS[SPORT],I_SV_SPORT,T_2016_EVENT_RESULTS[Bronze - Country - 2],T_SV_MEDALS[[#This Row],[COUNTRY ABBR]]),"")</f>
        <v/>
      </c>
      <c r="M184" s="3">
        <f>SUM(T_SV_MEDALS[[#This Row],[SV_GOLD]:[SV_BRONZE]])</f>
        <v>0</v>
      </c>
      <c r="N184" s="3" t="str">
        <f>IF(T_SV_MEDALS[[#This Row],[SV_TOTAL]]=0,"",IF(I_RANK_METHOD="TOTAL",(T_SV_MEDALS[[#This Row],[SV_TOTAL]]*10000000),0)+(T_SV_MEDALS[[#This Row],[SV_GOLD]]*100000)+(T_SV_MEDALS[[#This Row],[SV_SILVER]]*1000)+(T_SV_MEDALS[[#This Row],[SV_BRONZE]]*10))</f>
        <v/>
      </c>
      <c r="O184" s="3" t="str">
        <f>IFERROR(IF(T_SV_MEDALS[[#This Row],[SV_TOTAL]]=0,"",RANK(T_SV_MEDALS[[#This Row],[SV_RANK VALUE]],T_SV_MEDALS[SV_RANK VALUE])),"")</f>
        <v/>
      </c>
      <c r="P184" s="3" t="str">
        <f>IFERROR(IF(T_SV_MEDALS[[#This Row],[SV_TOTAL]]=0,"",RANK(T_SV_MEDALS[[#This Row],[SV_RANK VALUE]],T_SV_MEDALS[SV_RANK VALUE])+COUNTIF($O$2:O183,O184)),"")</f>
        <v/>
      </c>
      <c r="Q184" s="3" t="str">
        <f>IFERROR(T_SV_MEDALS[[#This Row],[SV_TOTAL]]/T_SV_MEDALS[[#This Row],[TOTAL]],"")</f>
        <v/>
      </c>
      <c r="R184" s="3" t="str">
        <f>IFERROR(IF(T_SV_MEDALS[[#This Row],[SV_TOTAL]]=0,"",RANK(T_SV_MEDALS[[#This Row],[Dependency - Rank Value]],T_SV_MEDALS[Dependency - Rank Value])+COUNTIF($Q$2:Q183,Q184)),"")</f>
        <v/>
      </c>
    </row>
    <row r="185" spans="1:18" x14ac:dyDescent="0.25">
      <c r="A185" t="s">
        <v>330</v>
      </c>
      <c r="B185" t="s">
        <v>331</v>
      </c>
      <c r="C185" s="3">
        <f>IF(I_VIEW=2,"",COUNTIFS(T_2016_EVENT_RESULTS[Gold - Country],T_SV_MEDALS[[#This Row],[COUNTRY ABBR]])+COUNTIFS(T_2016_EVENT_RESULTS[Gold - Country - 2],T_SV_MEDALS[[#This Row],[COUNTRY ABBR]]))</f>
        <v>2</v>
      </c>
      <c r="D185" s="3">
        <f>IF(I_VIEW=2,"",COUNTIFS(T_2016_EVENT_RESULTS[Silver - Country],T_SV_MEDALS[[#This Row],[COUNTRY ABBR]])+COUNTIFS(T_2016_EVENT_RESULTS[Silver - Country - 2],T_SV_MEDALS[[#This Row],[COUNTRY ABBR]])+COUNTIFS(T_2016_EVENT_RESULTS[Silver - Country - 3],T_SV_MEDALS[[#This Row],[COUNTRY ABBR]]))</f>
        <v>6</v>
      </c>
      <c r="E185" s="3">
        <f>IF(I_VIEW=2,"",COUNTIFS(T_2016_EVENT_RESULTS[Bronze - Country],T_SV_MEDALS[[#This Row],[COUNTRY ABBR]])+COUNTIFS(T_2016_EVENT_RESULTS[Bronze - Country - 2],T_SV_MEDALS[[#This Row],[COUNTRY ABBR]]))</f>
        <v>3</v>
      </c>
      <c r="F185" s="3">
        <f>SUM(T_SV_MEDALS[[#This Row],[GOLD]:[BRONZE]])</f>
        <v>11</v>
      </c>
      <c r="G185" s="3">
        <f>IF(T_SV_MEDALS[[#This Row],[TOTAL]]=0,"",IF(I_RANK_METHOD="TOTAL",(T_SV_MEDALS[[#This Row],[TOTAL]]*10000000),0)+(T_SV_MEDALS[[#This Row],[GOLD]]*100000)+(T_SV_MEDALS[[#This Row],[SILVER]]*1000)+(T_SV_MEDALS[[#This Row],[BRONZE]]*10))</f>
        <v>110206030</v>
      </c>
      <c r="H185" s="3">
        <f>IFERROR(IF(T_SV_MEDALS[[#This Row],[TOTAL]]=0,"",RANK(T_SV_MEDALS[[#This Row],[RANK VALUE]],T_SV_MEDALS[RANK VALUE])),"")</f>
        <v>24</v>
      </c>
      <c r="I185" s="3">
        <f>IFERROR(IF(T_SV_MEDALS[[#This Row],[TOTAL]]=0,"",RANK(T_SV_MEDALS[[#This Row],[RANK VALUE]],T_SV_MEDALS[RANK VALUE])+COUNTIF($H$2:H184,H185)),"")</f>
        <v>24</v>
      </c>
      <c r="J185" s="3" t="str">
        <f>IF(I_VIEW=3, COUNTIFS(T_2016_EVENT_RESULTS[SPORT],I_SV_SPORT,T_2016_EVENT_RESULTS[Gold - Country],T_SV_MEDALS[[#This Row],[COUNTRY ABBR]])+COUNTIFS(T_2016_EVENT_RESULTS[SPORT],I_SV_SPORT,T_2016_EVENT_RESULTS[Gold - Country - 2],T_SV_MEDALS[[#This Row],[COUNTRY ABBR]]),"")</f>
        <v/>
      </c>
      <c r="K185" s="3" t="str">
        <f>IF(I_VIEW=3, COUNTIFS(T_2016_EVENT_RESULTS[SPORT],I_SV_SPORT,T_2016_EVENT_RESULTS[Silver - Country],T_SV_MEDALS[[#This Row],[COUNTRY ABBR]])+COUNTIFS(T_2016_EVENT_RESULTS[SPORT],I_SV_SPORT,T_2016_EVENT_RESULTS[Silver - Country - 2],T_SV_MEDALS[[#This Row],[COUNTRY ABBR]])+COUNTIFS(T_2016_EVENT_RESULTS[SPORT],I_SV_SPORT,T_2016_EVENT_RESULTS[Silver - Country - 3],T_SV_MEDALS[[#This Row],[COUNTRY ABBR]]),"")</f>
        <v/>
      </c>
      <c r="L185" s="3" t="str">
        <f>IF(I_VIEW=3, COUNTIFS(T_2016_EVENT_RESULTS[SPORT],I_SV_SPORT,T_2016_EVENT_RESULTS[Bronze - Country],T_SV_MEDALS[[#This Row],[COUNTRY ABBR]])+COUNTIFS(T_2016_EVENT_RESULTS[SPORT],I_SV_SPORT,T_2016_EVENT_RESULTS[Bronze - Country - 2],T_SV_MEDALS[[#This Row],[COUNTRY ABBR]]),"")</f>
        <v/>
      </c>
      <c r="M185" s="3">
        <f>SUM(T_SV_MEDALS[[#This Row],[SV_GOLD]:[SV_BRONZE]])</f>
        <v>0</v>
      </c>
      <c r="N185" s="3" t="str">
        <f>IF(T_SV_MEDALS[[#This Row],[SV_TOTAL]]=0,"",IF(I_RANK_METHOD="TOTAL",(T_SV_MEDALS[[#This Row],[SV_TOTAL]]*10000000),0)+(T_SV_MEDALS[[#This Row],[SV_GOLD]]*100000)+(T_SV_MEDALS[[#This Row],[SV_SILVER]]*1000)+(T_SV_MEDALS[[#This Row],[SV_BRONZE]]*10))</f>
        <v/>
      </c>
      <c r="O185" s="3" t="str">
        <f>IFERROR(IF(T_SV_MEDALS[[#This Row],[SV_TOTAL]]=0,"",RANK(T_SV_MEDALS[[#This Row],[SV_RANK VALUE]],T_SV_MEDALS[SV_RANK VALUE])),"")</f>
        <v/>
      </c>
      <c r="P185" s="3" t="str">
        <f>IFERROR(IF(T_SV_MEDALS[[#This Row],[SV_TOTAL]]=0,"",RANK(T_SV_MEDALS[[#This Row],[SV_RANK VALUE]],T_SV_MEDALS[SV_RANK VALUE])+COUNTIF($O$2:O184,O185)),"")</f>
        <v/>
      </c>
      <c r="Q185" s="3">
        <f>IFERROR(T_SV_MEDALS[[#This Row],[SV_TOTAL]]/T_SV_MEDALS[[#This Row],[TOTAL]],"")</f>
        <v>0</v>
      </c>
      <c r="R185" s="3" t="str">
        <f>IFERROR(IF(T_SV_MEDALS[[#This Row],[SV_TOTAL]]=0,"",RANK(T_SV_MEDALS[[#This Row],[Dependency - Rank Value]],T_SV_MEDALS[Dependency - Rank Value])+COUNTIF($Q$2:Q184,Q185)),"")</f>
        <v/>
      </c>
    </row>
    <row r="186" spans="1:18" x14ac:dyDescent="0.25">
      <c r="A186" t="s">
        <v>332</v>
      </c>
      <c r="B186" t="s">
        <v>333</v>
      </c>
      <c r="C186" s="3">
        <f>IF(I_VIEW=2,"",COUNTIFS(T_2016_EVENT_RESULTS[Gold - Country],T_SV_MEDALS[[#This Row],[COUNTRY ABBR]])+COUNTIFS(T_2016_EVENT_RESULTS[Gold - Country - 2],T_SV_MEDALS[[#This Row],[COUNTRY ABBR]]))</f>
        <v>3</v>
      </c>
      <c r="D186" s="3">
        <f>IF(I_VIEW=2,"",COUNTIFS(T_2016_EVENT_RESULTS[Silver - Country],T_SV_MEDALS[[#This Row],[COUNTRY ABBR]])+COUNTIFS(T_2016_EVENT_RESULTS[Silver - Country - 2],T_SV_MEDALS[[#This Row],[COUNTRY ABBR]])+COUNTIFS(T_2016_EVENT_RESULTS[Silver - Country - 3],T_SV_MEDALS[[#This Row],[COUNTRY ABBR]]))</f>
        <v>2</v>
      </c>
      <c r="E186" s="3">
        <f>IF(I_VIEW=2,"",COUNTIFS(T_2016_EVENT_RESULTS[Bronze - Country],T_SV_MEDALS[[#This Row],[COUNTRY ABBR]])+COUNTIFS(T_2016_EVENT_RESULTS[Bronze - Country - 2],T_SV_MEDALS[[#This Row],[COUNTRY ABBR]]))</f>
        <v>2</v>
      </c>
      <c r="F186" s="3">
        <f>SUM(T_SV_MEDALS[[#This Row],[GOLD]:[BRONZE]])</f>
        <v>7</v>
      </c>
      <c r="G186" s="3">
        <f>IF(T_SV_MEDALS[[#This Row],[TOTAL]]=0,"",IF(I_RANK_METHOD="TOTAL",(T_SV_MEDALS[[#This Row],[TOTAL]]*10000000),0)+(T_SV_MEDALS[[#This Row],[GOLD]]*100000)+(T_SV_MEDALS[[#This Row],[SILVER]]*1000)+(T_SV_MEDALS[[#This Row],[BRONZE]]*10))</f>
        <v>70302020</v>
      </c>
      <c r="H186" s="3">
        <f>IFERROR(IF(T_SV_MEDALS[[#This Row],[TOTAL]]=0,"",RANK(T_SV_MEDALS[[#This Row],[RANK VALUE]],T_SV_MEDALS[RANK VALUE])),"")</f>
        <v>36</v>
      </c>
      <c r="I186" s="3">
        <f>IFERROR(IF(T_SV_MEDALS[[#This Row],[TOTAL]]=0,"",RANK(T_SV_MEDALS[[#This Row],[RANK VALUE]],T_SV_MEDALS[RANK VALUE])+COUNTIF($H$2:H185,H186)),"")</f>
        <v>36</v>
      </c>
      <c r="J186" s="3" t="str">
        <f>IF(I_VIEW=3, COUNTIFS(T_2016_EVENT_RESULTS[SPORT],I_SV_SPORT,T_2016_EVENT_RESULTS[Gold - Country],T_SV_MEDALS[[#This Row],[COUNTRY ABBR]])+COUNTIFS(T_2016_EVENT_RESULTS[SPORT],I_SV_SPORT,T_2016_EVENT_RESULTS[Gold - Country - 2],T_SV_MEDALS[[#This Row],[COUNTRY ABBR]]),"")</f>
        <v/>
      </c>
      <c r="K186" s="3" t="str">
        <f>IF(I_VIEW=3, COUNTIFS(T_2016_EVENT_RESULTS[SPORT],I_SV_SPORT,T_2016_EVENT_RESULTS[Silver - Country],T_SV_MEDALS[[#This Row],[COUNTRY ABBR]])+COUNTIFS(T_2016_EVENT_RESULTS[SPORT],I_SV_SPORT,T_2016_EVENT_RESULTS[Silver - Country - 2],T_SV_MEDALS[[#This Row],[COUNTRY ABBR]])+COUNTIFS(T_2016_EVENT_RESULTS[SPORT],I_SV_SPORT,T_2016_EVENT_RESULTS[Silver - Country - 3],T_SV_MEDALS[[#This Row],[COUNTRY ABBR]]),"")</f>
        <v/>
      </c>
      <c r="L186" s="3" t="str">
        <f>IF(I_VIEW=3, COUNTIFS(T_2016_EVENT_RESULTS[SPORT],I_SV_SPORT,T_2016_EVENT_RESULTS[Bronze - Country],T_SV_MEDALS[[#This Row],[COUNTRY ABBR]])+COUNTIFS(T_2016_EVENT_RESULTS[SPORT],I_SV_SPORT,T_2016_EVENT_RESULTS[Bronze - Country - 2],T_SV_MEDALS[[#This Row],[COUNTRY ABBR]]),"")</f>
        <v/>
      </c>
      <c r="M186" s="3">
        <f>SUM(T_SV_MEDALS[[#This Row],[SV_GOLD]:[SV_BRONZE]])</f>
        <v>0</v>
      </c>
      <c r="N186" s="3" t="str">
        <f>IF(T_SV_MEDALS[[#This Row],[SV_TOTAL]]=0,"",IF(I_RANK_METHOD="TOTAL",(T_SV_MEDALS[[#This Row],[SV_TOTAL]]*10000000),0)+(T_SV_MEDALS[[#This Row],[SV_GOLD]]*100000)+(T_SV_MEDALS[[#This Row],[SV_SILVER]]*1000)+(T_SV_MEDALS[[#This Row],[SV_BRONZE]]*10))</f>
        <v/>
      </c>
      <c r="O186" s="3" t="str">
        <f>IFERROR(IF(T_SV_MEDALS[[#This Row],[SV_TOTAL]]=0,"",RANK(T_SV_MEDALS[[#This Row],[SV_RANK VALUE]],T_SV_MEDALS[SV_RANK VALUE])),"")</f>
        <v/>
      </c>
      <c r="P186" s="3" t="str">
        <f>IFERROR(IF(T_SV_MEDALS[[#This Row],[SV_TOTAL]]=0,"",RANK(T_SV_MEDALS[[#This Row],[SV_RANK VALUE]],T_SV_MEDALS[SV_RANK VALUE])+COUNTIF($O$2:O185,O186)),"")</f>
        <v/>
      </c>
      <c r="Q186" s="3">
        <f>IFERROR(T_SV_MEDALS[[#This Row],[SV_TOTAL]]/T_SV_MEDALS[[#This Row],[TOTAL]],"")</f>
        <v>0</v>
      </c>
      <c r="R186" s="3" t="str">
        <f>IFERROR(IF(T_SV_MEDALS[[#This Row],[SV_TOTAL]]=0,"",RANK(T_SV_MEDALS[[#This Row],[Dependency - Rank Value]],T_SV_MEDALS[Dependency - Rank Value])+COUNTIF($Q$2:Q185,Q186)),"")</f>
        <v/>
      </c>
    </row>
    <row r="187" spans="1:18" x14ac:dyDescent="0.25">
      <c r="A187" t="s">
        <v>334</v>
      </c>
      <c r="B187" t="s">
        <v>335</v>
      </c>
      <c r="C187" s="3">
        <f>IF(I_VIEW=2,"",COUNTIFS(T_2016_EVENT_RESULTS[Gold - Country],T_SV_MEDALS[[#This Row],[COUNTRY ABBR]])+COUNTIFS(T_2016_EVENT_RESULTS[Gold - Country - 2],T_SV_MEDALS[[#This Row],[COUNTRY ABBR]]))</f>
        <v>0</v>
      </c>
      <c r="D187" s="3">
        <f>IF(I_VIEW=2,"",COUNTIFS(T_2016_EVENT_RESULTS[Silver - Country],T_SV_MEDALS[[#This Row],[COUNTRY ABBR]])+COUNTIFS(T_2016_EVENT_RESULTS[Silver - Country - 2],T_SV_MEDALS[[#This Row],[COUNTRY ABBR]])+COUNTIFS(T_2016_EVENT_RESULTS[Silver - Country - 3],T_SV_MEDALS[[#This Row],[COUNTRY ABBR]]))</f>
        <v>0</v>
      </c>
      <c r="E187" s="3">
        <f>IF(I_VIEW=2,"",COUNTIFS(T_2016_EVENT_RESULTS[Bronze - Country],T_SV_MEDALS[[#This Row],[COUNTRY ABBR]])+COUNTIFS(T_2016_EVENT_RESULTS[Bronze - Country - 2],T_SV_MEDALS[[#This Row],[COUNTRY ABBR]]))</f>
        <v>0</v>
      </c>
      <c r="F187" s="3">
        <f>SUM(T_SV_MEDALS[[#This Row],[GOLD]:[BRONZE]])</f>
        <v>0</v>
      </c>
      <c r="G187" s="3" t="str">
        <f>IF(T_SV_MEDALS[[#This Row],[TOTAL]]=0,"",IF(I_RANK_METHOD="TOTAL",(T_SV_MEDALS[[#This Row],[TOTAL]]*10000000),0)+(T_SV_MEDALS[[#This Row],[GOLD]]*100000)+(T_SV_MEDALS[[#This Row],[SILVER]]*1000)+(T_SV_MEDALS[[#This Row],[BRONZE]]*10))</f>
        <v/>
      </c>
      <c r="H187" s="3" t="str">
        <f>IFERROR(IF(T_SV_MEDALS[[#This Row],[TOTAL]]=0,"",RANK(T_SV_MEDALS[[#This Row],[RANK VALUE]],T_SV_MEDALS[RANK VALUE])),"")</f>
        <v/>
      </c>
      <c r="I187" s="3" t="str">
        <f>IFERROR(IF(T_SV_MEDALS[[#This Row],[TOTAL]]=0,"",RANK(T_SV_MEDALS[[#This Row],[RANK VALUE]],T_SV_MEDALS[RANK VALUE])+COUNTIF($H$2:H186,H187)),"")</f>
        <v/>
      </c>
      <c r="J187" s="3" t="str">
        <f>IF(I_VIEW=3, COUNTIFS(T_2016_EVENT_RESULTS[SPORT],I_SV_SPORT,T_2016_EVENT_RESULTS[Gold - Country],T_SV_MEDALS[[#This Row],[COUNTRY ABBR]])+COUNTIFS(T_2016_EVENT_RESULTS[SPORT],I_SV_SPORT,T_2016_EVENT_RESULTS[Gold - Country - 2],T_SV_MEDALS[[#This Row],[COUNTRY ABBR]]),"")</f>
        <v/>
      </c>
      <c r="K187" s="3" t="str">
        <f>IF(I_VIEW=3, COUNTIFS(T_2016_EVENT_RESULTS[SPORT],I_SV_SPORT,T_2016_EVENT_RESULTS[Silver - Country],T_SV_MEDALS[[#This Row],[COUNTRY ABBR]])+COUNTIFS(T_2016_EVENT_RESULTS[SPORT],I_SV_SPORT,T_2016_EVENT_RESULTS[Silver - Country - 2],T_SV_MEDALS[[#This Row],[COUNTRY ABBR]])+COUNTIFS(T_2016_EVENT_RESULTS[SPORT],I_SV_SPORT,T_2016_EVENT_RESULTS[Silver - Country - 3],T_SV_MEDALS[[#This Row],[COUNTRY ABBR]]),"")</f>
        <v/>
      </c>
      <c r="L187" s="3" t="str">
        <f>IF(I_VIEW=3, COUNTIFS(T_2016_EVENT_RESULTS[SPORT],I_SV_SPORT,T_2016_EVENT_RESULTS[Bronze - Country],T_SV_MEDALS[[#This Row],[COUNTRY ABBR]])+COUNTIFS(T_2016_EVENT_RESULTS[SPORT],I_SV_SPORT,T_2016_EVENT_RESULTS[Bronze - Country - 2],T_SV_MEDALS[[#This Row],[COUNTRY ABBR]]),"")</f>
        <v/>
      </c>
      <c r="M187" s="3">
        <f>SUM(T_SV_MEDALS[[#This Row],[SV_GOLD]:[SV_BRONZE]])</f>
        <v>0</v>
      </c>
      <c r="N187" s="3" t="str">
        <f>IF(T_SV_MEDALS[[#This Row],[SV_TOTAL]]=0,"",IF(I_RANK_METHOD="TOTAL",(T_SV_MEDALS[[#This Row],[SV_TOTAL]]*10000000),0)+(T_SV_MEDALS[[#This Row],[SV_GOLD]]*100000)+(T_SV_MEDALS[[#This Row],[SV_SILVER]]*1000)+(T_SV_MEDALS[[#This Row],[SV_BRONZE]]*10))</f>
        <v/>
      </c>
      <c r="O187" s="3" t="str">
        <f>IFERROR(IF(T_SV_MEDALS[[#This Row],[SV_TOTAL]]=0,"",RANK(T_SV_MEDALS[[#This Row],[SV_RANK VALUE]],T_SV_MEDALS[SV_RANK VALUE])),"")</f>
        <v/>
      </c>
      <c r="P187" s="3" t="str">
        <f>IFERROR(IF(T_SV_MEDALS[[#This Row],[SV_TOTAL]]=0,"",RANK(T_SV_MEDALS[[#This Row],[SV_RANK VALUE]],T_SV_MEDALS[SV_RANK VALUE])+COUNTIF($O$2:O186,O187)),"")</f>
        <v/>
      </c>
      <c r="Q187" s="3" t="str">
        <f>IFERROR(T_SV_MEDALS[[#This Row],[SV_TOTAL]]/T_SV_MEDALS[[#This Row],[TOTAL]],"")</f>
        <v/>
      </c>
      <c r="R187" s="3" t="str">
        <f>IFERROR(IF(T_SV_MEDALS[[#This Row],[SV_TOTAL]]=0,"",RANK(T_SV_MEDALS[[#This Row],[Dependency - Rank Value]],T_SV_MEDALS[Dependency - Rank Value])+COUNTIF($Q$2:Q186,Q187)),"")</f>
        <v/>
      </c>
    </row>
    <row r="188" spans="1:18" x14ac:dyDescent="0.25">
      <c r="A188" t="s">
        <v>338</v>
      </c>
      <c r="B188" t="s">
        <v>339</v>
      </c>
      <c r="C188" s="3">
        <f>IF(I_VIEW=2,"",COUNTIFS(T_2016_EVENT_RESULTS[Gold - Country],T_SV_MEDALS[[#This Row],[COUNTRY ABBR]])+COUNTIFS(T_2016_EVENT_RESULTS[Gold - Country - 2],T_SV_MEDALS[[#This Row],[COUNTRY ABBR]]))</f>
        <v>1</v>
      </c>
      <c r="D188" s="3">
        <f>IF(I_VIEW=2,"",COUNTIFS(T_2016_EVENT_RESULTS[Silver - Country],T_SV_MEDALS[[#This Row],[COUNTRY ABBR]])+COUNTIFS(T_2016_EVENT_RESULTS[Silver - Country - 2],T_SV_MEDALS[[#This Row],[COUNTRY ABBR]])+COUNTIFS(T_2016_EVENT_RESULTS[Silver - Country - 3],T_SV_MEDALS[[#This Row],[COUNTRY ABBR]]))</f>
        <v>0</v>
      </c>
      <c r="E188" s="3">
        <f>IF(I_VIEW=2,"",COUNTIFS(T_2016_EVENT_RESULTS[Bronze - Country],T_SV_MEDALS[[#This Row],[COUNTRY ABBR]])+COUNTIFS(T_2016_EVENT_RESULTS[Bronze - Country - 2],T_SV_MEDALS[[#This Row],[COUNTRY ABBR]]))</f>
        <v>0</v>
      </c>
      <c r="F188" s="3">
        <f>SUM(T_SV_MEDALS[[#This Row],[GOLD]:[BRONZE]])</f>
        <v>1</v>
      </c>
      <c r="G188" s="3">
        <f>IF(T_SV_MEDALS[[#This Row],[TOTAL]]=0,"",IF(I_RANK_METHOD="TOTAL",(T_SV_MEDALS[[#This Row],[TOTAL]]*10000000),0)+(T_SV_MEDALS[[#This Row],[GOLD]]*100000)+(T_SV_MEDALS[[#This Row],[SILVER]]*1000)+(T_SV_MEDALS[[#This Row],[BRONZE]]*10))</f>
        <v>10100000</v>
      </c>
      <c r="H188" s="3">
        <f>IFERROR(IF(T_SV_MEDALS[[#This Row],[TOTAL]]=0,"",RANK(T_SV_MEDALS[[#This Row],[RANK VALUE]],T_SV_MEDALS[RANK VALUE])),"")</f>
        <v>67</v>
      </c>
      <c r="I188" s="3">
        <f>IFERROR(IF(T_SV_MEDALS[[#This Row],[TOTAL]]=0,"",RANK(T_SV_MEDALS[[#This Row],[RANK VALUE]],T_SV_MEDALS[RANK VALUE])+COUNTIF($H$2:H187,H188)),"")</f>
        <v>72</v>
      </c>
      <c r="J188" s="3" t="str">
        <f>IF(I_VIEW=3, COUNTIFS(T_2016_EVENT_RESULTS[SPORT],I_SV_SPORT,T_2016_EVENT_RESULTS[Gold - Country],T_SV_MEDALS[[#This Row],[COUNTRY ABBR]])+COUNTIFS(T_2016_EVENT_RESULTS[SPORT],I_SV_SPORT,T_2016_EVENT_RESULTS[Gold - Country - 2],T_SV_MEDALS[[#This Row],[COUNTRY ABBR]]),"")</f>
        <v/>
      </c>
      <c r="K188" s="3" t="str">
        <f>IF(I_VIEW=3, COUNTIFS(T_2016_EVENT_RESULTS[SPORT],I_SV_SPORT,T_2016_EVENT_RESULTS[Silver - Country],T_SV_MEDALS[[#This Row],[COUNTRY ABBR]])+COUNTIFS(T_2016_EVENT_RESULTS[SPORT],I_SV_SPORT,T_2016_EVENT_RESULTS[Silver - Country - 2],T_SV_MEDALS[[#This Row],[COUNTRY ABBR]])+COUNTIFS(T_2016_EVENT_RESULTS[SPORT],I_SV_SPORT,T_2016_EVENT_RESULTS[Silver - Country - 3],T_SV_MEDALS[[#This Row],[COUNTRY ABBR]]),"")</f>
        <v/>
      </c>
      <c r="L188" s="3" t="str">
        <f>IF(I_VIEW=3, COUNTIFS(T_2016_EVENT_RESULTS[SPORT],I_SV_SPORT,T_2016_EVENT_RESULTS[Bronze - Country],T_SV_MEDALS[[#This Row],[COUNTRY ABBR]])+COUNTIFS(T_2016_EVENT_RESULTS[SPORT],I_SV_SPORT,T_2016_EVENT_RESULTS[Bronze - Country - 2],T_SV_MEDALS[[#This Row],[COUNTRY ABBR]]),"")</f>
        <v/>
      </c>
      <c r="M188" s="3">
        <f>SUM(T_SV_MEDALS[[#This Row],[SV_GOLD]:[SV_BRONZE]])</f>
        <v>0</v>
      </c>
      <c r="N188" s="3" t="str">
        <f>IF(T_SV_MEDALS[[#This Row],[SV_TOTAL]]=0,"",IF(I_RANK_METHOD="TOTAL",(T_SV_MEDALS[[#This Row],[SV_TOTAL]]*10000000),0)+(T_SV_MEDALS[[#This Row],[SV_GOLD]]*100000)+(T_SV_MEDALS[[#This Row],[SV_SILVER]]*1000)+(T_SV_MEDALS[[#This Row],[SV_BRONZE]]*10))</f>
        <v/>
      </c>
      <c r="O188" s="3" t="str">
        <f>IFERROR(IF(T_SV_MEDALS[[#This Row],[SV_TOTAL]]=0,"",RANK(T_SV_MEDALS[[#This Row],[SV_RANK VALUE]],T_SV_MEDALS[SV_RANK VALUE])),"")</f>
        <v/>
      </c>
      <c r="P188" s="3" t="str">
        <f>IFERROR(IF(T_SV_MEDALS[[#This Row],[SV_TOTAL]]=0,"",RANK(T_SV_MEDALS[[#This Row],[SV_RANK VALUE]],T_SV_MEDALS[SV_RANK VALUE])+COUNTIF($O$2:O187,O188)),"")</f>
        <v/>
      </c>
      <c r="Q188" s="3">
        <f>IFERROR(T_SV_MEDALS[[#This Row],[SV_TOTAL]]/T_SV_MEDALS[[#This Row],[TOTAL]],"")</f>
        <v>0</v>
      </c>
      <c r="R188" s="3" t="str">
        <f>IFERROR(IF(T_SV_MEDALS[[#This Row],[SV_TOTAL]]=0,"",RANK(T_SV_MEDALS[[#This Row],[Dependency - Rank Value]],T_SV_MEDALS[Dependency - Rank Value])+COUNTIF($Q$2:Q187,Q188)),"")</f>
        <v/>
      </c>
    </row>
    <row r="189" spans="1:18" x14ac:dyDescent="0.25">
      <c r="A189" t="s">
        <v>340</v>
      </c>
      <c r="B189" t="s">
        <v>341</v>
      </c>
      <c r="C189" s="3">
        <f>IF(I_VIEW=2,"",COUNTIFS(T_2016_EVENT_RESULTS[Gold - Country],T_SV_MEDALS[[#This Row],[COUNTRY ABBR]])+COUNTIFS(T_2016_EVENT_RESULTS[Gold - Country - 2],T_SV_MEDALS[[#This Row],[COUNTRY ABBR]]))</f>
        <v>0</v>
      </c>
      <c r="D189" s="3">
        <f>IF(I_VIEW=2,"",COUNTIFS(T_2016_EVENT_RESULTS[Silver - Country],T_SV_MEDALS[[#This Row],[COUNTRY ABBR]])+COUNTIFS(T_2016_EVENT_RESULTS[Silver - Country - 2],T_SV_MEDALS[[#This Row],[COUNTRY ABBR]])+COUNTIFS(T_2016_EVENT_RESULTS[Silver - Country - 3],T_SV_MEDALS[[#This Row],[COUNTRY ABBR]]))</f>
        <v>0</v>
      </c>
      <c r="E189" s="3">
        <f>IF(I_VIEW=2,"",COUNTIFS(T_2016_EVENT_RESULTS[Bronze - Country],T_SV_MEDALS[[#This Row],[COUNTRY ABBR]])+COUNTIFS(T_2016_EVENT_RESULTS[Bronze - Country - 2],T_SV_MEDALS[[#This Row],[COUNTRY ABBR]]))</f>
        <v>0</v>
      </c>
      <c r="F189" s="3">
        <f>SUM(T_SV_MEDALS[[#This Row],[GOLD]:[BRONZE]])</f>
        <v>0</v>
      </c>
      <c r="G189" s="3" t="str">
        <f>IF(T_SV_MEDALS[[#This Row],[TOTAL]]=0,"",IF(I_RANK_METHOD="TOTAL",(T_SV_MEDALS[[#This Row],[TOTAL]]*10000000),0)+(T_SV_MEDALS[[#This Row],[GOLD]]*100000)+(T_SV_MEDALS[[#This Row],[SILVER]]*1000)+(T_SV_MEDALS[[#This Row],[BRONZE]]*10))</f>
        <v/>
      </c>
      <c r="H189" s="3" t="str">
        <f>IFERROR(IF(T_SV_MEDALS[[#This Row],[TOTAL]]=0,"",RANK(T_SV_MEDALS[[#This Row],[RANK VALUE]],T_SV_MEDALS[RANK VALUE])),"")</f>
        <v/>
      </c>
      <c r="I189" s="3" t="str">
        <f>IFERROR(IF(T_SV_MEDALS[[#This Row],[TOTAL]]=0,"",RANK(T_SV_MEDALS[[#This Row],[RANK VALUE]],T_SV_MEDALS[RANK VALUE])+COUNTIF($H$2:H188,H189)),"")</f>
        <v/>
      </c>
      <c r="J189" s="3" t="str">
        <f>IF(I_VIEW=3, COUNTIFS(T_2016_EVENT_RESULTS[SPORT],I_SV_SPORT,T_2016_EVENT_RESULTS[Gold - Country],T_SV_MEDALS[[#This Row],[COUNTRY ABBR]])+COUNTIFS(T_2016_EVENT_RESULTS[SPORT],I_SV_SPORT,T_2016_EVENT_RESULTS[Gold - Country - 2],T_SV_MEDALS[[#This Row],[COUNTRY ABBR]]),"")</f>
        <v/>
      </c>
      <c r="K189" s="3" t="str">
        <f>IF(I_VIEW=3, COUNTIFS(T_2016_EVENT_RESULTS[SPORT],I_SV_SPORT,T_2016_EVENT_RESULTS[Silver - Country],T_SV_MEDALS[[#This Row],[COUNTRY ABBR]])+COUNTIFS(T_2016_EVENT_RESULTS[SPORT],I_SV_SPORT,T_2016_EVENT_RESULTS[Silver - Country - 2],T_SV_MEDALS[[#This Row],[COUNTRY ABBR]])+COUNTIFS(T_2016_EVENT_RESULTS[SPORT],I_SV_SPORT,T_2016_EVENT_RESULTS[Silver - Country - 3],T_SV_MEDALS[[#This Row],[COUNTRY ABBR]]),"")</f>
        <v/>
      </c>
      <c r="L189" s="3" t="str">
        <f>IF(I_VIEW=3, COUNTIFS(T_2016_EVENT_RESULTS[SPORT],I_SV_SPORT,T_2016_EVENT_RESULTS[Bronze - Country],T_SV_MEDALS[[#This Row],[COUNTRY ABBR]])+COUNTIFS(T_2016_EVENT_RESULTS[SPORT],I_SV_SPORT,T_2016_EVENT_RESULTS[Bronze - Country - 2],T_SV_MEDALS[[#This Row],[COUNTRY ABBR]]),"")</f>
        <v/>
      </c>
      <c r="M189" s="3">
        <f>SUM(T_SV_MEDALS[[#This Row],[SV_GOLD]:[SV_BRONZE]])</f>
        <v>0</v>
      </c>
      <c r="N189" s="3" t="str">
        <f>IF(T_SV_MEDALS[[#This Row],[SV_TOTAL]]=0,"",IF(I_RANK_METHOD="TOTAL",(T_SV_MEDALS[[#This Row],[SV_TOTAL]]*10000000),0)+(T_SV_MEDALS[[#This Row],[SV_GOLD]]*100000)+(T_SV_MEDALS[[#This Row],[SV_SILVER]]*1000)+(T_SV_MEDALS[[#This Row],[SV_BRONZE]]*10))</f>
        <v/>
      </c>
      <c r="O189" s="3" t="str">
        <f>IFERROR(IF(T_SV_MEDALS[[#This Row],[SV_TOTAL]]=0,"",RANK(T_SV_MEDALS[[#This Row],[SV_RANK VALUE]],T_SV_MEDALS[SV_RANK VALUE])),"")</f>
        <v/>
      </c>
      <c r="P189" s="3" t="str">
        <f>IFERROR(IF(T_SV_MEDALS[[#This Row],[SV_TOTAL]]=0,"",RANK(T_SV_MEDALS[[#This Row],[SV_RANK VALUE]],T_SV_MEDALS[SV_RANK VALUE])+COUNTIF($O$2:O188,O189)),"")</f>
        <v/>
      </c>
      <c r="Q189" s="3" t="str">
        <f>IFERROR(T_SV_MEDALS[[#This Row],[SV_TOTAL]]/T_SV_MEDALS[[#This Row],[TOTAL]],"")</f>
        <v/>
      </c>
      <c r="R189" s="3" t="str">
        <f>IFERROR(IF(T_SV_MEDALS[[#This Row],[SV_TOTAL]]=0,"",RANK(T_SV_MEDALS[[#This Row],[Dependency - Rank Value]],T_SV_MEDALS[Dependency - Rank Value])+COUNTIF($Q$2:Q188,Q189)),"")</f>
        <v/>
      </c>
    </row>
    <row r="190" spans="1:18" x14ac:dyDescent="0.25">
      <c r="A190" t="s">
        <v>342</v>
      </c>
      <c r="B190" t="s">
        <v>343</v>
      </c>
      <c r="C190" s="3">
        <f>IF(I_VIEW=2,"",COUNTIFS(T_2016_EVENT_RESULTS[Gold - Country],T_SV_MEDALS[[#This Row],[COUNTRY ABBR]])+COUNTIFS(T_2016_EVENT_RESULTS[Gold - Country - 2],T_SV_MEDALS[[#This Row],[COUNTRY ABBR]]))</f>
        <v>2</v>
      </c>
      <c r="D190" s="3">
        <f>IF(I_VIEW=2,"",COUNTIFS(T_2016_EVENT_RESULTS[Silver - Country],T_SV_MEDALS[[#This Row],[COUNTRY ABBR]])+COUNTIFS(T_2016_EVENT_RESULTS[Silver - Country - 2],T_SV_MEDALS[[#This Row],[COUNTRY ABBR]])+COUNTIFS(T_2016_EVENT_RESULTS[Silver - Country - 3],T_SV_MEDALS[[#This Row],[COUNTRY ABBR]]))</f>
        <v>2</v>
      </c>
      <c r="E190" s="3">
        <f>IF(I_VIEW=2,"",COUNTIFS(T_2016_EVENT_RESULTS[Bronze - Country],T_SV_MEDALS[[#This Row],[COUNTRY ABBR]])+COUNTIFS(T_2016_EVENT_RESULTS[Bronze - Country - 2],T_SV_MEDALS[[#This Row],[COUNTRY ABBR]]))</f>
        <v>2</v>
      </c>
      <c r="F190" s="3">
        <f>SUM(T_SV_MEDALS[[#This Row],[GOLD]:[BRONZE]])</f>
        <v>6</v>
      </c>
      <c r="G190" s="3">
        <f>IF(T_SV_MEDALS[[#This Row],[TOTAL]]=0,"",IF(I_RANK_METHOD="TOTAL",(T_SV_MEDALS[[#This Row],[TOTAL]]*10000000),0)+(T_SV_MEDALS[[#This Row],[GOLD]]*100000)+(T_SV_MEDALS[[#This Row],[SILVER]]*1000)+(T_SV_MEDALS[[#This Row],[BRONZE]]*10))</f>
        <v>60202020</v>
      </c>
      <c r="H190" s="3">
        <f>IFERROR(IF(T_SV_MEDALS[[#This Row],[TOTAL]]=0,"",RANK(T_SV_MEDALS[[#This Row],[RANK VALUE]],T_SV_MEDALS[RANK VALUE])),"")</f>
        <v>40</v>
      </c>
      <c r="I190" s="3">
        <f>IFERROR(IF(T_SV_MEDALS[[#This Row],[TOTAL]]=0,"",RANK(T_SV_MEDALS[[#This Row],[RANK VALUE]],T_SV_MEDALS[RANK VALUE])+COUNTIF($H$2:H189,H190)),"")</f>
        <v>41</v>
      </c>
      <c r="J190" s="3" t="str">
        <f>IF(I_VIEW=3, COUNTIFS(T_2016_EVENT_RESULTS[SPORT],I_SV_SPORT,T_2016_EVENT_RESULTS[Gold - Country],T_SV_MEDALS[[#This Row],[COUNTRY ABBR]])+COUNTIFS(T_2016_EVENT_RESULTS[SPORT],I_SV_SPORT,T_2016_EVENT_RESULTS[Gold - Country - 2],T_SV_MEDALS[[#This Row],[COUNTRY ABBR]]),"")</f>
        <v/>
      </c>
      <c r="K190" s="3" t="str">
        <f>IF(I_VIEW=3, COUNTIFS(T_2016_EVENT_RESULTS[SPORT],I_SV_SPORT,T_2016_EVENT_RESULTS[Silver - Country],T_SV_MEDALS[[#This Row],[COUNTRY ABBR]])+COUNTIFS(T_2016_EVENT_RESULTS[SPORT],I_SV_SPORT,T_2016_EVENT_RESULTS[Silver - Country - 2],T_SV_MEDALS[[#This Row],[COUNTRY ABBR]])+COUNTIFS(T_2016_EVENT_RESULTS[SPORT],I_SV_SPORT,T_2016_EVENT_RESULTS[Silver - Country - 3],T_SV_MEDALS[[#This Row],[COUNTRY ABBR]]),"")</f>
        <v/>
      </c>
      <c r="L190" s="3" t="str">
        <f>IF(I_VIEW=3, COUNTIFS(T_2016_EVENT_RESULTS[SPORT],I_SV_SPORT,T_2016_EVENT_RESULTS[Bronze - Country],T_SV_MEDALS[[#This Row],[COUNTRY ABBR]])+COUNTIFS(T_2016_EVENT_RESULTS[SPORT],I_SV_SPORT,T_2016_EVENT_RESULTS[Bronze - Country - 2],T_SV_MEDALS[[#This Row],[COUNTRY ABBR]]),"")</f>
        <v/>
      </c>
      <c r="M190" s="3">
        <f>SUM(T_SV_MEDALS[[#This Row],[SV_GOLD]:[SV_BRONZE]])</f>
        <v>0</v>
      </c>
      <c r="N190" s="3" t="str">
        <f>IF(T_SV_MEDALS[[#This Row],[SV_TOTAL]]=0,"",IF(I_RANK_METHOD="TOTAL",(T_SV_MEDALS[[#This Row],[SV_TOTAL]]*10000000),0)+(T_SV_MEDALS[[#This Row],[SV_GOLD]]*100000)+(T_SV_MEDALS[[#This Row],[SV_SILVER]]*1000)+(T_SV_MEDALS[[#This Row],[SV_BRONZE]]*10))</f>
        <v/>
      </c>
      <c r="O190" s="3" t="str">
        <f>IFERROR(IF(T_SV_MEDALS[[#This Row],[SV_TOTAL]]=0,"",RANK(T_SV_MEDALS[[#This Row],[SV_RANK VALUE]],T_SV_MEDALS[SV_RANK VALUE])),"")</f>
        <v/>
      </c>
      <c r="P190" s="3" t="str">
        <f>IFERROR(IF(T_SV_MEDALS[[#This Row],[SV_TOTAL]]=0,"",RANK(T_SV_MEDALS[[#This Row],[SV_RANK VALUE]],T_SV_MEDALS[SV_RANK VALUE])+COUNTIF($O$2:O189,O190)),"")</f>
        <v/>
      </c>
      <c r="Q190" s="3">
        <f>IFERROR(T_SV_MEDALS[[#This Row],[SV_TOTAL]]/T_SV_MEDALS[[#This Row],[TOTAL]],"")</f>
        <v>0</v>
      </c>
      <c r="R190" s="3" t="str">
        <f>IFERROR(IF(T_SV_MEDALS[[#This Row],[SV_TOTAL]]=0,"",RANK(T_SV_MEDALS[[#This Row],[Dependency - Rank Value]],T_SV_MEDALS[Dependency - Rank Value])+COUNTIF($Q$2:Q189,Q190)),"")</f>
        <v/>
      </c>
    </row>
    <row r="191" spans="1:18" x14ac:dyDescent="0.25">
      <c r="A191" t="s">
        <v>344</v>
      </c>
      <c r="B191" t="s">
        <v>345</v>
      </c>
      <c r="C191" s="3">
        <f>IF(I_VIEW=2,"",COUNTIFS(T_2016_EVENT_RESULTS[Gold - Country],T_SV_MEDALS[[#This Row],[COUNTRY ABBR]])+COUNTIFS(T_2016_EVENT_RESULTS[Gold - Country - 2],T_SV_MEDALS[[#This Row],[COUNTRY ABBR]]))</f>
        <v>0</v>
      </c>
      <c r="D191" s="3">
        <f>IF(I_VIEW=2,"",COUNTIFS(T_2016_EVENT_RESULTS[Silver - Country],T_SV_MEDALS[[#This Row],[COUNTRY ABBR]])+COUNTIFS(T_2016_EVENT_RESULTS[Silver - Country - 2],T_SV_MEDALS[[#This Row],[COUNTRY ABBR]])+COUNTIFS(T_2016_EVENT_RESULTS[Silver - Country - 3],T_SV_MEDALS[[#This Row],[COUNTRY ABBR]]))</f>
        <v>0</v>
      </c>
      <c r="E191" s="3">
        <f>IF(I_VIEW=2,"",COUNTIFS(T_2016_EVENT_RESULTS[Bronze - Country],T_SV_MEDALS[[#This Row],[COUNTRY ABBR]])+COUNTIFS(T_2016_EVENT_RESULTS[Bronze - Country - 2],T_SV_MEDALS[[#This Row],[COUNTRY ABBR]]))</f>
        <v>0</v>
      </c>
      <c r="F191" s="3">
        <f>SUM(T_SV_MEDALS[[#This Row],[GOLD]:[BRONZE]])</f>
        <v>0</v>
      </c>
      <c r="G191" s="3" t="str">
        <f>IF(T_SV_MEDALS[[#This Row],[TOTAL]]=0,"",IF(I_RANK_METHOD="TOTAL",(T_SV_MEDALS[[#This Row],[TOTAL]]*10000000),0)+(T_SV_MEDALS[[#This Row],[GOLD]]*100000)+(T_SV_MEDALS[[#This Row],[SILVER]]*1000)+(T_SV_MEDALS[[#This Row],[BRONZE]]*10))</f>
        <v/>
      </c>
      <c r="H191" s="3" t="str">
        <f>IFERROR(IF(T_SV_MEDALS[[#This Row],[TOTAL]]=0,"",RANK(T_SV_MEDALS[[#This Row],[RANK VALUE]],T_SV_MEDALS[RANK VALUE])),"")</f>
        <v/>
      </c>
      <c r="I191" s="3" t="str">
        <f>IFERROR(IF(T_SV_MEDALS[[#This Row],[TOTAL]]=0,"",RANK(T_SV_MEDALS[[#This Row],[RANK VALUE]],T_SV_MEDALS[RANK VALUE])+COUNTIF($H$2:H190,H191)),"")</f>
        <v/>
      </c>
      <c r="J191" s="3" t="str">
        <f>IF(I_VIEW=3, COUNTIFS(T_2016_EVENT_RESULTS[SPORT],I_SV_SPORT,T_2016_EVENT_RESULTS[Gold - Country],T_SV_MEDALS[[#This Row],[COUNTRY ABBR]])+COUNTIFS(T_2016_EVENT_RESULTS[SPORT],I_SV_SPORT,T_2016_EVENT_RESULTS[Gold - Country - 2],T_SV_MEDALS[[#This Row],[COUNTRY ABBR]]),"")</f>
        <v/>
      </c>
      <c r="K191" s="3" t="str">
        <f>IF(I_VIEW=3, COUNTIFS(T_2016_EVENT_RESULTS[SPORT],I_SV_SPORT,T_2016_EVENT_RESULTS[Silver - Country],T_SV_MEDALS[[#This Row],[COUNTRY ABBR]])+COUNTIFS(T_2016_EVENT_RESULTS[SPORT],I_SV_SPORT,T_2016_EVENT_RESULTS[Silver - Country - 2],T_SV_MEDALS[[#This Row],[COUNTRY ABBR]])+COUNTIFS(T_2016_EVENT_RESULTS[SPORT],I_SV_SPORT,T_2016_EVENT_RESULTS[Silver - Country - 3],T_SV_MEDALS[[#This Row],[COUNTRY ABBR]]),"")</f>
        <v/>
      </c>
      <c r="L191" s="3" t="str">
        <f>IF(I_VIEW=3, COUNTIFS(T_2016_EVENT_RESULTS[SPORT],I_SV_SPORT,T_2016_EVENT_RESULTS[Bronze - Country],T_SV_MEDALS[[#This Row],[COUNTRY ABBR]])+COUNTIFS(T_2016_EVENT_RESULTS[SPORT],I_SV_SPORT,T_2016_EVENT_RESULTS[Bronze - Country - 2],T_SV_MEDALS[[#This Row],[COUNTRY ABBR]]),"")</f>
        <v/>
      </c>
      <c r="M191" s="3">
        <f>SUM(T_SV_MEDALS[[#This Row],[SV_GOLD]:[SV_BRONZE]])</f>
        <v>0</v>
      </c>
      <c r="N191" s="3" t="str">
        <f>IF(T_SV_MEDALS[[#This Row],[SV_TOTAL]]=0,"",IF(I_RANK_METHOD="TOTAL",(T_SV_MEDALS[[#This Row],[SV_TOTAL]]*10000000),0)+(T_SV_MEDALS[[#This Row],[SV_GOLD]]*100000)+(T_SV_MEDALS[[#This Row],[SV_SILVER]]*1000)+(T_SV_MEDALS[[#This Row],[SV_BRONZE]]*10))</f>
        <v/>
      </c>
      <c r="O191" s="3" t="str">
        <f>IFERROR(IF(T_SV_MEDALS[[#This Row],[SV_TOTAL]]=0,"",RANK(T_SV_MEDALS[[#This Row],[SV_RANK VALUE]],T_SV_MEDALS[SV_RANK VALUE])),"")</f>
        <v/>
      </c>
      <c r="P191" s="3" t="str">
        <f>IFERROR(IF(T_SV_MEDALS[[#This Row],[SV_TOTAL]]=0,"",RANK(T_SV_MEDALS[[#This Row],[SV_RANK VALUE]],T_SV_MEDALS[SV_RANK VALUE])+COUNTIF($O$2:O190,O191)),"")</f>
        <v/>
      </c>
      <c r="Q191" s="3" t="str">
        <f>IFERROR(T_SV_MEDALS[[#This Row],[SV_TOTAL]]/T_SV_MEDALS[[#This Row],[TOTAL]],"")</f>
        <v/>
      </c>
      <c r="R191" s="3" t="str">
        <f>IFERROR(IF(T_SV_MEDALS[[#This Row],[SV_TOTAL]]=0,"",RANK(T_SV_MEDALS[[#This Row],[Dependency - Rank Value]],T_SV_MEDALS[Dependency - Rank Value])+COUNTIF($Q$2:Q190,Q191)),"")</f>
        <v/>
      </c>
    </row>
    <row r="192" spans="1:18" x14ac:dyDescent="0.25">
      <c r="A192" t="s">
        <v>346</v>
      </c>
      <c r="B192" t="s">
        <v>347</v>
      </c>
      <c r="C192" s="3">
        <f>IF(I_VIEW=2,"",COUNTIFS(T_2016_EVENT_RESULTS[Gold - Country],T_SV_MEDALS[[#This Row],[COUNTRY ABBR]])+COUNTIFS(T_2016_EVENT_RESULTS[Gold - Country - 2],T_SV_MEDALS[[#This Row],[COUNTRY ABBR]]))</f>
        <v>0</v>
      </c>
      <c r="D192" s="3">
        <f>IF(I_VIEW=2,"",COUNTIFS(T_2016_EVENT_RESULTS[Silver - Country],T_SV_MEDALS[[#This Row],[COUNTRY ABBR]])+COUNTIFS(T_2016_EVENT_RESULTS[Silver - Country - 2],T_SV_MEDALS[[#This Row],[COUNTRY ABBR]])+COUNTIFS(T_2016_EVENT_RESULTS[Silver - Country - 3],T_SV_MEDALS[[#This Row],[COUNTRY ABBR]]))</f>
        <v>0</v>
      </c>
      <c r="E192" s="3">
        <f>IF(I_VIEW=2,"",COUNTIFS(T_2016_EVENT_RESULTS[Bronze - Country],T_SV_MEDALS[[#This Row],[COUNTRY ABBR]])+COUNTIFS(T_2016_EVENT_RESULTS[Bronze - Country - 2],T_SV_MEDALS[[#This Row],[COUNTRY ABBR]]))</f>
        <v>0</v>
      </c>
      <c r="F192" s="3">
        <f>SUM(T_SV_MEDALS[[#This Row],[GOLD]:[BRONZE]])</f>
        <v>0</v>
      </c>
      <c r="G192" s="3" t="str">
        <f>IF(T_SV_MEDALS[[#This Row],[TOTAL]]=0,"",IF(I_RANK_METHOD="TOTAL",(T_SV_MEDALS[[#This Row],[TOTAL]]*10000000),0)+(T_SV_MEDALS[[#This Row],[GOLD]]*100000)+(T_SV_MEDALS[[#This Row],[SILVER]]*1000)+(T_SV_MEDALS[[#This Row],[BRONZE]]*10))</f>
        <v/>
      </c>
      <c r="H192" s="3" t="str">
        <f>IFERROR(IF(T_SV_MEDALS[[#This Row],[TOTAL]]=0,"",RANK(T_SV_MEDALS[[#This Row],[RANK VALUE]],T_SV_MEDALS[RANK VALUE])),"")</f>
        <v/>
      </c>
      <c r="I192" s="3" t="str">
        <f>IFERROR(IF(T_SV_MEDALS[[#This Row],[TOTAL]]=0,"",RANK(T_SV_MEDALS[[#This Row],[RANK VALUE]],T_SV_MEDALS[RANK VALUE])+COUNTIF($H$2:H191,H192)),"")</f>
        <v/>
      </c>
      <c r="J192" s="3" t="str">
        <f>IF(I_VIEW=3, COUNTIFS(T_2016_EVENT_RESULTS[SPORT],I_SV_SPORT,T_2016_EVENT_RESULTS[Gold - Country],T_SV_MEDALS[[#This Row],[COUNTRY ABBR]])+COUNTIFS(T_2016_EVENT_RESULTS[SPORT],I_SV_SPORT,T_2016_EVENT_RESULTS[Gold - Country - 2],T_SV_MEDALS[[#This Row],[COUNTRY ABBR]]),"")</f>
        <v/>
      </c>
      <c r="K192" s="3" t="str">
        <f>IF(I_VIEW=3, COUNTIFS(T_2016_EVENT_RESULTS[SPORT],I_SV_SPORT,T_2016_EVENT_RESULTS[Silver - Country],T_SV_MEDALS[[#This Row],[COUNTRY ABBR]])+COUNTIFS(T_2016_EVENT_RESULTS[SPORT],I_SV_SPORT,T_2016_EVENT_RESULTS[Silver - Country - 2],T_SV_MEDALS[[#This Row],[COUNTRY ABBR]])+COUNTIFS(T_2016_EVENT_RESULTS[SPORT],I_SV_SPORT,T_2016_EVENT_RESULTS[Silver - Country - 3],T_SV_MEDALS[[#This Row],[COUNTRY ABBR]]),"")</f>
        <v/>
      </c>
      <c r="L192" s="3" t="str">
        <f>IF(I_VIEW=3, COUNTIFS(T_2016_EVENT_RESULTS[SPORT],I_SV_SPORT,T_2016_EVENT_RESULTS[Bronze - Country],T_SV_MEDALS[[#This Row],[COUNTRY ABBR]])+COUNTIFS(T_2016_EVENT_RESULTS[SPORT],I_SV_SPORT,T_2016_EVENT_RESULTS[Bronze - Country - 2],T_SV_MEDALS[[#This Row],[COUNTRY ABBR]]),"")</f>
        <v/>
      </c>
      <c r="M192" s="3">
        <f>SUM(T_SV_MEDALS[[#This Row],[SV_GOLD]:[SV_BRONZE]])</f>
        <v>0</v>
      </c>
      <c r="N192" s="3" t="str">
        <f>IF(T_SV_MEDALS[[#This Row],[SV_TOTAL]]=0,"",IF(I_RANK_METHOD="TOTAL",(T_SV_MEDALS[[#This Row],[SV_TOTAL]]*10000000),0)+(T_SV_MEDALS[[#This Row],[SV_GOLD]]*100000)+(T_SV_MEDALS[[#This Row],[SV_SILVER]]*1000)+(T_SV_MEDALS[[#This Row],[SV_BRONZE]]*10))</f>
        <v/>
      </c>
      <c r="O192" s="3" t="str">
        <f>IFERROR(IF(T_SV_MEDALS[[#This Row],[SV_TOTAL]]=0,"",RANK(T_SV_MEDALS[[#This Row],[SV_RANK VALUE]],T_SV_MEDALS[SV_RANK VALUE])),"")</f>
        <v/>
      </c>
      <c r="P192" s="3" t="str">
        <f>IFERROR(IF(T_SV_MEDALS[[#This Row],[SV_TOTAL]]=0,"",RANK(T_SV_MEDALS[[#This Row],[SV_RANK VALUE]],T_SV_MEDALS[SV_RANK VALUE])+COUNTIF($O$2:O191,O192)),"")</f>
        <v/>
      </c>
      <c r="Q192" s="3" t="str">
        <f>IFERROR(T_SV_MEDALS[[#This Row],[SV_TOTAL]]/T_SV_MEDALS[[#This Row],[TOTAL]],"")</f>
        <v/>
      </c>
      <c r="R192" s="3" t="str">
        <f>IFERROR(IF(T_SV_MEDALS[[#This Row],[SV_TOTAL]]=0,"",RANK(T_SV_MEDALS[[#This Row],[Dependency - Rank Value]],T_SV_MEDALS[Dependency - Rank Value])+COUNTIF($Q$2:Q191,Q192)),"")</f>
        <v/>
      </c>
    </row>
    <row r="193" spans="1:18" x14ac:dyDescent="0.25">
      <c r="A193" t="s">
        <v>348</v>
      </c>
      <c r="B193" t="s">
        <v>516</v>
      </c>
      <c r="C193" s="3">
        <f>IF(I_VIEW=2,"",COUNTIFS(T_2016_EVENT_RESULTS[Gold - Country],T_SV_MEDALS[[#This Row],[COUNTRY ABBR]])+COUNTIFS(T_2016_EVENT_RESULTS[Gold - Country - 2],T_SV_MEDALS[[#This Row],[COUNTRY ABBR]]))</f>
        <v>0</v>
      </c>
      <c r="D193" s="3">
        <f>IF(I_VIEW=2,"",COUNTIFS(T_2016_EVENT_RESULTS[Silver - Country],T_SV_MEDALS[[#This Row],[COUNTRY ABBR]])+COUNTIFS(T_2016_EVENT_RESULTS[Silver - Country - 2],T_SV_MEDALS[[#This Row],[COUNTRY ABBR]])+COUNTIFS(T_2016_EVENT_RESULTS[Silver - Country - 3],T_SV_MEDALS[[#This Row],[COUNTRY ABBR]]))</f>
        <v>0</v>
      </c>
      <c r="E193" s="3">
        <f>IF(I_VIEW=2,"",COUNTIFS(T_2016_EVENT_RESULTS[Bronze - Country],T_SV_MEDALS[[#This Row],[COUNTRY ABBR]])+COUNTIFS(T_2016_EVENT_RESULTS[Bronze - Country - 2],T_SV_MEDALS[[#This Row],[COUNTRY ABBR]]))</f>
        <v>1</v>
      </c>
      <c r="F193" s="3">
        <f>SUM(T_SV_MEDALS[[#This Row],[GOLD]:[BRONZE]])</f>
        <v>1</v>
      </c>
      <c r="G193" s="3">
        <f>IF(T_SV_MEDALS[[#This Row],[TOTAL]]=0,"",IF(I_RANK_METHOD="TOTAL",(T_SV_MEDALS[[#This Row],[TOTAL]]*10000000),0)+(T_SV_MEDALS[[#This Row],[GOLD]]*100000)+(T_SV_MEDALS[[#This Row],[SILVER]]*1000)+(T_SV_MEDALS[[#This Row],[BRONZE]]*10))</f>
        <v>10000010</v>
      </c>
      <c r="H193" s="3">
        <f>IFERROR(IF(T_SV_MEDALS[[#This Row],[TOTAL]]=0,"",RANK(T_SV_MEDALS[[#This Row],[RANK VALUE]],T_SV_MEDALS[RANK VALUE])),"")</f>
        <v>78</v>
      </c>
      <c r="I193" s="3">
        <f>IFERROR(IF(T_SV_MEDALS[[#This Row],[TOTAL]]=0,"",RANK(T_SV_MEDALS[[#This Row],[RANK VALUE]],T_SV_MEDALS[RANK VALUE])+COUNTIF($H$2:H192,H193)),"")</f>
        <v>86</v>
      </c>
      <c r="J193" s="3" t="str">
        <f>IF(I_VIEW=3, COUNTIFS(T_2016_EVENT_RESULTS[SPORT],I_SV_SPORT,T_2016_EVENT_RESULTS[Gold - Country],T_SV_MEDALS[[#This Row],[COUNTRY ABBR]])+COUNTIFS(T_2016_EVENT_RESULTS[SPORT],I_SV_SPORT,T_2016_EVENT_RESULTS[Gold - Country - 2],T_SV_MEDALS[[#This Row],[COUNTRY ABBR]]),"")</f>
        <v/>
      </c>
      <c r="K193" s="3" t="str">
        <f>IF(I_VIEW=3, COUNTIFS(T_2016_EVENT_RESULTS[SPORT],I_SV_SPORT,T_2016_EVENT_RESULTS[Silver - Country],T_SV_MEDALS[[#This Row],[COUNTRY ABBR]])+COUNTIFS(T_2016_EVENT_RESULTS[SPORT],I_SV_SPORT,T_2016_EVENT_RESULTS[Silver - Country - 2],T_SV_MEDALS[[#This Row],[COUNTRY ABBR]])+COUNTIFS(T_2016_EVENT_RESULTS[SPORT],I_SV_SPORT,T_2016_EVENT_RESULTS[Silver - Country - 3],T_SV_MEDALS[[#This Row],[COUNTRY ABBR]]),"")</f>
        <v/>
      </c>
      <c r="L193" s="3" t="str">
        <f>IF(I_VIEW=3, COUNTIFS(T_2016_EVENT_RESULTS[SPORT],I_SV_SPORT,T_2016_EVENT_RESULTS[Bronze - Country],T_SV_MEDALS[[#This Row],[COUNTRY ABBR]])+COUNTIFS(T_2016_EVENT_RESULTS[SPORT],I_SV_SPORT,T_2016_EVENT_RESULTS[Bronze - Country - 2],T_SV_MEDALS[[#This Row],[COUNTRY ABBR]]),"")</f>
        <v/>
      </c>
      <c r="M193" s="3">
        <f>SUM(T_SV_MEDALS[[#This Row],[SV_GOLD]:[SV_BRONZE]])</f>
        <v>0</v>
      </c>
      <c r="N193" s="3" t="str">
        <f>IF(T_SV_MEDALS[[#This Row],[SV_TOTAL]]=0,"",IF(I_RANK_METHOD="TOTAL",(T_SV_MEDALS[[#This Row],[SV_TOTAL]]*10000000),0)+(T_SV_MEDALS[[#This Row],[SV_GOLD]]*100000)+(T_SV_MEDALS[[#This Row],[SV_SILVER]]*1000)+(T_SV_MEDALS[[#This Row],[SV_BRONZE]]*10))</f>
        <v/>
      </c>
      <c r="O193" s="3" t="str">
        <f>IFERROR(IF(T_SV_MEDALS[[#This Row],[SV_TOTAL]]=0,"",RANK(T_SV_MEDALS[[#This Row],[SV_RANK VALUE]],T_SV_MEDALS[SV_RANK VALUE])),"")</f>
        <v/>
      </c>
      <c r="P193" s="3" t="str">
        <f>IFERROR(IF(T_SV_MEDALS[[#This Row],[SV_TOTAL]]=0,"",RANK(T_SV_MEDALS[[#This Row],[SV_RANK VALUE]],T_SV_MEDALS[SV_RANK VALUE])+COUNTIF($O$2:O192,O193)),"")</f>
        <v/>
      </c>
      <c r="Q193" s="3">
        <f>IFERROR(T_SV_MEDALS[[#This Row],[SV_TOTAL]]/T_SV_MEDALS[[#This Row],[TOTAL]],"")</f>
        <v>0</v>
      </c>
      <c r="R193" s="3" t="str">
        <f>IFERROR(IF(T_SV_MEDALS[[#This Row],[SV_TOTAL]]=0,"",RANK(T_SV_MEDALS[[#This Row],[Dependency - Rank Value]],T_SV_MEDALS[Dependency - Rank Value])+COUNTIF($Q$2:Q192,Q193)),"")</f>
        <v/>
      </c>
    </row>
    <row r="194" spans="1:18" x14ac:dyDescent="0.25">
      <c r="A194" t="s">
        <v>349</v>
      </c>
      <c r="B194" t="s">
        <v>350</v>
      </c>
      <c r="C194" s="3">
        <f>IF(I_VIEW=2,"",COUNTIFS(T_2016_EVENT_RESULTS[Gold - Country],T_SV_MEDALS[[#This Row],[COUNTRY ABBR]])+COUNTIFS(T_2016_EVENT_RESULTS[Gold - Country - 2],T_SV_MEDALS[[#This Row],[COUNTRY ABBR]]))</f>
        <v>0</v>
      </c>
      <c r="D194" s="3">
        <f>IF(I_VIEW=2,"",COUNTIFS(T_2016_EVENT_RESULTS[Silver - Country],T_SV_MEDALS[[#This Row],[COUNTRY ABBR]])+COUNTIFS(T_2016_EVENT_RESULTS[Silver - Country - 2],T_SV_MEDALS[[#This Row],[COUNTRY ABBR]])+COUNTIFS(T_2016_EVENT_RESULTS[Silver - Country - 3],T_SV_MEDALS[[#This Row],[COUNTRY ABBR]]))</f>
        <v>0</v>
      </c>
      <c r="E194" s="3">
        <f>IF(I_VIEW=2,"",COUNTIFS(T_2016_EVENT_RESULTS[Bronze - Country],T_SV_MEDALS[[#This Row],[COUNTRY ABBR]])+COUNTIFS(T_2016_EVENT_RESULTS[Bronze - Country - 2],T_SV_MEDALS[[#This Row],[COUNTRY ABBR]]))</f>
        <v>3</v>
      </c>
      <c r="F194" s="3">
        <f>SUM(T_SV_MEDALS[[#This Row],[GOLD]:[BRONZE]])</f>
        <v>3</v>
      </c>
      <c r="G194" s="3">
        <f>IF(T_SV_MEDALS[[#This Row],[TOTAL]]=0,"",IF(I_RANK_METHOD="TOTAL",(T_SV_MEDALS[[#This Row],[TOTAL]]*10000000),0)+(T_SV_MEDALS[[#This Row],[GOLD]]*100000)+(T_SV_MEDALS[[#This Row],[SILVER]]*1000)+(T_SV_MEDALS[[#This Row],[BRONZE]]*10))</f>
        <v>30000030</v>
      </c>
      <c r="H194" s="3">
        <f>IFERROR(IF(T_SV_MEDALS[[#This Row],[TOTAL]]=0,"",RANK(T_SV_MEDALS[[#This Row],[RANK VALUE]],T_SV_MEDALS[RANK VALUE])),"")</f>
        <v>55</v>
      </c>
      <c r="I194" s="3">
        <f>IFERROR(IF(T_SV_MEDALS[[#This Row],[TOTAL]]=0,"",RANK(T_SV_MEDALS[[#This Row],[RANK VALUE]],T_SV_MEDALS[RANK VALUE])+COUNTIF($H$2:H193,H194)),"")</f>
        <v>56</v>
      </c>
      <c r="J194" s="3" t="str">
        <f>IF(I_VIEW=3, COUNTIFS(T_2016_EVENT_RESULTS[SPORT],I_SV_SPORT,T_2016_EVENT_RESULTS[Gold - Country],T_SV_MEDALS[[#This Row],[COUNTRY ABBR]])+COUNTIFS(T_2016_EVENT_RESULTS[SPORT],I_SV_SPORT,T_2016_EVENT_RESULTS[Gold - Country - 2],T_SV_MEDALS[[#This Row],[COUNTRY ABBR]]),"")</f>
        <v/>
      </c>
      <c r="K194" s="3" t="str">
        <f>IF(I_VIEW=3, COUNTIFS(T_2016_EVENT_RESULTS[SPORT],I_SV_SPORT,T_2016_EVENT_RESULTS[Silver - Country],T_SV_MEDALS[[#This Row],[COUNTRY ABBR]])+COUNTIFS(T_2016_EVENT_RESULTS[SPORT],I_SV_SPORT,T_2016_EVENT_RESULTS[Silver - Country - 2],T_SV_MEDALS[[#This Row],[COUNTRY ABBR]])+COUNTIFS(T_2016_EVENT_RESULTS[SPORT],I_SV_SPORT,T_2016_EVENT_RESULTS[Silver - Country - 3],T_SV_MEDALS[[#This Row],[COUNTRY ABBR]]),"")</f>
        <v/>
      </c>
      <c r="L194" s="3" t="str">
        <f>IF(I_VIEW=3, COUNTIFS(T_2016_EVENT_RESULTS[SPORT],I_SV_SPORT,T_2016_EVENT_RESULTS[Bronze - Country],T_SV_MEDALS[[#This Row],[COUNTRY ABBR]])+COUNTIFS(T_2016_EVENT_RESULTS[SPORT],I_SV_SPORT,T_2016_EVENT_RESULTS[Bronze - Country - 2],T_SV_MEDALS[[#This Row],[COUNTRY ABBR]]),"")</f>
        <v/>
      </c>
      <c r="M194" s="3">
        <f>SUM(T_SV_MEDALS[[#This Row],[SV_GOLD]:[SV_BRONZE]])</f>
        <v>0</v>
      </c>
      <c r="N194" s="3" t="str">
        <f>IF(T_SV_MEDALS[[#This Row],[SV_TOTAL]]=0,"",IF(I_RANK_METHOD="TOTAL",(T_SV_MEDALS[[#This Row],[SV_TOTAL]]*10000000),0)+(T_SV_MEDALS[[#This Row],[SV_GOLD]]*100000)+(T_SV_MEDALS[[#This Row],[SV_SILVER]]*1000)+(T_SV_MEDALS[[#This Row],[SV_BRONZE]]*10))</f>
        <v/>
      </c>
      <c r="O194" s="3" t="str">
        <f>IFERROR(IF(T_SV_MEDALS[[#This Row],[SV_TOTAL]]=0,"",RANK(T_SV_MEDALS[[#This Row],[SV_RANK VALUE]],T_SV_MEDALS[SV_RANK VALUE])),"")</f>
        <v/>
      </c>
      <c r="P194" s="3" t="str">
        <f>IFERROR(IF(T_SV_MEDALS[[#This Row],[SV_TOTAL]]=0,"",RANK(T_SV_MEDALS[[#This Row],[SV_RANK VALUE]],T_SV_MEDALS[SV_RANK VALUE])+COUNTIF($O$2:O193,O194)),"")</f>
        <v/>
      </c>
      <c r="Q194" s="3">
        <f>IFERROR(T_SV_MEDALS[[#This Row],[SV_TOTAL]]/T_SV_MEDALS[[#This Row],[TOTAL]],"")</f>
        <v>0</v>
      </c>
      <c r="R194" s="3" t="str">
        <f>IFERROR(IF(T_SV_MEDALS[[#This Row],[SV_TOTAL]]=0,"",RANK(T_SV_MEDALS[[#This Row],[Dependency - Rank Value]],T_SV_MEDALS[Dependency - Rank Value])+COUNTIF($Q$2:Q193,Q194)),"")</f>
        <v/>
      </c>
    </row>
    <row r="195" spans="1:18" x14ac:dyDescent="0.25">
      <c r="A195" t="s">
        <v>351</v>
      </c>
      <c r="B195" t="s">
        <v>352</v>
      </c>
      <c r="C195" s="3">
        <f>IF(I_VIEW=2,"",COUNTIFS(T_2016_EVENT_RESULTS[Gold - Country],T_SV_MEDALS[[#This Row],[COUNTRY ABBR]])+COUNTIFS(T_2016_EVENT_RESULTS[Gold - Country - 2],T_SV_MEDALS[[#This Row],[COUNTRY ABBR]]))</f>
        <v>1</v>
      </c>
      <c r="D195" s="3">
        <f>IF(I_VIEW=2,"",COUNTIFS(T_2016_EVENT_RESULTS[Silver - Country],T_SV_MEDALS[[#This Row],[COUNTRY ABBR]])+COUNTIFS(T_2016_EVENT_RESULTS[Silver - Country - 2],T_SV_MEDALS[[#This Row],[COUNTRY ABBR]])+COUNTIFS(T_2016_EVENT_RESULTS[Silver - Country - 3],T_SV_MEDALS[[#This Row],[COUNTRY ABBR]]))</f>
        <v>3</v>
      </c>
      <c r="E195" s="3">
        <f>IF(I_VIEW=2,"",COUNTIFS(T_2016_EVENT_RESULTS[Bronze - Country],T_SV_MEDALS[[#This Row],[COUNTRY ABBR]])+COUNTIFS(T_2016_EVENT_RESULTS[Bronze - Country - 2],T_SV_MEDALS[[#This Row],[COUNTRY ABBR]]))</f>
        <v>4</v>
      </c>
      <c r="F195" s="3">
        <f>SUM(T_SV_MEDALS[[#This Row],[GOLD]:[BRONZE]])</f>
        <v>8</v>
      </c>
      <c r="G195" s="3">
        <f>IF(T_SV_MEDALS[[#This Row],[TOTAL]]=0,"",IF(I_RANK_METHOD="TOTAL",(T_SV_MEDALS[[#This Row],[TOTAL]]*10000000),0)+(T_SV_MEDALS[[#This Row],[GOLD]]*100000)+(T_SV_MEDALS[[#This Row],[SILVER]]*1000)+(T_SV_MEDALS[[#This Row],[BRONZE]]*10))</f>
        <v>80103040</v>
      </c>
      <c r="H195" s="3">
        <f>IFERROR(IF(T_SV_MEDALS[[#This Row],[TOTAL]]=0,"",RANK(T_SV_MEDALS[[#This Row],[RANK VALUE]],T_SV_MEDALS[RANK VALUE])),"")</f>
        <v>34</v>
      </c>
      <c r="I195" s="3">
        <f>IFERROR(IF(T_SV_MEDALS[[#This Row],[TOTAL]]=0,"",RANK(T_SV_MEDALS[[#This Row],[RANK VALUE]],T_SV_MEDALS[RANK VALUE])+COUNTIF($H$2:H194,H195)),"")</f>
        <v>34</v>
      </c>
      <c r="J195" s="3" t="str">
        <f>IF(I_VIEW=3, COUNTIFS(T_2016_EVENT_RESULTS[SPORT],I_SV_SPORT,T_2016_EVENT_RESULTS[Gold - Country],T_SV_MEDALS[[#This Row],[COUNTRY ABBR]])+COUNTIFS(T_2016_EVENT_RESULTS[SPORT],I_SV_SPORT,T_2016_EVENT_RESULTS[Gold - Country - 2],T_SV_MEDALS[[#This Row],[COUNTRY ABBR]]),"")</f>
        <v/>
      </c>
      <c r="K195" s="3" t="str">
        <f>IF(I_VIEW=3, COUNTIFS(T_2016_EVENT_RESULTS[SPORT],I_SV_SPORT,T_2016_EVENT_RESULTS[Silver - Country],T_SV_MEDALS[[#This Row],[COUNTRY ABBR]])+COUNTIFS(T_2016_EVENT_RESULTS[SPORT],I_SV_SPORT,T_2016_EVENT_RESULTS[Silver - Country - 2],T_SV_MEDALS[[#This Row],[COUNTRY ABBR]])+COUNTIFS(T_2016_EVENT_RESULTS[SPORT],I_SV_SPORT,T_2016_EVENT_RESULTS[Silver - Country - 3],T_SV_MEDALS[[#This Row],[COUNTRY ABBR]]),"")</f>
        <v/>
      </c>
      <c r="L195" s="3" t="str">
        <f>IF(I_VIEW=3, COUNTIFS(T_2016_EVENT_RESULTS[SPORT],I_SV_SPORT,T_2016_EVENT_RESULTS[Bronze - Country],T_SV_MEDALS[[#This Row],[COUNTRY ABBR]])+COUNTIFS(T_2016_EVENT_RESULTS[SPORT],I_SV_SPORT,T_2016_EVENT_RESULTS[Bronze - Country - 2],T_SV_MEDALS[[#This Row],[COUNTRY ABBR]]),"")</f>
        <v/>
      </c>
      <c r="M195" s="3">
        <f>SUM(T_SV_MEDALS[[#This Row],[SV_GOLD]:[SV_BRONZE]])</f>
        <v>0</v>
      </c>
      <c r="N195" s="3" t="str">
        <f>IF(T_SV_MEDALS[[#This Row],[SV_TOTAL]]=0,"",IF(I_RANK_METHOD="TOTAL",(T_SV_MEDALS[[#This Row],[SV_TOTAL]]*10000000),0)+(T_SV_MEDALS[[#This Row],[SV_GOLD]]*100000)+(T_SV_MEDALS[[#This Row],[SV_SILVER]]*1000)+(T_SV_MEDALS[[#This Row],[SV_BRONZE]]*10))</f>
        <v/>
      </c>
      <c r="O195" s="3" t="str">
        <f>IFERROR(IF(T_SV_MEDALS[[#This Row],[SV_TOTAL]]=0,"",RANK(T_SV_MEDALS[[#This Row],[SV_RANK VALUE]],T_SV_MEDALS[SV_RANK VALUE])),"")</f>
        <v/>
      </c>
      <c r="P195" s="3" t="str">
        <f>IFERROR(IF(T_SV_MEDALS[[#This Row],[SV_TOTAL]]=0,"",RANK(T_SV_MEDALS[[#This Row],[SV_RANK VALUE]],T_SV_MEDALS[SV_RANK VALUE])+COUNTIF($O$2:O194,O195)),"")</f>
        <v/>
      </c>
      <c r="Q195" s="3">
        <f>IFERROR(T_SV_MEDALS[[#This Row],[SV_TOTAL]]/T_SV_MEDALS[[#This Row],[TOTAL]],"")</f>
        <v>0</v>
      </c>
      <c r="R195" s="3" t="str">
        <f>IFERROR(IF(T_SV_MEDALS[[#This Row],[SV_TOTAL]]=0,"",RANK(T_SV_MEDALS[[#This Row],[Dependency - Rank Value]],T_SV_MEDALS[Dependency - Rank Value])+COUNTIF($Q$2:Q194,Q195)),"")</f>
        <v/>
      </c>
    </row>
    <row r="196" spans="1:18" x14ac:dyDescent="0.25">
      <c r="A196" t="s">
        <v>353</v>
      </c>
      <c r="B196" t="s">
        <v>354</v>
      </c>
      <c r="C196" s="3">
        <f>IF(I_VIEW=2,"",COUNTIFS(T_2016_EVENT_RESULTS[Gold - Country],T_SV_MEDALS[[#This Row],[COUNTRY ABBR]])+COUNTIFS(T_2016_EVENT_RESULTS[Gold - Country - 2],T_SV_MEDALS[[#This Row],[COUNTRY ABBR]]))</f>
        <v>0</v>
      </c>
      <c r="D196" s="3">
        <f>IF(I_VIEW=2,"",COUNTIFS(T_2016_EVENT_RESULTS[Silver - Country],T_SV_MEDALS[[#This Row],[COUNTRY ABBR]])+COUNTIFS(T_2016_EVENT_RESULTS[Silver - Country - 2],T_SV_MEDALS[[#This Row],[COUNTRY ABBR]])+COUNTIFS(T_2016_EVENT_RESULTS[Silver - Country - 3],T_SV_MEDALS[[#This Row],[COUNTRY ABBR]]))</f>
        <v>0</v>
      </c>
      <c r="E196" s="3">
        <f>IF(I_VIEW=2,"",COUNTIFS(T_2016_EVENT_RESULTS[Bronze - Country],T_SV_MEDALS[[#This Row],[COUNTRY ABBR]])+COUNTIFS(T_2016_EVENT_RESULTS[Bronze - Country - 2],T_SV_MEDALS[[#This Row],[COUNTRY ABBR]]))</f>
        <v>0</v>
      </c>
      <c r="F196" s="3">
        <f>SUM(T_SV_MEDALS[[#This Row],[GOLD]:[BRONZE]])</f>
        <v>0</v>
      </c>
      <c r="G196" s="3" t="str">
        <f>IF(T_SV_MEDALS[[#This Row],[TOTAL]]=0,"",IF(I_RANK_METHOD="TOTAL",(T_SV_MEDALS[[#This Row],[TOTAL]]*10000000),0)+(T_SV_MEDALS[[#This Row],[GOLD]]*100000)+(T_SV_MEDALS[[#This Row],[SILVER]]*1000)+(T_SV_MEDALS[[#This Row],[BRONZE]]*10))</f>
        <v/>
      </c>
      <c r="H196" s="3" t="str">
        <f>IFERROR(IF(T_SV_MEDALS[[#This Row],[TOTAL]]=0,"",RANK(T_SV_MEDALS[[#This Row],[RANK VALUE]],T_SV_MEDALS[RANK VALUE])),"")</f>
        <v/>
      </c>
      <c r="I196" s="3" t="str">
        <f>IFERROR(IF(T_SV_MEDALS[[#This Row],[TOTAL]]=0,"",RANK(T_SV_MEDALS[[#This Row],[RANK VALUE]],T_SV_MEDALS[RANK VALUE])+COUNTIF($H$2:H195,H196)),"")</f>
        <v/>
      </c>
      <c r="J196" s="3" t="str">
        <f>IF(I_VIEW=3, COUNTIFS(T_2016_EVENT_RESULTS[SPORT],I_SV_SPORT,T_2016_EVENT_RESULTS[Gold - Country],T_SV_MEDALS[[#This Row],[COUNTRY ABBR]])+COUNTIFS(T_2016_EVENT_RESULTS[SPORT],I_SV_SPORT,T_2016_EVENT_RESULTS[Gold - Country - 2],T_SV_MEDALS[[#This Row],[COUNTRY ABBR]]),"")</f>
        <v/>
      </c>
      <c r="K196" s="3" t="str">
        <f>IF(I_VIEW=3, COUNTIFS(T_2016_EVENT_RESULTS[SPORT],I_SV_SPORT,T_2016_EVENT_RESULTS[Silver - Country],T_SV_MEDALS[[#This Row],[COUNTRY ABBR]])+COUNTIFS(T_2016_EVENT_RESULTS[SPORT],I_SV_SPORT,T_2016_EVENT_RESULTS[Silver - Country - 2],T_SV_MEDALS[[#This Row],[COUNTRY ABBR]])+COUNTIFS(T_2016_EVENT_RESULTS[SPORT],I_SV_SPORT,T_2016_EVENT_RESULTS[Silver - Country - 3],T_SV_MEDALS[[#This Row],[COUNTRY ABBR]]),"")</f>
        <v/>
      </c>
      <c r="L196" s="3" t="str">
        <f>IF(I_VIEW=3, COUNTIFS(T_2016_EVENT_RESULTS[SPORT],I_SV_SPORT,T_2016_EVENT_RESULTS[Bronze - Country],T_SV_MEDALS[[#This Row],[COUNTRY ABBR]])+COUNTIFS(T_2016_EVENT_RESULTS[SPORT],I_SV_SPORT,T_2016_EVENT_RESULTS[Bronze - Country - 2],T_SV_MEDALS[[#This Row],[COUNTRY ABBR]]),"")</f>
        <v/>
      </c>
      <c r="M196" s="3">
        <f>SUM(T_SV_MEDALS[[#This Row],[SV_GOLD]:[SV_BRONZE]])</f>
        <v>0</v>
      </c>
      <c r="N196" s="3" t="str">
        <f>IF(T_SV_MEDALS[[#This Row],[SV_TOTAL]]=0,"",IF(I_RANK_METHOD="TOTAL",(T_SV_MEDALS[[#This Row],[SV_TOTAL]]*10000000),0)+(T_SV_MEDALS[[#This Row],[SV_GOLD]]*100000)+(T_SV_MEDALS[[#This Row],[SV_SILVER]]*1000)+(T_SV_MEDALS[[#This Row],[SV_BRONZE]]*10))</f>
        <v/>
      </c>
      <c r="O196" s="3" t="str">
        <f>IFERROR(IF(T_SV_MEDALS[[#This Row],[SV_TOTAL]]=0,"",RANK(T_SV_MEDALS[[#This Row],[SV_RANK VALUE]],T_SV_MEDALS[SV_RANK VALUE])),"")</f>
        <v/>
      </c>
      <c r="P196" s="3" t="str">
        <f>IFERROR(IF(T_SV_MEDALS[[#This Row],[SV_TOTAL]]=0,"",RANK(T_SV_MEDALS[[#This Row],[SV_RANK VALUE]],T_SV_MEDALS[SV_RANK VALUE])+COUNTIF($O$2:O195,O196)),"")</f>
        <v/>
      </c>
      <c r="Q196" s="3" t="str">
        <f>IFERROR(T_SV_MEDALS[[#This Row],[SV_TOTAL]]/T_SV_MEDALS[[#This Row],[TOTAL]],"")</f>
        <v/>
      </c>
      <c r="R196" s="3" t="str">
        <f>IFERROR(IF(T_SV_MEDALS[[#This Row],[SV_TOTAL]]=0,"",RANK(T_SV_MEDALS[[#This Row],[Dependency - Rank Value]],T_SV_MEDALS[Dependency - Rank Value])+COUNTIF($Q$2:Q195,Q196)),"")</f>
        <v/>
      </c>
    </row>
    <row r="197" spans="1:18" x14ac:dyDescent="0.25">
      <c r="A197" t="s">
        <v>1034</v>
      </c>
      <c r="B197" t="s">
        <v>1035</v>
      </c>
      <c r="C197" s="3">
        <f>IF(I_VIEW=2,"",COUNTIFS(T_2016_EVENT_RESULTS[Gold - Country],T_SV_MEDALS[[#This Row],[COUNTRY ABBR]])+COUNTIFS(T_2016_EVENT_RESULTS[Gold - Country - 2],T_SV_MEDALS[[#This Row],[COUNTRY ABBR]]))</f>
        <v>0</v>
      </c>
      <c r="D197" s="3">
        <f>IF(I_VIEW=2,"",COUNTIFS(T_2016_EVENT_RESULTS[Silver - Country],T_SV_MEDALS[[#This Row],[COUNTRY ABBR]])+COUNTIFS(T_2016_EVENT_RESULTS[Silver - Country - 2],T_SV_MEDALS[[#This Row],[COUNTRY ABBR]])+COUNTIFS(T_2016_EVENT_RESULTS[Silver - Country - 3],T_SV_MEDALS[[#This Row],[COUNTRY ABBR]]))</f>
        <v>0</v>
      </c>
      <c r="E197" s="3">
        <f>IF(I_VIEW=2,"",COUNTIFS(T_2016_EVENT_RESULTS[Bronze - Country],T_SV_MEDALS[[#This Row],[COUNTRY ABBR]])+COUNTIFS(T_2016_EVENT_RESULTS[Bronze - Country - 2],T_SV_MEDALS[[#This Row],[COUNTRY ABBR]]))</f>
        <v>0</v>
      </c>
      <c r="F197" s="3">
        <f>SUM(T_SV_MEDALS[[#This Row],[GOLD]:[BRONZE]])</f>
        <v>0</v>
      </c>
      <c r="G197" s="3" t="str">
        <f>IF(T_SV_MEDALS[[#This Row],[TOTAL]]=0,"",IF(I_RANK_METHOD="TOTAL",(T_SV_MEDALS[[#This Row],[TOTAL]]*10000000),0)+(T_SV_MEDALS[[#This Row],[GOLD]]*100000)+(T_SV_MEDALS[[#This Row],[SILVER]]*1000)+(T_SV_MEDALS[[#This Row],[BRONZE]]*10))</f>
        <v/>
      </c>
      <c r="H197" s="3" t="str">
        <f>IFERROR(IF(T_SV_MEDALS[[#This Row],[TOTAL]]=0,"",RANK(T_SV_MEDALS[[#This Row],[RANK VALUE]],T_SV_MEDALS[RANK VALUE])),"")</f>
        <v/>
      </c>
      <c r="I197" s="3" t="str">
        <f>IFERROR(IF(T_SV_MEDALS[[#This Row],[TOTAL]]=0,"",RANK(T_SV_MEDALS[[#This Row],[RANK VALUE]],T_SV_MEDALS[RANK VALUE])+COUNTIF($H$2:H196,H197)),"")</f>
        <v/>
      </c>
      <c r="J197" s="3" t="str">
        <f>IF(I_VIEW=3, COUNTIFS(T_2016_EVENT_RESULTS[SPORT],I_SV_SPORT,T_2016_EVENT_RESULTS[Gold - Country],T_SV_MEDALS[[#This Row],[COUNTRY ABBR]])+COUNTIFS(T_2016_EVENT_RESULTS[SPORT],I_SV_SPORT,T_2016_EVENT_RESULTS[Gold - Country - 2],T_SV_MEDALS[[#This Row],[COUNTRY ABBR]]),"")</f>
        <v/>
      </c>
      <c r="K197" s="3" t="str">
        <f>IF(I_VIEW=3, COUNTIFS(T_2016_EVENT_RESULTS[SPORT],I_SV_SPORT,T_2016_EVENT_RESULTS[Silver - Country],T_SV_MEDALS[[#This Row],[COUNTRY ABBR]])+COUNTIFS(T_2016_EVENT_RESULTS[SPORT],I_SV_SPORT,T_2016_EVENT_RESULTS[Silver - Country - 2],T_SV_MEDALS[[#This Row],[COUNTRY ABBR]])+COUNTIFS(T_2016_EVENT_RESULTS[SPORT],I_SV_SPORT,T_2016_EVENT_RESULTS[Silver - Country - 3],T_SV_MEDALS[[#This Row],[COUNTRY ABBR]]),"")</f>
        <v/>
      </c>
      <c r="L197" s="3" t="str">
        <f>IF(I_VIEW=3, COUNTIFS(T_2016_EVENT_RESULTS[SPORT],I_SV_SPORT,T_2016_EVENT_RESULTS[Bronze - Country],T_SV_MEDALS[[#This Row],[COUNTRY ABBR]])+COUNTIFS(T_2016_EVENT_RESULTS[SPORT],I_SV_SPORT,T_2016_EVENT_RESULTS[Bronze - Country - 2],T_SV_MEDALS[[#This Row],[COUNTRY ABBR]]),"")</f>
        <v/>
      </c>
      <c r="M197" s="3">
        <f>SUM(T_SV_MEDALS[[#This Row],[SV_GOLD]:[SV_BRONZE]])</f>
        <v>0</v>
      </c>
      <c r="N197" s="3" t="str">
        <f>IF(T_SV_MEDALS[[#This Row],[SV_TOTAL]]=0,"",IF(I_RANK_METHOD="TOTAL",(T_SV_MEDALS[[#This Row],[SV_TOTAL]]*10000000),0)+(T_SV_MEDALS[[#This Row],[SV_GOLD]]*100000)+(T_SV_MEDALS[[#This Row],[SV_SILVER]]*1000)+(T_SV_MEDALS[[#This Row],[SV_BRONZE]]*10))</f>
        <v/>
      </c>
      <c r="O197" s="3" t="str">
        <f>IFERROR(IF(T_SV_MEDALS[[#This Row],[SV_TOTAL]]=0,"",RANK(T_SV_MEDALS[[#This Row],[SV_RANK VALUE]],T_SV_MEDALS[SV_RANK VALUE])),"")</f>
        <v/>
      </c>
      <c r="P197" s="3" t="str">
        <f>IFERROR(IF(T_SV_MEDALS[[#This Row],[SV_TOTAL]]=0,"",RANK(T_SV_MEDALS[[#This Row],[SV_RANK VALUE]],T_SV_MEDALS[SV_RANK VALUE])+COUNTIF($O$2:O196,O197)),"")</f>
        <v/>
      </c>
      <c r="Q197" s="3" t="str">
        <f>IFERROR(T_SV_MEDALS[[#This Row],[SV_TOTAL]]/T_SV_MEDALS[[#This Row],[TOTAL]],"")</f>
        <v/>
      </c>
      <c r="R197" s="3" t="str">
        <f>IFERROR(IF(T_SV_MEDALS[[#This Row],[SV_TOTAL]]=0,"",RANK(T_SV_MEDALS[[#This Row],[Dependency - Rank Value]],T_SV_MEDALS[Dependency - Rank Value])+COUNTIF($Q$2:Q196,Q197)),"")</f>
        <v/>
      </c>
    </row>
    <row r="198" spans="1:18" x14ac:dyDescent="0.25">
      <c r="A198" t="s">
        <v>355</v>
      </c>
      <c r="B198" t="s">
        <v>356</v>
      </c>
      <c r="C198" s="3">
        <f>IF(I_VIEW=2,"",COUNTIFS(T_2016_EVENT_RESULTS[Gold - Country],T_SV_MEDALS[[#This Row],[COUNTRY ABBR]])+COUNTIFS(T_2016_EVENT_RESULTS[Gold - Country - 2],T_SV_MEDALS[[#This Row],[COUNTRY ABBR]]))</f>
        <v>0</v>
      </c>
      <c r="D198" s="3">
        <f>IF(I_VIEW=2,"",COUNTIFS(T_2016_EVENT_RESULTS[Silver - Country],T_SV_MEDALS[[#This Row],[COUNTRY ABBR]])+COUNTIFS(T_2016_EVENT_RESULTS[Silver - Country - 2],T_SV_MEDALS[[#This Row],[COUNTRY ABBR]])+COUNTIFS(T_2016_EVENT_RESULTS[Silver - Country - 3],T_SV_MEDALS[[#This Row],[COUNTRY ABBR]]))</f>
        <v>0</v>
      </c>
      <c r="E198" s="3">
        <f>IF(I_VIEW=2,"",COUNTIFS(T_2016_EVENT_RESULTS[Bronze - Country],T_SV_MEDALS[[#This Row],[COUNTRY ABBR]])+COUNTIFS(T_2016_EVENT_RESULTS[Bronze - Country - 2],T_SV_MEDALS[[#This Row],[COUNTRY ABBR]]))</f>
        <v>0</v>
      </c>
      <c r="F198" s="3">
        <f>SUM(T_SV_MEDALS[[#This Row],[GOLD]:[BRONZE]])</f>
        <v>0</v>
      </c>
      <c r="G198" s="3" t="str">
        <f>IF(T_SV_MEDALS[[#This Row],[TOTAL]]=0,"",IF(I_RANK_METHOD="TOTAL",(T_SV_MEDALS[[#This Row],[TOTAL]]*10000000),0)+(T_SV_MEDALS[[#This Row],[GOLD]]*100000)+(T_SV_MEDALS[[#This Row],[SILVER]]*1000)+(T_SV_MEDALS[[#This Row],[BRONZE]]*10))</f>
        <v/>
      </c>
      <c r="H198" s="3" t="str">
        <f>IFERROR(IF(T_SV_MEDALS[[#This Row],[TOTAL]]=0,"",RANK(T_SV_MEDALS[[#This Row],[RANK VALUE]],T_SV_MEDALS[RANK VALUE])),"")</f>
        <v/>
      </c>
      <c r="I198" s="3" t="str">
        <f>IFERROR(IF(T_SV_MEDALS[[#This Row],[TOTAL]]=0,"",RANK(T_SV_MEDALS[[#This Row],[RANK VALUE]],T_SV_MEDALS[RANK VALUE])+COUNTIF($H$2:H197,H198)),"")</f>
        <v/>
      </c>
      <c r="J198" s="3" t="str">
        <f>IF(I_VIEW=3, COUNTIFS(T_2016_EVENT_RESULTS[SPORT],I_SV_SPORT,T_2016_EVENT_RESULTS[Gold - Country],T_SV_MEDALS[[#This Row],[COUNTRY ABBR]])+COUNTIFS(T_2016_EVENT_RESULTS[SPORT],I_SV_SPORT,T_2016_EVENT_RESULTS[Gold - Country - 2],T_SV_MEDALS[[#This Row],[COUNTRY ABBR]]),"")</f>
        <v/>
      </c>
      <c r="K198" s="3" t="str">
        <f>IF(I_VIEW=3, COUNTIFS(T_2016_EVENT_RESULTS[SPORT],I_SV_SPORT,T_2016_EVENT_RESULTS[Silver - Country],T_SV_MEDALS[[#This Row],[COUNTRY ABBR]])+COUNTIFS(T_2016_EVENT_RESULTS[SPORT],I_SV_SPORT,T_2016_EVENT_RESULTS[Silver - Country - 2],T_SV_MEDALS[[#This Row],[COUNTRY ABBR]])+COUNTIFS(T_2016_EVENT_RESULTS[SPORT],I_SV_SPORT,T_2016_EVENT_RESULTS[Silver - Country - 3],T_SV_MEDALS[[#This Row],[COUNTRY ABBR]]),"")</f>
        <v/>
      </c>
      <c r="L198" s="3" t="str">
        <f>IF(I_VIEW=3, COUNTIFS(T_2016_EVENT_RESULTS[SPORT],I_SV_SPORT,T_2016_EVENT_RESULTS[Bronze - Country],T_SV_MEDALS[[#This Row],[COUNTRY ABBR]])+COUNTIFS(T_2016_EVENT_RESULTS[SPORT],I_SV_SPORT,T_2016_EVENT_RESULTS[Bronze - Country - 2],T_SV_MEDALS[[#This Row],[COUNTRY ABBR]]),"")</f>
        <v/>
      </c>
      <c r="M198" s="3">
        <f>SUM(T_SV_MEDALS[[#This Row],[SV_GOLD]:[SV_BRONZE]])</f>
        <v>0</v>
      </c>
      <c r="N198" s="3" t="str">
        <f>IF(T_SV_MEDALS[[#This Row],[SV_TOTAL]]=0,"",IF(I_RANK_METHOD="TOTAL",(T_SV_MEDALS[[#This Row],[SV_TOTAL]]*10000000),0)+(T_SV_MEDALS[[#This Row],[SV_GOLD]]*100000)+(T_SV_MEDALS[[#This Row],[SV_SILVER]]*1000)+(T_SV_MEDALS[[#This Row],[SV_BRONZE]]*10))</f>
        <v/>
      </c>
      <c r="O198" s="3" t="str">
        <f>IFERROR(IF(T_SV_MEDALS[[#This Row],[SV_TOTAL]]=0,"",RANK(T_SV_MEDALS[[#This Row],[SV_RANK VALUE]],T_SV_MEDALS[SV_RANK VALUE])),"")</f>
        <v/>
      </c>
      <c r="P198" s="3" t="str">
        <f>IFERROR(IF(T_SV_MEDALS[[#This Row],[SV_TOTAL]]=0,"",RANK(T_SV_MEDALS[[#This Row],[SV_RANK VALUE]],T_SV_MEDALS[SV_RANK VALUE])+COUNTIF($O$2:O197,O198)),"")</f>
        <v/>
      </c>
      <c r="Q198" s="3" t="str">
        <f>IFERROR(T_SV_MEDALS[[#This Row],[SV_TOTAL]]/T_SV_MEDALS[[#This Row],[TOTAL]],"")</f>
        <v/>
      </c>
      <c r="R198" s="3" t="str">
        <f>IFERROR(IF(T_SV_MEDALS[[#This Row],[SV_TOTAL]]=0,"",RANK(T_SV_MEDALS[[#This Row],[Dependency - Rank Value]],T_SV_MEDALS[Dependency - Rank Value])+COUNTIF($Q$2:Q197,Q198)),"")</f>
        <v/>
      </c>
    </row>
    <row r="199" spans="1:18" x14ac:dyDescent="0.25">
      <c r="A199" t="s">
        <v>357</v>
      </c>
      <c r="B199" t="s">
        <v>358</v>
      </c>
      <c r="C199" s="3">
        <f>IF(I_VIEW=2,"",COUNTIFS(T_2016_EVENT_RESULTS[Gold - Country],T_SV_MEDALS[[#This Row],[COUNTRY ABBR]])+COUNTIFS(T_2016_EVENT_RESULTS[Gold - Country - 2],T_SV_MEDALS[[#This Row],[COUNTRY ABBR]]))</f>
        <v>2</v>
      </c>
      <c r="D199" s="3">
        <f>IF(I_VIEW=2,"",COUNTIFS(T_2016_EVENT_RESULTS[Silver - Country],T_SV_MEDALS[[#This Row],[COUNTRY ABBR]])+COUNTIFS(T_2016_EVENT_RESULTS[Silver - Country - 2],T_SV_MEDALS[[#This Row],[COUNTRY ABBR]])+COUNTIFS(T_2016_EVENT_RESULTS[Silver - Country - 3],T_SV_MEDALS[[#This Row],[COUNTRY ABBR]]))</f>
        <v>5</v>
      </c>
      <c r="E199" s="3">
        <f>IF(I_VIEW=2,"",COUNTIFS(T_2016_EVENT_RESULTS[Bronze - Country],T_SV_MEDALS[[#This Row],[COUNTRY ABBR]])+COUNTIFS(T_2016_EVENT_RESULTS[Bronze - Country - 2],T_SV_MEDALS[[#This Row],[COUNTRY ABBR]]))</f>
        <v>4</v>
      </c>
      <c r="F199" s="3">
        <f>SUM(T_SV_MEDALS[[#This Row],[GOLD]:[BRONZE]])</f>
        <v>11</v>
      </c>
      <c r="G199" s="3">
        <f>IF(T_SV_MEDALS[[#This Row],[TOTAL]]=0,"",IF(I_RANK_METHOD="TOTAL",(T_SV_MEDALS[[#This Row],[TOTAL]]*10000000),0)+(T_SV_MEDALS[[#This Row],[GOLD]]*100000)+(T_SV_MEDALS[[#This Row],[SILVER]]*1000)+(T_SV_MEDALS[[#This Row],[BRONZE]]*10))</f>
        <v>110205040</v>
      </c>
      <c r="H199" s="3">
        <f>IFERROR(IF(T_SV_MEDALS[[#This Row],[TOTAL]]=0,"",RANK(T_SV_MEDALS[[#This Row],[RANK VALUE]],T_SV_MEDALS[RANK VALUE])),"")</f>
        <v>25</v>
      </c>
      <c r="I199" s="3">
        <f>IFERROR(IF(T_SV_MEDALS[[#This Row],[TOTAL]]=0,"",RANK(T_SV_MEDALS[[#This Row],[RANK VALUE]],T_SV_MEDALS[RANK VALUE])+COUNTIF($H$2:H198,H199)),"")</f>
        <v>25</v>
      </c>
      <c r="J199" s="3" t="str">
        <f>IF(I_VIEW=3, COUNTIFS(T_2016_EVENT_RESULTS[SPORT],I_SV_SPORT,T_2016_EVENT_RESULTS[Gold - Country],T_SV_MEDALS[[#This Row],[COUNTRY ABBR]])+COUNTIFS(T_2016_EVENT_RESULTS[SPORT],I_SV_SPORT,T_2016_EVENT_RESULTS[Gold - Country - 2],T_SV_MEDALS[[#This Row],[COUNTRY ABBR]]),"")</f>
        <v/>
      </c>
      <c r="K199" s="3" t="str">
        <f>IF(I_VIEW=3, COUNTIFS(T_2016_EVENT_RESULTS[SPORT],I_SV_SPORT,T_2016_EVENT_RESULTS[Silver - Country],T_SV_MEDALS[[#This Row],[COUNTRY ABBR]])+COUNTIFS(T_2016_EVENT_RESULTS[SPORT],I_SV_SPORT,T_2016_EVENT_RESULTS[Silver - Country - 2],T_SV_MEDALS[[#This Row],[COUNTRY ABBR]])+COUNTIFS(T_2016_EVENT_RESULTS[SPORT],I_SV_SPORT,T_2016_EVENT_RESULTS[Silver - Country - 3],T_SV_MEDALS[[#This Row],[COUNTRY ABBR]]),"")</f>
        <v/>
      </c>
      <c r="L199" s="3" t="str">
        <f>IF(I_VIEW=3, COUNTIFS(T_2016_EVENT_RESULTS[SPORT],I_SV_SPORT,T_2016_EVENT_RESULTS[Bronze - Country],T_SV_MEDALS[[#This Row],[COUNTRY ABBR]])+COUNTIFS(T_2016_EVENT_RESULTS[SPORT],I_SV_SPORT,T_2016_EVENT_RESULTS[Bronze - Country - 2],T_SV_MEDALS[[#This Row],[COUNTRY ABBR]]),"")</f>
        <v/>
      </c>
      <c r="M199" s="3">
        <f>SUM(T_SV_MEDALS[[#This Row],[SV_GOLD]:[SV_BRONZE]])</f>
        <v>0</v>
      </c>
      <c r="N199" s="3" t="str">
        <f>IF(T_SV_MEDALS[[#This Row],[SV_TOTAL]]=0,"",IF(I_RANK_METHOD="TOTAL",(T_SV_MEDALS[[#This Row],[SV_TOTAL]]*10000000),0)+(T_SV_MEDALS[[#This Row],[SV_GOLD]]*100000)+(T_SV_MEDALS[[#This Row],[SV_SILVER]]*1000)+(T_SV_MEDALS[[#This Row],[SV_BRONZE]]*10))</f>
        <v/>
      </c>
      <c r="O199" s="3" t="str">
        <f>IFERROR(IF(T_SV_MEDALS[[#This Row],[SV_TOTAL]]=0,"",RANK(T_SV_MEDALS[[#This Row],[SV_RANK VALUE]],T_SV_MEDALS[SV_RANK VALUE])),"")</f>
        <v/>
      </c>
      <c r="P199" s="3" t="str">
        <f>IFERROR(IF(T_SV_MEDALS[[#This Row],[SV_TOTAL]]=0,"",RANK(T_SV_MEDALS[[#This Row],[SV_RANK VALUE]],T_SV_MEDALS[SV_RANK VALUE])+COUNTIF($O$2:O198,O199)),"")</f>
        <v/>
      </c>
      <c r="Q199" s="3">
        <f>IFERROR(T_SV_MEDALS[[#This Row],[SV_TOTAL]]/T_SV_MEDALS[[#This Row],[TOTAL]],"")</f>
        <v>0</v>
      </c>
      <c r="R199" s="3" t="str">
        <f>IFERROR(IF(T_SV_MEDALS[[#This Row],[SV_TOTAL]]=0,"",RANK(T_SV_MEDALS[[#This Row],[Dependency - Rank Value]],T_SV_MEDALS[Dependency - Rank Value])+COUNTIF($Q$2:Q198,Q199)),"")</f>
        <v/>
      </c>
    </row>
    <row r="200" spans="1:18" x14ac:dyDescent="0.25">
      <c r="A200" t="s">
        <v>359</v>
      </c>
      <c r="B200" t="s">
        <v>360</v>
      </c>
      <c r="C200" s="3">
        <f>IF(I_VIEW=2,"",COUNTIFS(T_2016_EVENT_RESULTS[Gold - Country],T_SV_MEDALS[[#This Row],[COUNTRY ABBR]])+COUNTIFS(T_2016_EVENT_RESULTS[Gold - Country - 2],T_SV_MEDALS[[#This Row],[COUNTRY ABBR]]))</f>
        <v>0</v>
      </c>
      <c r="D200" s="3">
        <f>IF(I_VIEW=2,"",COUNTIFS(T_2016_EVENT_RESULTS[Silver - Country],T_SV_MEDALS[[#This Row],[COUNTRY ABBR]])+COUNTIFS(T_2016_EVENT_RESULTS[Silver - Country - 2],T_SV_MEDALS[[#This Row],[COUNTRY ABBR]])+COUNTIFS(T_2016_EVENT_RESULTS[Silver - Country - 3],T_SV_MEDALS[[#This Row],[COUNTRY ABBR]]))</f>
        <v>0</v>
      </c>
      <c r="E200" s="3">
        <f>IF(I_VIEW=2,"",COUNTIFS(T_2016_EVENT_RESULTS[Bronze - Country],T_SV_MEDALS[[#This Row],[COUNTRY ABBR]])+COUNTIFS(T_2016_EVENT_RESULTS[Bronze - Country - 2],T_SV_MEDALS[[#This Row],[COUNTRY ABBR]]))</f>
        <v>1</v>
      </c>
      <c r="F200" s="3">
        <f>SUM(T_SV_MEDALS[[#This Row],[GOLD]:[BRONZE]])</f>
        <v>1</v>
      </c>
      <c r="G200" s="3">
        <f>IF(T_SV_MEDALS[[#This Row],[TOTAL]]=0,"",IF(I_RANK_METHOD="TOTAL",(T_SV_MEDALS[[#This Row],[TOTAL]]*10000000),0)+(T_SV_MEDALS[[#This Row],[GOLD]]*100000)+(T_SV_MEDALS[[#This Row],[SILVER]]*1000)+(T_SV_MEDALS[[#This Row],[BRONZE]]*10))</f>
        <v>10000010</v>
      </c>
      <c r="H200" s="3">
        <f>IFERROR(IF(T_SV_MEDALS[[#This Row],[TOTAL]]=0,"",RANK(T_SV_MEDALS[[#This Row],[RANK VALUE]],T_SV_MEDALS[RANK VALUE])),"")</f>
        <v>78</v>
      </c>
      <c r="I200" s="3">
        <f>IFERROR(IF(T_SV_MEDALS[[#This Row],[TOTAL]]=0,"",RANK(T_SV_MEDALS[[#This Row],[RANK VALUE]],T_SV_MEDALS[RANK VALUE])+COUNTIF($H$2:H199,H200)),"")</f>
        <v>87</v>
      </c>
      <c r="J200" s="3" t="str">
        <f>IF(I_VIEW=3, COUNTIFS(T_2016_EVENT_RESULTS[SPORT],I_SV_SPORT,T_2016_EVENT_RESULTS[Gold - Country],T_SV_MEDALS[[#This Row],[COUNTRY ABBR]])+COUNTIFS(T_2016_EVENT_RESULTS[SPORT],I_SV_SPORT,T_2016_EVENT_RESULTS[Gold - Country - 2],T_SV_MEDALS[[#This Row],[COUNTRY ABBR]]),"")</f>
        <v/>
      </c>
      <c r="K200" s="3" t="str">
        <f>IF(I_VIEW=3, COUNTIFS(T_2016_EVENT_RESULTS[SPORT],I_SV_SPORT,T_2016_EVENT_RESULTS[Silver - Country],T_SV_MEDALS[[#This Row],[COUNTRY ABBR]])+COUNTIFS(T_2016_EVENT_RESULTS[SPORT],I_SV_SPORT,T_2016_EVENT_RESULTS[Silver - Country - 2],T_SV_MEDALS[[#This Row],[COUNTRY ABBR]])+COUNTIFS(T_2016_EVENT_RESULTS[SPORT],I_SV_SPORT,T_2016_EVENT_RESULTS[Silver - Country - 3],T_SV_MEDALS[[#This Row],[COUNTRY ABBR]]),"")</f>
        <v/>
      </c>
      <c r="L200" s="3" t="str">
        <f>IF(I_VIEW=3, COUNTIFS(T_2016_EVENT_RESULTS[SPORT],I_SV_SPORT,T_2016_EVENT_RESULTS[Bronze - Country],T_SV_MEDALS[[#This Row],[COUNTRY ABBR]])+COUNTIFS(T_2016_EVENT_RESULTS[SPORT],I_SV_SPORT,T_2016_EVENT_RESULTS[Bronze - Country - 2],T_SV_MEDALS[[#This Row],[COUNTRY ABBR]]),"")</f>
        <v/>
      </c>
      <c r="M200" s="3">
        <f>SUM(T_SV_MEDALS[[#This Row],[SV_GOLD]:[SV_BRONZE]])</f>
        <v>0</v>
      </c>
      <c r="N200" s="3" t="str">
        <f>IF(T_SV_MEDALS[[#This Row],[SV_TOTAL]]=0,"",IF(I_RANK_METHOD="TOTAL",(T_SV_MEDALS[[#This Row],[SV_TOTAL]]*10000000),0)+(T_SV_MEDALS[[#This Row],[SV_GOLD]]*100000)+(T_SV_MEDALS[[#This Row],[SV_SILVER]]*1000)+(T_SV_MEDALS[[#This Row],[SV_BRONZE]]*10))</f>
        <v/>
      </c>
      <c r="O200" s="3" t="str">
        <f>IFERROR(IF(T_SV_MEDALS[[#This Row],[SV_TOTAL]]=0,"",RANK(T_SV_MEDALS[[#This Row],[SV_RANK VALUE]],T_SV_MEDALS[SV_RANK VALUE])),"")</f>
        <v/>
      </c>
      <c r="P200" s="3" t="str">
        <f>IFERROR(IF(T_SV_MEDALS[[#This Row],[SV_TOTAL]]=0,"",RANK(T_SV_MEDALS[[#This Row],[SV_RANK VALUE]],T_SV_MEDALS[SV_RANK VALUE])+COUNTIF($O$2:O199,O200)),"")</f>
        <v/>
      </c>
      <c r="Q200" s="3">
        <f>IFERROR(T_SV_MEDALS[[#This Row],[SV_TOTAL]]/T_SV_MEDALS[[#This Row],[TOTAL]],"")</f>
        <v>0</v>
      </c>
      <c r="R200" s="3" t="str">
        <f>IFERROR(IF(T_SV_MEDALS[[#This Row],[SV_TOTAL]]=0,"",RANK(T_SV_MEDALS[[#This Row],[Dependency - Rank Value]],T_SV_MEDALS[Dependency - Rank Value])+COUNTIF($Q$2:Q199,Q200)),"")</f>
        <v/>
      </c>
    </row>
    <row r="201" spans="1:18" x14ac:dyDescent="0.25">
      <c r="A201" t="s">
        <v>362</v>
      </c>
      <c r="B201" t="s">
        <v>363</v>
      </c>
      <c r="C201" s="3">
        <f>IF(I_VIEW=2,"",COUNTIFS(T_2016_EVENT_RESULTS[Gold - Country],T_SV_MEDALS[[#This Row],[COUNTRY ABBR]])+COUNTIFS(T_2016_EVENT_RESULTS[Gold - Country - 2],T_SV_MEDALS[[#This Row],[COUNTRY ABBR]]))</f>
        <v>46</v>
      </c>
      <c r="D201" s="3">
        <f>IF(I_VIEW=2,"",COUNTIFS(T_2016_EVENT_RESULTS[Silver - Country],T_SV_MEDALS[[#This Row],[COUNTRY ABBR]])+COUNTIFS(T_2016_EVENT_RESULTS[Silver - Country - 2],T_SV_MEDALS[[#This Row],[COUNTRY ABBR]])+COUNTIFS(T_2016_EVENT_RESULTS[Silver - Country - 3],T_SV_MEDALS[[#This Row],[COUNTRY ABBR]]))</f>
        <v>37</v>
      </c>
      <c r="E201" s="3">
        <f>IF(I_VIEW=2,"",COUNTIFS(T_2016_EVENT_RESULTS[Bronze - Country],T_SV_MEDALS[[#This Row],[COUNTRY ABBR]])+COUNTIFS(T_2016_EVENT_RESULTS[Bronze - Country - 2],T_SV_MEDALS[[#This Row],[COUNTRY ABBR]]))</f>
        <v>38</v>
      </c>
      <c r="F201" s="3">
        <f>SUM(T_SV_MEDALS[[#This Row],[GOLD]:[BRONZE]])</f>
        <v>121</v>
      </c>
      <c r="G201" s="3">
        <f>IF(T_SV_MEDALS[[#This Row],[TOTAL]]=0,"",IF(I_RANK_METHOD="TOTAL",(T_SV_MEDALS[[#This Row],[TOTAL]]*10000000),0)+(T_SV_MEDALS[[#This Row],[GOLD]]*100000)+(T_SV_MEDALS[[#This Row],[SILVER]]*1000)+(T_SV_MEDALS[[#This Row],[BRONZE]]*10))</f>
        <v>1214637380</v>
      </c>
      <c r="H201" s="3">
        <f>IFERROR(IF(T_SV_MEDALS[[#This Row],[TOTAL]]=0,"",RANK(T_SV_MEDALS[[#This Row],[RANK VALUE]],T_SV_MEDALS[RANK VALUE])),"")</f>
        <v>1</v>
      </c>
      <c r="I201" s="3">
        <f>IFERROR(IF(T_SV_MEDALS[[#This Row],[TOTAL]]=0,"",RANK(T_SV_MEDALS[[#This Row],[RANK VALUE]],T_SV_MEDALS[RANK VALUE])+COUNTIF($H$2:H200,H201)),"")</f>
        <v>1</v>
      </c>
      <c r="J201" s="3" t="str">
        <f>IF(I_VIEW=3, COUNTIFS(T_2016_EVENT_RESULTS[SPORT],I_SV_SPORT,T_2016_EVENT_RESULTS[Gold - Country],T_SV_MEDALS[[#This Row],[COUNTRY ABBR]])+COUNTIFS(T_2016_EVENT_RESULTS[SPORT],I_SV_SPORT,T_2016_EVENT_RESULTS[Gold - Country - 2],T_SV_MEDALS[[#This Row],[COUNTRY ABBR]]),"")</f>
        <v/>
      </c>
      <c r="K201" s="3" t="str">
        <f>IF(I_VIEW=3, COUNTIFS(T_2016_EVENT_RESULTS[SPORT],I_SV_SPORT,T_2016_EVENT_RESULTS[Silver - Country],T_SV_MEDALS[[#This Row],[COUNTRY ABBR]])+COUNTIFS(T_2016_EVENT_RESULTS[SPORT],I_SV_SPORT,T_2016_EVENT_RESULTS[Silver - Country - 2],T_SV_MEDALS[[#This Row],[COUNTRY ABBR]])+COUNTIFS(T_2016_EVENT_RESULTS[SPORT],I_SV_SPORT,T_2016_EVENT_RESULTS[Silver - Country - 3],T_SV_MEDALS[[#This Row],[COUNTRY ABBR]]),"")</f>
        <v/>
      </c>
      <c r="L201" s="3" t="str">
        <f>IF(I_VIEW=3, COUNTIFS(T_2016_EVENT_RESULTS[SPORT],I_SV_SPORT,T_2016_EVENT_RESULTS[Bronze - Country],T_SV_MEDALS[[#This Row],[COUNTRY ABBR]])+COUNTIFS(T_2016_EVENT_RESULTS[SPORT],I_SV_SPORT,T_2016_EVENT_RESULTS[Bronze - Country - 2],T_SV_MEDALS[[#This Row],[COUNTRY ABBR]]),"")</f>
        <v/>
      </c>
      <c r="M201" s="3">
        <f>SUM(T_SV_MEDALS[[#This Row],[SV_GOLD]:[SV_BRONZE]])</f>
        <v>0</v>
      </c>
      <c r="N201" s="3" t="str">
        <f>IF(T_SV_MEDALS[[#This Row],[SV_TOTAL]]=0,"",IF(I_RANK_METHOD="TOTAL",(T_SV_MEDALS[[#This Row],[SV_TOTAL]]*10000000),0)+(T_SV_MEDALS[[#This Row],[SV_GOLD]]*100000)+(T_SV_MEDALS[[#This Row],[SV_SILVER]]*1000)+(T_SV_MEDALS[[#This Row],[SV_BRONZE]]*10))</f>
        <v/>
      </c>
      <c r="O201" s="3" t="str">
        <f>IFERROR(IF(T_SV_MEDALS[[#This Row],[SV_TOTAL]]=0,"",RANK(T_SV_MEDALS[[#This Row],[SV_RANK VALUE]],T_SV_MEDALS[SV_RANK VALUE])),"")</f>
        <v/>
      </c>
      <c r="P201" s="3" t="str">
        <f>IFERROR(IF(T_SV_MEDALS[[#This Row],[SV_TOTAL]]=0,"",RANK(T_SV_MEDALS[[#This Row],[SV_RANK VALUE]],T_SV_MEDALS[SV_RANK VALUE])+COUNTIF($O$2:O200,O201)),"")</f>
        <v/>
      </c>
      <c r="Q201" s="3">
        <f>IFERROR(T_SV_MEDALS[[#This Row],[SV_TOTAL]]/T_SV_MEDALS[[#This Row],[TOTAL]],"")</f>
        <v>0</v>
      </c>
      <c r="R201" s="3" t="str">
        <f>IFERROR(IF(T_SV_MEDALS[[#This Row],[SV_TOTAL]]=0,"",RANK(T_SV_MEDALS[[#This Row],[Dependency - Rank Value]],T_SV_MEDALS[Dependency - Rank Value])+COUNTIF($Q$2:Q200,Q201)),"")</f>
        <v/>
      </c>
    </row>
    <row r="202" spans="1:18" x14ac:dyDescent="0.25">
      <c r="A202" t="s">
        <v>364</v>
      </c>
      <c r="B202" t="s">
        <v>365</v>
      </c>
      <c r="C202" s="3">
        <f>IF(I_VIEW=2,"",COUNTIFS(T_2016_EVENT_RESULTS[Gold - Country],T_SV_MEDALS[[#This Row],[COUNTRY ABBR]])+COUNTIFS(T_2016_EVENT_RESULTS[Gold - Country - 2],T_SV_MEDALS[[#This Row],[COUNTRY ABBR]]))</f>
        <v>0</v>
      </c>
      <c r="D202" s="3">
        <f>IF(I_VIEW=2,"",COUNTIFS(T_2016_EVENT_RESULTS[Silver - Country],T_SV_MEDALS[[#This Row],[COUNTRY ABBR]])+COUNTIFS(T_2016_EVENT_RESULTS[Silver - Country - 2],T_SV_MEDALS[[#This Row],[COUNTRY ABBR]])+COUNTIFS(T_2016_EVENT_RESULTS[Silver - Country - 3],T_SV_MEDALS[[#This Row],[COUNTRY ABBR]]))</f>
        <v>0</v>
      </c>
      <c r="E202" s="3">
        <f>IF(I_VIEW=2,"",COUNTIFS(T_2016_EVENT_RESULTS[Bronze - Country],T_SV_MEDALS[[#This Row],[COUNTRY ABBR]])+COUNTIFS(T_2016_EVENT_RESULTS[Bronze - Country - 2],T_SV_MEDALS[[#This Row],[COUNTRY ABBR]]))</f>
        <v>0</v>
      </c>
      <c r="F202" s="3">
        <f>SUM(T_SV_MEDALS[[#This Row],[GOLD]:[BRONZE]])</f>
        <v>0</v>
      </c>
      <c r="G202" s="3" t="str">
        <f>IF(T_SV_MEDALS[[#This Row],[TOTAL]]=0,"",IF(I_RANK_METHOD="TOTAL",(T_SV_MEDALS[[#This Row],[TOTAL]]*10000000),0)+(T_SV_MEDALS[[#This Row],[GOLD]]*100000)+(T_SV_MEDALS[[#This Row],[SILVER]]*1000)+(T_SV_MEDALS[[#This Row],[BRONZE]]*10))</f>
        <v/>
      </c>
      <c r="H202" s="3" t="str">
        <f>IFERROR(IF(T_SV_MEDALS[[#This Row],[TOTAL]]=0,"",RANK(T_SV_MEDALS[[#This Row],[RANK VALUE]],T_SV_MEDALS[RANK VALUE])),"")</f>
        <v/>
      </c>
      <c r="I202" s="3" t="str">
        <f>IFERROR(IF(T_SV_MEDALS[[#This Row],[TOTAL]]=0,"",RANK(T_SV_MEDALS[[#This Row],[RANK VALUE]],T_SV_MEDALS[RANK VALUE])+COUNTIF($H$2:H201,H202)),"")</f>
        <v/>
      </c>
      <c r="J202" s="3" t="str">
        <f>IF(I_VIEW=3, COUNTIFS(T_2016_EVENT_RESULTS[SPORT],I_SV_SPORT,T_2016_EVENT_RESULTS[Gold - Country],T_SV_MEDALS[[#This Row],[COUNTRY ABBR]])+COUNTIFS(T_2016_EVENT_RESULTS[SPORT],I_SV_SPORT,T_2016_EVENT_RESULTS[Gold - Country - 2],T_SV_MEDALS[[#This Row],[COUNTRY ABBR]]),"")</f>
        <v/>
      </c>
      <c r="K202" s="3" t="str">
        <f>IF(I_VIEW=3, COUNTIFS(T_2016_EVENT_RESULTS[SPORT],I_SV_SPORT,T_2016_EVENT_RESULTS[Silver - Country],T_SV_MEDALS[[#This Row],[COUNTRY ABBR]])+COUNTIFS(T_2016_EVENT_RESULTS[SPORT],I_SV_SPORT,T_2016_EVENT_RESULTS[Silver - Country - 2],T_SV_MEDALS[[#This Row],[COUNTRY ABBR]])+COUNTIFS(T_2016_EVENT_RESULTS[SPORT],I_SV_SPORT,T_2016_EVENT_RESULTS[Silver - Country - 3],T_SV_MEDALS[[#This Row],[COUNTRY ABBR]]),"")</f>
        <v/>
      </c>
      <c r="L202" s="3" t="str">
        <f>IF(I_VIEW=3, COUNTIFS(T_2016_EVENT_RESULTS[SPORT],I_SV_SPORT,T_2016_EVENT_RESULTS[Bronze - Country],T_SV_MEDALS[[#This Row],[COUNTRY ABBR]])+COUNTIFS(T_2016_EVENT_RESULTS[SPORT],I_SV_SPORT,T_2016_EVENT_RESULTS[Bronze - Country - 2],T_SV_MEDALS[[#This Row],[COUNTRY ABBR]]),"")</f>
        <v/>
      </c>
      <c r="M202" s="3">
        <f>SUM(T_SV_MEDALS[[#This Row],[SV_GOLD]:[SV_BRONZE]])</f>
        <v>0</v>
      </c>
      <c r="N202" s="3" t="str">
        <f>IF(T_SV_MEDALS[[#This Row],[SV_TOTAL]]=0,"",IF(I_RANK_METHOD="TOTAL",(T_SV_MEDALS[[#This Row],[SV_TOTAL]]*10000000),0)+(T_SV_MEDALS[[#This Row],[SV_GOLD]]*100000)+(T_SV_MEDALS[[#This Row],[SV_SILVER]]*1000)+(T_SV_MEDALS[[#This Row],[SV_BRONZE]]*10))</f>
        <v/>
      </c>
      <c r="O202" s="3" t="str">
        <f>IFERROR(IF(T_SV_MEDALS[[#This Row],[SV_TOTAL]]=0,"",RANK(T_SV_MEDALS[[#This Row],[SV_RANK VALUE]],T_SV_MEDALS[SV_RANK VALUE])),"")</f>
        <v/>
      </c>
      <c r="P202" s="3" t="str">
        <f>IFERROR(IF(T_SV_MEDALS[[#This Row],[SV_TOTAL]]=0,"",RANK(T_SV_MEDALS[[#This Row],[SV_RANK VALUE]],T_SV_MEDALS[SV_RANK VALUE])+COUNTIF($O$2:O201,O202)),"")</f>
        <v/>
      </c>
      <c r="Q202" s="3" t="str">
        <f>IFERROR(T_SV_MEDALS[[#This Row],[SV_TOTAL]]/T_SV_MEDALS[[#This Row],[TOTAL]],"")</f>
        <v/>
      </c>
      <c r="R202" s="3" t="str">
        <f>IFERROR(IF(T_SV_MEDALS[[#This Row],[SV_TOTAL]]=0,"",RANK(T_SV_MEDALS[[#This Row],[Dependency - Rank Value]],T_SV_MEDALS[Dependency - Rank Value])+COUNTIF($Q$2:Q201,Q202)),"")</f>
        <v/>
      </c>
    </row>
    <row r="203" spans="1:18" x14ac:dyDescent="0.25">
      <c r="A203" t="s">
        <v>366</v>
      </c>
      <c r="B203" t="s">
        <v>367</v>
      </c>
      <c r="C203" s="3">
        <f>IF(I_VIEW=2,"",COUNTIFS(T_2016_EVENT_RESULTS[Gold - Country],T_SV_MEDALS[[#This Row],[COUNTRY ABBR]])+COUNTIFS(T_2016_EVENT_RESULTS[Gold - Country - 2],T_SV_MEDALS[[#This Row],[COUNTRY ABBR]]))</f>
        <v>4</v>
      </c>
      <c r="D203" s="3">
        <f>IF(I_VIEW=2,"",COUNTIFS(T_2016_EVENT_RESULTS[Silver - Country],T_SV_MEDALS[[#This Row],[COUNTRY ABBR]])+COUNTIFS(T_2016_EVENT_RESULTS[Silver - Country - 2],T_SV_MEDALS[[#This Row],[COUNTRY ABBR]])+COUNTIFS(T_2016_EVENT_RESULTS[Silver - Country - 3],T_SV_MEDALS[[#This Row],[COUNTRY ABBR]]))</f>
        <v>2</v>
      </c>
      <c r="E203" s="3">
        <f>IF(I_VIEW=2,"",COUNTIFS(T_2016_EVENT_RESULTS[Bronze - Country],T_SV_MEDALS[[#This Row],[COUNTRY ABBR]])+COUNTIFS(T_2016_EVENT_RESULTS[Bronze - Country - 2],T_SV_MEDALS[[#This Row],[COUNTRY ABBR]]))</f>
        <v>7</v>
      </c>
      <c r="F203" s="3">
        <f>SUM(T_SV_MEDALS[[#This Row],[GOLD]:[BRONZE]])</f>
        <v>13</v>
      </c>
      <c r="G203" s="3">
        <f>IF(T_SV_MEDALS[[#This Row],[TOTAL]]=0,"",IF(I_RANK_METHOD="TOTAL",(T_SV_MEDALS[[#This Row],[TOTAL]]*10000000),0)+(T_SV_MEDALS[[#This Row],[GOLD]]*100000)+(T_SV_MEDALS[[#This Row],[SILVER]]*1000)+(T_SV_MEDALS[[#This Row],[BRONZE]]*10))</f>
        <v>130402070</v>
      </c>
      <c r="H203" s="3">
        <f>IFERROR(IF(T_SV_MEDALS[[#This Row],[TOTAL]]=0,"",RANK(T_SV_MEDALS[[#This Row],[RANK VALUE]],T_SV_MEDALS[RANK VALUE])),"")</f>
        <v>21</v>
      </c>
      <c r="I203" s="3">
        <f>IFERROR(IF(T_SV_MEDALS[[#This Row],[TOTAL]]=0,"",RANK(T_SV_MEDALS[[#This Row],[RANK VALUE]],T_SV_MEDALS[RANK VALUE])+COUNTIF($H$2:H202,H203)),"")</f>
        <v>21</v>
      </c>
      <c r="J203" s="3" t="str">
        <f>IF(I_VIEW=3, COUNTIFS(T_2016_EVENT_RESULTS[SPORT],I_SV_SPORT,T_2016_EVENT_RESULTS[Gold - Country],T_SV_MEDALS[[#This Row],[COUNTRY ABBR]])+COUNTIFS(T_2016_EVENT_RESULTS[SPORT],I_SV_SPORT,T_2016_EVENT_RESULTS[Gold - Country - 2],T_SV_MEDALS[[#This Row],[COUNTRY ABBR]]),"")</f>
        <v/>
      </c>
      <c r="K203" s="3" t="str">
        <f>IF(I_VIEW=3, COUNTIFS(T_2016_EVENT_RESULTS[SPORT],I_SV_SPORT,T_2016_EVENT_RESULTS[Silver - Country],T_SV_MEDALS[[#This Row],[COUNTRY ABBR]])+COUNTIFS(T_2016_EVENT_RESULTS[SPORT],I_SV_SPORT,T_2016_EVENT_RESULTS[Silver - Country - 2],T_SV_MEDALS[[#This Row],[COUNTRY ABBR]])+COUNTIFS(T_2016_EVENT_RESULTS[SPORT],I_SV_SPORT,T_2016_EVENT_RESULTS[Silver - Country - 3],T_SV_MEDALS[[#This Row],[COUNTRY ABBR]]),"")</f>
        <v/>
      </c>
      <c r="L203" s="3" t="str">
        <f>IF(I_VIEW=3, COUNTIFS(T_2016_EVENT_RESULTS[SPORT],I_SV_SPORT,T_2016_EVENT_RESULTS[Bronze - Country],T_SV_MEDALS[[#This Row],[COUNTRY ABBR]])+COUNTIFS(T_2016_EVENT_RESULTS[SPORT],I_SV_SPORT,T_2016_EVENT_RESULTS[Bronze - Country - 2],T_SV_MEDALS[[#This Row],[COUNTRY ABBR]]),"")</f>
        <v/>
      </c>
      <c r="M203" s="3">
        <f>SUM(T_SV_MEDALS[[#This Row],[SV_GOLD]:[SV_BRONZE]])</f>
        <v>0</v>
      </c>
      <c r="N203" s="3" t="str">
        <f>IF(T_SV_MEDALS[[#This Row],[SV_TOTAL]]=0,"",IF(I_RANK_METHOD="TOTAL",(T_SV_MEDALS[[#This Row],[SV_TOTAL]]*10000000),0)+(T_SV_MEDALS[[#This Row],[SV_GOLD]]*100000)+(T_SV_MEDALS[[#This Row],[SV_SILVER]]*1000)+(T_SV_MEDALS[[#This Row],[SV_BRONZE]]*10))</f>
        <v/>
      </c>
      <c r="O203" s="3" t="str">
        <f>IFERROR(IF(T_SV_MEDALS[[#This Row],[SV_TOTAL]]=0,"",RANK(T_SV_MEDALS[[#This Row],[SV_RANK VALUE]],T_SV_MEDALS[SV_RANK VALUE])),"")</f>
        <v/>
      </c>
      <c r="P203" s="3" t="str">
        <f>IFERROR(IF(T_SV_MEDALS[[#This Row],[SV_TOTAL]]=0,"",RANK(T_SV_MEDALS[[#This Row],[SV_RANK VALUE]],T_SV_MEDALS[SV_RANK VALUE])+COUNTIF($O$2:O202,O203)),"")</f>
        <v/>
      </c>
      <c r="Q203" s="3">
        <f>IFERROR(T_SV_MEDALS[[#This Row],[SV_TOTAL]]/T_SV_MEDALS[[#This Row],[TOTAL]],"")</f>
        <v>0</v>
      </c>
      <c r="R203" s="3" t="str">
        <f>IFERROR(IF(T_SV_MEDALS[[#This Row],[SV_TOTAL]]=0,"",RANK(T_SV_MEDALS[[#This Row],[Dependency - Rank Value]],T_SV_MEDALS[Dependency - Rank Value])+COUNTIF($Q$2:Q202,Q203)),"")</f>
        <v/>
      </c>
    </row>
    <row r="204" spans="1:18" x14ac:dyDescent="0.25">
      <c r="A204" t="s">
        <v>368</v>
      </c>
      <c r="B204" t="s">
        <v>369</v>
      </c>
      <c r="C204" s="3">
        <f>IF(I_VIEW=2,"",COUNTIFS(T_2016_EVENT_RESULTS[Gold - Country],T_SV_MEDALS[[#This Row],[COUNTRY ABBR]])+COUNTIFS(T_2016_EVENT_RESULTS[Gold - Country - 2],T_SV_MEDALS[[#This Row],[COUNTRY ABBR]]))</f>
        <v>0</v>
      </c>
      <c r="D204" s="3">
        <f>IF(I_VIEW=2,"",COUNTIFS(T_2016_EVENT_RESULTS[Silver - Country],T_SV_MEDALS[[#This Row],[COUNTRY ABBR]])+COUNTIFS(T_2016_EVENT_RESULTS[Silver - Country - 2],T_SV_MEDALS[[#This Row],[COUNTRY ABBR]])+COUNTIFS(T_2016_EVENT_RESULTS[Silver - Country - 3],T_SV_MEDALS[[#This Row],[COUNTRY ABBR]]))</f>
        <v>0</v>
      </c>
      <c r="E204" s="3">
        <f>IF(I_VIEW=2,"",COUNTIFS(T_2016_EVENT_RESULTS[Bronze - Country],T_SV_MEDALS[[#This Row],[COUNTRY ABBR]])+COUNTIFS(T_2016_EVENT_RESULTS[Bronze - Country - 2],T_SV_MEDALS[[#This Row],[COUNTRY ABBR]]))</f>
        <v>0</v>
      </c>
      <c r="F204" s="3">
        <f>SUM(T_SV_MEDALS[[#This Row],[GOLD]:[BRONZE]])</f>
        <v>0</v>
      </c>
      <c r="G204" s="3" t="str">
        <f>IF(T_SV_MEDALS[[#This Row],[TOTAL]]=0,"",IF(I_RANK_METHOD="TOTAL",(T_SV_MEDALS[[#This Row],[TOTAL]]*10000000),0)+(T_SV_MEDALS[[#This Row],[GOLD]]*100000)+(T_SV_MEDALS[[#This Row],[SILVER]]*1000)+(T_SV_MEDALS[[#This Row],[BRONZE]]*10))</f>
        <v/>
      </c>
      <c r="H204" s="3" t="str">
        <f>IFERROR(IF(T_SV_MEDALS[[#This Row],[TOTAL]]=0,"",RANK(T_SV_MEDALS[[#This Row],[RANK VALUE]],T_SV_MEDALS[RANK VALUE])),"")</f>
        <v/>
      </c>
      <c r="I204" s="3" t="str">
        <f>IFERROR(IF(T_SV_MEDALS[[#This Row],[TOTAL]]=0,"",RANK(T_SV_MEDALS[[#This Row],[RANK VALUE]],T_SV_MEDALS[RANK VALUE])+COUNTIF($H$2:H203,H204)),"")</f>
        <v/>
      </c>
      <c r="J204" s="3" t="str">
        <f>IF(I_VIEW=3, COUNTIFS(T_2016_EVENT_RESULTS[SPORT],I_SV_SPORT,T_2016_EVENT_RESULTS[Gold - Country],T_SV_MEDALS[[#This Row],[COUNTRY ABBR]])+COUNTIFS(T_2016_EVENT_RESULTS[SPORT],I_SV_SPORT,T_2016_EVENT_RESULTS[Gold - Country - 2],T_SV_MEDALS[[#This Row],[COUNTRY ABBR]]),"")</f>
        <v/>
      </c>
      <c r="K204" s="3" t="str">
        <f>IF(I_VIEW=3, COUNTIFS(T_2016_EVENT_RESULTS[SPORT],I_SV_SPORT,T_2016_EVENT_RESULTS[Silver - Country],T_SV_MEDALS[[#This Row],[COUNTRY ABBR]])+COUNTIFS(T_2016_EVENT_RESULTS[SPORT],I_SV_SPORT,T_2016_EVENT_RESULTS[Silver - Country - 2],T_SV_MEDALS[[#This Row],[COUNTRY ABBR]])+COUNTIFS(T_2016_EVENT_RESULTS[SPORT],I_SV_SPORT,T_2016_EVENT_RESULTS[Silver - Country - 3],T_SV_MEDALS[[#This Row],[COUNTRY ABBR]]),"")</f>
        <v/>
      </c>
      <c r="L204" s="3" t="str">
        <f>IF(I_VIEW=3, COUNTIFS(T_2016_EVENT_RESULTS[SPORT],I_SV_SPORT,T_2016_EVENT_RESULTS[Bronze - Country],T_SV_MEDALS[[#This Row],[COUNTRY ABBR]])+COUNTIFS(T_2016_EVENT_RESULTS[SPORT],I_SV_SPORT,T_2016_EVENT_RESULTS[Bronze - Country - 2],T_SV_MEDALS[[#This Row],[COUNTRY ABBR]]),"")</f>
        <v/>
      </c>
      <c r="M204" s="3">
        <f>SUM(T_SV_MEDALS[[#This Row],[SV_GOLD]:[SV_BRONZE]])</f>
        <v>0</v>
      </c>
      <c r="N204" s="3" t="str">
        <f>IF(T_SV_MEDALS[[#This Row],[SV_TOTAL]]=0,"",IF(I_RANK_METHOD="TOTAL",(T_SV_MEDALS[[#This Row],[SV_TOTAL]]*10000000),0)+(T_SV_MEDALS[[#This Row],[SV_GOLD]]*100000)+(T_SV_MEDALS[[#This Row],[SV_SILVER]]*1000)+(T_SV_MEDALS[[#This Row],[SV_BRONZE]]*10))</f>
        <v/>
      </c>
      <c r="O204" s="3" t="str">
        <f>IFERROR(IF(T_SV_MEDALS[[#This Row],[SV_TOTAL]]=0,"",RANK(T_SV_MEDALS[[#This Row],[SV_RANK VALUE]],T_SV_MEDALS[SV_RANK VALUE])),"")</f>
        <v/>
      </c>
      <c r="P204" s="3" t="str">
        <f>IFERROR(IF(T_SV_MEDALS[[#This Row],[SV_TOTAL]]=0,"",RANK(T_SV_MEDALS[[#This Row],[SV_RANK VALUE]],T_SV_MEDALS[SV_RANK VALUE])+COUNTIF($O$2:O203,O204)),"")</f>
        <v/>
      </c>
      <c r="Q204" s="3" t="str">
        <f>IFERROR(T_SV_MEDALS[[#This Row],[SV_TOTAL]]/T_SV_MEDALS[[#This Row],[TOTAL]],"")</f>
        <v/>
      </c>
      <c r="R204" s="3" t="str">
        <f>IFERROR(IF(T_SV_MEDALS[[#This Row],[SV_TOTAL]]=0,"",RANK(T_SV_MEDALS[[#This Row],[Dependency - Rank Value]],T_SV_MEDALS[Dependency - Rank Value])+COUNTIF($Q$2:Q203,Q204)),"")</f>
        <v/>
      </c>
    </row>
    <row r="205" spans="1:18" x14ac:dyDescent="0.25">
      <c r="A205" t="s">
        <v>370</v>
      </c>
      <c r="B205" t="s">
        <v>371</v>
      </c>
      <c r="C205" s="3">
        <f>IF(I_VIEW=2,"",COUNTIFS(T_2016_EVENT_RESULTS[Gold - Country],T_SV_MEDALS[[#This Row],[COUNTRY ABBR]])+COUNTIFS(T_2016_EVENT_RESULTS[Gold - Country - 2],T_SV_MEDALS[[#This Row],[COUNTRY ABBR]]))</f>
        <v>0</v>
      </c>
      <c r="D205" s="3">
        <f>IF(I_VIEW=2,"",COUNTIFS(T_2016_EVENT_RESULTS[Silver - Country],T_SV_MEDALS[[#This Row],[COUNTRY ABBR]])+COUNTIFS(T_2016_EVENT_RESULTS[Silver - Country - 2],T_SV_MEDALS[[#This Row],[COUNTRY ABBR]])+COUNTIFS(T_2016_EVENT_RESULTS[Silver - Country - 3],T_SV_MEDALS[[#This Row],[COUNTRY ABBR]]))</f>
        <v>1</v>
      </c>
      <c r="E205" s="3">
        <f>IF(I_VIEW=2,"",COUNTIFS(T_2016_EVENT_RESULTS[Bronze - Country],T_SV_MEDALS[[#This Row],[COUNTRY ABBR]])+COUNTIFS(T_2016_EVENT_RESULTS[Bronze - Country - 2],T_SV_MEDALS[[#This Row],[COUNTRY ABBR]]))</f>
        <v>2</v>
      </c>
      <c r="F205" s="3">
        <f>SUM(T_SV_MEDALS[[#This Row],[GOLD]:[BRONZE]])</f>
        <v>3</v>
      </c>
      <c r="G205" s="3">
        <f>IF(T_SV_MEDALS[[#This Row],[TOTAL]]=0,"",IF(I_RANK_METHOD="TOTAL",(T_SV_MEDALS[[#This Row],[TOTAL]]*10000000),0)+(T_SV_MEDALS[[#This Row],[GOLD]]*100000)+(T_SV_MEDALS[[#This Row],[SILVER]]*1000)+(T_SV_MEDALS[[#This Row],[BRONZE]]*10))</f>
        <v>30001020</v>
      </c>
      <c r="H205" s="3">
        <f>IFERROR(IF(T_SV_MEDALS[[#This Row],[TOTAL]]=0,"",RANK(T_SV_MEDALS[[#This Row],[RANK VALUE]],T_SV_MEDALS[RANK VALUE])),"")</f>
        <v>53</v>
      </c>
      <c r="I205" s="3">
        <f>IFERROR(IF(T_SV_MEDALS[[#This Row],[TOTAL]]=0,"",RANK(T_SV_MEDALS[[#This Row],[RANK VALUE]],T_SV_MEDALS[RANK VALUE])+COUNTIF($H$2:H204,H205)),"")</f>
        <v>54</v>
      </c>
      <c r="J205" s="3" t="str">
        <f>IF(I_VIEW=3, COUNTIFS(T_2016_EVENT_RESULTS[SPORT],I_SV_SPORT,T_2016_EVENT_RESULTS[Gold - Country],T_SV_MEDALS[[#This Row],[COUNTRY ABBR]])+COUNTIFS(T_2016_EVENT_RESULTS[SPORT],I_SV_SPORT,T_2016_EVENT_RESULTS[Gold - Country - 2],T_SV_MEDALS[[#This Row],[COUNTRY ABBR]]),"")</f>
        <v/>
      </c>
      <c r="K205" s="3" t="str">
        <f>IF(I_VIEW=3, COUNTIFS(T_2016_EVENT_RESULTS[SPORT],I_SV_SPORT,T_2016_EVENT_RESULTS[Silver - Country],T_SV_MEDALS[[#This Row],[COUNTRY ABBR]])+COUNTIFS(T_2016_EVENT_RESULTS[SPORT],I_SV_SPORT,T_2016_EVENT_RESULTS[Silver - Country - 2],T_SV_MEDALS[[#This Row],[COUNTRY ABBR]])+COUNTIFS(T_2016_EVENT_RESULTS[SPORT],I_SV_SPORT,T_2016_EVENT_RESULTS[Silver - Country - 3],T_SV_MEDALS[[#This Row],[COUNTRY ABBR]]),"")</f>
        <v/>
      </c>
      <c r="L205" s="3" t="str">
        <f>IF(I_VIEW=3, COUNTIFS(T_2016_EVENT_RESULTS[SPORT],I_SV_SPORT,T_2016_EVENT_RESULTS[Bronze - Country],T_SV_MEDALS[[#This Row],[COUNTRY ABBR]])+COUNTIFS(T_2016_EVENT_RESULTS[SPORT],I_SV_SPORT,T_2016_EVENT_RESULTS[Bronze - Country - 2],T_SV_MEDALS[[#This Row],[COUNTRY ABBR]]),"")</f>
        <v/>
      </c>
      <c r="M205" s="3">
        <f>SUM(T_SV_MEDALS[[#This Row],[SV_GOLD]:[SV_BRONZE]])</f>
        <v>0</v>
      </c>
      <c r="N205" s="3" t="str">
        <f>IF(T_SV_MEDALS[[#This Row],[SV_TOTAL]]=0,"",IF(I_RANK_METHOD="TOTAL",(T_SV_MEDALS[[#This Row],[SV_TOTAL]]*10000000),0)+(T_SV_MEDALS[[#This Row],[SV_GOLD]]*100000)+(T_SV_MEDALS[[#This Row],[SV_SILVER]]*1000)+(T_SV_MEDALS[[#This Row],[SV_BRONZE]]*10))</f>
        <v/>
      </c>
      <c r="O205" s="3" t="str">
        <f>IFERROR(IF(T_SV_MEDALS[[#This Row],[SV_TOTAL]]=0,"",RANK(T_SV_MEDALS[[#This Row],[SV_RANK VALUE]],T_SV_MEDALS[SV_RANK VALUE])),"")</f>
        <v/>
      </c>
      <c r="P205" s="3" t="str">
        <f>IFERROR(IF(T_SV_MEDALS[[#This Row],[SV_TOTAL]]=0,"",RANK(T_SV_MEDALS[[#This Row],[SV_RANK VALUE]],T_SV_MEDALS[SV_RANK VALUE])+COUNTIF($O$2:O204,O205)),"")</f>
        <v/>
      </c>
      <c r="Q205" s="3">
        <f>IFERROR(T_SV_MEDALS[[#This Row],[SV_TOTAL]]/T_SV_MEDALS[[#This Row],[TOTAL]],"")</f>
        <v>0</v>
      </c>
      <c r="R205" s="3" t="str">
        <f>IFERROR(IF(T_SV_MEDALS[[#This Row],[SV_TOTAL]]=0,"",RANK(T_SV_MEDALS[[#This Row],[Dependency - Rank Value]],T_SV_MEDALS[Dependency - Rank Value])+COUNTIF($Q$2:Q211,Q205)),"")</f>
        <v/>
      </c>
    </row>
    <row r="206" spans="1:18" x14ac:dyDescent="0.25">
      <c r="A206" t="s">
        <v>372</v>
      </c>
      <c r="B206" t="s">
        <v>373</v>
      </c>
      <c r="C206" s="3">
        <f>IF(I_VIEW=2,"",COUNTIFS(T_2016_EVENT_RESULTS[Gold - Country],T_SV_MEDALS[[#This Row],[COUNTRY ABBR]])+COUNTIFS(T_2016_EVENT_RESULTS[Gold - Country - 2],T_SV_MEDALS[[#This Row],[COUNTRY ABBR]]))</f>
        <v>1</v>
      </c>
      <c r="D206" s="3">
        <f>IF(I_VIEW=2,"",COUNTIFS(T_2016_EVENT_RESULTS[Silver - Country],T_SV_MEDALS[[#This Row],[COUNTRY ABBR]])+COUNTIFS(T_2016_EVENT_RESULTS[Silver - Country - 2],T_SV_MEDALS[[#This Row],[COUNTRY ABBR]])+COUNTIFS(T_2016_EVENT_RESULTS[Silver - Country - 3],T_SV_MEDALS[[#This Row],[COUNTRY ABBR]]))</f>
        <v>1</v>
      </c>
      <c r="E206" s="3">
        <f>IF(I_VIEW=2,"",COUNTIFS(T_2016_EVENT_RESULTS[Bronze - Country],T_SV_MEDALS[[#This Row],[COUNTRY ABBR]])+COUNTIFS(T_2016_EVENT_RESULTS[Bronze - Country - 2],T_SV_MEDALS[[#This Row],[COUNTRY ABBR]]))</f>
        <v>0</v>
      </c>
      <c r="F206" s="3">
        <f>SUM(T_SV_MEDALS[[#This Row],[GOLD]:[BRONZE]])</f>
        <v>2</v>
      </c>
      <c r="G206" s="3">
        <f>IF(T_SV_MEDALS[[#This Row],[TOTAL]]=0,"",IF(I_RANK_METHOD="TOTAL",(T_SV_MEDALS[[#This Row],[TOTAL]]*10000000),0)+(T_SV_MEDALS[[#This Row],[GOLD]]*100000)+(T_SV_MEDALS[[#This Row],[SILVER]]*1000)+(T_SV_MEDALS[[#This Row],[BRONZE]]*10))</f>
        <v>20101000</v>
      </c>
      <c r="H206" s="3">
        <f>IFERROR(IF(T_SV_MEDALS[[#This Row],[TOTAL]]=0,"",RANK(T_SV_MEDALS[[#This Row],[RANK VALUE]],T_SV_MEDALS[RANK VALUE])),"")</f>
        <v>57</v>
      </c>
      <c r="I206" s="3">
        <f>IFERROR(IF(T_SV_MEDALS[[#This Row],[TOTAL]]=0,"",RANK(T_SV_MEDALS[[#This Row],[RANK VALUE]],T_SV_MEDALS[RANK VALUE])+COUNTIF($H$2:H205,H206)),"")</f>
        <v>58</v>
      </c>
      <c r="J206" s="3" t="str">
        <f>IF(I_VIEW=3, COUNTIFS(T_2016_EVENT_RESULTS[SPORT],I_SV_SPORT,T_2016_EVENT_RESULTS[Gold - Country],T_SV_MEDALS[[#This Row],[COUNTRY ABBR]])+COUNTIFS(T_2016_EVENT_RESULTS[SPORT],I_SV_SPORT,T_2016_EVENT_RESULTS[Gold - Country - 2],T_SV_MEDALS[[#This Row],[COUNTRY ABBR]]),"")</f>
        <v/>
      </c>
      <c r="K206" s="3" t="str">
        <f>IF(I_VIEW=3, COUNTIFS(T_2016_EVENT_RESULTS[SPORT],I_SV_SPORT,T_2016_EVENT_RESULTS[Silver - Country],T_SV_MEDALS[[#This Row],[COUNTRY ABBR]])+COUNTIFS(T_2016_EVENT_RESULTS[SPORT],I_SV_SPORT,T_2016_EVENT_RESULTS[Silver - Country - 2],T_SV_MEDALS[[#This Row],[COUNTRY ABBR]])+COUNTIFS(T_2016_EVENT_RESULTS[SPORT],I_SV_SPORT,T_2016_EVENT_RESULTS[Silver - Country - 3],T_SV_MEDALS[[#This Row],[COUNTRY ABBR]]),"")</f>
        <v/>
      </c>
      <c r="L206" s="3" t="str">
        <f>IF(I_VIEW=3, COUNTIFS(T_2016_EVENT_RESULTS[SPORT],I_SV_SPORT,T_2016_EVENT_RESULTS[Bronze - Country],T_SV_MEDALS[[#This Row],[COUNTRY ABBR]])+COUNTIFS(T_2016_EVENT_RESULTS[SPORT],I_SV_SPORT,T_2016_EVENT_RESULTS[Bronze - Country - 2],T_SV_MEDALS[[#This Row],[COUNTRY ABBR]]),"")</f>
        <v/>
      </c>
      <c r="M206" s="3">
        <f>SUM(T_SV_MEDALS[[#This Row],[SV_GOLD]:[SV_BRONZE]])</f>
        <v>0</v>
      </c>
      <c r="N206" s="3" t="str">
        <f>IF(T_SV_MEDALS[[#This Row],[SV_TOTAL]]=0,"",IF(I_RANK_METHOD="TOTAL",(T_SV_MEDALS[[#This Row],[SV_TOTAL]]*10000000),0)+(T_SV_MEDALS[[#This Row],[SV_GOLD]]*100000)+(T_SV_MEDALS[[#This Row],[SV_SILVER]]*1000)+(T_SV_MEDALS[[#This Row],[SV_BRONZE]]*10))</f>
        <v/>
      </c>
      <c r="O206" s="3" t="str">
        <f>IFERROR(IF(T_SV_MEDALS[[#This Row],[SV_TOTAL]]=0,"",RANK(T_SV_MEDALS[[#This Row],[SV_RANK VALUE]],T_SV_MEDALS[SV_RANK VALUE])),"")</f>
        <v/>
      </c>
      <c r="P206" s="3" t="str">
        <f>IFERROR(IF(T_SV_MEDALS[[#This Row],[SV_TOTAL]]=0,"",RANK(T_SV_MEDALS[[#This Row],[SV_RANK VALUE]],T_SV_MEDALS[SV_RANK VALUE])+COUNTIF($O$2:O205,O206)),"")</f>
        <v/>
      </c>
      <c r="Q206" s="3">
        <f>IFERROR(T_SV_MEDALS[[#This Row],[SV_TOTAL]]/T_SV_MEDALS[[#This Row],[TOTAL]],"")</f>
        <v>0</v>
      </c>
      <c r="R206" s="3" t="str">
        <f>IFERROR(IF(T_SV_MEDALS[[#This Row],[SV_TOTAL]]=0,"",RANK(T_SV_MEDALS[[#This Row],[Dependency - Rank Value]],T_SV_MEDALS[Dependency - Rank Value])+COUNTIF($Q$2:Q205,Q206)),"")</f>
        <v/>
      </c>
    </row>
    <row r="207" spans="1:18" x14ac:dyDescent="0.25">
      <c r="A207" t="s">
        <v>2767</v>
      </c>
      <c r="B207" t="s">
        <v>52</v>
      </c>
      <c r="C207" s="3">
        <f>IF(I_VIEW=2,"",COUNTIFS(T_2016_EVENT_RESULTS[Gold - Country],T_SV_MEDALS[[#This Row],[COUNTRY ABBR]])+COUNTIFS(T_2016_EVENT_RESULTS[Gold - Country - 2],T_SV_MEDALS[[#This Row],[COUNTRY ABBR]]))</f>
        <v>0</v>
      </c>
      <c r="D207" s="3">
        <f>IF(I_VIEW=2,"",COUNTIFS(T_2016_EVENT_RESULTS[Silver - Country],T_SV_MEDALS[[#This Row],[COUNTRY ABBR]])+COUNTIFS(T_2016_EVENT_RESULTS[Silver - Country - 2],T_SV_MEDALS[[#This Row],[COUNTRY ABBR]])+COUNTIFS(T_2016_EVENT_RESULTS[Silver - Country - 3],T_SV_MEDALS[[#This Row],[COUNTRY ABBR]]))</f>
        <v>0</v>
      </c>
      <c r="E207" s="3">
        <f>IF(I_VIEW=2,"",COUNTIFS(T_2016_EVENT_RESULTS[Bronze - Country],T_SV_MEDALS[[#This Row],[COUNTRY ABBR]])+COUNTIFS(T_2016_EVENT_RESULTS[Bronze - Country - 2],T_SV_MEDALS[[#This Row],[COUNTRY ABBR]]))</f>
        <v>0</v>
      </c>
      <c r="F207" s="3">
        <f>SUM(T_SV_MEDALS[[#This Row],[GOLD]:[BRONZE]])</f>
        <v>0</v>
      </c>
      <c r="G207" s="3" t="str">
        <f>IF(T_SV_MEDALS[[#This Row],[TOTAL]]=0,"",IF(I_RANK_METHOD="TOTAL",(T_SV_MEDALS[[#This Row],[TOTAL]]*10000000),0)+(T_SV_MEDALS[[#This Row],[GOLD]]*100000)+(T_SV_MEDALS[[#This Row],[SILVER]]*1000)+(T_SV_MEDALS[[#This Row],[BRONZE]]*10))</f>
        <v/>
      </c>
      <c r="H207" s="3" t="str">
        <f>IFERROR(IF(T_SV_MEDALS[[#This Row],[TOTAL]]=0,"",RANK(T_SV_MEDALS[[#This Row],[RANK VALUE]],T_SV_MEDALS[RANK VALUE])),"")</f>
        <v/>
      </c>
      <c r="I207" s="3" t="str">
        <f>IFERROR(IF(T_SV_MEDALS[[#This Row],[TOTAL]]=0,"",RANK(T_SV_MEDALS[[#This Row],[RANK VALUE]],T_SV_MEDALS[RANK VALUE])+COUNTIF($H$2:H206,H207)),"")</f>
        <v/>
      </c>
      <c r="J207" s="3" t="str">
        <f>IF(I_VIEW=3, COUNTIFS(T_2016_EVENT_RESULTS[SPORT],I_SV_SPORT,T_2016_EVENT_RESULTS[Gold - Country],T_SV_MEDALS[[#This Row],[COUNTRY ABBR]])+COUNTIFS(T_2016_EVENT_RESULTS[SPORT],I_SV_SPORT,T_2016_EVENT_RESULTS[Gold - Country - 2],T_SV_MEDALS[[#This Row],[COUNTRY ABBR]]),"")</f>
        <v/>
      </c>
      <c r="K207" s="3" t="str">
        <f>IF(I_VIEW=3, COUNTIFS(T_2016_EVENT_RESULTS[SPORT],I_SV_SPORT,T_2016_EVENT_RESULTS[Silver - Country],T_SV_MEDALS[[#This Row],[COUNTRY ABBR]])+COUNTIFS(T_2016_EVENT_RESULTS[SPORT],I_SV_SPORT,T_2016_EVENT_RESULTS[Silver - Country - 2],T_SV_MEDALS[[#This Row],[COUNTRY ABBR]])+COUNTIFS(T_2016_EVENT_RESULTS[SPORT],I_SV_SPORT,T_2016_EVENT_RESULTS[Silver - Country - 3],T_SV_MEDALS[[#This Row],[COUNTRY ABBR]]),"")</f>
        <v/>
      </c>
      <c r="L207" s="3" t="str">
        <f>IF(I_VIEW=3, COUNTIFS(T_2016_EVENT_RESULTS[SPORT],I_SV_SPORT,T_2016_EVENT_RESULTS[Bronze - Country],T_SV_MEDALS[[#This Row],[COUNTRY ABBR]])+COUNTIFS(T_2016_EVENT_RESULTS[SPORT],I_SV_SPORT,T_2016_EVENT_RESULTS[Bronze - Country - 2],T_SV_MEDALS[[#This Row],[COUNTRY ABBR]]),"")</f>
        <v/>
      </c>
      <c r="M207" s="3">
        <f>SUM(T_SV_MEDALS[[#This Row],[SV_GOLD]:[SV_BRONZE]])</f>
        <v>0</v>
      </c>
      <c r="N207" s="3" t="str">
        <f>IF(T_SV_MEDALS[[#This Row],[SV_TOTAL]]=0,"",IF(I_RANK_METHOD="TOTAL",(T_SV_MEDALS[[#This Row],[SV_TOTAL]]*10000000),0)+(T_SV_MEDALS[[#This Row],[SV_GOLD]]*100000)+(T_SV_MEDALS[[#This Row],[SV_SILVER]]*1000)+(T_SV_MEDALS[[#This Row],[SV_BRONZE]]*10))</f>
        <v/>
      </c>
      <c r="O207" s="3" t="str">
        <f>IFERROR(IF(T_SV_MEDALS[[#This Row],[SV_TOTAL]]=0,"",RANK(T_SV_MEDALS[[#This Row],[SV_RANK VALUE]],T_SV_MEDALS[SV_RANK VALUE])),"")</f>
        <v/>
      </c>
      <c r="P207" s="3" t="str">
        <f>IFERROR(IF(T_SV_MEDALS[[#This Row],[SV_TOTAL]]=0,"",RANK(T_SV_MEDALS[[#This Row],[SV_RANK VALUE]],T_SV_MEDALS[SV_RANK VALUE])+COUNTIF($O$2:O206,O207)),"")</f>
        <v/>
      </c>
      <c r="Q207" s="3" t="str">
        <f>IFERROR(T_SV_MEDALS[[#This Row],[SV_TOTAL]]/T_SV_MEDALS[[#This Row],[TOTAL]],"")</f>
        <v/>
      </c>
      <c r="R207" s="3" t="str">
        <f>IFERROR(IF(T_SV_MEDALS[[#This Row],[SV_TOTAL]]=0,"",RANK(T_SV_MEDALS[[#This Row],[Dependency - Rank Value]],T_SV_MEDALS[Dependency - Rank Value])+COUNTIF($Q$2:Q206,Q207)),"")</f>
        <v/>
      </c>
    </row>
    <row r="208" spans="1:18" x14ac:dyDescent="0.25">
      <c r="A208" t="s">
        <v>2778</v>
      </c>
      <c r="B208" t="s">
        <v>374</v>
      </c>
      <c r="C208" s="3">
        <f>IF(I_VIEW=2,"",COUNTIFS(T_2016_EVENT_RESULTS[Gold - Country],T_SV_MEDALS[[#This Row],[COUNTRY ABBR]])+COUNTIFS(T_2016_EVENT_RESULTS[Gold - Country - 2],T_SV_MEDALS[[#This Row],[COUNTRY ABBR]]))</f>
        <v>0</v>
      </c>
      <c r="D208" s="3">
        <f>IF(I_VIEW=2,"",COUNTIFS(T_2016_EVENT_RESULTS[Silver - Country],T_SV_MEDALS[[#This Row],[COUNTRY ABBR]])+COUNTIFS(T_2016_EVENT_RESULTS[Silver - Country - 2],T_SV_MEDALS[[#This Row],[COUNTRY ABBR]])+COUNTIFS(T_2016_EVENT_RESULTS[Silver - Country - 3],T_SV_MEDALS[[#This Row],[COUNTRY ABBR]]))</f>
        <v>0</v>
      </c>
      <c r="E208" s="3">
        <f>IF(I_VIEW=2,"",COUNTIFS(T_2016_EVENT_RESULTS[Bronze - Country],T_SV_MEDALS[[#This Row],[COUNTRY ABBR]])+COUNTIFS(T_2016_EVENT_RESULTS[Bronze - Country - 2],T_SV_MEDALS[[#This Row],[COUNTRY ABBR]]))</f>
        <v>0</v>
      </c>
      <c r="F208" s="3">
        <f>SUM(T_SV_MEDALS[[#This Row],[GOLD]:[BRONZE]])</f>
        <v>0</v>
      </c>
      <c r="G208" s="3" t="str">
        <f>IF(T_SV_MEDALS[[#This Row],[TOTAL]]=0,"",IF(I_RANK_METHOD="TOTAL",(T_SV_MEDALS[[#This Row],[TOTAL]]*10000000),0)+(T_SV_MEDALS[[#This Row],[GOLD]]*100000)+(T_SV_MEDALS[[#This Row],[SILVER]]*1000)+(T_SV_MEDALS[[#This Row],[BRONZE]]*10))</f>
        <v/>
      </c>
      <c r="H208" s="3" t="str">
        <f>IFERROR(IF(T_SV_MEDALS[[#This Row],[TOTAL]]=0,"",RANK(T_SV_MEDALS[[#This Row],[RANK VALUE]],T_SV_MEDALS[RANK VALUE])),"")</f>
        <v/>
      </c>
      <c r="I208" s="3" t="str">
        <f>IFERROR(IF(T_SV_MEDALS[[#This Row],[TOTAL]]=0,"",RANK(T_SV_MEDALS[[#This Row],[RANK VALUE]],T_SV_MEDALS[RANK VALUE])+COUNTIF($H$2:H207,H208)),"")</f>
        <v/>
      </c>
      <c r="J208" s="3" t="str">
        <f>IF(I_VIEW=3, COUNTIFS(T_2016_EVENT_RESULTS[SPORT],I_SV_SPORT,T_2016_EVENT_RESULTS[Gold - Country],T_SV_MEDALS[[#This Row],[COUNTRY ABBR]])+COUNTIFS(T_2016_EVENT_RESULTS[SPORT],I_SV_SPORT,T_2016_EVENT_RESULTS[Gold - Country - 2],T_SV_MEDALS[[#This Row],[COUNTRY ABBR]]),"")</f>
        <v/>
      </c>
      <c r="K208" s="3" t="str">
        <f>IF(I_VIEW=3, COUNTIFS(T_2016_EVENT_RESULTS[SPORT],I_SV_SPORT,T_2016_EVENT_RESULTS[Silver - Country],T_SV_MEDALS[[#This Row],[COUNTRY ABBR]])+COUNTIFS(T_2016_EVENT_RESULTS[SPORT],I_SV_SPORT,T_2016_EVENT_RESULTS[Silver - Country - 2],T_SV_MEDALS[[#This Row],[COUNTRY ABBR]])+COUNTIFS(T_2016_EVENT_RESULTS[SPORT],I_SV_SPORT,T_2016_EVENT_RESULTS[Silver - Country - 3],T_SV_MEDALS[[#This Row],[COUNTRY ABBR]]),"")</f>
        <v/>
      </c>
      <c r="L208" s="3" t="str">
        <f>IF(I_VIEW=3, COUNTIFS(T_2016_EVENT_RESULTS[SPORT],I_SV_SPORT,T_2016_EVENT_RESULTS[Bronze - Country],T_SV_MEDALS[[#This Row],[COUNTRY ABBR]])+COUNTIFS(T_2016_EVENT_RESULTS[SPORT],I_SV_SPORT,T_2016_EVENT_RESULTS[Bronze - Country - 2],T_SV_MEDALS[[#This Row],[COUNTRY ABBR]]),"")</f>
        <v/>
      </c>
      <c r="M208" s="3">
        <f>SUM(T_SV_MEDALS[[#This Row],[SV_GOLD]:[SV_BRONZE]])</f>
        <v>0</v>
      </c>
      <c r="N208" s="3" t="str">
        <f>IF(T_SV_MEDALS[[#This Row],[SV_TOTAL]]=0,"",IF(I_RANK_METHOD="TOTAL",(T_SV_MEDALS[[#This Row],[SV_TOTAL]]*10000000),0)+(T_SV_MEDALS[[#This Row],[SV_GOLD]]*100000)+(T_SV_MEDALS[[#This Row],[SV_SILVER]]*1000)+(T_SV_MEDALS[[#This Row],[SV_BRONZE]]*10))</f>
        <v/>
      </c>
      <c r="O208" s="3" t="str">
        <f>IFERROR(IF(T_SV_MEDALS[[#This Row],[SV_TOTAL]]=0,"",RANK(T_SV_MEDALS[[#This Row],[SV_RANK VALUE]],T_SV_MEDALS[SV_RANK VALUE])),"")</f>
        <v/>
      </c>
      <c r="P208" s="3" t="str">
        <f>IFERROR(IF(T_SV_MEDALS[[#This Row],[SV_TOTAL]]=0,"",RANK(T_SV_MEDALS[[#This Row],[SV_RANK VALUE]],T_SV_MEDALS[SV_RANK VALUE])+COUNTIF($O$2:O207,O208)),"")</f>
        <v/>
      </c>
      <c r="Q208" s="3" t="str">
        <f>IFERROR(T_SV_MEDALS[[#This Row],[SV_TOTAL]]/T_SV_MEDALS[[#This Row],[TOTAL]],"")</f>
        <v/>
      </c>
      <c r="R208" s="3" t="str">
        <f>IFERROR(IF(T_SV_MEDALS[[#This Row],[SV_TOTAL]]=0,"",RANK(T_SV_MEDALS[[#This Row],[Dependency - Rank Value]],T_SV_MEDALS[Dependency - Rank Value])+COUNTIF($Q$2:Q207,Q208)),"")</f>
        <v/>
      </c>
    </row>
    <row r="209" spans="1:18" x14ac:dyDescent="0.25">
      <c r="A209" t="s">
        <v>375</v>
      </c>
      <c r="B209" t="s">
        <v>376</v>
      </c>
      <c r="C209" s="3">
        <f>IF(I_VIEW=2,"",COUNTIFS(T_2016_EVENT_RESULTS[Gold - Country],T_SV_MEDALS[[#This Row],[COUNTRY ABBR]])+COUNTIFS(T_2016_EVENT_RESULTS[Gold - Country - 2],T_SV_MEDALS[[#This Row],[COUNTRY ABBR]]))</f>
        <v>0</v>
      </c>
      <c r="D209" s="3">
        <f>IF(I_VIEW=2,"",COUNTIFS(T_2016_EVENT_RESULTS[Silver - Country],T_SV_MEDALS[[#This Row],[COUNTRY ABBR]])+COUNTIFS(T_2016_EVENT_RESULTS[Silver - Country - 2],T_SV_MEDALS[[#This Row],[COUNTRY ABBR]])+COUNTIFS(T_2016_EVENT_RESULTS[Silver - Country - 3],T_SV_MEDALS[[#This Row],[COUNTRY ABBR]]))</f>
        <v>0</v>
      </c>
      <c r="E209" s="3">
        <f>IF(I_VIEW=2,"",COUNTIFS(T_2016_EVENT_RESULTS[Bronze - Country],T_SV_MEDALS[[#This Row],[COUNTRY ABBR]])+COUNTIFS(T_2016_EVENT_RESULTS[Bronze - Country - 2],T_SV_MEDALS[[#This Row],[COUNTRY ABBR]]))</f>
        <v>0</v>
      </c>
      <c r="F209" s="3">
        <f>SUM(T_SV_MEDALS[[#This Row],[GOLD]:[BRONZE]])</f>
        <v>0</v>
      </c>
      <c r="G209" s="3" t="str">
        <f>IF(T_SV_MEDALS[[#This Row],[TOTAL]]=0,"",IF(I_RANK_METHOD="TOTAL",(T_SV_MEDALS[[#This Row],[TOTAL]]*10000000),0)+(T_SV_MEDALS[[#This Row],[GOLD]]*100000)+(T_SV_MEDALS[[#This Row],[SILVER]]*1000)+(T_SV_MEDALS[[#This Row],[BRONZE]]*10))</f>
        <v/>
      </c>
      <c r="H209" s="3" t="str">
        <f>IFERROR(IF(T_SV_MEDALS[[#This Row],[TOTAL]]=0,"",RANK(T_SV_MEDALS[[#This Row],[RANK VALUE]],T_SV_MEDALS[RANK VALUE])),"")</f>
        <v/>
      </c>
      <c r="I209" s="3" t="str">
        <f>IFERROR(IF(T_SV_MEDALS[[#This Row],[TOTAL]]=0,"",RANK(T_SV_MEDALS[[#This Row],[RANK VALUE]],T_SV_MEDALS[RANK VALUE])+COUNTIF($H$2:H208,H209)),"")</f>
        <v/>
      </c>
      <c r="J209" s="3" t="str">
        <f>IF(I_VIEW=3, COUNTIFS(T_2016_EVENT_RESULTS[SPORT],I_SV_SPORT,T_2016_EVENT_RESULTS[Gold - Country],T_SV_MEDALS[[#This Row],[COUNTRY ABBR]])+COUNTIFS(T_2016_EVENT_RESULTS[SPORT],I_SV_SPORT,T_2016_EVENT_RESULTS[Gold - Country - 2],T_SV_MEDALS[[#This Row],[COUNTRY ABBR]]),"")</f>
        <v/>
      </c>
      <c r="K209" s="3" t="str">
        <f>IF(I_VIEW=3, COUNTIFS(T_2016_EVENT_RESULTS[SPORT],I_SV_SPORT,T_2016_EVENT_RESULTS[Silver - Country],T_SV_MEDALS[[#This Row],[COUNTRY ABBR]])+COUNTIFS(T_2016_EVENT_RESULTS[SPORT],I_SV_SPORT,T_2016_EVENT_RESULTS[Silver - Country - 2],T_SV_MEDALS[[#This Row],[COUNTRY ABBR]])+COUNTIFS(T_2016_EVENT_RESULTS[SPORT],I_SV_SPORT,T_2016_EVENT_RESULTS[Silver - Country - 3],T_SV_MEDALS[[#This Row],[COUNTRY ABBR]]),"")</f>
        <v/>
      </c>
      <c r="L209" s="3" t="str">
        <f>IF(I_VIEW=3, COUNTIFS(T_2016_EVENT_RESULTS[SPORT],I_SV_SPORT,T_2016_EVENT_RESULTS[Bronze - Country],T_SV_MEDALS[[#This Row],[COUNTRY ABBR]])+COUNTIFS(T_2016_EVENT_RESULTS[SPORT],I_SV_SPORT,T_2016_EVENT_RESULTS[Bronze - Country - 2],T_SV_MEDALS[[#This Row],[COUNTRY ABBR]]),"")</f>
        <v/>
      </c>
      <c r="M209" s="3">
        <f>SUM(T_SV_MEDALS[[#This Row],[SV_GOLD]:[SV_BRONZE]])</f>
        <v>0</v>
      </c>
      <c r="N209" s="3" t="str">
        <f>IF(T_SV_MEDALS[[#This Row],[SV_TOTAL]]=0,"",IF(I_RANK_METHOD="TOTAL",(T_SV_MEDALS[[#This Row],[SV_TOTAL]]*10000000),0)+(T_SV_MEDALS[[#This Row],[SV_GOLD]]*100000)+(T_SV_MEDALS[[#This Row],[SV_SILVER]]*1000)+(T_SV_MEDALS[[#This Row],[SV_BRONZE]]*10))</f>
        <v/>
      </c>
      <c r="O209" s="3" t="str">
        <f>IFERROR(IF(T_SV_MEDALS[[#This Row],[SV_TOTAL]]=0,"",RANK(T_SV_MEDALS[[#This Row],[SV_RANK VALUE]],T_SV_MEDALS[SV_RANK VALUE])),"")</f>
        <v/>
      </c>
      <c r="P209" s="3" t="str">
        <f>IFERROR(IF(T_SV_MEDALS[[#This Row],[SV_TOTAL]]=0,"",RANK(T_SV_MEDALS[[#This Row],[SV_RANK VALUE]],T_SV_MEDALS[SV_RANK VALUE])+COUNTIF($O$2:O208,O209)),"")</f>
        <v/>
      </c>
      <c r="Q209" s="3" t="str">
        <f>IFERROR(T_SV_MEDALS[[#This Row],[SV_TOTAL]]/T_SV_MEDALS[[#This Row],[TOTAL]],"")</f>
        <v/>
      </c>
      <c r="R209" s="3" t="str">
        <f>IFERROR(IF(T_SV_MEDALS[[#This Row],[SV_TOTAL]]=0,"",RANK(T_SV_MEDALS[[#This Row],[Dependency - Rank Value]],T_SV_MEDALS[Dependency - Rank Value])+COUNTIF($Q$2:Q208,Q209)),"")</f>
        <v/>
      </c>
    </row>
    <row r="210" spans="1:18" x14ac:dyDescent="0.25">
      <c r="A210" t="s">
        <v>377</v>
      </c>
      <c r="B210" t="s">
        <v>378</v>
      </c>
      <c r="C210" s="3">
        <f>IF(I_VIEW=2,"",COUNTIFS(T_2016_EVENT_RESULTS[Gold - Country],T_SV_MEDALS[[#This Row],[COUNTRY ABBR]])+COUNTIFS(T_2016_EVENT_RESULTS[Gold - Country - 2],T_SV_MEDALS[[#This Row],[COUNTRY ABBR]]))</f>
        <v>0</v>
      </c>
      <c r="D210" s="3">
        <f>IF(I_VIEW=2,"",COUNTIFS(T_2016_EVENT_RESULTS[Silver - Country],T_SV_MEDALS[[#This Row],[COUNTRY ABBR]])+COUNTIFS(T_2016_EVENT_RESULTS[Silver - Country - 2],T_SV_MEDALS[[#This Row],[COUNTRY ABBR]])+COUNTIFS(T_2016_EVENT_RESULTS[Silver - Country - 3],T_SV_MEDALS[[#This Row],[COUNTRY ABBR]]))</f>
        <v>0</v>
      </c>
      <c r="E210" s="3">
        <f>IF(I_VIEW=2,"",COUNTIFS(T_2016_EVENT_RESULTS[Bronze - Country],T_SV_MEDALS[[#This Row],[COUNTRY ABBR]])+COUNTIFS(T_2016_EVENT_RESULTS[Bronze - Country - 2],T_SV_MEDALS[[#This Row],[COUNTRY ABBR]]))</f>
        <v>0</v>
      </c>
      <c r="F210" s="3">
        <f>SUM(T_SV_MEDALS[[#This Row],[GOLD]:[BRONZE]])</f>
        <v>0</v>
      </c>
      <c r="G210" s="3" t="str">
        <f>IF(T_SV_MEDALS[[#This Row],[TOTAL]]=0,"",IF(I_RANK_METHOD="TOTAL",(T_SV_MEDALS[[#This Row],[TOTAL]]*10000000),0)+(T_SV_MEDALS[[#This Row],[GOLD]]*100000)+(T_SV_MEDALS[[#This Row],[SILVER]]*1000)+(T_SV_MEDALS[[#This Row],[BRONZE]]*10))</f>
        <v/>
      </c>
      <c r="H210" s="3" t="str">
        <f>IFERROR(IF(T_SV_MEDALS[[#This Row],[TOTAL]]=0,"",RANK(T_SV_MEDALS[[#This Row],[RANK VALUE]],T_SV_MEDALS[RANK VALUE])),"")</f>
        <v/>
      </c>
      <c r="I210" s="3" t="str">
        <f>IFERROR(IF(T_SV_MEDALS[[#This Row],[TOTAL]]=0,"",RANK(T_SV_MEDALS[[#This Row],[RANK VALUE]],T_SV_MEDALS[RANK VALUE])+COUNTIF($H$2:H209,H210)),"")</f>
        <v/>
      </c>
      <c r="J210" s="3" t="str">
        <f>IF(I_VIEW=3, COUNTIFS(T_2016_EVENT_RESULTS[SPORT],I_SV_SPORT,T_2016_EVENT_RESULTS[Gold - Country],T_SV_MEDALS[[#This Row],[COUNTRY ABBR]])+COUNTIFS(T_2016_EVENT_RESULTS[SPORT],I_SV_SPORT,T_2016_EVENT_RESULTS[Gold - Country - 2],T_SV_MEDALS[[#This Row],[COUNTRY ABBR]]),"")</f>
        <v/>
      </c>
      <c r="K210" s="3" t="str">
        <f>IF(I_VIEW=3, COUNTIFS(T_2016_EVENT_RESULTS[SPORT],I_SV_SPORT,T_2016_EVENT_RESULTS[Silver - Country],T_SV_MEDALS[[#This Row],[COUNTRY ABBR]])+COUNTIFS(T_2016_EVENT_RESULTS[SPORT],I_SV_SPORT,T_2016_EVENT_RESULTS[Silver - Country - 2],T_SV_MEDALS[[#This Row],[COUNTRY ABBR]])+COUNTIFS(T_2016_EVENT_RESULTS[SPORT],I_SV_SPORT,T_2016_EVENT_RESULTS[Silver - Country - 3],T_SV_MEDALS[[#This Row],[COUNTRY ABBR]]),"")</f>
        <v/>
      </c>
      <c r="L210" s="3" t="str">
        <f>IF(I_VIEW=3, COUNTIFS(T_2016_EVENT_RESULTS[SPORT],I_SV_SPORT,T_2016_EVENT_RESULTS[Bronze - Country],T_SV_MEDALS[[#This Row],[COUNTRY ABBR]])+COUNTIFS(T_2016_EVENT_RESULTS[SPORT],I_SV_SPORT,T_2016_EVENT_RESULTS[Bronze - Country - 2],T_SV_MEDALS[[#This Row],[COUNTRY ABBR]]),"")</f>
        <v/>
      </c>
      <c r="M210" s="3">
        <f>SUM(T_SV_MEDALS[[#This Row],[SV_GOLD]:[SV_BRONZE]])</f>
        <v>0</v>
      </c>
      <c r="N210" s="3" t="str">
        <f>IF(T_SV_MEDALS[[#This Row],[SV_TOTAL]]=0,"",IF(I_RANK_METHOD="TOTAL",(T_SV_MEDALS[[#This Row],[SV_TOTAL]]*10000000),0)+(T_SV_MEDALS[[#This Row],[SV_GOLD]]*100000)+(T_SV_MEDALS[[#This Row],[SV_SILVER]]*1000)+(T_SV_MEDALS[[#This Row],[SV_BRONZE]]*10))</f>
        <v/>
      </c>
      <c r="O210" s="3" t="str">
        <f>IFERROR(IF(T_SV_MEDALS[[#This Row],[SV_TOTAL]]=0,"",RANK(T_SV_MEDALS[[#This Row],[SV_RANK VALUE]],T_SV_MEDALS[SV_RANK VALUE])),"")</f>
        <v/>
      </c>
      <c r="P210" s="3" t="str">
        <f>IFERROR(IF(T_SV_MEDALS[[#This Row],[SV_TOTAL]]=0,"",RANK(T_SV_MEDALS[[#This Row],[SV_RANK VALUE]],T_SV_MEDALS[SV_RANK VALUE])+COUNTIF($O$2:O209,O210)),"")</f>
        <v/>
      </c>
      <c r="Q210" s="3" t="str">
        <f>IFERROR(T_SV_MEDALS[[#This Row],[SV_TOTAL]]/T_SV_MEDALS[[#This Row],[TOTAL]],"")</f>
        <v/>
      </c>
      <c r="R210" s="3" t="str">
        <f>IFERROR(IF(T_SV_MEDALS[[#This Row],[SV_TOTAL]]=0,"",RANK(T_SV_MEDALS[[#This Row],[Dependency - Rank Value]],T_SV_MEDALS[Dependency - Rank Value])+COUNTIF($Q$2:Q209,Q210)),"")</f>
        <v/>
      </c>
    </row>
    <row r="211" spans="1:18" x14ac:dyDescent="0.25">
      <c r="A211" t="s">
        <v>379</v>
      </c>
      <c r="B211" t="s">
        <v>380</v>
      </c>
      <c r="C211" s="3">
        <f>IF(I_VIEW=2,"",COUNTIFS(T_2016_EVENT_RESULTS[Gold - Country],T_SV_MEDALS[[#This Row],[COUNTRY ABBR]])+COUNTIFS(T_2016_EVENT_RESULTS[Gold - Country - 2],T_SV_MEDALS[[#This Row],[COUNTRY ABBR]]))</f>
        <v>0</v>
      </c>
      <c r="D211" s="3">
        <f>IF(I_VIEW=2,"",COUNTIFS(T_2016_EVENT_RESULTS[Silver - Country],T_SV_MEDALS[[#This Row],[COUNTRY ABBR]])+COUNTIFS(T_2016_EVENT_RESULTS[Silver - Country - 2],T_SV_MEDALS[[#This Row],[COUNTRY ABBR]])+COUNTIFS(T_2016_EVENT_RESULTS[Silver - Country - 3],T_SV_MEDALS[[#This Row],[COUNTRY ABBR]]))</f>
        <v>0</v>
      </c>
      <c r="E211" s="3">
        <f>IF(I_VIEW=2,"",COUNTIFS(T_2016_EVENT_RESULTS[Bronze - Country],T_SV_MEDALS[[#This Row],[COUNTRY ABBR]])+COUNTIFS(T_2016_EVENT_RESULTS[Bronze - Country - 2],T_SV_MEDALS[[#This Row],[COUNTRY ABBR]]))</f>
        <v>0</v>
      </c>
      <c r="F211" s="3">
        <f>SUM(T_SV_MEDALS[[#This Row],[GOLD]:[BRONZE]])</f>
        <v>0</v>
      </c>
      <c r="G211" s="3" t="str">
        <f>IF(T_SV_MEDALS[[#This Row],[TOTAL]]=0,"",IF(I_RANK_METHOD="TOTAL",(T_SV_MEDALS[[#This Row],[TOTAL]]*10000000),0)+(T_SV_MEDALS[[#This Row],[GOLD]]*100000)+(T_SV_MEDALS[[#This Row],[SILVER]]*1000)+(T_SV_MEDALS[[#This Row],[BRONZE]]*10))</f>
        <v/>
      </c>
      <c r="H211" s="3" t="str">
        <f>IFERROR(IF(T_SV_MEDALS[[#This Row],[TOTAL]]=0,"",RANK(T_SV_MEDALS[[#This Row],[RANK VALUE]],T_SV_MEDALS[RANK VALUE])),"")</f>
        <v/>
      </c>
      <c r="I211" s="3" t="str">
        <f>IFERROR(IF(T_SV_MEDALS[[#This Row],[TOTAL]]=0,"",RANK(T_SV_MEDALS[[#This Row],[RANK VALUE]],T_SV_MEDALS[RANK VALUE])+COUNTIF($H$2:H210,H211)),"")</f>
        <v/>
      </c>
      <c r="J211" s="3" t="str">
        <f>IF(I_VIEW=3, COUNTIFS(T_2016_EVENT_RESULTS[SPORT],I_SV_SPORT,T_2016_EVENT_RESULTS[Gold - Country],T_SV_MEDALS[[#This Row],[COUNTRY ABBR]])+COUNTIFS(T_2016_EVENT_RESULTS[SPORT],I_SV_SPORT,T_2016_EVENT_RESULTS[Gold - Country - 2],T_SV_MEDALS[[#This Row],[COUNTRY ABBR]]),"")</f>
        <v/>
      </c>
      <c r="K211" s="3" t="str">
        <f>IF(I_VIEW=3, COUNTIFS(T_2016_EVENT_RESULTS[SPORT],I_SV_SPORT,T_2016_EVENT_RESULTS[Silver - Country],T_SV_MEDALS[[#This Row],[COUNTRY ABBR]])+COUNTIFS(T_2016_EVENT_RESULTS[SPORT],I_SV_SPORT,T_2016_EVENT_RESULTS[Silver - Country - 2],T_SV_MEDALS[[#This Row],[COUNTRY ABBR]])+COUNTIFS(T_2016_EVENT_RESULTS[SPORT],I_SV_SPORT,T_2016_EVENT_RESULTS[Silver - Country - 3],T_SV_MEDALS[[#This Row],[COUNTRY ABBR]]),"")</f>
        <v/>
      </c>
      <c r="L211" s="3" t="str">
        <f>IF(I_VIEW=3, COUNTIFS(T_2016_EVENT_RESULTS[SPORT],I_SV_SPORT,T_2016_EVENT_RESULTS[Bronze - Country],T_SV_MEDALS[[#This Row],[COUNTRY ABBR]])+COUNTIFS(T_2016_EVENT_RESULTS[SPORT],I_SV_SPORT,T_2016_EVENT_RESULTS[Bronze - Country - 2],T_SV_MEDALS[[#This Row],[COUNTRY ABBR]]),"")</f>
        <v/>
      </c>
      <c r="M211" s="3">
        <f>SUM(T_SV_MEDALS[[#This Row],[SV_GOLD]:[SV_BRONZE]])</f>
        <v>0</v>
      </c>
      <c r="N211" s="3" t="str">
        <f>IF(T_SV_MEDALS[[#This Row],[SV_TOTAL]]=0,"",IF(I_RANK_METHOD="TOTAL",(T_SV_MEDALS[[#This Row],[SV_TOTAL]]*10000000),0)+(T_SV_MEDALS[[#This Row],[SV_GOLD]]*100000)+(T_SV_MEDALS[[#This Row],[SV_SILVER]]*1000)+(T_SV_MEDALS[[#This Row],[SV_BRONZE]]*10))</f>
        <v/>
      </c>
      <c r="O211" s="3" t="str">
        <f>IFERROR(IF(T_SV_MEDALS[[#This Row],[SV_TOTAL]]=0,"",RANK(T_SV_MEDALS[[#This Row],[SV_RANK VALUE]],T_SV_MEDALS[SV_RANK VALUE])),"")</f>
        <v/>
      </c>
      <c r="P211" s="3" t="str">
        <f>IFERROR(IF(T_SV_MEDALS[[#This Row],[SV_TOTAL]]=0,"",RANK(T_SV_MEDALS[[#This Row],[SV_RANK VALUE]],T_SV_MEDALS[SV_RANK VALUE])+COUNTIF($O$2:O210,O211)),"")</f>
        <v/>
      </c>
      <c r="Q211" s="3" t="str">
        <f>IFERROR(T_SV_MEDALS[[#This Row],[SV_TOTAL]]/T_SV_MEDALS[[#This Row],[TOTAL]],"")</f>
        <v/>
      </c>
      <c r="R211" s="3" t="str">
        <f>IFERROR(IF(T_SV_MEDALS[[#This Row],[SV_TOTAL]]=0,"",RANK(T_SV_MEDALS[[#This Row],[Dependency - Rank Value]],T_SV_MEDALS[Dependency - Rank Value])+COUNTIF($Q$2:Q210,Q211)),"")</f>
        <v/>
      </c>
    </row>
  </sheetData>
  <pageMargins left="0.7" right="0.7" top="0.75" bottom="0.75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7">
    <tabColor rgb="FF00B0F0"/>
  </sheetPr>
  <dimension ref="A1:C215"/>
  <sheetViews>
    <sheetView showGridLines="0" topLeftCell="A174" zoomScale="85" zoomScaleNormal="85" workbookViewId="0">
      <selection activeCell="G178" sqref="G178"/>
    </sheetView>
  </sheetViews>
  <sheetFormatPr defaultRowHeight="15" x14ac:dyDescent="0.25"/>
  <cols>
    <col min="1" max="1" width="32.5703125" bestFit="1" customWidth="1"/>
    <col min="2" max="2" width="32.140625" bestFit="1" customWidth="1"/>
    <col min="3" max="3" width="17.140625" customWidth="1"/>
    <col min="4" max="4" width="5.85546875" customWidth="1"/>
  </cols>
  <sheetData>
    <row r="1" spans="1:3" ht="16.5" x14ac:dyDescent="0.3">
      <c r="A1" s="42" t="s">
        <v>0</v>
      </c>
      <c r="B1" s="42" t="s">
        <v>1</v>
      </c>
      <c r="C1" s="42" t="s">
        <v>452</v>
      </c>
    </row>
    <row r="2" spans="1:3" ht="57" customHeight="1" x14ac:dyDescent="0.3">
      <c r="A2" s="42" t="s">
        <v>2</v>
      </c>
      <c r="B2" s="42" t="s">
        <v>3</v>
      </c>
      <c r="C2" s="42"/>
    </row>
    <row r="3" spans="1:3" ht="57" customHeight="1" x14ac:dyDescent="0.3">
      <c r="A3" s="42" t="s">
        <v>4</v>
      </c>
      <c r="B3" s="42" t="s">
        <v>5</v>
      </c>
      <c r="C3" s="42"/>
    </row>
    <row r="4" spans="1:3" ht="57" customHeight="1" x14ac:dyDescent="0.3">
      <c r="A4" s="42" t="s">
        <v>6</v>
      </c>
      <c r="B4" s="42" t="s">
        <v>7</v>
      </c>
      <c r="C4" s="42"/>
    </row>
    <row r="5" spans="1:3" ht="57" customHeight="1" x14ac:dyDescent="0.3">
      <c r="A5" s="42" t="s">
        <v>450</v>
      </c>
      <c r="B5" s="42" t="s">
        <v>8</v>
      </c>
      <c r="C5" s="42"/>
    </row>
    <row r="6" spans="1:3" ht="57" customHeight="1" x14ac:dyDescent="0.3">
      <c r="A6" s="42" t="s">
        <v>9</v>
      </c>
      <c r="B6" s="42" t="s">
        <v>10</v>
      </c>
      <c r="C6" s="42"/>
    </row>
    <row r="7" spans="1:3" ht="57" customHeight="1" x14ac:dyDescent="0.3">
      <c r="A7" s="42" t="s">
        <v>11</v>
      </c>
      <c r="B7" s="42" t="s">
        <v>12</v>
      </c>
      <c r="C7" s="42"/>
    </row>
    <row r="8" spans="1:3" ht="57" customHeight="1" x14ac:dyDescent="0.3">
      <c r="A8" s="42" t="s">
        <v>13</v>
      </c>
      <c r="B8" s="42" t="s">
        <v>14</v>
      </c>
      <c r="C8" s="42"/>
    </row>
    <row r="9" spans="1:3" ht="57" customHeight="1" x14ac:dyDescent="0.3">
      <c r="A9" s="42" t="s">
        <v>15</v>
      </c>
      <c r="B9" s="42" t="s">
        <v>16</v>
      </c>
      <c r="C9" s="42"/>
    </row>
    <row r="10" spans="1:3" ht="57" customHeight="1" x14ac:dyDescent="0.3">
      <c r="A10" s="42" t="s">
        <v>17</v>
      </c>
      <c r="B10" s="42" t="s">
        <v>18</v>
      </c>
      <c r="C10" s="42"/>
    </row>
    <row r="11" spans="1:3" ht="57" customHeight="1" x14ac:dyDescent="0.3">
      <c r="A11" s="42" t="s">
        <v>451</v>
      </c>
      <c r="B11" s="42" t="s">
        <v>19</v>
      </c>
      <c r="C11" s="42"/>
    </row>
    <row r="12" spans="1:3" ht="57" customHeight="1" x14ac:dyDescent="0.3">
      <c r="A12" s="42" t="s">
        <v>20</v>
      </c>
      <c r="B12" s="42" t="s">
        <v>21</v>
      </c>
      <c r="C12" s="42"/>
    </row>
    <row r="13" spans="1:3" ht="57" customHeight="1" x14ac:dyDescent="0.3">
      <c r="A13" s="42" t="s">
        <v>22</v>
      </c>
      <c r="B13" s="42" t="s">
        <v>23</v>
      </c>
      <c r="C13" s="42"/>
    </row>
    <row r="14" spans="1:3" ht="57" customHeight="1" x14ac:dyDescent="0.3">
      <c r="A14" s="42" t="s">
        <v>24</v>
      </c>
      <c r="B14" s="42" t="s">
        <v>25</v>
      </c>
      <c r="C14" s="42"/>
    </row>
    <row r="15" spans="1:3" ht="57" customHeight="1" x14ac:dyDescent="0.3">
      <c r="A15" s="42" t="s">
        <v>26</v>
      </c>
      <c r="B15" s="42" t="s">
        <v>27</v>
      </c>
      <c r="C15" s="42"/>
    </row>
    <row r="16" spans="1:3" ht="57" customHeight="1" x14ac:dyDescent="0.3">
      <c r="A16" s="42" t="s">
        <v>28</v>
      </c>
      <c r="B16" s="42" t="s">
        <v>29</v>
      </c>
      <c r="C16" s="42"/>
    </row>
    <row r="17" spans="1:3" ht="57" customHeight="1" x14ac:dyDescent="0.3">
      <c r="A17" s="42" t="s">
        <v>30</v>
      </c>
      <c r="B17" s="42" t="s">
        <v>31</v>
      </c>
      <c r="C17" s="42"/>
    </row>
    <row r="18" spans="1:3" ht="57" customHeight="1" x14ac:dyDescent="0.3">
      <c r="A18" s="42" t="s">
        <v>32</v>
      </c>
      <c r="B18" s="42" t="s">
        <v>33</v>
      </c>
      <c r="C18" s="42"/>
    </row>
    <row r="19" spans="1:3" ht="57" customHeight="1" x14ac:dyDescent="0.3">
      <c r="A19" s="42" t="s">
        <v>34</v>
      </c>
      <c r="B19" s="42" t="s">
        <v>35</v>
      </c>
      <c r="C19" s="42"/>
    </row>
    <row r="20" spans="1:3" ht="57" customHeight="1" x14ac:dyDescent="0.3">
      <c r="A20" s="42" t="s">
        <v>36</v>
      </c>
      <c r="B20" s="42" t="s">
        <v>37</v>
      </c>
      <c r="C20" s="42"/>
    </row>
    <row r="21" spans="1:3" ht="57" customHeight="1" x14ac:dyDescent="0.3">
      <c r="A21" s="42" t="s">
        <v>38</v>
      </c>
      <c r="B21" s="42" t="s">
        <v>39</v>
      </c>
      <c r="C21" s="42"/>
    </row>
    <row r="22" spans="1:3" ht="57" customHeight="1" x14ac:dyDescent="0.3">
      <c r="A22" s="42" t="s">
        <v>41</v>
      </c>
      <c r="B22" s="42" t="s">
        <v>42</v>
      </c>
      <c r="C22" s="42"/>
    </row>
    <row r="23" spans="1:3" ht="57" customHeight="1" x14ac:dyDescent="0.3">
      <c r="A23" s="42" t="s">
        <v>454</v>
      </c>
      <c r="B23" s="42" t="s">
        <v>40</v>
      </c>
      <c r="C23" s="42"/>
    </row>
    <row r="24" spans="1:3" ht="57" customHeight="1" x14ac:dyDescent="0.3">
      <c r="A24" s="42" t="s">
        <v>43</v>
      </c>
      <c r="B24" s="42" t="s">
        <v>44</v>
      </c>
      <c r="C24" s="42"/>
    </row>
    <row r="25" spans="1:3" ht="57" customHeight="1" x14ac:dyDescent="0.3">
      <c r="A25" s="42" t="s">
        <v>45</v>
      </c>
      <c r="B25" s="42" t="s">
        <v>46</v>
      </c>
      <c r="C25" s="42"/>
    </row>
    <row r="26" spans="1:3" ht="57" customHeight="1" x14ac:dyDescent="0.3">
      <c r="A26" s="42" t="s">
        <v>2768</v>
      </c>
      <c r="B26" s="42" t="s">
        <v>47</v>
      </c>
      <c r="C26" s="42"/>
    </row>
    <row r="27" spans="1:3" ht="57" customHeight="1" x14ac:dyDescent="0.3">
      <c r="A27" s="42" t="s">
        <v>48</v>
      </c>
      <c r="B27" s="42" t="s">
        <v>49</v>
      </c>
      <c r="C27" s="42"/>
    </row>
    <row r="28" spans="1:3" ht="57" customHeight="1" x14ac:dyDescent="0.3">
      <c r="A28" s="42" t="s">
        <v>50</v>
      </c>
      <c r="B28" s="42" t="s">
        <v>51</v>
      </c>
      <c r="C28" s="42"/>
    </row>
    <row r="29" spans="1:3" ht="57" customHeight="1" x14ac:dyDescent="0.3">
      <c r="A29" s="42" t="s">
        <v>53</v>
      </c>
      <c r="B29" s="42" t="s">
        <v>54</v>
      </c>
      <c r="C29" s="42"/>
    </row>
    <row r="30" spans="1:3" ht="57" customHeight="1" x14ac:dyDescent="0.3">
      <c r="A30" s="42" t="s">
        <v>55</v>
      </c>
      <c r="B30" s="42" t="s">
        <v>56</v>
      </c>
      <c r="C30" s="42"/>
    </row>
    <row r="31" spans="1:3" ht="57" customHeight="1" x14ac:dyDescent="0.3">
      <c r="A31" s="42" t="s">
        <v>57</v>
      </c>
      <c r="B31" s="42" t="s">
        <v>58</v>
      </c>
      <c r="C31" s="42"/>
    </row>
    <row r="32" spans="1:3" ht="57" customHeight="1" x14ac:dyDescent="0.3">
      <c r="A32" s="42" t="s">
        <v>59</v>
      </c>
      <c r="B32" s="42" t="s">
        <v>60</v>
      </c>
      <c r="C32" s="42"/>
    </row>
    <row r="33" spans="1:3" ht="57" customHeight="1" x14ac:dyDescent="0.3">
      <c r="A33" s="42" t="s">
        <v>61</v>
      </c>
      <c r="B33" s="42" t="s">
        <v>62</v>
      </c>
      <c r="C33" s="42"/>
    </row>
    <row r="34" spans="1:3" ht="57" customHeight="1" x14ac:dyDescent="0.3">
      <c r="A34" s="42" t="s">
        <v>63</v>
      </c>
      <c r="B34" s="42" t="s">
        <v>64</v>
      </c>
      <c r="C34" s="42"/>
    </row>
    <row r="35" spans="1:3" ht="57" customHeight="1" x14ac:dyDescent="0.3">
      <c r="A35" s="42" t="s">
        <v>65</v>
      </c>
      <c r="B35" s="42" t="s">
        <v>66</v>
      </c>
      <c r="C35" s="42"/>
    </row>
    <row r="36" spans="1:3" ht="57" customHeight="1" x14ac:dyDescent="0.3">
      <c r="A36" s="42" t="s">
        <v>67</v>
      </c>
      <c r="B36" s="42" t="s">
        <v>68</v>
      </c>
      <c r="C36" s="42"/>
    </row>
    <row r="37" spans="1:3" ht="57" customHeight="1" x14ac:dyDescent="0.3">
      <c r="A37" s="42" t="s">
        <v>455</v>
      </c>
      <c r="B37" s="42" t="s">
        <v>69</v>
      </c>
      <c r="C37" s="42"/>
    </row>
    <row r="38" spans="1:3" ht="57" customHeight="1" x14ac:dyDescent="0.3">
      <c r="A38" s="42" t="s">
        <v>70</v>
      </c>
      <c r="B38" s="42" t="s">
        <v>71</v>
      </c>
      <c r="C38" s="42"/>
    </row>
    <row r="39" spans="1:3" ht="57" customHeight="1" x14ac:dyDescent="0.3">
      <c r="A39" s="42" t="s">
        <v>72</v>
      </c>
      <c r="B39" s="42" t="s">
        <v>73</v>
      </c>
      <c r="C39" s="42"/>
    </row>
    <row r="40" spans="1:3" ht="57" customHeight="1" x14ac:dyDescent="0.3">
      <c r="A40" s="42" t="s">
        <v>74</v>
      </c>
      <c r="B40" s="42" t="s">
        <v>75</v>
      </c>
      <c r="C40" s="42"/>
    </row>
    <row r="41" spans="1:3" ht="57" customHeight="1" x14ac:dyDescent="0.3">
      <c r="A41" s="42" t="s">
        <v>76</v>
      </c>
      <c r="B41" s="42" t="s">
        <v>77</v>
      </c>
      <c r="C41" s="42"/>
    </row>
    <row r="42" spans="1:3" ht="57" customHeight="1" x14ac:dyDescent="0.3">
      <c r="A42" s="42" t="s">
        <v>428</v>
      </c>
      <c r="B42" s="42" t="s">
        <v>337</v>
      </c>
      <c r="C42" s="42"/>
    </row>
    <row r="43" spans="1:3" ht="57" customHeight="1" x14ac:dyDescent="0.3">
      <c r="A43" s="42" t="s">
        <v>78</v>
      </c>
      <c r="B43" s="42" t="s">
        <v>79</v>
      </c>
      <c r="C43" s="42"/>
    </row>
    <row r="44" spans="1:3" ht="57" customHeight="1" x14ac:dyDescent="0.3">
      <c r="A44" s="42" t="s">
        <v>80</v>
      </c>
      <c r="B44" s="42" t="s">
        <v>81</v>
      </c>
      <c r="C44" s="42"/>
    </row>
    <row r="45" spans="1:3" ht="57" customHeight="1" x14ac:dyDescent="0.3">
      <c r="A45" s="42" t="s">
        <v>82</v>
      </c>
      <c r="B45" s="42" t="s">
        <v>83</v>
      </c>
      <c r="C45" s="42"/>
    </row>
    <row r="46" spans="1:3" ht="57" customHeight="1" x14ac:dyDescent="0.3">
      <c r="A46" s="42" t="s">
        <v>85</v>
      </c>
      <c r="B46" s="42" t="s">
        <v>86</v>
      </c>
      <c r="C46" s="42"/>
    </row>
    <row r="47" spans="1:3" ht="57" customHeight="1" x14ac:dyDescent="0.3">
      <c r="A47" s="42" t="s">
        <v>87</v>
      </c>
      <c r="B47" s="42" t="s">
        <v>88</v>
      </c>
      <c r="C47" s="42"/>
    </row>
    <row r="48" spans="1:3" ht="57" customHeight="1" x14ac:dyDescent="0.3">
      <c r="A48" s="42" t="s">
        <v>89</v>
      </c>
      <c r="B48" s="42" t="s">
        <v>90</v>
      </c>
      <c r="C48" s="42"/>
    </row>
    <row r="49" spans="1:3" ht="57" customHeight="1" x14ac:dyDescent="0.3">
      <c r="A49" s="42" t="s">
        <v>91</v>
      </c>
      <c r="B49" s="42" t="s">
        <v>92</v>
      </c>
      <c r="C49" s="42"/>
    </row>
    <row r="50" spans="1:3" ht="57" customHeight="1" x14ac:dyDescent="0.3">
      <c r="A50" s="42" t="s">
        <v>93</v>
      </c>
      <c r="B50" s="42" t="s">
        <v>94</v>
      </c>
      <c r="C50" s="42"/>
    </row>
    <row r="51" spans="1:3" ht="57" customHeight="1" x14ac:dyDescent="0.3">
      <c r="A51" s="42" t="s">
        <v>95</v>
      </c>
      <c r="B51" s="42" t="s">
        <v>96</v>
      </c>
      <c r="C51" s="42"/>
    </row>
    <row r="52" spans="1:3" ht="57" customHeight="1" x14ac:dyDescent="0.3">
      <c r="A52" s="42" t="s">
        <v>97</v>
      </c>
      <c r="B52" s="42" t="s">
        <v>98</v>
      </c>
      <c r="C52" s="42"/>
    </row>
    <row r="53" spans="1:3" ht="57" customHeight="1" x14ac:dyDescent="0.3">
      <c r="A53" s="42" t="s">
        <v>99</v>
      </c>
      <c r="B53" s="42" t="s">
        <v>100</v>
      </c>
      <c r="C53" s="42"/>
    </row>
    <row r="54" spans="1:3" ht="57" customHeight="1" x14ac:dyDescent="0.3">
      <c r="A54" s="42" t="s">
        <v>101</v>
      </c>
      <c r="B54" s="42" t="s">
        <v>102</v>
      </c>
      <c r="C54" s="42"/>
    </row>
    <row r="55" spans="1:3" ht="57" customHeight="1" x14ac:dyDescent="0.3">
      <c r="A55" s="42" t="s">
        <v>103</v>
      </c>
      <c r="B55" s="42" t="s">
        <v>104</v>
      </c>
      <c r="C55" s="43"/>
    </row>
    <row r="56" spans="1:3" ht="57" customHeight="1" x14ac:dyDescent="0.3">
      <c r="A56" s="42" t="s">
        <v>105</v>
      </c>
      <c r="B56" s="42" t="s">
        <v>106</v>
      </c>
      <c r="C56" s="42"/>
    </row>
    <row r="57" spans="1:3" ht="57" customHeight="1" x14ac:dyDescent="0.3">
      <c r="A57" s="42" t="s">
        <v>2771</v>
      </c>
      <c r="B57" s="42" t="s">
        <v>186</v>
      </c>
      <c r="C57" s="42"/>
    </row>
    <row r="58" spans="1:3" ht="57" customHeight="1" x14ac:dyDescent="0.3">
      <c r="A58" s="42" t="s">
        <v>2770</v>
      </c>
      <c r="B58" s="42" t="s">
        <v>84</v>
      </c>
      <c r="C58" s="42"/>
    </row>
    <row r="59" spans="1:3" ht="57" customHeight="1" x14ac:dyDescent="0.3">
      <c r="A59" s="42" t="s">
        <v>107</v>
      </c>
      <c r="B59" s="42" t="s">
        <v>108</v>
      </c>
      <c r="C59" s="42"/>
    </row>
    <row r="60" spans="1:3" ht="57" customHeight="1" x14ac:dyDescent="0.3">
      <c r="A60" s="42" t="s">
        <v>109</v>
      </c>
      <c r="B60" s="42" t="s">
        <v>110</v>
      </c>
      <c r="C60" s="42"/>
    </row>
    <row r="61" spans="1:3" ht="57" customHeight="1" x14ac:dyDescent="0.3">
      <c r="A61" s="42" t="s">
        <v>111</v>
      </c>
      <c r="B61" s="42" t="s">
        <v>112</v>
      </c>
      <c r="C61" s="42"/>
    </row>
    <row r="62" spans="1:3" ht="57" customHeight="1" x14ac:dyDescent="0.3">
      <c r="A62" s="42" t="s">
        <v>113</v>
      </c>
      <c r="B62" s="42" t="s">
        <v>114</v>
      </c>
      <c r="C62" s="42"/>
    </row>
    <row r="63" spans="1:3" ht="57" customHeight="1" x14ac:dyDescent="0.3">
      <c r="A63" s="42" t="s">
        <v>115</v>
      </c>
      <c r="B63" s="42" t="s">
        <v>116</v>
      </c>
      <c r="C63" s="42"/>
    </row>
    <row r="64" spans="1:3" ht="57" customHeight="1" x14ac:dyDescent="0.3">
      <c r="A64" s="42" t="s">
        <v>117</v>
      </c>
      <c r="B64" s="42" t="s">
        <v>118</v>
      </c>
      <c r="C64" s="42"/>
    </row>
    <row r="65" spans="1:3" ht="57" customHeight="1" x14ac:dyDescent="0.3">
      <c r="A65" s="42" t="s">
        <v>119</v>
      </c>
      <c r="B65" s="42" t="s">
        <v>120</v>
      </c>
      <c r="C65" s="42"/>
    </row>
    <row r="66" spans="1:3" ht="57" customHeight="1" x14ac:dyDescent="0.3">
      <c r="A66" s="42" t="s">
        <v>121</v>
      </c>
      <c r="B66" s="42" t="s">
        <v>122</v>
      </c>
      <c r="C66" s="42"/>
    </row>
    <row r="67" spans="1:3" ht="57" customHeight="1" x14ac:dyDescent="0.3">
      <c r="A67" s="42" t="s">
        <v>123</v>
      </c>
      <c r="B67" s="42" t="s">
        <v>124</v>
      </c>
      <c r="C67" s="42"/>
    </row>
    <row r="68" spans="1:3" ht="57" customHeight="1" x14ac:dyDescent="0.3">
      <c r="A68" s="42" t="s">
        <v>125</v>
      </c>
      <c r="B68" s="42" t="s">
        <v>126</v>
      </c>
      <c r="C68" s="42"/>
    </row>
    <row r="69" spans="1:3" ht="57" customHeight="1" x14ac:dyDescent="0.3">
      <c r="A69" s="42" t="s">
        <v>127</v>
      </c>
      <c r="B69" s="42" t="s">
        <v>128</v>
      </c>
      <c r="C69" s="42"/>
    </row>
    <row r="70" spans="1:3" ht="57" customHeight="1" x14ac:dyDescent="0.3">
      <c r="A70" s="42" t="s">
        <v>129</v>
      </c>
      <c r="B70" s="42" t="s">
        <v>130</v>
      </c>
      <c r="C70" s="42"/>
    </row>
    <row r="71" spans="1:3" ht="57" customHeight="1" x14ac:dyDescent="0.3">
      <c r="A71" s="42" t="s">
        <v>131</v>
      </c>
      <c r="B71" s="42" t="s">
        <v>132</v>
      </c>
      <c r="C71" s="42"/>
    </row>
    <row r="72" spans="1:3" ht="57" customHeight="1" x14ac:dyDescent="0.3">
      <c r="A72" s="42" t="s">
        <v>133</v>
      </c>
      <c r="B72" s="42" t="s">
        <v>134</v>
      </c>
      <c r="C72" s="42"/>
    </row>
    <row r="73" spans="1:3" ht="57" customHeight="1" x14ac:dyDescent="0.3">
      <c r="A73" s="42" t="s">
        <v>135</v>
      </c>
      <c r="B73" s="42" t="s">
        <v>136</v>
      </c>
      <c r="C73" s="42"/>
    </row>
    <row r="74" spans="1:3" ht="57" customHeight="1" x14ac:dyDescent="0.3">
      <c r="A74" s="42" t="s">
        <v>137</v>
      </c>
      <c r="B74" s="42" t="s">
        <v>138</v>
      </c>
      <c r="C74" s="42"/>
    </row>
    <row r="75" spans="1:3" ht="57" customHeight="1" x14ac:dyDescent="0.3">
      <c r="A75" s="42" t="s">
        <v>391</v>
      </c>
      <c r="B75" s="42" t="s">
        <v>361</v>
      </c>
      <c r="C75" s="42"/>
    </row>
    <row r="76" spans="1:3" ht="57" customHeight="1" x14ac:dyDescent="0.3">
      <c r="A76" s="42" t="s">
        <v>139</v>
      </c>
      <c r="B76" s="42" t="s">
        <v>140</v>
      </c>
      <c r="C76" s="42"/>
    </row>
    <row r="77" spans="1:3" ht="57" customHeight="1" x14ac:dyDescent="0.3">
      <c r="A77" s="42" t="s">
        <v>141</v>
      </c>
      <c r="B77" s="42" t="s">
        <v>142</v>
      </c>
      <c r="C77" s="42"/>
    </row>
    <row r="78" spans="1:3" ht="57" customHeight="1" x14ac:dyDescent="0.3">
      <c r="A78" s="42" t="s">
        <v>143</v>
      </c>
      <c r="B78" s="42" t="s">
        <v>144</v>
      </c>
      <c r="C78" s="42"/>
    </row>
    <row r="79" spans="1:3" ht="57" customHeight="1" x14ac:dyDescent="0.3">
      <c r="A79" s="42" t="s">
        <v>145</v>
      </c>
      <c r="B79" s="42" t="s">
        <v>146</v>
      </c>
      <c r="C79" s="42"/>
    </row>
    <row r="80" spans="1:3" ht="57" customHeight="1" x14ac:dyDescent="0.3">
      <c r="A80" s="42" t="s">
        <v>147</v>
      </c>
      <c r="B80" s="42" t="s">
        <v>148</v>
      </c>
      <c r="C80" s="42"/>
    </row>
    <row r="81" spans="1:3" ht="57" customHeight="1" x14ac:dyDescent="0.3">
      <c r="A81" s="42" t="s">
        <v>149</v>
      </c>
      <c r="B81" s="42" t="s">
        <v>150</v>
      </c>
      <c r="C81" s="42"/>
    </row>
    <row r="82" spans="1:3" ht="57" customHeight="1" x14ac:dyDescent="0.3">
      <c r="A82" s="42" t="s">
        <v>151</v>
      </c>
      <c r="B82" s="42" t="s">
        <v>152</v>
      </c>
      <c r="C82" s="42"/>
    </row>
    <row r="83" spans="1:3" ht="57" customHeight="1" x14ac:dyDescent="0.3">
      <c r="A83" s="42" t="s">
        <v>153</v>
      </c>
      <c r="B83" s="42" t="s">
        <v>154</v>
      </c>
      <c r="C83" s="42"/>
    </row>
    <row r="84" spans="1:3" ht="57" customHeight="1" x14ac:dyDescent="0.3">
      <c r="A84" s="42" t="s">
        <v>155</v>
      </c>
      <c r="B84" s="42" t="s">
        <v>156</v>
      </c>
      <c r="C84" s="42"/>
    </row>
    <row r="85" spans="1:3" ht="57" customHeight="1" x14ac:dyDescent="0.3">
      <c r="A85" s="42" t="s">
        <v>427</v>
      </c>
      <c r="B85" s="42" t="s">
        <v>157</v>
      </c>
      <c r="C85" s="42"/>
    </row>
    <row r="86" spans="1:3" ht="57" customHeight="1" x14ac:dyDescent="0.3">
      <c r="A86" s="42" t="s">
        <v>158</v>
      </c>
      <c r="B86" s="42" t="s">
        <v>159</v>
      </c>
      <c r="C86" s="42"/>
    </row>
    <row r="87" spans="1:3" ht="57" customHeight="1" x14ac:dyDescent="0.3">
      <c r="A87" s="42" t="s">
        <v>160</v>
      </c>
      <c r="B87" s="42" t="s">
        <v>161</v>
      </c>
      <c r="C87" s="42"/>
    </row>
    <row r="88" spans="1:3" ht="57" customHeight="1" x14ac:dyDescent="0.3">
      <c r="A88" s="42" t="s">
        <v>162</v>
      </c>
      <c r="B88" s="42" t="s">
        <v>163</v>
      </c>
      <c r="C88" s="42"/>
    </row>
    <row r="89" spans="1:3" ht="57" customHeight="1" x14ac:dyDescent="0.3">
      <c r="A89" s="42" t="s">
        <v>164</v>
      </c>
      <c r="B89" s="42" t="s">
        <v>165</v>
      </c>
      <c r="C89" s="42"/>
    </row>
    <row r="90" spans="1:3" ht="57" customHeight="1" x14ac:dyDescent="0.3">
      <c r="A90" s="42" t="s">
        <v>716</v>
      </c>
      <c r="B90" s="42" t="s">
        <v>716</v>
      </c>
      <c r="C90" s="42"/>
    </row>
    <row r="91" spans="1:3" ht="57" customHeight="1" x14ac:dyDescent="0.3">
      <c r="A91" s="42" t="s">
        <v>166</v>
      </c>
      <c r="B91" s="42" t="s">
        <v>167</v>
      </c>
      <c r="C91" s="42"/>
    </row>
    <row r="92" spans="1:3" ht="57" customHeight="1" x14ac:dyDescent="0.3">
      <c r="A92" s="42" t="s">
        <v>168</v>
      </c>
      <c r="B92" s="42" t="s">
        <v>169</v>
      </c>
      <c r="C92" s="42"/>
    </row>
    <row r="93" spans="1:3" ht="57" customHeight="1" x14ac:dyDescent="0.3">
      <c r="A93" s="42" t="s">
        <v>170</v>
      </c>
      <c r="B93" s="42" t="s">
        <v>171</v>
      </c>
      <c r="C93" s="42"/>
    </row>
    <row r="94" spans="1:3" ht="57" customHeight="1" x14ac:dyDescent="0.3">
      <c r="A94" s="42" t="s">
        <v>172</v>
      </c>
      <c r="B94" s="42" t="s">
        <v>173</v>
      </c>
      <c r="C94" s="42"/>
    </row>
    <row r="95" spans="1:3" ht="57" customHeight="1" x14ac:dyDescent="0.3">
      <c r="A95" s="42" t="s">
        <v>174</v>
      </c>
      <c r="B95" s="42" t="s">
        <v>175</v>
      </c>
      <c r="C95" s="42"/>
    </row>
    <row r="96" spans="1:3" ht="57" customHeight="1" x14ac:dyDescent="0.3">
      <c r="A96" s="42" t="s">
        <v>176</v>
      </c>
      <c r="B96" s="42" t="s">
        <v>177</v>
      </c>
      <c r="C96" s="42"/>
    </row>
    <row r="97" spans="1:3" ht="57" customHeight="1" x14ac:dyDescent="0.3">
      <c r="A97" s="42" t="s">
        <v>178</v>
      </c>
      <c r="B97" s="42" t="s">
        <v>179</v>
      </c>
      <c r="C97" s="42"/>
    </row>
    <row r="98" spans="1:3" ht="57" customHeight="1" x14ac:dyDescent="0.3">
      <c r="A98" s="42" t="s">
        <v>180</v>
      </c>
      <c r="B98" s="42" t="s">
        <v>181</v>
      </c>
      <c r="C98" s="42"/>
    </row>
    <row r="99" spans="1:3" ht="57" customHeight="1" x14ac:dyDescent="0.3">
      <c r="A99" s="42" t="s">
        <v>182</v>
      </c>
      <c r="B99" s="42" t="s">
        <v>183</v>
      </c>
      <c r="C99" s="42"/>
    </row>
    <row r="100" spans="1:3" ht="57" customHeight="1" x14ac:dyDescent="0.3">
      <c r="A100" s="42" t="s">
        <v>184</v>
      </c>
      <c r="B100" s="42" t="s">
        <v>185</v>
      </c>
      <c r="C100" s="42"/>
    </row>
    <row r="101" spans="1:3" ht="57" customHeight="1" x14ac:dyDescent="0.3">
      <c r="A101" s="42" t="s">
        <v>1027</v>
      </c>
      <c r="B101" s="42" t="s">
        <v>1028</v>
      </c>
      <c r="C101" s="42"/>
    </row>
    <row r="102" spans="1:3" ht="57" customHeight="1" x14ac:dyDescent="0.3">
      <c r="A102" s="42" t="s">
        <v>1029</v>
      </c>
      <c r="B102" s="42" t="s">
        <v>648</v>
      </c>
      <c r="C102" s="42"/>
    </row>
    <row r="103" spans="1:3" ht="57" customHeight="1" x14ac:dyDescent="0.3">
      <c r="A103" s="42" t="s">
        <v>188</v>
      </c>
      <c r="B103" s="42" t="s">
        <v>189</v>
      </c>
      <c r="C103" s="42"/>
    </row>
    <row r="104" spans="1:3" ht="57" customHeight="1" x14ac:dyDescent="0.3">
      <c r="A104" s="42" t="s">
        <v>190</v>
      </c>
      <c r="B104" s="42" t="s">
        <v>191</v>
      </c>
      <c r="C104" s="42"/>
    </row>
    <row r="105" spans="1:3" ht="57" customHeight="1" x14ac:dyDescent="0.3">
      <c r="A105" s="42" t="s">
        <v>192</v>
      </c>
      <c r="B105" s="42" t="s">
        <v>193</v>
      </c>
      <c r="C105" s="42"/>
    </row>
    <row r="106" spans="1:3" ht="57" customHeight="1" x14ac:dyDescent="0.3">
      <c r="A106" s="42" t="s">
        <v>194</v>
      </c>
      <c r="B106" s="42" t="s">
        <v>195</v>
      </c>
      <c r="C106" s="42"/>
    </row>
    <row r="107" spans="1:3" ht="57" customHeight="1" x14ac:dyDescent="0.3">
      <c r="A107" s="42" t="s">
        <v>196</v>
      </c>
      <c r="B107" s="42" t="s">
        <v>197</v>
      </c>
      <c r="C107" s="42"/>
    </row>
    <row r="108" spans="1:3" ht="57" customHeight="1" x14ac:dyDescent="0.3">
      <c r="A108" s="42" t="s">
        <v>198</v>
      </c>
      <c r="B108" s="42" t="s">
        <v>199</v>
      </c>
      <c r="C108" s="42"/>
    </row>
    <row r="109" spans="1:3" ht="57" customHeight="1" x14ac:dyDescent="0.3">
      <c r="A109" s="42" t="s">
        <v>200</v>
      </c>
      <c r="B109" s="42" t="s">
        <v>201</v>
      </c>
      <c r="C109" s="42"/>
    </row>
    <row r="110" spans="1:3" ht="57" customHeight="1" x14ac:dyDescent="0.3">
      <c r="A110" s="42" t="s">
        <v>202</v>
      </c>
      <c r="B110" s="42" t="s">
        <v>203</v>
      </c>
      <c r="C110" s="42"/>
    </row>
    <row r="111" spans="1:3" ht="57" customHeight="1" x14ac:dyDescent="0.3">
      <c r="A111" s="42" t="s">
        <v>204</v>
      </c>
      <c r="B111" s="42" t="s">
        <v>205</v>
      </c>
      <c r="C111" s="42"/>
    </row>
    <row r="112" spans="1:3" ht="57" customHeight="1" x14ac:dyDescent="0.3">
      <c r="A112" s="42" t="s">
        <v>206</v>
      </c>
      <c r="B112" s="42" t="s">
        <v>207</v>
      </c>
      <c r="C112" s="42"/>
    </row>
    <row r="113" spans="1:3" ht="57" customHeight="1" x14ac:dyDescent="0.3">
      <c r="A113" s="42" t="s">
        <v>208</v>
      </c>
      <c r="B113" s="42" t="s">
        <v>209</v>
      </c>
      <c r="C113" s="42"/>
    </row>
    <row r="114" spans="1:3" ht="57" customHeight="1" x14ac:dyDescent="0.3">
      <c r="A114" s="42" t="s">
        <v>210</v>
      </c>
      <c r="B114" s="42" t="s">
        <v>211</v>
      </c>
      <c r="C114" s="42"/>
    </row>
    <row r="115" spans="1:3" ht="57" customHeight="1" x14ac:dyDescent="0.3">
      <c r="A115" s="42" t="s">
        <v>212</v>
      </c>
      <c r="B115" s="42" t="s">
        <v>213</v>
      </c>
      <c r="C115" s="42"/>
    </row>
    <row r="116" spans="1:3" ht="57" customHeight="1" x14ac:dyDescent="0.3">
      <c r="A116" s="42" t="s">
        <v>214</v>
      </c>
      <c r="B116" s="42" t="s">
        <v>215</v>
      </c>
      <c r="C116" s="42"/>
    </row>
    <row r="117" spans="1:3" ht="57" customHeight="1" x14ac:dyDescent="0.3">
      <c r="A117" s="42" t="s">
        <v>216</v>
      </c>
      <c r="B117" s="42" t="s">
        <v>217</v>
      </c>
      <c r="C117" s="42"/>
    </row>
    <row r="118" spans="1:3" ht="57" customHeight="1" x14ac:dyDescent="0.3">
      <c r="A118" s="42" t="s">
        <v>218</v>
      </c>
      <c r="B118" s="42" t="s">
        <v>219</v>
      </c>
      <c r="C118" s="42"/>
    </row>
    <row r="119" spans="1:3" ht="57" customHeight="1" x14ac:dyDescent="0.3">
      <c r="A119" s="42" t="s">
        <v>220</v>
      </c>
      <c r="B119" s="42" t="s">
        <v>221</v>
      </c>
      <c r="C119" s="42"/>
    </row>
    <row r="120" spans="1:3" ht="57" customHeight="1" x14ac:dyDescent="0.3">
      <c r="A120" s="42" t="s">
        <v>222</v>
      </c>
      <c r="B120" s="42" t="s">
        <v>223</v>
      </c>
      <c r="C120" s="42"/>
    </row>
    <row r="121" spans="1:3" ht="57" customHeight="1" x14ac:dyDescent="0.3">
      <c r="A121" s="42" t="s">
        <v>1030</v>
      </c>
      <c r="B121" s="42" t="s">
        <v>1031</v>
      </c>
      <c r="C121" s="42"/>
    </row>
    <row r="122" spans="1:3" ht="57" customHeight="1" x14ac:dyDescent="0.3">
      <c r="A122" s="42" t="s">
        <v>224</v>
      </c>
      <c r="B122" s="42" t="s">
        <v>225</v>
      </c>
      <c r="C122" s="42"/>
    </row>
    <row r="123" spans="1:3" ht="57" customHeight="1" x14ac:dyDescent="0.3">
      <c r="A123" s="42" t="s">
        <v>226</v>
      </c>
      <c r="B123" s="42" t="s">
        <v>227</v>
      </c>
      <c r="C123" s="42"/>
    </row>
    <row r="124" spans="1:3" ht="57" customHeight="1" x14ac:dyDescent="0.3">
      <c r="A124" s="42" t="s">
        <v>228</v>
      </c>
      <c r="B124" s="42" t="s">
        <v>229</v>
      </c>
      <c r="C124" s="42"/>
    </row>
    <row r="125" spans="1:3" ht="57" customHeight="1" x14ac:dyDescent="0.3">
      <c r="A125" s="42" t="s">
        <v>230</v>
      </c>
      <c r="B125" s="42" t="s">
        <v>231</v>
      </c>
      <c r="C125" s="42"/>
    </row>
    <row r="126" spans="1:3" ht="57" customHeight="1" x14ac:dyDescent="0.3">
      <c r="A126" s="42" t="s">
        <v>232</v>
      </c>
      <c r="B126" s="42" t="s">
        <v>233</v>
      </c>
      <c r="C126" s="42"/>
    </row>
    <row r="127" spans="1:3" ht="57" customHeight="1" x14ac:dyDescent="0.3">
      <c r="A127" s="42" t="s">
        <v>234</v>
      </c>
      <c r="B127" s="42" t="s">
        <v>235</v>
      </c>
      <c r="C127" s="42"/>
    </row>
    <row r="128" spans="1:3" ht="57" customHeight="1" x14ac:dyDescent="0.3">
      <c r="A128" s="42" t="s">
        <v>236</v>
      </c>
      <c r="B128" s="42" t="s">
        <v>237</v>
      </c>
      <c r="C128" s="42"/>
    </row>
    <row r="129" spans="1:3" ht="57" customHeight="1" x14ac:dyDescent="0.3">
      <c r="A129" s="42" t="s">
        <v>429</v>
      </c>
      <c r="B129" s="42" t="s">
        <v>893</v>
      </c>
      <c r="C129" s="42"/>
    </row>
    <row r="130" spans="1:3" ht="57" customHeight="1" x14ac:dyDescent="0.3">
      <c r="A130" s="42" t="s">
        <v>238</v>
      </c>
      <c r="B130" s="42" t="s">
        <v>239</v>
      </c>
      <c r="C130" s="42"/>
    </row>
    <row r="131" spans="1:3" ht="57" customHeight="1" x14ac:dyDescent="0.3">
      <c r="A131" s="42" t="s">
        <v>240</v>
      </c>
      <c r="B131" s="42" t="s">
        <v>241</v>
      </c>
      <c r="C131" s="42"/>
    </row>
    <row r="132" spans="1:3" ht="57" customHeight="1" x14ac:dyDescent="0.3">
      <c r="A132" s="42" t="s">
        <v>2769</v>
      </c>
      <c r="B132" s="42" t="s">
        <v>242</v>
      </c>
      <c r="C132" s="42"/>
    </row>
    <row r="133" spans="1:3" ht="57" customHeight="1" x14ac:dyDescent="0.3">
      <c r="A133" s="42" t="s">
        <v>243</v>
      </c>
      <c r="B133" s="42" t="s">
        <v>244</v>
      </c>
      <c r="C133" s="42"/>
    </row>
    <row r="134" spans="1:3" ht="57" customHeight="1" x14ac:dyDescent="0.3">
      <c r="A134" s="42" t="s">
        <v>245</v>
      </c>
      <c r="B134" s="42" t="s">
        <v>246</v>
      </c>
      <c r="C134" s="42"/>
    </row>
    <row r="135" spans="1:3" ht="57" customHeight="1" x14ac:dyDescent="0.3">
      <c r="A135" s="42" t="s">
        <v>247</v>
      </c>
      <c r="B135" s="42" t="s">
        <v>248</v>
      </c>
      <c r="C135" s="42"/>
    </row>
    <row r="136" spans="1:3" ht="57" customHeight="1" x14ac:dyDescent="0.3">
      <c r="A136" s="42" t="s">
        <v>249</v>
      </c>
      <c r="B136" s="42" t="s">
        <v>250</v>
      </c>
      <c r="C136" s="42"/>
    </row>
    <row r="137" spans="1:3" ht="57" customHeight="1" x14ac:dyDescent="0.3">
      <c r="A137" s="42" t="s">
        <v>456</v>
      </c>
      <c r="B137" s="42" t="s">
        <v>251</v>
      </c>
      <c r="C137" s="42"/>
    </row>
    <row r="138" spans="1:3" ht="57" customHeight="1" x14ac:dyDescent="0.3">
      <c r="A138" s="42" t="s">
        <v>252</v>
      </c>
      <c r="B138" s="42" t="s">
        <v>253</v>
      </c>
      <c r="C138" s="42"/>
    </row>
    <row r="139" spans="1:3" ht="57" customHeight="1" x14ac:dyDescent="0.3">
      <c r="A139" s="42" t="s">
        <v>254</v>
      </c>
      <c r="B139" s="42" t="s">
        <v>255</v>
      </c>
      <c r="C139" s="42"/>
    </row>
    <row r="140" spans="1:3" ht="57" customHeight="1" x14ac:dyDescent="0.3">
      <c r="A140" s="42" t="s">
        <v>256</v>
      </c>
      <c r="B140" s="42" t="s">
        <v>257</v>
      </c>
      <c r="C140" s="42"/>
    </row>
    <row r="141" spans="1:3" ht="57" customHeight="1" x14ac:dyDescent="0.3">
      <c r="A141" s="42" t="s">
        <v>258</v>
      </c>
      <c r="B141" s="42" t="s">
        <v>259</v>
      </c>
      <c r="C141" s="42"/>
    </row>
    <row r="142" spans="1:3" ht="57" customHeight="1" x14ac:dyDescent="0.3">
      <c r="A142" s="42" t="s">
        <v>260</v>
      </c>
      <c r="B142" s="42" t="s">
        <v>261</v>
      </c>
      <c r="C142" s="42"/>
    </row>
    <row r="143" spans="1:3" ht="57" customHeight="1" x14ac:dyDescent="0.3">
      <c r="A143" s="42" t="s">
        <v>262</v>
      </c>
      <c r="B143" s="42" t="s">
        <v>263</v>
      </c>
      <c r="C143" s="42"/>
    </row>
    <row r="144" spans="1:3" ht="57" customHeight="1" x14ac:dyDescent="0.3">
      <c r="A144" s="42" t="s">
        <v>264</v>
      </c>
      <c r="B144" s="42" t="s">
        <v>265</v>
      </c>
      <c r="C144" s="42"/>
    </row>
    <row r="145" spans="1:3" ht="57" customHeight="1" x14ac:dyDescent="0.3">
      <c r="A145" s="42" t="s">
        <v>266</v>
      </c>
      <c r="B145" s="42" t="s">
        <v>267</v>
      </c>
      <c r="C145" s="42"/>
    </row>
    <row r="146" spans="1:3" ht="57" customHeight="1" x14ac:dyDescent="0.3">
      <c r="A146" s="42" t="s">
        <v>2772</v>
      </c>
      <c r="B146" s="42" t="s">
        <v>268</v>
      </c>
      <c r="C146" s="42"/>
    </row>
    <row r="147" spans="1:3" ht="57" customHeight="1" x14ac:dyDescent="0.3">
      <c r="A147" s="42" t="s">
        <v>269</v>
      </c>
      <c r="B147" s="42" t="s">
        <v>270</v>
      </c>
      <c r="C147" s="42"/>
    </row>
    <row r="148" spans="1:3" ht="57" customHeight="1" x14ac:dyDescent="0.3">
      <c r="A148" s="42" t="s">
        <v>271</v>
      </c>
      <c r="B148" s="42" t="s">
        <v>272</v>
      </c>
      <c r="C148" s="42"/>
    </row>
    <row r="149" spans="1:3" ht="57" customHeight="1" x14ac:dyDescent="0.3">
      <c r="A149" s="42" t="s">
        <v>273</v>
      </c>
      <c r="B149" s="42" t="s">
        <v>274</v>
      </c>
      <c r="C149" s="42"/>
    </row>
    <row r="150" spans="1:3" ht="57" customHeight="1" x14ac:dyDescent="0.3">
      <c r="A150" s="42" t="s">
        <v>275</v>
      </c>
      <c r="B150" s="42" t="s">
        <v>276</v>
      </c>
      <c r="C150" s="42"/>
    </row>
    <row r="151" spans="1:3" ht="57" customHeight="1" x14ac:dyDescent="0.3">
      <c r="A151" s="42" t="s">
        <v>277</v>
      </c>
      <c r="B151" s="42" t="s">
        <v>278</v>
      </c>
      <c r="C151" s="42"/>
    </row>
    <row r="152" spans="1:3" ht="57" customHeight="1" x14ac:dyDescent="0.3">
      <c r="A152" s="42" t="s">
        <v>279</v>
      </c>
      <c r="B152" s="42" t="s">
        <v>280</v>
      </c>
      <c r="C152" s="42"/>
    </row>
    <row r="153" spans="1:3" ht="57" customHeight="1" x14ac:dyDescent="0.3">
      <c r="A153" s="42" t="s">
        <v>281</v>
      </c>
      <c r="B153" s="42" t="s">
        <v>282</v>
      </c>
      <c r="C153" s="42"/>
    </row>
    <row r="154" spans="1:3" ht="57" customHeight="1" x14ac:dyDescent="0.3">
      <c r="A154" s="42" t="s">
        <v>392</v>
      </c>
      <c r="B154" s="42" t="s">
        <v>283</v>
      </c>
      <c r="C154" s="42"/>
    </row>
    <row r="155" spans="1:3" ht="57" customHeight="1" x14ac:dyDescent="0.3">
      <c r="A155" s="42" t="s">
        <v>284</v>
      </c>
      <c r="B155" s="42" t="s">
        <v>285</v>
      </c>
      <c r="C155" s="42"/>
    </row>
    <row r="156" spans="1:3" ht="57" customHeight="1" x14ac:dyDescent="0.3">
      <c r="A156" s="42" t="s">
        <v>1037</v>
      </c>
      <c r="B156" s="42" t="s">
        <v>1036</v>
      </c>
      <c r="C156" s="42"/>
    </row>
    <row r="157" spans="1:3" ht="57" customHeight="1" x14ac:dyDescent="0.3">
      <c r="A157" s="42" t="s">
        <v>2777</v>
      </c>
      <c r="B157" s="42" t="s">
        <v>187</v>
      </c>
      <c r="C157" s="42"/>
    </row>
    <row r="158" spans="1:3" ht="57" customHeight="1" x14ac:dyDescent="0.3">
      <c r="A158" s="42" t="s">
        <v>286</v>
      </c>
      <c r="B158" s="42" t="s">
        <v>641</v>
      </c>
      <c r="C158" s="42"/>
    </row>
    <row r="159" spans="1:3" ht="57" customHeight="1" x14ac:dyDescent="0.3">
      <c r="A159" s="42" t="s">
        <v>2773</v>
      </c>
      <c r="B159" s="42" t="s">
        <v>287</v>
      </c>
      <c r="C159" s="42"/>
    </row>
    <row r="160" spans="1:3" ht="57" customHeight="1" x14ac:dyDescent="0.3">
      <c r="A160" s="42" t="s">
        <v>288</v>
      </c>
      <c r="B160" s="42" t="s">
        <v>289</v>
      </c>
      <c r="C160" s="42"/>
    </row>
    <row r="161" spans="1:3" ht="57" customHeight="1" x14ac:dyDescent="0.3">
      <c r="A161" s="42" t="s">
        <v>2774</v>
      </c>
      <c r="B161" s="42" t="s">
        <v>290</v>
      </c>
      <c r="C161" s="42"/>
    </row>
    <row r="162" spans="1:3" ht="57" customHeight="1" x14ac:dyDescent="0.3">
      <c r="A162" s="42" t="s">
        <v>291</v>
      </c>
      <c r="B162" s="42" t="s">
        <v>292</v>
      </c>
      <c r="C162" s="42"/>
    </row>
    <row r="163" spans="1:3" ht="57" customHeight="1" x14ac:dyDescent="0.3">
      <c r="A163" s="42" t="s">
        <v>2775</v>
      </c>
      <c r="B163" s="42" t="s">
        <v>293</v>
      </c>
      <c r="C163" s="42"/>
    </row>
    <row r="164" spans="1:3" ht="57" customHeight="1" x14ac:dyDescent="0.3">
      <c r="A164" s="42" t="s">
        <v>294</v>
      </c>
      <c r="B164" s="42" t="s">
        <v>295</v>
      </c>
      <c r="C164" s="42"/>
    </row>
    <row r="165" spans="1:3" ht="57" customHeight="1" x14ac:dyDescent="0.3">
      <c r="A165" s="42" t="s">
        <v>296</v>
      </c>
      <c r="B165" s="42" t="s">
        <v>297</v>
      </c>
      <c r="C165" s="42"/>
    </row>
    <row r="166" spans="1:3" ht="57" customHeight="1" x14ac:dyDescent="0.3">
      <c r="A166" s="42" t="s">
        <v>2776</v>
      </c>
      <c r="B166" s="42" t="s">
        <v>298</v>
      </c>
      <c r="C166" s="42"/>
    </row>
    <row r="167" spans="1:3" ht="57" customHeight="1" x14ac:dyDescent="0.3">
      <c r="A167" s="42" t="s">
        <v>299</v>
      </c>
      <c r="B167" s="42" t="s">
        <v>300</v>
      </c>
      <c r="C167" s="42"/>
    </row>
    <row r="168" spans="1:3" ht="57" customHeight="1" x14ac:dyDescent="0.3">
      <c r="A168" s="42" t="s">
        <v>301</v>
      </c>
      <c r="B168" s="42" t="s">
        <v>302</v>
      </c>
      <c r="C168" s="42"/>
    </row>
    <row r="169" spans="1:3" ht="57" customHeight="1" x14ac:dyDescent="0.3">
      <c r="A169" s="42" t="s">
        <v>303</v>
      </c>
      <c r="B169" s="42" t="s">
        <v>536</v>
      </c>
      <c r="C169" s="42"/>
    </row>
    <row r="170" spans="1:3" ht="57" customHeight="1" x14ac:dyDescent="0.3">
      <c r="A170" s="42" t="s">
        <v>304</v>
      </c>
      <c r="B170" s="42" t="s">
        <v>305</v>
      </c>
      <c r="C170" s="42"/>
    </row>
    <row r="171" spans="1:3" ht="57" customHeight="1" x14ac:dyDescent="0.3">
      <c r="A171" s="42" t="s">
        <v>306</v>
      </c>
      <c r="B171" s="42" t="s">
        <v>307</v>
      </c>
      <c r="C171" s="42"/>
    </row>
    <row r="172" spans="1:3" ht="57" customHeight="1" x14ac:dyDescent="0.3">
      <c r="A172" s="42" t="s">
        <v>308</v>
      </c>
      <c r="B172" s="42" t="s">
        <v>309</v>
      </c>
      <c r="C172" s="42"/>
    </row>
    <row r="173" spans="1:3" ht="57" customHeight="1" x14ac:dyDescent="0.3">
      <c r="A173" s="42" t="s">
        <v>310</v>
      </c>
      <c r="B173" s="42" t="s">
        <v>311</v>
      </c>
      <c r="C173" s="42"/>
    </row>
    <row r="174" spans="1:3" ht="57" customHeight="1" x14ac:dyDescent="0.3">
      <c r="A174" s="42" t="s">
        <v>312</v>
      </c>
      <c r="B174" s="42" t="s">
        <v>313</v>
      </c>
      <c r="C174" s="42"/>
    </row>
    <row r="175" spans="1:3" ht="57" customHeight="1" x14ac:dyDescent="0.3">
      <c r="A175" s="42" t="s">
        <v>314</v>
      </c>
      <c r="B175" s="42" t="s">
        <v>315</v>
      </c>
      <c r="C175" s="42"/>
    </row>
    <row r="176" spans="1:3" ht="57" customHeight="1" x14ac:dyDescent="0.3">
      <c r="A176" s="42" t="s">
        <v>316</v>
      </c>
      <c r="B176" s="42" t="s">
        <v>317</v>
      </c>
      <c r="C176" s="42"/>
    </row>
    <row r="177" spans="1:3" ht="57" customHeight="1" x14ac:dyDescent="0.3">
      <c r="A177" s="42" t="s">
        <v>318</v>
      </c>
      <c r="B177" s="42" t="s">
        <v>319</v>
      </c>
      <c r="C177" s="42"/>
    </row>
    <row r="178" spans="1:3" ht="57" customHeight="1" x14ac:dyDescent="0.3">
      <c r="A178" s="42" t="s">
        <v>1032</v>
      </c>
      <c r="B178" s="42" t="s">
        <v>1033</v>
      </c>
      <c r="C178" s="42"/>
    </row>
    <row r="179" spans="1:3" ht="57" customHeight="1" x14ac:dyDescent="0.3">
      <c r="A179" s="42" t="s">
        <v>320</v>
      </c>
      <c r="B179" s="42" t="s">
        <v>321</v>
      </c>
      <c r="C179" s="42"/>
    </row>
    <row r="180" spans="1:3" ht="57" customHeight="1" x14ac:dyDescent="0.3">
      <c r="A180" s="42" t="s">
        <v>322</v>
      </c>
      <c r="B180" s="42" t="s">
        <v>323</v>
      </c>
      <c r="C180" s="42"/>
    </row>
    <row r="181" spans="1:3" ht="57" customHeight="1" x14ac:dyDescent="0.3">
      <c r="A181" s="42" t="s">
        <v>324</v>
      </c>
      <c r="B181" s="42" t="s">
        <v>325</v>
      </c>
      <c r="C181" s="42"/>
    </row>
    <row r="182" spans="1:3" ht="57" customHeight="1" x14ac:dyDescent="0.3">
      <c r="A182" s="42" t="s">
        <v>326</v>
      </c>
      <c r="B182" s="42" t="s">
        <v>327</v>
      </c>
      <c r="C182" s="42"/>
    </row>
    <row r="183" spans="1:3" ht="57" customHeight="1" x14ac:dyDescent="0.3">
      <c r="A183" s="42" t="s">
        <v>328</v>
      </c>
      <c r="B183" s="42" t="s">
        <v>329</v>
      </c>
      <c r="C183" s="42"/>
    </row>
    <row r="184" spans="1:3" ht="57" customHeight="1" x14ac:dyDescent="0.3">
      <c r="A184" s="42" t="s">
        <v>330</v>
      </c>
      <c r="B184" s="42" t="s">
        <v>331</v>
      </c>
      <c r="C184" s="42"/>
    </row>
    <row r="185" spans="1:3" ht="57" customHeight="1" x14ac:dyDescent="0.3">
      <c r="A185" s="42" t="s">
        <v>332</v>
      </c>
      <c r="B185" s="42" t="s">
        <v>333</v>
      </c>
      <c r="C185" s="42"/>
    </row>
    <row r="186" spans="1:3" ht="57" customHeight="1" x14ac:dyDescent="0.3">
      <c r="A186" s="42" t="s">
        <v>334</v>
      </c>
      <c r="B186" s="42" t="s">
        <v>335</v>
      </c>
      <c r="C186" s="42"/>
    </row>
    <row r="187" spans="1:3" ht="57" customHeight="1" x14ac:dyDescent="0.3">
      <c r="A187" s="42" t="s">
        <v>336</v>
      </c>
      <c r="B187" s="42" t="s">
        <v>337</v>
      </c>
      <c r="C187" s="42"/>
    </row>
    <row r="188" spans="1:3" ht="57" customHeight="1" x14ac:dyDescent="0.3">
      <c r="A188" s="42" t="s">
        <v>338</v>
      </c>
      <c r="B188" s="42" t="s">
        <v>339</v>
      </c>
      <c r="C188" s="42"/>
    </row>
    <row r="189" spans="1:3" ht="57" customHeight="1" x14ac:dyDescent="0.3">
      <c r="A189" s="42" t="s">
        <v>340</v>
      </c>
      <c r="B189" s="42" t="s">
        <v>341</v>
      </c>
      <c r="C189" s="42"/>
    </row>
    <row r="190" spans="1:3" ht="57" customHeight="1" x14ac:dyDescent="0.3">
      <c r="A190" s="42" t="s">
        <v>342</v>
      </c>
      <c r="B190" s="42" t="s">
        <v>343</v>
      </c>
      <c r="C190" s="42"/>
    </row>
    <row r="191" spans="1:3" ht="57" customHeight="1" x14ac:dyDescent="0.3">
      <c r="A191" s="42" t="s">
        <v>344</v>
      </c>
      <c r="B191" s="42" t="s">
        <v>345</v>
      </c>
      <c r="C191" s="42"/>
    </row>
    <row r="192" spans="1:3" ht="57" customHeight="1" x14ac:dyDescent="0.3">
      <c r="A192" s="42" t="s">
        <v>346</v>
      </c>
      <c r="B192" s="42" t="s">
        <v>347</v>
      </c>
      <c r="C192" s="42"/>
    </row>
    <row r="193" spans="1:3" ht="57" customHeight="1" x14ac:dyDescent="0.3">
      <c r="A193" s="42" t="s">
        <v>348</v>
      </c>
      <c r="B193" s="42" t="s">
        <v>516</v>
      </c>
      <c r="C193" s="42"/>
    </row>
    <row r="194" spans="1:3" ht="57" customHeight="1" x14ac:dyDescent="0.3">
      <c r="A194" s="42" t="s">
        <v>349</v>
      </c>
      <c r="B194" s="42" t="s">
        <v>350</v>
      </c>
      <c r="C194" s="42"/>
    </row>
    <row r="195" spans="1:3" ht="57" customHeight="1" x14ac:dyDescent="0.3">
      <c r="A195" s="42" t="s">
        <v>351</v>
      </c>
      <c r="B195" s="42" t="s">
        <v>352</v>
      </c>
      <c r="C195" s="42"/>
    </row>
    <row r="196" spans="1:3" ht="57" customHeight="1" x14ac:dyDescent="0.3">
      <c r="A196" s="42" t="s">
        <v>353</v>
      </c>
      <c r="B196" s="42" t="s">
        <v>354</v>
      </c>
      <c r="C196" s="42"/>
    </row>
    <row r="197" spans="1:3" ht="57" customHeight="1" x14ac:dyDescent="0.3">
      <c r="A197" s="42" t="s">
        <v>1034</v>
      </c>
      <c r="B197" s="42" t="s">
        <v>1035</v>
      </c>
      <c r="C197" s="42"/>
    </row>
    <row r="198" spans="1:3" ht="57" customHeight="1" x14ac:dyDescent="0.3">
      <c r="A198" s="42" t="s">
        <v>355</v>
      </c>
      <c r="B198" s="42" t="s">
        <v>356</v>
      </c>
      <c r="C198" s="42"/>
    </row>
    <row r="199" spans="1:3" ht="57" customHeight="1" x14ac:dyDescent="0.3">
      <c r="A199" s="42" t="s">
        <v>357</v>
      </c>
      <c r="B199" s="42" t="s">
        <v>358</v>
      </c>
      <c r="C199" s="42"/>
    </row>
    <row r="200" spans="1:3" ht="57" customHeight="1" x14ac:dyDescent="0.3">
      <c r="A200" s="42" t="s">
        <v>359</v>
      </c>
      <c r="B200" s="42" t="s">
        <v>360</v>
      </c>
      <c r="C200" s="42"/>
    </row>
    <row r="201" spans="1:3" ht="57" customHeight="1" x14ac:dyDescent="0.3">
      <c r="A201" s="42" t="s">
        <v>362</v>
      </c>
      <c r="B201" s="42" t="s">
        <v>363</v>
      </c>
      <c r="C201" s="42"/>
    </row>
    <row r="202" spans="1:3" ht="57" customHeight="1" x14ac:dyDescent="0.3">
      <c r="A202" s="42" t="s">
        <v>364</v>
      </c>
      <c r="B202" s="42" t="s">
        <v>365</v>
      </c>
      <c r="C202" s="42"/>
    </row>
    <row r="203" spans="1:3" ht="57" customHeight="1" x14ac:dyDescent="0.3">
      <c r="A203" s="42" t="s">
        <v>366</v>
      </c>
      <c r="B203" s="42" t="s">
        <v>367</v>
      </c>
      <c r="C203" s="42"/>
    </row>
    <row r="204" spans="1:3" ht="57" customHeight="1" x14ac:dyDescent="0.3">
      <c r="A204" s="42" t="s">
        <v>368</v>
      </c>
      <c r="B204" s="42" t="s">
        <v>369</v>
      </c>
      <c r="C204" s="42"/>
    </row>
    <row r="205" spans="1:3" ht="57" customHeight="1" x14ac:dyDescent="0.3">
      <c r="A205" s="42" t="s">
        <v>370</v>
      </c>
      <c r="B205" s="42" t="s">
        <v>371</v>
      </c>
      <c r="C205" s="42"/>
    </row>
    <row r="206" spans="1:3" ht="57" customHeight="1" x14ac:dyDescent="0.3">
      <c r="A206" s="42" t="s">
        <v>372</v>
      </c>
      <c r="B206" s="42" t="s">
        <v>373</v>
      </c>
      <c r="C206" s="42"/>
    </row>
    <row r="207" spans="1:3" ht="57" customHeight="1" x14ac:dyDescent="0.3">
      <c r="A207" s="42" t="s">
        <v>2767</v>
      </c>
      <c r="B207" s="42" t="s">
        <v>52</v>
      </c>
      <c r="C207" s="42"/>
    </row>
    <row r="208" spans="1:3" ht="57" customHeight="1" x14ac:dyDescent="0.3">
      <c r="A208" s="42" t="s">
        <v>2778</v>
      </c>
      <c r="B208" s="42" t="s">
        <v>374</v>
      </c>
      <c r="C208" s="42"/>
    </row>
    <row r="209" spans="1:3" ht="57" customHeight="1" x14ac:dyDescent="0.3">
      <c r="A209" s="42" t="s">
        <v>375</v>
      </c>
      <c r="B209" s="42" t="s">
        <v>376</v>
      </c>
      <c r="C209" s="42"/>
    </row>
    <row r="210" spans="1:3" ht="57" customHeight="1" x14ac:dyDescent="0.3">
      <c r="A210" s="42" t="s">
        <v>377</v>
      </c>
      <c r="B210" s="42" t="s">
        <v>378</v>
      </c>
      <c r="C210" s="42"/>
    </row>
    <row r="211" spans="1:3" ht="57" customHeight="1" x14ac:dyDescent="0.3">
      <c r="A211" s="42" t="s">
        <v>379</v>
      </c>
      <c r="B211" s="42" t="s">
        <v>380</v>
      </c>
      <c r="C211" s="42"/>
    </row>
    <row r="212" spans="1:3" ht="57" customHeight="1" x14ac:dyDescent="0.25"/>
    <row r="213" spans="1:3" ht="57" customHeight="1" x14ac:dyDescent="0.25"/>
    <row r="214" spans="1:3" ht="57" customHeight="1" x14ac:dyDescent="0.25"/>
    <row r="215" spans="1:3" ht="57" customHeight="1" x14ac:dyDescent="0.25"/>
  </sheetData>
  <pageMargins left="0.7" right="0.7" top="0.75" bottom="0.75" header="0.3" footer="0.3"/>
  <pageSetup orientation="portrait" horizontalDpi="4294967293" verticalDpi="0" r:id="rId1"/>
  <drawing r:id="rId2"/>
  <tableParts count="1">
    <tablePart r:id="rId3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F0"/>
  </sheetPr>
  <dimension ref="A2:V42"/>
  <sheetViews>
    <sheetView topLeftCell="K1" zoomScale="85" zoomScaleNormal="85" workbookViewId="0">
      <selection activeCell="T4" sqref="T4"/>
    </sheetView>
  </sheetViews>
  <sheetFormatPr defaultRowHeight="15" x14ac:dyDescent="0.25"/>
  <cols>
    <col min="1" max="1" width="8.7109375" customWidth="1"/>
    <col min="2" max="2" width="23" bestFit="1" customWidth="1"/>
    <col min="3" max="3" width="23" customWidth="1"/>
    <col min="4" max="4" width="9.85546875" customWidth="1"/>
    <col min="10" max="10" width="12.140625" customWidth="1"/>
    <col min="11" max="11" width="14.42578125" customWidth="1"/>
    <col min="12" max="12" width="12.28515625" bestFit="1" customWidth="1"/>
    <col min="13" max="13" width="13.140625" bestFit="1" customWidth="1"/>
    <col min="14" max="14" width="14.28515625" bestFit="1" customWidth="1"/>
    <col min="15" max="15" width="12.7109375" bestFit="1" customWidth="1"/>
    <col min="16" max="16" width="18.42578125" bestFit="1" customWidth="1"/>
    <col min="17" max="17" width="14.7109375" customWidth="1"/>
    <col min="18" max="18" width="18" customWidth="1"/>
    <col min="19" max="19" width="25.42578125" customWidth="1"/>
    <col min="20" max="20" width="23" customWidth="1"/>
    <col min="21" max="21" width="21.85546875" customWidth="1"/>
    <col min="22" max="22" width="24.28515625" customWidth="1"/>
  </cols>
  <sheetData>
    <row r="2" spans="1:22" x14ac:dyDescent="0.25">
      <c r="J2" s="55"/>
      <c r="K2" s="55"/>
    </row>
    <row r="3" spans="1:22" x14ac:dyDescent="0.25">
      <c r="A3" s="11" t="s">
        <v>403</v>
      </c>
      <c r="B3" s="11" t="s">
        <v>381</v>
      </c>
      <c r="C3" s="11" t="s">
        <v>895</v>
      </c>
      <c r="D3" s="11" t="s">
        <v>967</v>
      </c>
      <c r="E3" s="11" t="s">
        <v>397</v>
      </c>
      <c r="F3" s="11" t="s">
        <v>382</v>
      </c>
      <c r="G3" s="11" t="s">
        <v>383</v>
      </c>
      <c r="H3" s="11" t="s">
        <v>384</v>
      </c>
      <c r="I3" s="11" t="s">
        <v>402</v>
      </c>
      <c r="J3" s="56" t="s">
        <v>968</v>
      </c>
      <c r="K3" s="56" t="s">
        <v>969</v>
      </c>
      <c r="L3" s="16" t="s">
        <v>991</v>
      </c>
      <c r="M3" s="16" t="s">
        <v>992</v>
      </c>
      <c r="N3" s="16" t="s">
        <v>993</v>
      </c>
      <c r="O3" s="16" t="s">
        <v>994</v>
      </c>
      <c r="P3" s="16" t="s">
        <v>995</v>
      </c>
      <c r="Q3" s="16" t="s">
        <v>996</v>
      </c>
      <c r="R3" s="16" t="s">
        <v>1038</v>
      </c>
      <c r="S3" s="16" t="s">
        <v>997</v>
      </c>
      <c r="T3" s="16" t="s">
        <v>998</v>
      </c>
      <c r="U3" s="16" t="s">
        <v>999</v>
      </c>
      <c r="V3" s="16" t="s">
        <v>1000</v>
      </c>
    </row>
    <row r="4" spans="1:22" ht="45.95" customHeight="1" x14ac:dyDescent="0.25">
      <c r="A4" s="12">
        <v>1</v>
      </c>
      <c r="B4" s="13" t="s">
        <v>395</v>
      </c>
      <c r="C4" s="13" t="s">
        <v>896</v>
      </c>
      <c r="D4" s="13"/>
      <c r="E4" s="13">
        <f>IFERROR(COUNTIF(T_2016_EVENT_RESULTS[SPORT],T_SPORTS[[#This Row],[SPORT]]),0)</f>
        <v>4</v>
      </c>
      <c r="F4" s="13">
        <f>IFERROR(COUNTIFS(T_2016_EVENT_RESULTS[SPORT],T_SPORTS[[#This Row],[SPORT]],T_2016_EVENT_RESULTS[Gold - Country],"&lt;&gt;"&amp;"")+ COUNTIFS(T_2016_EVENT_RESULTS[SPORT],T_SPORTS[[#This Row],[SPORT]],T_2016_EVENT_RESULTS[Gold - Country - 2],"&lt;&gt;"&amp;""), "")</f>
        <v>4</v>
      </c>
      <c r="G4" s="13">
        <f>IFERROR(COUNTIFS(T_2016_EVENT_RESULTS[SPORT],T_SPORTS[[#This Row],[SPORT]],T_2016_EVENT_RESULTS[Silver - Country],"&lt;&gt;"&amp;"")+ COUNTIFS(T_2016_EVENT_RESULTS[SPORT],T_SPORTS[[#This Row],[SPORT]],T_2016_EVENT_RESULTS[Silver - Country - 2],"&lt;&gt;"&amp;"")+ COUNTIFS(T_2016_EVENT_RESULTS[SPORT],T_SPORTS[[#This Row],[SPORT]],T_2016_EVENT_RESULTS[Silver - Country - 3],"&lt;&gt;"&amp;""),"")</f>
        <v>4</v>
      </c>
      <c r="H4" s="13">
        <f>IFERROR(COUNTIFS(T_2016_EVENT_RESULTS[SPORT],T_SPORTS[[#This Row],[SPORT]],T_2016_EVENT_RESULTS[Bronze - Country],"&lt;&gt;"&amp;"")+ COUNTIFS(T_2016_EVENT_RESULTS[SPORT],T_SPORTS[[#This Row],[SPORT]],T_2016_EVENT_RESULTS[Bronze - Country - 2],"&lt;&gt;"&amp;""),"")</f>
        <v>4</v>
      </c>
      <c r="I4" s="12">
        <f>SUM(T_SPORTS[[#This Row],[Gold]:[Bronze]])</f>
        <v>12</v>
      </c>
      <c r="J4" s="15">
        <f>ROUND((T_SPORTS[[#This Row],[Gold]]*10000000)+(T_SPORTS[[#This Row],[Silver]]*100000)+(T_SPORTS[[#This Row],[Bronze]]*1000),0)</f>
        <v>40404000</v>
      </c>
      <c r="K4" s="15">
        <f>IFERROR(IF(T_SPORTS[[#This Row],[TOTAL]]=0,"",IF(I_RANK_METHOD="Total",RANK(T_SPORTS[[#This Row],[TOTAL]],T_SPORTS[TOTAL]),RANK(T_SPORTS[[#This Row],[Rank Value]],T_SPORTS[Rank Value]))),"")</f>
        <v>19</v>
      </c>
      <c r="L4" s="15">
        <f>IFERROR(COUNTIFS(T_2016_EVENT_RESULTS[SPORT],T_SPORTS[[#This Row],[SPORT]],T_2016_EVENT_RESULTS[Gold - Country], I_CV_CNTRY)+COUNTIFS(T_2016_EVENT_RESULTS[SPORT],T_SPORTS[[#This Row],[SPORT]],T_2016_EVENT_RESULTS[Gold - Country - 2], I_CV_CNTRY),"")</f>
        <v>0</v>
      </c>
      <c r="M4" s="15">
        <f>IFERROR(COUNTIFS(T_2016_EVENT_RESULTS[SPORT],T_SPORTS[[#This Row],[SPORT]],T_2016_EVENT_RESULTS[Silver - Country], I_CV_CNTRY)+COUNTIFS(T_2016_EVENT_RESULTS[SPORT],T_SPORTS[[#This Row],[SPORT]],T_2016_EVENT_RESULTS[Silver - Country - 2], I_CV_CNTRY)+COUNTIFS(T_2016_EVENT_RESULTS[SPORT],T_SPORTS[[#This Row],[SPORT]],T_2016_EVENT_RESULTS[Silver - Country - 3], I_CV_CNTRY),"")</f>
        <v>0</v>
      </c>
      <c r="N4" s="15">
        <f>IFERROR(COUNTIFS(T_2016_EVENT_RESULTS[SPORT],T_SPORTS[[#This Row],[SPORT]],T_2016_EVENT_RESULTS[Bronze - Country], I_CV_CNTRY)+COUNTIFS(T_2016_EVENT_RESULTS[SPORT],T_SPORTS[[#This Row],[SPORT]],T_2016_EVENT_RESULTS[Bronze - Country - 2], I_CV_CNTRY),"")</f>
        <v>0</v>
      </c>
      <c r="O4" s="15">
        <f>SUM(T_SPORTS[[#This Row],[CV - Gold]:[CV - Bronze]])</f>
        <v>0</v>
      </c>
      <c r="P4" s="15" t="str">
        <f>IF(T_SPORTS[[#This Row],[CV - Total]]=0,"",IF(I_RANK_METHOD="TOTAL",(T_SPORTS[[#This Row],[CV - Total]]*10000000),0)+(T_SPORTS[[#This Row],[CV - Gold]]*100000)+(T_SPORTS[[#This Row],[CV - Silver]]*1000)+(T_SPORTS[[#This Row],[CV - Bronze]]*10))</f>
        <v/>
      </c>
      <c r="Q4" s="15" t="str">
        <f>IFERROR(IF(T_SPORTS[[#This Row],[CV - Total]]=0,"",RANK(T_SPORTS[[#This Row],[CV - Rank Value]],T_SPORTS[CV - Rank Value])),"")</f>
        <v/>
      </c>
      <c r="R4" s="15" t="str">
        <f>IFERROR(IF(T_SPORTS[[#This Row],[CV - Total]]=0,"",RANK(T_SPORTS[[#This Row],[CV - Rank Value]],T_SPORTS[CV - Rank Value])+COUNTIF($Q$3:Q3,Q4)),"")</f>
        <v/>
      </c>
      <c r="S4" s="31">
        <f>T_SPORTS[[#This Row],[CV - Total]]/T_SPORTS[[#This Row],[TOTAL]]</f>
        <v>0</v>
      </c>
      <c r="T4" s="15" t="str">
        <f>IF(T_SPORTS[[#This Row],[CV - Domination - Total]]=0,"",RANK(T_SPORTS[[#This Row],[CV - Domination - Total]],T_SPORTS[CV - Domination - Total])+COUNTIF($S$3:S3,S4))</f>
        <v/>
      </c>
      <c r="U4" s="31">
        <f>T_SPORTS[[#This Row],[TOTAL]]/SUM(T_SPORTS[TOTAL])</f>
        <v>1.2320328542094456E-2</v>
      </c>
      <c r="V4" s="15">
        <f>IF(T_SPORTS[[#This Row],[OV - Domination - Total]]=0,"",RANK(T_SPORTS[[#This Row],[OV - Domination - Total]],T_SPORTS[OV - Domination - Total])+COUNTIF($U$3:U3,U4))</f>
        <v>19</v>
      </c>
    </row>
    <row r="5" spans="1:22" ht="45.95" customHeight="1" x14ac:dyDescent="0.25">
      <c r="A5" s="12">
        <v>2</v>
      </c>
      <c r="B5" s="13" t="s">
        <v>463</v>
      </c>
      <c r="C5" s="13" t="s">
        <v>897</v>
      </c>
      <c r="D5" s="13"/>
      <c r="E5" s="12">
        <f>IFERROR(COUNTIF(T_2016_EVENT_RESULTS[SPORT],T_SPORTS[[#This Row],[SPORT]]),0)</f>
        <v>14</v>
      </c>
      <c r="F5" s="12">
        <f>IFERROR(COUNTIFS(T_2016_EVENT_RESULTS[SPORT],T_SPORTS[[#This Row],[SPORT]],T_2016_EVENT_RESULTS[Gold - Country],"&lt;&gt;"&amp;"")+ COUNTIFS(T_2016_EVENT_RESULTS[SPORT],T_SPORTS[[#This Row],[SPORT]],T_2016_EVENT_RESULTS[Gold - Country - 2],"&lt;&gt;"&amp;""), "")</f>
        <v>14</v>
      </c>
      <c r="G5" s="12">
        <f>IFERROR(COUNTIFS(T_2016_EVENT_RESULTS[SPORT],T_SPORTS[[#This Row],[SPORT]],T_2016_EVENT_RESULTS[Silver - Country],"&lt;&gt;"&amp;"")+ COUNTIFS(T_2016_EVENT_RESULTS[SPORT],T_SPORTS[[#This Row],[SPORT]],T_2016_EVENT_RESULTS[Silver - Country - 2],"&lt;&gt;"&amp;"")+ COUNTIFS(T_2016_EVENT_RESULTS[SPORT],T_SPORTS[[#This Row],[SPORT]],T_2016_EVENT_RESULTS[Silver - Country - 3],"&lt;&gt;"&amp;""),"")</f>
        <v>14</v>
      </c>
      <c r="H5" s="12">
        <f>IFERROR(COUNTIFS(T_2016_EVENT_RESULTS[SPORT],T_SPORTS[[#This Row],[SPORT]],T_2016_EVENT_RESULTS[Bronze - Country],"&lt;&gt;"&amp;"")+ COUNTIFS(T_2016_EVENT_RESULTS[SPORT],T_SPORTS[[#This Row],[SPORT]],T_2016_EVENT_RESULTS[Bronze - Country - 2],"&lt;&gt;"&amp;""),"")</f>
        <v>14</v>
      </c>
      <c r="I5" s="12">
        <f>SUM(T_SPORTS[[#This Row],[Gold]:[Bronze]])</f>
        <v>42</v>
      </c>
      <c r="J5" s="15">
        <f>ROUND((T_SPORTS[[#This Row],[Gold]]*10000000)+(T_SPORTS[[#This Row],[Silver]]*100000)+(T_SPORTS[[#This Row],[Bronze]]*1000),0)</f>
        <v>141414000</v>
      </c>
      <c r="K5" s="15">
        <f>IFERROR(IF(T_SPORTS[[#This Row],[TOTAL]]=0,"",IF(I_RANK_METHOD="Total",RANK(T_SPORTS[[#This Row],[TOTAL]],T_SPORTS[TOTAL]),RANK(T_SPORTS[[#This Row],[Rank Value]],T_SPORTS[Rank Value]))),"")</f>
        <v>8</v>
      </c>
      <c r="L5" s="15">
        <f>IFERROR(COUNTIFS(T_2016_EVENT_RESULTS[SPORT],T_SPORTS[[#This Row],[SPORT]],T_2016_EVENT_RESULTS[Gold - Country], I_CV_CNTRY)+COUNTIFS(T_2016_EVENT_RESULTS[SPORT],T_SPORTS[[#This Row],[SPORT]],T_2016_EVENT_RESULTS[Gold - Country - 2], I_CV_CNTRY),"")</f>
        <v>0</v>
      </c>
      <c r="M5" s="15">
        <f>IFERROR(COUNTIFS(T_2016_EVENT_RESULTS[SPORT],T_SPORTS[[#This Row],[SPORT]],T_2016_EVENT_RESULTS[Silver - Country], I_CV_CNTRY)+COUNTIFS(T_2016_EVENT_RESULTS[SPORT],T_SPORTS[[#This Row],[SPORT]],T_2016_EVENT_RESULTS[Silver - Country - 2], I_CV_CNTRY)+COUNTIFS(T_2016_EVENT_RESULTS[SPORT],T_SPORTS[[#This Row],[SPORT]],T_2016_EVENT_RESULTS[Silver - Country - 3], I_CV_CNTRY),"")</f>
        <v>0</v>
      </c>
      <c r="N5" s="15">
        <f>IFERROR(COUNTIFS(T_2016_EVENT_RESULTS[SPORT],T_SPORTS[[#This Row],[SPORT]],T_2016_EVENT_RESULTS[Bronze - Country], I_CV_CNTRY)+COUNTIFS(T_2016_EVENT_RESULTS[SPORT],T_SPORTS[[#This Row],[SPORT]],T_2016_EVENT_RESULTS[Bronze - Country - 2], I_CV_CNTRY),"")</f>
        <v>0</v>
      </c>
      <c r="O5" s="15">
        <f>SUM(T_SPORTS[[#This Row],[CV - Gold]:[CV - Bronze]])</f>
        <v>0</v>
      </c>
      <c r="P5" s="15" t="str">
        <f>IF(T_SPORTS[[#This Row],[CV - Total]]=0,"",IF(I_RANK_METHOD="TOTAL",(T_SPORTS[[#This Row],[CV - Total]]*10000000),0)+(T_SPORTS[[#This Row],[CV - Gold]]*100000)+(T_SPORTS[[#This Row],[CV - Silver]]*1000)+(T_SPORTS[[#This Row],[CV - Bronze]]*10))</f>
        <v/>
      </c>
      <c r="Q5" s="15" t="str">
        <f>IFERROR(IF(T_SPORTS[[#This Row],[CV - Total]]=0,"",RANK(T_SPORTS[[#This Row],[CV - Rank Value]],T_SPORTS[CV - Rank Value])),"")</f>
        <v/>
      </c>
      <c r="R5" s="15" t="str">
        <f>IFERROR(IF(T_SPORTS[[#This Row],[CV - Total]]=0,"",RANK(T_SPORTS[[#This Row],[CV - Rank Value]],T_SPORTS[CV - Rank Value])+COUNTIF($Q$3:Q4,Q5)),"")</f>
        <v/>
      </c>
      <c r="S5" s="31">
        <f>T_SPORTS[[#This Row],[CV - Total]]/T_SPORTS[[#This Row],[TOTAL]]</f>
        <v>0</v>
      </c>
      <c r="T5" s="15" t="str">
        <f>IF(T_SPORTS[[#This Row],[CV - Domination - Total]]=0,"",RANK(T_SPORTS[[#This Row],[CV - Domination - Total]],T_SPORTS[CV - Domination - Total])+COUNTIF($S$3:S4,S5))</f>
        <v/>
      </c>
      <c r="U5" s="31">
        <f>T_SPORTS[[#This Row],[TOTAL]]/SUM(T_SPORTS[TOTAL])</f>
        <v>4.3121149897330596E-2</v>
      </c>
      <c r="V5" s="15">
        <f>IF(T_SPORTS[[#This Row],[OV - Domination - Total]]=0,"",RANK(T_SPORTS[[#This Row],[OV - Domination - Total]],T_SPORTS[OV - Domination - Total])+COUNTIF($U$3:U4,U5))</f>
        <v>8</v>
      </c>
    </row>
    <row r="6" spans="1:22" ht="45.95" customHeight="1" x14ac:dyDescent="0.25">
      <c r="A6" s="12">
        <v>3</v>
      </c>
      <c r="B6" s="13" t="s">
        <v>393</v>
      </c>
      <c r="C6" s="13" t="s">
        <v>898</v>
      </c>
      <c r="D6" s="13"/>
      <c r="E6" s="13">
        <f>IFERROR(COUNTIF(T_2016_EVENT_RESULTS[SPORT],T_SPORTS[[#This Row],[SPORT]]),0)</f>
        <v>47</v>
      </c>
      <c r="F6" s="13">
        <f>IFERROR(COUNTIFS(T_2016_EVENT_RESULTS[SPORT],T_SPORTS[[#This Row],[SPORT]],T_2016_EVENT_RESULTS[Gold - Country],"&lt;&gt;"&amp;"")+ COUNTIFS(T_2016_EVENT_RESULTS[SPORT],T_SPORTS[[#This Row],[SPORT]],T_2016_EVENT_RESULTS[Gold - Country - 2],"&lt;&gt;"&amp;""), "")</f>
        <v>47</v>
      </c>
      <c r="G6" s="13">
        <f>IFERROR(COUNTIFS(T_2016_EVENT_RESULTS[SPORT],T_SPORTS[[#This Row],[SPORT]],T_2016_EVENT_RESULTS[Silver - Country],"&lt;&gt;"&amp;"")+ COUNTIFS(T_2016_EVENT_RESULTS[SPORT],T_SPORTS[[#This Row],[SPORT]],T_2016_EVENT_RESULTS[Silver - Country - 2],"&lt;&gt;"&amp;"")+ COUNTIFS(T_2016_EVENT_RESULTS[SPORT],T_SPORTS[[#This Row],[SPORT]],T_2016_EVENT_RESULTS[Silver - Country - 3],"&lt;&gt;"&amp;""),"")</f>
        <v>47</v>
      </c>
      <c r="H6" s="13">
        <f>IFERROR(COUNTIFS(T_2016_EVENT_RESULTS[SPORT],T_SPORTS[[#This Row],[SPORT]],T_2016_EVENT_RESULTS[Bronze - Country],"&lt;&gt;"&amp;"")+ COUNTIFS(T_2016_EVENT_RESULTS[SPORT],T_SPORTS[[#This Row],[SPORT]],T_2016_EVENT_RESULTS[Bronze - Country - 2],"&lt;&gt;"&amp;""),"")</f>
        <v>47</v>
      </c>
      <c r="I6" s="12">
        <f>SUM(T_SPORTS[[#This Row],[Gold]:[Bronze]])</f>
        <v>141</v>
      </c>
      <c r="J6" s="15">
        <f>ROUND((T_SPORTS[[#This Row],[Gold]]*10000000)+(T_SPORTS[[#This Row],[Silver]]*100000)+(T_SPORTS[[#This Row],[Bronze]]*1000),0)</f>
        <v>474747000</v>
      </c>
      <c r="K6" s="15">
        <f>IFERROR(IF(T_SPORTS[[#This Row],[TOTAL]]=0,"",IF(I_RANK_METHOD="Total",RANK(T_SPORTS[[#This Row],[TOTAL]],T_SPORTS[TOTAL]),RANK(T_SPORTS[[#This Row],[Rank Value]],T_SPORTS[Rank Value]))),"")</f>
        <v>1</v>
      </c>
      <c r="L6" s="15">
        <f>IFERROR(COUNTIFS(T_2016_EVENT_RESULTS[SPORT],T_SPORTS[[#This Row],[SPORT]],T_2016_EVENT_RESULTS[Gold - Country], I_CV_CNTRY)+COUNTIFS(T_2016_EVENT_RESULTS[SPORT],T_SPORTS[[#This Row],[SPORT]],T_2016_EVENT_RESULTS[Gold - Country - 2], I_CV_CNTRY),"")</f>
        <v>0</v>
      </c>
      <c r="M6" s="15">
        <f>IFERROR(COUNTIFS(T_2016_EVENT_RESULTS[SPORT],T_SPORTS[[#This Row],[SPORT]],T_2016_EVENT_RESULTS[Silver - Country], I_CV_CNTRY)+COUNTIFS(T_2016_EVENT_RESULTS[SPORT],T_SPORTS[[#This Row],[SPORT]],T_2016_EVENT_RESULTS[Silver - Country - 2], I_CV_CNTRY)+COUNTIFS(T_2016_EVENT_RESULTS[SPORT],T_SPORTS[[#This Row],[SPORT]],T_2016_EVENT_RESULTS[Silver - Country - 3], I_CV_CNTRY),"")</f>
        <v>0</v>
      </c>
      <c r="N6" s="15">
        <f>IFERROR(COUNTIFS(T_2016_EVENT_RESULTS[SPORT],T_SPORTS[[#This Row],[SPORT]],T_2016_EVENT_RESULTS[Bronze - Country], I_CV_CNTRY)+COUNTIFS(T_2016_EVENT_RESULTS[SPORT],T_SPORTS[[#This Row],[SPORT]],T_2016_EVENT_RESULTS[Bronze - Country - 2], I_CV_CNTRY),"")</f>
        <v>0</v>
      </c>
      <c r="O6" s="15">
        <f>SUM(T_SPORTS[[#This Row],[CV - Gold]:[CV - Bronze]])</f>
        <v>0</v>
      </c>
      <c r="P6" s="15" t="str">
        <f>IF(T_SPORTS[[#This Row],[CV - Total]]=0,"",IF(I_RANK_METHOD="TOTAL",(T_SPORTS[[#This Row],[CV - Total]]*10000000),0)+(T_SPORTS[[#This Row],[CV - Gold]]*100000)+(T_SPORTS[[#This Row],[CV - Silver]]*1000)+(T_SPORTS[[#This Row],[CV - Bronze]]*10))</f>
        <v/>
      </c>
      <c r="Q6" s="15" t="str">
        <f>IFERROR(IF(T_SPORTS[[#This Row],[CV - Total]]=0,"",RANK(T_SPORTS[[#This Row],[CV - Rank Value]],T_SPORTS[CV - Rank Value])),"")</f>
        <v/>
      </c>
      <c r="R6" s="15" t="str">
        <f>IFERROR(IF(T_SPORTS[[#This Row],[CV - Total]]=0,"",RANK(T_SPORTS[[#This Row],[CV - Rank Value]],T_SPORTS[CV - Rank Value])+COUNTIF($Q$3:Q5,Q6)),"")</f>
        <v/>
      </c>
      <c r="S6" s="31">
        <f>T_SPORTS[[#This Row],[CV - Total]]/T_SPORTS[[#This Row],[TOTAL]]</f>
        <v>0</v>
      </c>
      <c r="T6" s="15" t="str">
        <f>IF(T_SPORTS[[#This Row],[CV - Domination - Total]]=0,"",RANK(T_SPORTS[[#This Row],[CV - Domination - Total]],T_SPORTS[CV - Domination - Total])+COUNTIF($S$3:S5,S6))</f>
        <v/>
      </c>
      <c r="U6" s="31">
        <f>T_SPORTS[[#This Row],[TOTAL]]/SUM(T_SPORTS[TOTAL])</f>
        <v>0.14476386036960986</v>
      </c>
      <c r="V6" s="15">
        <f>IF(T_SPORTS[[#This Row],[OV - Domination - Total]]=0,"",RANK(T_SPORTS[[#This Row],[OV - Domination - Total]],T_SPORTS[OV - Domination - Total])+COUNTIF($U$3:U5,U6))</f>
        <v>1</v>
      </c>
    </row>
    <row r="7" spans="1:22" ht="45.95" customHeight="1" x14ac:dyDescent="0.25">
      <c r="A7" s="12">
        <v>4</v>
      </c>
      <c r="B7" s="13" t="s">
        <v>398</v>
      </c>
      <c r="C7" s="13" t="s">
        <v>899</v>
      </c>
      <c r="D7" s="13"/>
      <c r="E7" s="13">
        <f>IFERROR(COUNTIF(T_2016_EVENT_RESULTS[SPORT],T_SPORTS[[#This Row],[SPORT]]),0)</f>
        <v>5</v>
      </c>
      <c r="F7" s="13">
        <f>IFERROR(COUNTIFS(T_2016_EVENT_RESULTS[SPORT],T_SPORTS[[#This Row],[SPORT]],T_2016_EVENT_RESULTS[Gold - Country],"&lt;&gt;"&amp;"")+ COUNTIFS(T_2016_EVENT_RESULTS[SPORT],T_SPORTS[[#This Row],[SPORT]],T_2016_EVENT_RESULTS[Gold - Country - 2],"&lt;&gt;"&amp;""), "")</f>
        <v>5</v>
      </c>
      <c r="G7" s="13">
        <f>IFERROR(COUNTIFS(T_2016_EVENT_RESULTS[SPORT],T_SPORTS[[#This Row],[SPORT]],T_2016_EVENT_RESULTS[Silver - Country],"&lt;&gt;"&amp;"")+ COUNTIFS(T_2016_EVENT_RESULTS[SPORT],T_SPORTS[[#This Row],[SPORT]],T_2016_EVENT_RESULTS[Silver - Country - 2],"&lt;&gt;"&amp;"")+ COUNTIFS(T_2016_EVENT_RESULTS[SPORT],T_SPORTS[[#This Row],[SPORT]],T_2016_EVENT_RESULTS[Silver - Country - 3],"&lt;&gt;"&amp;""),"")</f>
        <v>5</v>
      </c>
      <c r="H7" s="13">
        <f>IFERROR(COUNTIFS(T_2016_EVENT_RESULTS[SPORT],T_SPORTS[[#This Row],[SPORT]],T_2016_EVENT_RESULTS[Bronze - Country],"&lt;&gt;"&amp;"")+ COUNTIFS(T_2016_EVENT_RESULTS[SPORT],T_SPORTS[[#This Row],[SPORT]],T_2016_EVENT_RESULTS[Bronze - Country - 2],"&lt;&gt;"&amp;""),"")</f>
        <v>5</v>
      </c>
      <c r="I7" s="12">
        <f>SUM(T_SPORTS[[#This Row],[Gold]:[Bronze]])</f>
        <v>15</v>
      </c>
      <c r="J7" s="15">
        <f>ROUND((T_SPORTS[[#This Row],[Gold]]*10000000)+(T_SPORTS[[#This Row],[Silver]]*100000)+(T_SPORTS[[#This Row],[Bronze]]*1000),0)</f>
        <v>50505000</v>
      </c>
      <c r="K7" s="15">
        <f>IFERROR(IF(T_SPORTS[[#This Row],[TOTAL]]=0,"",IF(I_RANK_METHOD="Total",RANK(T_SPORTS[[#This Row],[TOTAL]],T_SPORTS[TOTAL]),RANK(T_SPORTS[[#This Row],[Rank Value]],T_SPORTS[Rank Value]))),"")</f>
        <v>17</v>
      </c>
      <c r="L7" s="15">
        <f>IFERROR(COUNTIFS(T_2016_EVENT_RESULTS[SPORT],T_SPORTS[[#This Row],[SPORT]],T_2016_EVENT_RESULTS[Gold - Country], I_CV_CNTRY)+COUNTIFS(T_2016_EVENT_RESULTS[SPORT],T_SPORTS[[#This Row],[SPORT]],T_2016_EVENT_RESULTS[Gold - Country - 2], I_CV_CNTRY),"")</f>
        <v>0</v>
      </c>
      <c r="M7" s="15">
        <f>IFERROR(COUNTIFS(T_2016_EVENT_RESULTS[SPORT],T_SPORTS[[#This Row],[SPORT]],T_2016_EVENT_RESULTS[Silver - Country], I_CV_CNTRY)+COUNTIFS(T_2016_EVENT_RESULTS[SPORT],T_SPORTS[[#This Row],[SPORT]],T_2016_EVENT_RESULTS[Silver - Country - 2], I_CV_CNTRY)+COUNTIFS(T_2016_EVENT_RESULTS[SPORT],T_SPORTS[[#This Row],[SPORT]],T_2016_EVENT_RESULTS[Silver - Country - 3], I_CV_CNTRY),"")</f>
        <v>0</v>
      </c>
      <c r="N7" s="15">
        <f>IFERROR(COUNTIFS(T_2016_EVENT_RESULTS[SPORT],T_SPORTS[[#This Row],[SPORT]],T_2016_EVENT_RESULTS[Bronze - Country], I_CV_CNTRY)+COUNTIFS(T_2016_EVENT_RESULTS[SPORT],T_SPORTS[[#This Row],[SPORT]],T_2016_EVENT_RESULTS[Bronze - Country - 2], I_CV_CNTRY),"")</f>
        <v>0</v>
      </c>
      <c r="O7" s="15">
        <f>SUM(T_SPORTS[[#This Row],[CV - Gold]:[CV - Bronze]])</f>
        <v>0</v>
      </c>
      <c r="P7" s="15" t="str">
        <f>IF(T_SPORTS[[#This Row],[CV - Total]]=0,"",IF(I_RANK_METHOD="TOTAL",(T_SPORTS[[#This Row],[CV - Total]]*10000000),0)+(T_SPORTS[[#This Row],[CV - Gold]]*100000)+(T_SPORTS[[#This Row],[CV - Silver]]*1000)+(T_SPORTS[[#This Row],[CV - Bronze]]*10))</f>
        <v/>
      </c>
      <c r="Q7" s="15" t="str">
        <f>IFERROR(IF(T_SPORTS[[#This Row],[CV - Total]]=0,"",RANK(T_SPORTS[[#This Row],[CV - Rank Value]],T_SPORTS[CV - Rank Value])),"")</f>
        <v/>
      </c>
      <c r="R7" s="15" t="str">
        <f>IFERROR(IF(T_SPORTS[[#This Row],[CV - Total]]=0,"",RANK(T_SPORTS[[#This Row],[CV - Rank Value]],T_SPORTS[CV - Rank Value])+COUNTIF($Q$3:Q6,Q7)),"")</f>
        <v/>
      </c>
      <c r="S7" s="31">
        <f>T_SPORTS[[#This Row],[CV - Total]]/T_SPORTS[[#This Row],[TOTAL]]</f>
        <v>0</v>
      </c>
      <c r="T7" s="15" t="str">
        <f>IF(T_SPORTS[[#This Row],[CV - Domination - Total]]=0,"",RANK(T_SPORTS[[#This Row],[CV - Domination - Total]],T_SPORTS[CV - Domination - Total])+COUNTIF($S$3:S6,S7))</f>
        <v/>
      </c>
      <c r="U7" s="31">
        <f>T_SPORTS[[#This Row],[TOTAL]]/SUM(T_SPORTS[TOTAL])</f>
        <v>1.5400410677618069E-2</v>
      </c>
      <c r="V7" s="15">
        <f>IF(T_SPORTS[[#This Row],[OV - Domination - Total]]=0,"",RANK(T_SPORTS[[#This Row],[OV - Domination - Total]],T_SPORTS[OV - Domination - Total])+COUNTIF($U$3:U6,U7))</f>
        <v>17</v>
      </c>
    </row>
    <row r="8" spans="1:22" ht="45.95" customHeight="1" x14ac:dyDescent="0.25">
      <c r="A8" s="12">
        <v>5</v>
      </c>
      <c r="B8" s="13" t="s">
        <v>400</v>
      </c>
      <c r="C8" s="13" t="s">
        <v>900</v>
      </c>
      <c r="D8" s="13"/>
      <c r="E8" s="12">
        <f>IFERROR(COUNTIF(T_2016_EVENT_RESULTS[SPORT],T_SPORTS[[#This Row],[SPORT]]),0)</f>
        <v>2</v>
      </c>
      <c r="F8" s="12">
        <f>IFERROR(COUNTIFS(T_2016_EVENT_RESULTS[SPORT],T_SPORTS[[#This Row],[SPORT]],T_2016_EVENT_RESULTS[Gold - Country],"&lt;&gt;"&amp;"")+ COUNTIFS(T_2016_EVENT_RESULTS[SPORT],T_SPORTS[[#This Row],[SPORT]],T_2016_EVENT_RESULTS[Gold - Country - 2],"&lt;&gt;"&amp;""), "")</f>
        <v>2</v>
      </c>
      <c r="G8" s="13">
        <f>IFERROR(COUNTIFS(T_2016_EVENT_RESULTS[SPORT],T_SPORTS[[#This Row],[SPORT]],T_2016_EVENT_RESULTS[Silver - Country],"&lt;&gt;"&amp;"")+ COUNTIFS(T_2016_EVENT_RESULTS[SPORT],T_SPORTS[[#This Row],[SPORT]],T_2016_EVENT_RESULTS[Silver - Country - 2],"&lt;&gt;"&amp;"")+ COUNTIFS(T_2016_EVENT_RESULTS[SPORT],T_SPORTS[[#This Row],[SPORT]],T_2016_EVENT_RESULTS[Silver - Country - 3],"&lt;&gt;"&amp;""),"")</f>
        <v>2</v>
      </c>
      <c r="H8" s="13">
        <f>IFERROR(COUNTIFS(T_2016_EVENT_RESULTS[SPORT],T_SPORTS[[#This Row],[SPORT]],T_2016_EVENT_RESULTS[Bronze - Country],"&lt;&gt;"&amp;"")+ COUNTIFS(T_2016_EVENT_RESULTS[SPORT],T_SPORTS[[#This Row],[SPORT]],T_2016_EVENT_RESULTS[Bronze - Country - 2],"&lt;&gt;"&amp;""),"")</f>
        <v>2</v>
      </c>
      <c r="I8" s="12">
        <f>SUM(T_SPORTS[[#This Row],[Gold]:[Bronze]])</f>
        <v>6</v>
      </c>
      <c r="J8" s="15">
        <f>ROUND((T_SPORTS[[#This Row],[Gold]]*10000000)+(T_SPORTS[[#This Row],[Silver]]*100000)+(T_SPORTS[[#This Row],[Bronze]]*1000),0)</f>
        <v>20202000</v>
      </c>
      <c r="K8" s="15">
        <f>IFERROR(IF(T_SPORTS[[#This Row],[TOTAL]]=0,"",IF(I_RANK_METHOD="Total",RANK(T_SPORTS[[#This Row],[TOTAL]],T_SPORTS[TOTAL]),RANK(T_SPORTS[[#This Row],[Rank Value]],T_SPORTS[Rank Value]))),"")</f>
        <v>23</v>
      </c>
      <c r="L8" s="15">
        <f>IFERROR(COUNTIFS(T_2016_EVENT_RESULTS[SPORT],T_SPORTS[[#This Row],[SPORT]],T_2016_EVENT_RESULTS[Gold - Country], I_CV_CNTRY)+COUNTIFS(T_2016_EVENT_RESULTS[SPORT],T_SPORTS[[#This Row],[SPORT]],T_2016_EVENT_RESULTS[Gold - Country - 2], I_CV_CNTRY),"")</f>
        <v>0</v>
      </c>
      <c r="M8" s="15">
        <f>IFERROR(COUNTIFS(T_2016_EVENT_RESULTS[SPORT],T_SPORTS[[#This Row],[SPORT]],T_2016_EVENT_RESULTS[Silver - Country], I_CV_CNTRY)+COUNTIFS(T_2016_EVENT_RESULTS[SPORT],T_SPORTS[[#This Row],[SPORT]],T_2016_EVENT_RESULTS[Silver - Country - 2], I_CV_CNTRY)+COUNTIFS(T_2016_EVENT_RESULTS[SPORT],T_SPORTS[[#This Row],[SPORT]],T_2016_EVENT_RESULTS[Silver - Country - 3], I_CV_CNTRY),"")</f>
        <v>0</v>
      </c>
      <c r="N8" s="15">
        <f>IFERROR(COUNTIFS(T_2016_EVENT_RESULTS[SPORT],T_SPORTS[[#This Row],[SPORT]],T_2016_EVENT_RESULTS[Bronze - Country], I_CV_CNTRY)+COUNTIFS(T_2016_EVENT_RESULTS[SPORT],T_SPORTS[[#This Row],[SPORT]],T_2016_EVENT_RESULTS[Bronze - Country - 2], I_CV_CNTRY),"")</f>
        <v>0</v>
      </c>
      <c r="O8" s="15">
        <f>SUM(T_SPORTS[[#This Row],[CV - Gold]:[CV - Bronze]])</f>
        <v>0</v>
      </c>
      <c r="P8" s="15" t="str">
        <f>IF(T_SPORTS[[#This Row],[CV - Total]]=0,"",IF(I_RANK_METHOD="TOTAL",(T_SPORTS[[#This Row],[CV - Total]]*10000000),0)+(T_SPORTS[[#This Row],[CV - Gold]]*100000)+(T_SPORTS[[#This Row],[CV - Silver]]*1000)+(T_SPORTS[[#This Row],[CV - Bronze]]*10))</f>
        <v/>
      </c>
      <c r="Q8" s="15" t="str">
        <f>IFERROR(IF(T_SPORTS[[#This Row],[CV - Total]]=0,"",RANK(T_SPORTS[[#This Row],[CV - Rank Value]],T_SPORTS[CV - Rank Value])),"")</f>
        <v/>
      </c>
      <c r="R8" s="15" t="str">
        <f>IFERROR(IF(T_SPORTS[[#This Row],[CV - Total]]=0,"",RANK(T_SPORTS[[#This Row],[CV - Rank Value]],T_SPORTS[CV - Rank Value])+COUNTIF($Q$3:Q7,Q8)),"")</f>
        <v/>
      </c>
      <c r="S8" s="31">
        <f>T_SPORTS[[#This Row],[CV - Total]]/T_SPORTS[[#This Row],[TOTAL]]</f>
        <v>0</v>
      </c>
      <c r="T8" s="15" t="str">
        <f>IF(T_SPORTS[[#This Row],[CV - Domination - Total]]=0,"",RANK(T_SPORTS[[#This Row],[CV - Domination - Total]],T_SPORTS[CV - Domination - Total])+COUNTIF($S$3:S7,S8))</f>
        <v/>
      </c>
      <c r="U8" s="31">
        <f>T_SPORTS[[#This Row],[TOTAL]]/SUM(T_SPORTS[TOTAL])</f>
        <v>6.1601642710472282E-3</v>
      </c>
      <c r="V8" s="15">
        <f>IF(T_SPORTS[[#This Row],[OV - Domination - Total]]=0,"",RANK(T_SPORTS[[#This Row],[OV - Domination - Total]],T_SPORTS[OV - Domination - Total])+COUNTIF($U$3:U7,U8))</f>
        <v>23</v>
      </c>
    </row>
    <row r="9" spans="1:22" ht="45.95" customHeight="1" x14ac:dyDescent="0.25">
      <c r="A9" s="12">
        <v>6</v>
      </c>
      <c r="B9" s="13" t="s">
        <v>464</v>
      </c>
      <c r="C9" s="13" t="s">
        <v>901</v>
      </c>
      <c r="D9" s="13"/>
      <c r="E9" s="12">
        <f>IFERROR(COUNTIF(T_2016_EVENT_RESULTS[SPORT],T_SPORTS[[#This Row],[SPORT]]),0)</f>
        <v>2</v>
      </c>
      <c r="F9" s="12">
        <f>IFERROR(COUNTIFS(T_2016_EVENT_RESULTS[SPORT],T_SPORTS[[#This Row],[SPORT]],T_2016_EVENT_RESULTS[Gold - Country],"&lt;&gt;"&amp;"")+ COUNTIFS(T_2016_EVENT_RESULTS[SPORT],T_SPORTS[[#This Row],[SPORT]],T_2016_EVENT_RESULTS[Gold - Country - 2],"&lt;&gt;"&amp;""), "")</f>
        <v>2</v>
      </c>
      <c r="G9" s="12">
        <f>IFERROR(COUNTIFS(T_2016_EVENT_RESULTS[SPORT],T_SPORTS[[#This Row],[SPORT]],T_2016_EVENT_RESULTS[Silver - Country],"&lt;&gt;"&amp;"")+ COUNTIFS(T_2016_EVENT_RESULTS[SPORT],T_SPORTS[[#This Row],[SPORT]],T_2016_EVENT_RESULTS[Silver - Country - 2],"&lt;&gt;"&amp;"")+ COUNTIFS(T_2016_EVENT_RESULTS[SPORT],T_SPORTS[[#This Row],[SPORT]],T_2016_EVENT_RESULTS[Silver - Country - 3],"&lt;&gt;"&amp;""),"")</f>
        <v>2</v>
      </c>
      <c r="H9" s="12">
        <f>IFERROR(COUNTIFS(T_2016_EVENT_RESULTS[SPORT],T_SPORTS[[#This Row],[SPORT]],T_2016_EVENT_RESULTS[Bronze - Country],"&lt;&gt;"&amp;"")+ COUNTIFS(T_2016_EVENT_RESULTS[SPORT],T_SPORTS[[#This Row],[SPORT]],T_2016_EVENT_RESULTS[Bronze - Country - 2],"&lt;&gt;"&amp;""),"")</f>
        <v>2</v>
      </c>
      <c r="I9" s="12">
        <f>SUM(T_SPORTS[[#This Row],[Gold]:[Bronze]])</f>
        <v>6</v>
      </c>
      <c r="J9" s="15">
        <f>ROUND((T_SPORTS[[#This Row],[Gold]]*10000000)+(T_SPORTS[[#This Row],[Silver]]*100000)+(T_SPORTS[[#This Row],[Bronze]]*1000),0)</f>
        <v>20202000</v>
      </c>
      <c r="K9" s="15">
        <f>IFERROR(IF(T_SPORTS[[#This Row],[TOTAL]]=0,"",IF(I_RANK_METHOD="Total",RANK(T_SPORTS[[#This Row],[TOTAL]],T_SPORTS[TOTAL]),RANK(T_SPORTS[[#This Row],[Rank Value]],T_SPORTS[Rank Value]))),"")</f>
        <v>23</v>
      </c>
      <c r="L9" s="15">
        <f>IFERROR(COUNTIFS(T_2016_EVENT_RESULTS[SPORT],T_SPORTS[[#This Row],[SPORT]],T_2016_EVENT_RESULTS[Gold - Country], I_CV_CNTRY)+COUNTIFS(T_2016_EVENT_RESULTS[SPORT],T_SPORTS[[#This Row],[SPORT]],T_2016_EVENT_RESULTS[Gold - Country - 2], I_CV_CNTRY),"")</f>
        <v>0</v>
      </c>
      <c r="M9" s="15">
        <f>IFERROR(COUNTIFS(T_2016_EVENT_RESULTS[SPORT],T_SPORTS[[#This Row],[SPORT]],T_2016_EVENT_RESULTS[Silver - Country], I_CV_CNTRY)+COUNTIFS(T_2016_EVENT_RESULTS[SPORT],T_SPORTS[[#This Row],[SPORT]],T_2016_EVENT_RESULTS[Silver - Country - 2], I_CV_CNTRY)+COUNTIFS(T_2016_EVENT_RESULTS[SPORT],T_SPORTS[[#This Row],[SPORT]],T_2016_EVENT_RESULTS[Silver - Country - 3], I_CV_CNTRY),"")</f>
        <v>0</v>
      </c>
      <c r="N9" s="15">
        <f>IFERROR(COUNTIFS(T_2016_EVENT_RESULTS[SPORT],T_SPORTS[[#This Row],[SPORT]],T_2016_EVENT_RESULTS[Bronze - Country], I_CV_CNTRY)+COUNTIFS(T_2016_EVENT_RESULTS[SPORT],T_SPORTS[[#This Row],[SPORT]],T_2016_EVENT_RESULTS[Bronze - Country - 2], I_CV_CNTRY),"")</f>
        <v>0</v>
      </c>
      <c r="O9" s="15">
        <f>SUM(T_SPORTS[[#This Row],[CV - Gold]:[CV - Bronze]])</f>
        <v>0</v>
      </c>
      <c r="P9" s="15" t="str">
        <f>IF(T_SPORTS[[#This Row],[CV - Total]]=0,"",IF(I_RANK_METHOD="TOTAL",(T_SPORTS[[#This Row],[CV - Total]]*10000000),0)+(T_SPORTS[[#This Row],[CV - Gold]]*100000)+(T_SPORTS[[#This Row],[CV - Silver]]*1000)+(T_SPORTS[[#This Row],[CV - Bronze]]*10))</f>
        <v/>
      </c>
      <c r="Q9" s="15" t="str">
        <f>IFERROR(IF(T_SPORTS[[#This Row],[CV - Total]]=0,"",RANK(T_SPORTS[[#This Row],[CV - Rank Value]],T_SPORTS[CV - Rank Value])),"")</f>
        <v/>
      </c>
      <c r="R9" s="15" t="str">
        <f>IFERROR(IF(T_SPORTS[[#This Row],[CV - Total]]=0,"",RANK(T_SPORTS[[#This Row],[CV - Rank Value]],T_SPORTS[CV - Rank Value])+COUNTIF($Q$3:Q8,Q9)),"")</f>
        <v/>
      </c>
      <c r="S9" s="31">
        <f>T_SPORTS[[#This Row],[CV - Total]]/T_SPORTS[[#This Row],[TOTAL]]</f>
        <v>0</v>
      </c>
      <c r="T9" s="15" t="str">
        <f>IF(T_SPORTS[[#This Row],[CV - Domination - Total]]=0,"",RANK(T_SPORTS[[#This Row],[CV - Domination - Total]],T_SPORTS[CV - Domination - Total])+COUNTIF($S$3:S8,S9))</f>
        <v/>
      </c>
      <c r="U9" s="31">
        <f>T_SPORTS[[#This Row],[TOTAL]]/SUM(T_SPORTS[TOTAL])</f>
        <v>6.1601642710472282E-3</v>
      </c>
      <c r="V9" s="15">
        <f>IF(T_SPORTS[[#This Row],[OV - Domination - Total]]=0,"",RANK(T_SPORTS[[#This Row],[OV - Domination - Total]],T_SPORTS[OV - Domination - Total])+COUNTIF($U$3:U8,U9))</f>
        <v>24</v>
      </c>
    </row>
    <row r="10" spans="1:22" ht="45.95" customHeight="1" x14ac:dyDescent="0.25">
      <c r="A10" s="12">
        <v>7</v>
      </c>
      <c r="B10" s="13" t="s">
        <v>401</v>
      </c>
      <c r="C10" s="13" t="s">
        <v>902</v>
      </c>
      <c r="D10" s="13"/>
      <c r="E10" s="12">
        <f>IFERROR(COUNTIF(T_2016_EVENT_RESULTS[SPORT],T_SPORTS[[#This Row],[SPORT]]),0)</f>
        <v>13</v>
      </c>
      <c r="F10" s="12">
        <f>IFERROR(COUNTIFS(T_2016_EVENT_RESULTS[SPORT],T_SPORTS[[#This Row],[SPORT]],T_2016_EVENT_RESULTS[Gold - Country],"&lt;&gt;"&amp;"")+ COUNTIFS(T_2016_EVENT_RESULTS[SPORT],T_SPORTS[[#This Row],[SPORT]],T_2016_EVENT_RESULTS[Gold - Country - 2],"&lt;&gt;"&amp;""), "")</f>
        <v>13</v>
      </c>
      <c r="G10" s="13">
        <f>IFERROR(COUNTIFS(T_2016_EVENT_RESULTS[SPORT],T_SPORTS[[#This Row],[SPORT]],T_2016_EVENT_RESULTS[Silver - Country],"&lt;&gt;"&amp;"")+ COUNTIFS(T_2016_EVENT_RESULTS[SPORT],T_SPORTS[[#This Row],[SPORT]],T_2016_EVENT_RESULTS[Silver - Country - 2],"&lt;&gt;"&amp;"")+ COUNTIFS(T_2016_EVENT_RESULTS[SPORT],T_SPORTS[[#This Row],[SPORT]],T_2016_EVENT_RESULTS[Silver - Country - 3],"&lt;&gt;"&amp;""),"")</f>
        <v>13</v>
      </c>
      <c r="H10" s="13">
        <f>IFERROR(COUNTIFS(T_2016_EVENT_RESULTS[SPORT],T_SPORTS[[#This Row],[SPORT]],T_2016_EVENT_RESULTS[Bronze - Country],"&lt;&gt;"&amp;"")+ COUNTIFS(T_2016_EVENT_RESULTS[SPORT],T_SPORTS[[#This Row],[SPORT]],T_2016_EVENT_RESULTS[Bronze - Country - 2],"&lt;&gt;"&amp;""),"")</f>
        <v>26</v>
      </c>
      <c r="I10" s="12">
        <f>SUM(T_SPORTS[[#This Row],[Gold]:[Bronze]])</f>
        <v>52</v>
      </c>
      <c r="J10" s="15">
        <f>ROUND((T_SPORTS[[#This Row],[Gold]]*10000000)+(T_SPORTS[[#This Row],[Silver]]*100000)+(T_SPORTS[[#This Row],[Bronze]]*1000),0)</f>
        <v>131326000</v>
      </c>
      <c r="K10" s="15">
        <f>IFERROR(IF(T_SPORTS[[#This Row],[TOTAL]]=0,"",IF(I_RANK_METHOD="Total",RANK(T_SPORTS[[#This Row],[TOTAL]],T_SPORTS[TOTAL]),RANK(T_SPORTS[[#This Row],[Rank Value]],T_SPORTS[Rank Value]))),"")</f>
        <v>5</v>
      </c>
      <c r="L10" s="15">
        <f>IFERROR(COUNTIFS(T_2016_EVENT_RESULTS[SPORT],T_SPORTS[[#This Row],[SPORT]],T_2016_EVENT_RESULTS[Gold - Country], I_CV_CNTRY)+COUNTIFS(T_2016_EVENT_RESULTS[SPORT],T_SPORTS[[#This Row],[SPORT]],T_2016_EVENT_RESULTS[Gold - Country - 2], I_CV_CNTRY),"")</f>
        <v>0</v>
      </c>
      <c r="M10" s="15">
        <f>IFERROR(COUNTIFS(T_2016_EVENT_RESULTS[SPORT],T_SPORTS[[#This Row],[SPORT]],T_2016_EVENT_RESULTS[Silver - Country], I_CV_CNTRY)+COUNTIFS(T_2016_EVENT_RESULTS[SPORT],T_SPORTS[[#This Row],[SPORT]],T_2016_EVENT_RESULTS[Silver - Country - 2], I_CV_CNTRY)+COUNTIFS(T_2016_EVENT_RESULTS[SPORT],T_SPORTS[[#This Row],[SPORT]],T_2016_EVENT_RESULTS[Silver - Country - 3], I_CV_CNTRY),"")</f>
        <v>0</v>
      </c>
      <c r="N10" s="15">
        <f>IFERROR(COUNTIFS(T_2016_EVENT_RESULTS[SPORT],T_SPORTS[[#This Row],[SPORT]],T_2016_EVENT_RESULTS[Bronze - Country], I_CV_CNTRY)+COUNTIFS(T_2016_EVENT_RESULTS[SPORT],T_SPORTS[[#This Row],[SPORT]],T_2016_EVENT_RESULTS[Bronze - Country - 2], I_CV_CNTRY),"")</f>
        <v>0</v>
      </c>
      <c r="O10" s="15">
        <f>SUM(T_SPORTS[[#This Row],[CV - Gold]:[CV - Bronze]])</f>
        <v>0</v>
      </c>
      <c r="P10" s="15" t="str">
        <f>IF(T_SPORTS[[#This Row],[CV - Total]]=0,"",IF(I_RANK_METHOD="TOTAL",(T_SPORTS[[#This Row],[CV - Total]]*10000000),0)+(T_SPORTS[[#This Row],[CV - Gold]]*100000)+(T_SPORTS[[#This Row],[CV - Silver]]*1000)+(T_SPORTS[[#This Row],[CV - Bronze]]*10))</f>
        <v/>
      </c>
      <c r="Q10" s="15" t="str">
        <f>IFERROR(IF(T_SPORTS[[#This Row],[CV - Total]]=0,"",RANK(T_SPORTS[[#This Row],[CV - Rank Value]],T_SPORTS[CV - Rank Value])),"")</f>
        <v/>
      </c>
      <c r="R10" s="15" t="str">
        <f>IFERROR(IF(T_SPORTS[[#This Row],[CV - Total]]=0,"",RANK(T_SPORTS[[#This Row],[CV - Rank Value]],T_SPORTS[CV - Rank Value])+COUNTIF($Q$3:Q9,Q10)),"")</f>
        <v/>
      </c>
      <c r="S10" s="31">
        <f>T_SPORTS[[#This Row],[CV - Total]]/T_SPORTS[[#This Row],[TOTAL]]</f>
        <v>0</v>
      </c>
      <c r="T10" s="15" t="str">
        <f>IF(T_SPORTS[[#This Row],[CV - Domination - Total]]=0,"",RANK(T_SPORTS[[#This Row],[CV - Domination - Total]],T_SPORTS[CV - Domination - Total])+COUNTIF($S$3:S9,S10))</f>
        <v/>
      </c>
      <c r="U10" s="31">
        <f>T_SPORTS[[#This Row],[TOTAL]]/SUM(T_SPORTS[TOTAL])</f>
        <v>5.3388090349075976E-2</v>
      </c>
      <c r="V10" s="15">
        <f>IF(T_SPORTS[[#This Row],[OV - Domination - Total]]=0,"",RANK(T_SPORTS[[#This Row],[OV - Domination - Total]],T_SPORTS[OV - Domination - Total])+COUNTIF($U$3:U9,U10))</f>
        <v>5</v>
      </c>
    </row>
    <row r="11" spans="1:22" ht="45.95" customHeight="1" x14ac:dyDescent="0.25">
      <c r="A11" s="12">
        <v>8</v>
      </c>
      <c r="B11" s="13" t="s">
        <v>465</v>
      </c>
      <c r="C11" s="13" t="s">
        <v>903</v>
      </c>
      <c r="D11" s="13"/>
      <c r="E11" s="12">
        <f>IFERROR(COUNTIF(T_2016_EVENT_RESULTS[SPORT],T_SPORTS[[#This Row],[SPORT]]),0)</f>
        <v>4</v>
      </c>
      <c r="F11" s="12">
        <f>IFERROR(COUNTIFS(T_2016_EVENT_RESULTS[SPORT],T_SPORTS[[#This Row],[SPORT]],T_2016_EVENT_RESULTS[Gold - Country],"&lt;&gt;"&amp;"")+ COUNTIFS(T_2016_EVENT_RESULTS[SPORT],T_SPORTS[[#This Row],[SPORT]],T_2016_EVENT_RESULTS[Gold - Country - 2],"&lt;&gt;"&amp;""), "")</f>
        <v>4</v>
      </c>
      <c r="G11" s="12">
        <f>IFERROR(COUNTIFS(T_2016_EVENT_RESULTS[SPORT],T_SPORTS[[#This Row],[SPORT]],T_2016_EVENT_RESULTS[Silver - Country],"&lt;&gt;"&amp;"")+ COUNTIFS(T_2016_EVENT_RESULTS[SPORT],T_SPORTS[[#This Row],[SPORT]],T_2016_EVENT_RESULTS[Silver - Country - 2],"&lt;&gt;"&amp;"")+ COUNTIFS(T_2016_EVENT_RESULTS[SPORT],T_SPORTS[[#This Row],[SPORT]],T_2016_EVENT_RESULTS[Silver - Country - 3],"&lt;&gt;"&amp;""),"")</f>
        <v>4</v>
      </c>
      <c r="H11" s="12">
        <f>IFERROR(COUNTIFS(T_2016_EVENT_RESULTS[SPORT],T_SPORTS[[#This Row],[SPORT]],T_2016_EVENT_RESULTS[Bronze - Country],"&lt;&gt;"&amp;"")+ COUNTIFS(T_2016_EVENT_RESULTS[SPORT],T_SPORTS[[#This Row],[SPORT]],T_2016_EVENT_RESULTS[Bronze - Country - 2],"&lt;&gt;"&amp;""),"")</f>
        <v>4</v>
      </c>
      <c r="I11" s="12">
        <f>SUM(T_SPORTS[[#This Row],[Gold]:[Bronze]])</f>
        <v>12</v>
      </c>
      <c r="J11" s="15">
        <f>ROUND((T_SPORTS[[#This Row],[Gold]]*10000000)+(T_SPORTS[[#This Row],[Silver]]*100000)+(T_SPORTS[[#This Row],[Bronze]]*1000),0)</f>
        <v>40404000</v>
      </c>
      <c r="K11" s="15">
        <f>IFERROR(IF(T_SPORTS[[#This Row],[TOTAL]]=0,"",IF(I_RANK_METHOD="Total",RANK(T_SPORTS[[#This Row],[TOTAL]],T_SPORTS[TOTAL]),RANK(T_SPORTS[[#This Row],[Rank Value]],T_SPORTS[Rank Value]))),"")</f>
        <v>19</v>
      </c>
      <c r="L11" s="15">
        <f>IFERROR(COUNTIFS(T_2016_EVENT_RESULTS[SPORT],T_SPORTS[[#This Row],[SPORT]],T_2016_EVENT_RESULTS[Gold - Country], I_CV_CNTRY)+COUNTIFS(T_2016_EVENT_RESULTS[SPORT],T_SPORTS[[#This Row],[SPORT]],T_2016_EVENT_RESULTS[Gold - Country - 2], I_CV_CNTRY),"")</f>
        <v>0</v>
      </c>
      <c r="M11" s="15">
        <f>IFERROR(COUNTIFS(T_2016_EVENT_RESULTS[SPORT],T_SPORTS[[#This Row],[SPORT]],T_2016_EVENT_RESULTS[Silver - Country], I_CV_CNTRY)+COUNTIFS(T_2016_EVENT_RESULTS[SPORT],T_SPORTS[[#This Row],[SPORT]],T_2016_EVENT_RESULTS[Silver - Country - 2], I_CV_CNTRY)+COUNTIFS(T_2016_EVENT_RESULTS[SPORT],T_SPORTS[[#This Row],[SPORT]],T_2016_EVENT_RESULTS[Silver - Country - 3], I_CV_CNTRY),"")</f>
        <v>0</v>
      </c>
      <c r="N11" s="15">
        <f>IFERROR(COUNTIFS(T_2016_EVENT_RESULTS[SPORT],T_SPORTS[[#This Row],[SPORT]],T_2016_EVENT_RESULTS[Bronze - Country], I_CV_CNTRY)+COUNTIFS(T_2016_EVENT_RESULTS[SPORT],T_SPORTS[[#This Row],[SPORT]],T_2016_EVENT_RESULTS[Bronze - Country - 2], I_CV_CNTRY),"")</f>
        <v>0</v>
      </c>
      <c r="O11" s="15">
        <f>SUM(T_SPORTS[[#This Row],[CV - Gold]:[CV - Bronze]])</f>
        <v>0</v>
      </c>
      <c r="P11" s="15" t="str">
        <f>IF(T_SPORTS[[#This Row],[CV - Total]]=0,"",IF(I_RANK_METHOD="TOTAL",(T_SPORTS[[#This Row],[CV - Total]]*10000000),0)+(T_SPORTS[[#This Row],[CV - Gold]]*100000)+(T_SPORTS[[#This Row],[CV - Silver]]*1000)+(T_SPORTS[[#This Row],[CV - Bronze]]*10))</f>
        <v/>
      </c>
      <c r="Q11" s="15" t="str">
        <f>IFERROR(IF(T_SPORTS[[#This Row],[CV - Total]]=0,"",RANK(T_SPORTS[[#This Row],[CV - Rank Value]],T_SPORTS[CV - Rank Value])),"")</f>
        <v/>
      </c>
      <c r="R11" s="15" t="str">
        <f>IFERROR(IF(T_SPORTS[[#This Row],[CV - Total]]=0,"",RANK(T_SPORTS[[#This Row],[CV - Rank Value]],T_SPORTS[CV - Rank Value])+COUNTIF($Q$3:Q10,Q11)),"")</f>
        <v/>
      </c>
      <c r="S11" s="31">
        <f>T_SPORTS[[#This Row],[CV - Total]]/T_SPORTS[[#This Row],[TOTAL]]</f>
        <v>0</v>
      </c>
      <c r="T11" s="15" t="str">
        <f>IF(T_SPORTS[[#This Row],[CV - Domination - Total]]=0,"",RANK(T_SPORTS[[#This Row],[CV - Domination - Total]],T_SPORTS[CV - Domination - Total])+COUNTIF($S$3:S10,S11))</f>
        <v/>
      </c>
      <c r="U11" s="31">
        <f>T_SPORTS[[#This Row],[TOTAL]]/SUM(T_SPORTS[TOTAL])</f>
        <v>1.2320328542094456E-2</v>
      </c>
      <c r="V11" s="15">
        <f>IF(T_SPORTS[[#This Row],[OV - Domination - Total]]=0,"",RANK(T_SPORTS[[#This Row],[OV - Domination - Total]],T_SPORTS[OV - Domination - Total])+COUNTIF($U$3:U10,U11))</f>
        <v>20</v>
      </c>
    </row>
    <row r="12" spans="1:22" ht="45.95" customHeight="1" x14ac:dyDescent="0.25">
      <c r="A12" s="12">
        <v>9</v>
      </c>
      <c r="B12" s="13" t="s">
        <v>466</v>
      </c>
      <c r="C12" s="13" t="s">
        <v>904</v>
      </c>
      <c r="D12" s="13"/>
      <c r="E12" s="12">
        <f>IFERROR(COUNTIF(T_2016_EVENT_RESULTS[SPORT],T_SPORTS[[#This Row],[SPORT]]),0)</f>
        <v>12</v>
      </c>
      <c r="F12" s="12">
        <f>IFERROR(COUNTIFS(T_2016_EVENT_RESULTS[SPORT],T_SPORTS[[#This Row],[SPORT]],T_2016_EVENT_RESULTS[Gold - Country],"&lt;&gt;"&amp;"")+ COUNTIFS(T_2016_EVENT_RESULTS[SPORT],T_SPORTS[[#This Row],[SPORT]],T_2016_EVENT_RESULTS[Gold - Country - 2],"&lt;&gt;"&amp;""), "")</f>
        <v>12</v>
      </c>
      <c r="G12" s="12">
        <f>IFERROR(COUNTIFS(T_2016_EVENT_RESULTS[SPORT],T_SPORTS[[#This Row],[SPORT]],T_2016_EVENT_RESULTS[Silver - Country],"&lt;&gt;"&amp;"")+ COUNTIFS(T_2016_EVENT_RESULTS[SPORT],T_SPORTS[[#This Row],[SPORT]],T_2016_EVENT_RESULTS[Silver - Country - 2],"&lt;&gt;"&amp;"")+ COUNTIFS(T_2016_EVENT_RESULTS[SPORT],T_SPORTS[[#This Row],[SPORT]],T_2016_EVENT_RESULTS[Silver - Country - 3],"&lt;&gt;"&amp;""),"")</f>
        <v>12</v>
      </c>
      <c r="H12" s="12">
        <f>IFERROR(COUNTIFS(T_2016_EVENT_RESULTS[SPORT],T_SPORTS[[#This Row],[SPORT]],T_2016_EVENT_RESULTS[Bronze - Country],"&lt;&gt;"&amp;"")+ COUNTIFS(T_2016_EVENT_RESULTS[SPORT],T_SPORTS[[#This Row],[SPORT]],T_2016_EVENT_RESULTS[Bronze - Country - 2],"&lt;&gt;"&amp;""),"")</f>
        <v>13</v>
      </c>
      <c r="I12" s="12">
        <f>SUM(T_SPORTS[[#This Row],[Gold]:[Bronze]])</f>
        <v>37</v>
      </c>
      <c r="J12" s="15">
        <f>ROUND((T_SPORTS[[#This Row],[Gold]]*10000000)+(T_SPORTS[[#This Row],[Silver]]*100000)+(T_SPORTS[[#This Row],[Bronze]]*1000),0)</f>
        <v>121213000</v>
      </c>
      <c r="K12" s="15">
        <f>IFERROR(IF(T_SPORTS[[#This Row],[TOTAL]]=0,"",IF(I_RANK_METHOD="Total",RANK(T_SPORTS[[#This Row],[TOTAL]],T_SPORTS[TOTAL]),RANK(T_SPORTS[[#This Row],[Rank Value]],T_SPORTS[Rank Value]))),"")</f>
        <v>10</v>
      </c>
      <c r="L12" s="15">
        <f>IFERROR(COUNTIFS(T_2016_EVENT_RESULTS[SPORT],T_SPORTS[[#This Row],[SPORT]],T_2016_EVENT_RESULTS[Gold - Country], I_CV_CNTRY)+COUNTIFS(T_2016_EVENT_RESULTS[SPORT],T_SPORTS[[#This Row],[SPORT]],T_2016_EVENT_RESULTS[Gold - Country - 2], I_CV_CNTRY),"")</f>
        <v>0</v>
      </c>
      <c r="M12" s="15">
        <f>IFERROR(COUNTIFS(T_2016_EVENT_RESULTS[SPORT],T_SPORTS[[#This Row],[SPORT]],T_2016_EVENT_RESULTS[Silver - Country], I_CV_CNTRY)+COUNTIFS(T_2016_EVENT_RESULTS[SPORT],T_SPORTS[[#This Row],[SPORT]],T_2016_EVENT_RESULTS[Silver - Country - 2], I_CV_CNTRY)+COUNTIFS(T_2016_EVENT_RESULTS[SPORT],T_SPORTS[[#This Row],[SPORT]],T_2016_EVENT_RESULTS[Silver - Country - 3], I_CV_CNTRY),"")</f>
        <v>0</v>
      </c>
      <c r="N12" s="15">
        <f>IFERROR(COUNTIFS(T_2016_EVENT_RESULTS[SPORT],T_SPORTS[[#This Row],[SPORT]],T_2016_EVENT_RESULTS[Bronze - Country], I_CV_CNTRY)+COUNTIFS(T_2016_EVENT_RESULTS[SPORT],T_SPORTS[[#This Row],[SPORT]],T_2016_EVENT_RESULTS[Bronze - Country - 2], I_CV_CNTRY),"")</f>
        <v>0</v>
      </c>
      <c r="O12" s="15">
        <f>SUM(T_SPORTS[[#This Row],[CV - Gold]:[CV - Bronze]])</f>
        <v>0</v>
      </c>
      <c r="P12" s="15" t="str">
        <f>IF(T_SPORTS[[#This Row],[CV - Total]]=0,"",IF(I_RANK_METHOD="TOTAL",(T_SPORTS[[#This Row],[CV - Total]]*10000000),0)+(T_SPORTS[[#This Row],[CV - Gold]]*100000)+(T_SPORTS[[#This Row],[CV - Silver]]*1000)+(T_SPORTS[[#This Row],[CV - Bronze]]*10))</f>
        <v/>
      </c>
      <c r="Q12" s="15" t="str">
        <f>IFERROR(IF(T_SPORTS[[#This Row],[CV - Total]]=0,"",RANK(T_SPORTS[[#This Row],[CV - Rank Value]],T_SPORTS[CV - Rank Value])),"")</f>
        <v/>
      </c>
      <c r="R12" s="15" t="str">
        <f>IFERROR(IF(T_SPORTS[[#This Row],[CV - Total]]=0,"",RANK(T_SPORTS[[#This Row],[CV - Rank Value]],T_SPORTS[CV - Rank Value])+COUNTIF($Q$3:Q11,Q12)),"")</f>
        <v/>
      </c>
      <c r="S12" s="31">
        <f>T_SPORTS[[#This Row],[CV - Total]]/T_SPORTS[[#This Row],[TOTAL]]</f>
        <v>0</v>
      </c>
      <c r="T12" s="15" t="str">
        <f>IF(T_SPORTS[[#This Row],[CV - Domination - Total]]=0,"",RANK(T_SPORTS[[#This Row],[CV - Domination - Total]],T_SPORTS[CV - Domination - Total])+COUNTIF($S$3:S11,S12))</f>
        <v/>
      </c>
      <c r="U12" s="31">
        <f>T_SPORTS[[#This Row],[TOTAL]]/SUM(T_SPORTS[TOTAL])</f>
        <v>3.7987679671457907E-2</v>
      </c>
      <c r="V12" s="15">
        <f>IF(T_SPORTS[[#This Row],[OV - Domination - Total]]=0,"",RANK(T_SPORTS[[#This Row],[OV - Domination - Total]],T_SPORTS[OV - Domination - Total])+COUNTIF($U$3:U11,U12))</f>
        <v>10</v>
      </c>
    </row>
    <row r="13" spans="1:22" ht="45.95" customHeight="1" x14ac:dyDescent="0.25">
      <c r="A13" s="12">
        <v>10</v>
      </c>
      <c r="B13" s="13" t="s">
        <v>467</v>
      </c>
      <c r="C13" s="13" t="s">
        <v>905</v>
      </c>
      <c r="D13" s="13"/>
      <c r="E13" s="12">
        <f>IFERROR(COUNTIF(T_2016_EVENT_RESULTS[SPORT],T_SPORTS[[#This Row],[SPORT]]),0)</f>
        <v>2</v>
      </c>
      <c r="F13" s="12">
        <f>IFERROR(COUNTIFS(T_2016_EVENT_RESULTS[SPORT],T_SPORTS[[#This Row],[SPORT]],T_2016_EVENT_RESULTS[Gold - Country],"&lt;&gt;"&amp;"")+ COUNTIFS(T_2016_EVENT_RESULTS[SPORT],T_SPORTS[[#This Row],[SPORT]],T_2016_EVENT_RESULTS[Gold - Country - 2],"&lt;&gt;"&amp;""), "")</f>
        <v>2</v>
      </c>
      <c r="G13" s="12">
        <f>IFERROR(COUNTIFS(T_2016_EVENT_RESULTS[SPORT],T_SPORTS[[#This Row],[SPORT]],T_2016_EVENT_RESULTS[Silver - Country],"&lt;&gt;"&amp;"")+ COUNTIFS(T_2016_EVENT_RESULTS[SPORT],T_SPORTS[[#This Row],[SPORT]],T_2016_EVENT_RESULTS[Silver - Country - 2],"&lt;&gt;"&amp;"")+ COUNTIFS(T_2016_EVENT_RESULTS[SPORT],T_SPORTS[[#This Row],[SPORT]],T_2016_EVENT_RESULTS[Silver - Country - 3],"&lt;&gt;"&amp;""),"")</f>
        <v>2</v>
      </c>
      <c r="H13" s="12">
        <f>IFERROR(COUNTIFS(T_2016_EVENT_RESULTS[SPORT],T_SPORTS[[#This Row],[SPORT]],T_2016_EVENT_RESULTS[Bronze - Country],"&lt;&gt;"&amp;"")+ COUNTIFS(T_2016_EVENT_RESULTS[SPORT],T_SPORTS[[#This Row],[SPORT]],T_2016_EVENT_RESULTS[Bronze - Country - 2],"&lt;&gt;"&amp;""),"")</f>
        <v>2</v>
      </c>
      <c r="I13" s="12">
        <f>SUM(T_SPORTS[[#This Row],[Gold]:[Bronze]])</f>
        <v>6</v>
      </c>
      <c r="J13" s="15">
        <f>ROUND((T_SPORTS[[#This Row],[Gold]]*10000000)+(T_SPORTS[[#This Row],[Silver]]*100000)+(T_SPORTS[[#This Row],[Bronze]]*1000),0)</f>
        <v>20202000</v>
      </c>
      <c r="K13" s="15">
        <f>IFERROR(IF(T_SPORTS[[#This Row],[TOTAL]]=0,"",IF(I_RANK_METHOD="Total",RANK(T_SPORTS[[#This Row],[TOTAL]],T_SPORTS[TOTAL]),RANK(T_SPORTS[[#This Row],[Rank Value]],T_SPORTS[Rank Value]))),"")</f>
        <v>23</v>
      </c>
      <c r="L13" s="15">
        <f>IFERROR(COUNTIFS(T_2016_EVENT_RESULTS[SPORT],T_SPORTS[[#This Row],[SPORT]],T_2016_EVENT_RESULTS[Gold - Country], I_CV_CNTRY)+COUNTIFS(T_2016_EVENT_RESULTS[SPORT],T_SPORTS[[#This Row],[SPORT]],T_2016_EVENT_RESULTS[Gold - Country - 2], I_CV_CNTRY),"")</f>
        <v>0</v>
      </c>
      <c r="M13" s="15">
        <f>IFERROR(COUNTIFS(T_2016_EVENT_RESULTS[SPORT],T_SPORTS[[#This Row],[SPORT]],T_2016_EVENT_RESULTS[Silver - Country], I_CV_CNTRY)+COUNTIFS(T_2016_EVENT_RESULTS[SPORT],T_SPORTS[[#This Row],[SPORT]],T_2016_EVENT_RESULTS[Silver - Country - 2], I_CV_CNTRY)+COUNTIFS(T_2016_EVENT_RESULTS[SPORT],T_SPORTS[[#This Row],[SPORT]],T_2016_EVENT_RESULTS[Silver - Country - 3], I_CV_CNTRY),"")</f>
        <v>0</v>
      </c>
      <c r="N13" s="15">
        <f>IFERROR(COUNTIFS(T_2016_EVENT_RESULTS[SPORT],T_SPORTS[[#This Row],[SPORT]],T_2016_EVENT_RESULTS[Bronze - Country], I_CV_CNTRY)+COUNTIFS(T_2016_EVENT_RESULTS[SPORT],T_SPORTS[[#This Row],[SPORT]],T_2016_EVENT_RESULTS[Bronze - Country - 2], I_CV_CNTRY),"")</f>
        <v>0</v>
      </c>
      <c r="O13" s="15">
        <f>SUM(T_SPORTS[[#This Row],[CV - Gold]:[CV - Bronze]])</f>
        <v>0</v>
      </c>
      <c r="P13" s="15" t="str">
        <f>IF(T_SPORTS[[#This Row],[CV - Total]]=0,"",IF(I_RANK_METHOD="TOTAL",(T_SPORTS[[#This Row],[CV - Total]]*10000000),0)+(T_SPORTS[[#This Row],[CV - Gold]]*100000)+(T_SPORTS[[#This Row],[CV - Silver]]*1000)+(T_SPORTS[[#This Row],[CV - Bronze]]*10))</f>
        <v/>
      </c>
      <c r="Q13" s="15" t="str">
        <f>IFERROR(IF(T_SPORTS[[#This Row],[CV - Total]]=0,"",RANK(T_SPORTS[[#This Row],[CV - Rank Value]],T_SPORTS[CV - Rank Value])),"")</f>
        <v/>
      </c>
      <c r="R13" s="15" t="str">
        <f>IFERROR(IF(T_SPORTS[[#This Row],[CV - Total]]=0,"",RANK(T_SPORTS[[#This Row],[CV - Rank Value]],T_SPORTS[CV - Rank Value])+COUNTIF($Q$3:Q12,Q13)),"")</f>
        <v/>
      </c>
      <c r="S13" s="31">
        <f>T_SPORTS[[#This Row],[CV - Total]]/T_SPORTS[[#This Row],[TOTAL]]</f>
        <v>0</v>
      </c>
      <c r="T13" s="15" t="str">
        <f>IF(T_SPORTS[[#This Row],[CV - Domination - Total]]=0,"",RANK(T_SPORTS[[#This Row],[CV - Domination - Total]],T_SPORTS[CV - Domination - Total])+COUNTIF($S$3:S12,S13))</f>
        <v/>
      </c>
      <c r="U13" s="31">
        <f>T_SPORTS[[#This Row],[TOTAL]]/SUM(T_SPORTS[TOTAL])</f>
        <v>6.1601642710472282E-3</v>
      </c>
      <c r="V13" s="15">
        <f>IF(T_SPORTS[[#This Row],[OV - Domination - Total]]=0,"",RANK(T_SPORTS[[#This Row],[OV - Domination - Total]],T_SPORTS[OV - Domination - Total])+COUNTIF($U$3:U12,U13))</f>
        <v>25</v>
      </c>
    </row>
    <row r="14" spans="1:22" ht="45.95" customHeight="1" x14ac:dyDescent="0.25">
      <c r="A14" s="12">
        <v>11</v>
      </c>
      <c r="B14" s="13" t="s">
        <v>468</v>
      </c>
      <c r="C14" s="13" t="s">
        <v>906</v>
      </c>
      <c r="D14" s="13"/>
      <c r="E14" s="12">
        <f>IFERROR(COUNTIF(T_2016_EVENT_RESULTS[SPORT],T_SPORTS[[#This Row],[SPORT]]),0)</f>
        <v>2</v>
      </c>
      <c r="F14" s="12">
        <f>IFERROR(COUNTIFS(T_2016_EVENT_RESULTS[SPORT],T_SPORTS[[#This Row],[SPORT]],T_2016_EVENT_RESULTS[Gold - Country],"&lt;&gt;"&amp;"")+ COUNTIFS(T_2016_EVENT_RESULTS[SPORT],T_SPORTS[[#This Row],[SPORT]],T_2016_EVENT_RESULTS[Gold - Country - 2],"&lt;&gt;"&amp;""), "")</f>
        <v>2</v>
      </c>
      <c r="G14" s="12">
        <f>IFERROR(COUNTIFS(T_2016_EVENT_RESULTS[SPORT],T_SPORTS[[#This Row],[SPORT]],T_2016_EVENT_RESULTS[Silver - Country],"&lt;&gt;"&amp;"")+ COUNTIFS(T_2016_EVENT_RESULTS[SPORT],T_SPORTS[[#This Row],[SPORT]],T_2016_EVENT_RESULTS[Silver - Country - 2],"&lt;&gt;"&amp;"")+ COUNTIFS(T_2016_EVENT_RESULTS[SPORT],T_SPORTS[[#This Row],[SPORT]],T_2016_EVENT_RESULTS[Silver - Country - 3],"&lt;&gt;"&amp;""),"")</f>
        <v>2</v>
      </c>
      <c r="H14" s="12">
        <f>IFERROR(COUNTIFS(T_2016_EVENT_RESULTS[SPORT],T_SPORTS[[#This Row],[SPORT]],T_2016_EVENT_RESULTS[Bronze - Country],"&lt;&gt;"&amp;"")+ COUNTIFS(T_2016_EVENT_RESULTS[SPORT],T_SPORTS[[#This Row],[SPORT]],T_2016_EVENT_RESULTS[Bronze - Country - 2],"&lt;&gt;"&amp;""),"")</f>
        <v>2</v>
      </c>
      <c r="I14" s="12">
        <f>SUM(T_SPORTS[[#This Row],[Gold]:[Bronze]])</f>
        <v>6</v>
      </c>
      <c r="J14" s="15">
        <f>ROUND((T_SPORTS[[#This Row],[Gold]]*10000000)+(T_SPORTS[[#This Row],[Silver]]*100000)+(T_SPORTS[[#This Row],[Bronze]]*1000),0)</f>
        <v>20202000</v>
      </c>
      <c r="K14" s="15">
        <f>IFERROR(IF(T_SPORTS[[#This Row],[TOTAL]]=0,"",IF(I_RANK_METHOD="Total",RANK(T_SPORTS[[#This Row],[TOTAL]],T_SPORTS[TOTAL]),RANK(T_SPORTS[[#This Row],[Rank Value]],T_SPORTS[Rank Value]))),"")</f>
        <v>23</v>
      </c>
      <c r="L14" s="15">
        <f>IFERROR(COUNTIFS(T_2016_EVENT_RESULTS[SPORT],T_SPORTS[[#This Row],[SPORT]],T_2016_EVENT_RESULTS[Gold - Country], I_CV_CNTRY)+COUNTIFS(T_2016_EVENT_RESULTS[SPORT],T_SPORTS[[#This Row],[SPORT]],T_2016_EVENT_RESULTS[Gold - Country - 2], I_CV_CNTRY),"")</f>
        <v>0</v>
      </c>
      <c r="M14" s="15">
        <f>IFERROR(COUNTIFS(T_2016_EVENT_RESULTS[SPORT],T_SPORTS[[#This Row],[SPORT]],T_2016_EVENT_RESULTS[Silver - Country], I_CV_CNTRY)+COUNTIFS(T_2016_EVENT_RESULTS[SPORT],T_SPORTS[[#This Row],[SPORT]],T_2016_EVENT_RESULTS[Silver - Country - 2], I_CV_CNTRY)+COUNTIFS(T_2016_EVENT_RESULTS[SPORT],T_SPORTS[[#This Row],[SPORT]],T_2016_EVENT_RESULTS[Silver - Country - 3], I_CV_CNTRY),"")</f>
        <v>0</v>
      </c>
      <c r="N14" s="15">
        <f>IFERROR(COUNTIFS(T_2016_EVENT_RESULTS[SPORT],T_SPORTS[[#This Row],[SPORT]],T_2016_EVENT_RESULTS[Bronze - Country], I_CV_CNTRY)+COUNTIFS(T_2016_EVENT_RESULTS[SPORT],T_SPORTS[[#This Row],[SPORT]],T_2016_EVENT_RESULTS[Bronze - Country - 2], I_CV_CNTRY),"")</f>
        <v>0</v>
      </c>
      <c r="O14" s="15">
        <f>SUM(T_SPORTS[[#This Row],[CV - Gold]:[CV - Bronze]])</f>
        <v>0</v>
      </c>
      <c r="P14" s="15" t="str">
        <f>IF(T_SPORTS[[#This Row],[CV - Total]]=0,"",IF(I_RANK_METHOD="TOTAL",(T_SPORTS[[#This Row],[CV - Total]]*10000000),0)+(T_SPORTS[[#This Row],[CV - Gold]]*100000)+(T_SPORTS[[#This Row],[CV - Silver]]*1000)+(T_SPORTS[[#This Row],[CV - Bronze]]*10))</f>
        <v/>
      </c>
      <c r="Q14" s="15" t="str">
        <f>IFERROR(IF(T_SPORTS[[#This Row],[CV - Total]]=0,"",RANK(T_SPORTS[[#This Row],[CV - Rank Value]],T_SPORTS[CV - Rank Value])),"")</f>
        <v/>
      </c>
      <c r="R14" s="15" t="str">
        <f>IFERROR(IF(T_SPORTS[[#This Row],[CV - Total]]=0,"",RANK(T_SPORTS[[#This Row],[CV - Rank Value]],T_SPORTS[CV - Rank Value])+COUNTIF($Q$3:Q13,Q14)),"")</f>
        <v/>
      </c>
      <c r="S14" s="31">
        <f>T_SPORTS[[#This Row],[CV - Total]]/T_SPORTS[[#This Row],[TOTAL]]</f>
        <v>0</v>
      </c>
      <c r="T14" s="15" t="str">
        <f>IF(T_SPORTS[[#This Row],[CV - Domination - Total]]=0,"",RANK(T_SPORTS[[#This Row],[CV - Domination - Total]],T_SPORTS[CV - Domination - Total])+COUNTIF($S$3:S13,S14))</f>
        <v/>
      </c>
      <c r="U14" s="31">
        <f>T_SPORTS[[#This Row],[TOTAL]]/SUM(T_SPORTS[TOTAL])</f>
        <v>6.1601642710472282E-3</v>
      </c>
      <c r="V14" s="15">
        <f>IF(T_SPORTS[[#This Row],[OV - Domination - Total]]=0,"",RANK(T_SPORTS[[#This Row],[OV - Domination - Total]],T_SPORTS[OV - Domination - Total])+COUNTIF($U$3:U13,U14))</f>
        <v>26</v>
      </c>
    </row>
    <row r="15" spans="1:22" ht="45.95" customHeight="1" x14ac:dyDescent="0.25">
      <c r="A15" s="12">
        <v>12</v>
      </c>
      <c r="B15" s="13" t="s">
        <v>469</v>
      </c>
      <c r="C15" s="13" t="s">
        <v>931</v>
      </c>
      <c r="D15" s="13"/>
      <c r="E15" s="12">
        <f>IFERROR(COUNTIF(T_2016_EVENT_RESULTS[SPORT],T_SPORTS[[#This Row],[SPORT]]),0)</f>
        <v>4</v>
      </c>
      <c r="F15" s="12">
        <f>IFERROR(COUNTIFS(T_2016_EVENT_RESULTS[SPORT],T_SPORTS[[#This Row],[SPORT]],T_2016_EVENT_RESULTS[Gold - Country],"&lt;&gt;"&amp;"")+ COUNTIFS(T_2016_EVENT_RESULTS[SPORT],T_SPORTS[[#This Row],[SPORT]],T_2016_EVENT_RESULTS[Gold - Country - 2],"&lt;&gt;"&amp;""), "")</f>
        <v>4</v>
      </c>
      <c r="G15" s="12">
        <f>IFERROR(COUNTIFS(T_2016_EVENT_RESULTS[SPORT],T_SPORTS[[#This Row],[SPORT]],T_2016_EVENT_RESULTS[Silver - Country],"&lt;&gt;"&amp;"")+ COUNTIFS(T_2016_EVENT_RESULTS[SPORT],T_SPORTS[[#This Row],[SPORT]],T_2016_EVENT_RESULTS[Silver - Country - 2],"&lt;&gt;"&amp;"")+ COUNTIFS(T_2016_EVENT_RESULTS[SPORT],T_SPORTS[[#This Row],[SPORT]],T_2016_EVENT_RESULTS[Silver - Country - 3],"&lt;&gt;"&amp;""),"")</f>
        <v>4</v>
      </c>
      <c r="H15" s="12">
        <f>IFERROR(COUNTIFS(T_2016_EVENT_RESULTS[SPORT],T_SPORTS[[#This Row],[SPORT]],T_2016_EVENT_RESULTS[Bronze - Country],"&lt;&gt;"&amp;"")+ COUNTIFS(T_2016_EVENT_RESULTS[SPORT],T_SPORTS[[#This Row],[SPORT]],T_2016_EVENT_RESULTS[Bronze - Country - 2],"&lt;&gt;"&amp;""),"")</f>
        <v>4</v>
      </c>
      <c r="I15" s="12">
        <f>SUM(T_SPORTS[[#This Row],[Gold]:[Bronze]])</f>
        <v>12</v>
      </c>
      <c r="J15" s="15">
        <f>ROUND((T_SPORTS[[#This Row],[Gold]]*10000000)+(T_SPORTS[[#This Row],[Silver]]*100000)+(T_SPORTS[[#This Row],[Bronze]]*1000),0)</f>
        <v>40404000</v>
      </c>
      <c r="K15" s="15">
        <f>IFERROR(IF(T_SPORTS[[#This Row],[TOTAL]]=0,"",IF(I_RANK_METHOD="Total",RANK(T_SPORTS[[#This Row],[TOTAL]],T_SPORTS[TOTAL]),RANK(T_SPORTS[[#This Row],[Rank Value]],T_SPORTS[Rank Value]))),"")</f>
        <v>19</v>
      </c>
      <c r="L15" s="15">
        <f>IFERROR(COUNTIFS(T_2016_EVENT_RESULTS[SPORT],T_SPORTS[[#This Row],[SPORT]],T_2016_EVENT_RESULTS[Gold - Country], I_CV_CNTRY)+COUNTIFS(T_2016_EVENT_RESULTS[SPORT],T_SPORTS[[#This Row],[SPORT]],T_2016_EVENT_RESULTS[Gold - Country - 2], I_CV_CNTRY),"")</f>
        <v>0</v>
      </c>
      <c r="M15" s="15">
        <f>IFERROR(COUNTIFS(T_2016_EVENT_RESULTS[SPORT],T_SPORTS[[#This Row],[SPORT]],T_2016_EVENT_RESULTS[Silver - Country], I_CV_CNTRY)+COUNTIFS(T_2016_EVENT_RESULTS[SPORT],T_SPORTS[[#This Row],[SPORT]],T_2016_EVENT_RESULTS[Silver - Country - 2], I_CV_CNTRY)+COUNTIFS(T_2016_EVENT_RESULTS[SPORT],T_SPORTS[[#This Row],[SPORT]],T_2016_EVENT_RESULTS[Silver - Country - 3], I_CV_CNTRY),"")</f>
        <v>0</v>
      </c>
      <c r="N15" s="15">
        <f>IFERROR(COUNTIFS(T_2016_EVENT_RESULTS[SPORT],T_SPORTS[[#This Row],[SPORT]],T_2016_EVENT_RESULTS[Bronze - Country], I_CV_CNTRY)+COUNTIFS(T_2016_EVENT_RESULTS[SPORT],T_SPORTS[[#This Row],[SPORT]],T_2016_EVENT_RESULTS[Bronze - Country - 2], I_CV_CNTRY),"")</f>
        <v>0</v>
      </c>
      <c r="O15" s="15">
        <f>SUM(T_SPORTS[[#This Row],[CV - Gold]:[CV - Bronze]])</f>
        <v>0</v>
      </c>
      <c r="P15" s="15" t="str">
        <f>IF(T_SPORTS[[#This Row],[CV - Total]]=0,"",IF(I_RANK_METHOD="TOTAL",(T_SPORTS[[#This Row],[CV - Total]]*10000000),0)+(T_SPORTS[[#This Row],[CV - Gold]]*100000)+(T_SPORTS[[#This Row],[CV - Silver]]*1000)+(T_SPORTS[[#This Row],[CV - Bronze]]*10))</f>
        <v/>
      </c>
      <c r="Q15" s="15" t="str">
        <f>IFERROR(IF(T_SPORTS[[#This Row],[CV - Total]]=0,"",RANK(T_SPORTS[[#This Row],[CV - Rank Value]],T_SPORTS[CV - Rank Value])),"")</f>
        <v/>
      </c>
      <c r="R15" s="15" t="str">
        <f>IFERROR(IF(T_SPORTS[[#This Row],[CV - Total]]=0,"",RANK(T_SPORTS[[#This Row],[CV - Rank Value]],T_SPORTS[CV - Rank Value])+COUNTIF($Q$3:Q14,Q15)),"")</f>
        <v/>
      </c>
      <c r="S15" s="31">
        <f>T_SPORTS[[#This Row],[CV - Total]]/T_SPORTS[[#This Row],[TOTAL]]</f>
        <v>0</v>
      </c>
      <c r="T15" s="15" t="str">
        <f>IF(T_SPORTS[[#This Row],[CV - Domination - Total]]=0,"",RANK(T_SPORTS[[#This Row],[CV - Domination - Total]],T_SPORTS[CV - Domination - Total])+COUNTIF($S$3:S14,S15))</f>
        <v/>
      </c>
      <c r="U15" s="31">
        <f>T_SPORTS[[#This Row],[TOTAL]]/SUM(T_SPORTS[TOTAL])</f>
        <v>1.2320328542094456E-2</v>
      </c>
      <c r="V15" s="15">
        <f>IF(T_SPORTS[[#This Row],[OV - Domination - Total]]=0,"",RANK(T_SPORTS[[#This Row],[OV - Domination - Total]],T_SPORTS[OV - Domination - Total])+COUNTIF($U$3:U14,U15))</f>
        <v>21</v>
      </c>
    </row>
    <row r="16" spans="1:22" ht="45.95" customHeight="1" x14ac:dyDescent="0.25">
      <c r="A16" s="12">
        <v>13</v>
      </c>
      <c r="B16" s="13" t="s">
        <v>470</v>
      </c>
      <c r="C16" s="13" t="s">
        <v>907</v>
      </c>
      <c r="D16" s="13"/>
      <c r="E16" s="12">
        <f>IFERROR(COUNTIF(T_2016_EVENT_RESULTS[SPORT],T_SPORTS[[#This Row],[SPORT]]),0)</f>
        <v>10</v>
      </c>
      <c r="F16" s="12">
        <f>IFERROR(COUNTIFS(T_2016_EVENT_RESULTS[SPORT],T_SPORTS[[#This Row],[SPORT]],T_2016_EVENT_RESULTS[Gold - Country],"&lt;&gt;"&amp;"")+ COUNTIFS(T_2016_EVENT_RESULTS[SPORT],T_SPORTS[[#This Row],[SPORT]],T_2016_EVENT_RESULTS[Gold - Country - 2],"&lt;&gt;"&amp;""), "")</f>
        <v>10</v>
      </c>
      <c r="G16" s="12">
        <f>IFERROR(COUNTIFS(T_2016_EVENT_RESULTS[SPORT],T_SPORTS[[#This Row],[SPORT]],T_2016_EVENT_RESULTS[Silver - Country],"&lt;&gt;"&amp;"")+ COUNTIFS(T_2016_EVENT_RESULTS[SPORT],T_SPORTS[[#This Row],[SPORT]],T_2016_EVENT_RESULTS[Silver - Country - 2],"&lt;&gt;"&amp;"")+ COUNTIFS(T_2016_EVENT_RESULTS[SPORT],T_SPORTS[[#This Row],[SPORT]],T_2016_EVENT_RESULTS[Silver - Country - 3],"&lt;&gt;"&amp;""),"")</f>
        <v>10</v>
      </c>
      <c r="H16" s="12">
        <f>IFERROR(COUNTIFS(T_2016_EVENT_RESULTS[SPORT],T_SPORTS[[#This Row],[SPORT]],T_2016_EVENT_RESULTS[Bronze - Country],"&lt;&gt;"&amp;"")+ COUNTIFS(T_2016_EVENT_RESULTS[SPORT],T_SPORTS[[#This Row],[SPORT]],T_2016_EVENT_RESULTS[Bronze - Country - 2],"&lt;&gt;"&amp;""),"")</f>
        <v>10</v>
      </c>
      <c r="I16" s="12">
        <f>SUM(T_SPORTS[[#This Row],[Gold]:[Bronze]])</f>
        <v>30</v>
      </c>
      <c r="J16" s="15">
        <f>ROUND((T_SPORTS[[#This Row],[Gold]]*10000000)+(T_SPORTS[[#This Row],[Silver]]*100000)+(T_SPORTS[[#This Row],[Bronze]]*1000),0)</f>
        <v>101010000</v>
      </c>
      <c r="K16" s="15">
        <f>IFERROR(IF(T_SPORTS[[#This Row],[TOTAL]]=0,"",IF(I_RANK_METHOD="Total",RANK(T_SPORTS[[#This Row],[TOTAL]],T_SPORTS[TOTAL]),RANK(T_SPORTS[[#This Row],[Rank Value]],T_SPORTS[Rank Value]))),"")</f>
        <v>12</v>
      </c>
      <c r="L16" s="15">
        <f>IFERROR(COUNTIFS(T_2016_EVENT_RESULTS[SPORT],T_SPORTS[[#This Row],[SPORT]],T_2016_EVENT_RESULTS[Gold - Country], I_CV_CNTRY)+COUNTIFS(T_2016_EVENT_RESULTS[SPORT],T_SPORTS[[#This Row],[SPORT]],T_2016_EVENT_RESULTS[Gold - Country - 2], I_CV_CNTRY),"")</f>
        <v>0</v>
      </c>
      <c r="M16" s="15">
        <f>IFERROR(COUNTIFS(T_2016_EVENT_RESULTS[SPORT],T_SPORTS[[#This Row],[SPORT]],T_2016_EVENT_RESULTS[Silver - Country], I_CV_CNTRY)+COUNTIFS(T_2016_EVENT_RESULTS[SPORT],T_SPORTS[[#This Row],[SPORT]],T_2016_EVENT_RESULTS[Silver - Country - 2], I_CV_CNTRY)+COUNTIFS(T_2016_EVENT_RESULTS[SPORT],T_SPORTS[[#This Row],[SPORT]],T_2016_EVENT_RESULTS[Silver - Country - 3], I_CV_CNTRY),"")</f>
        <v>0</v>
      </c>
      <c r="N16" s="15">
        <f>IFERROR(COUNTIFS(T_2016_EVENT_RESULTS[SPORT],T_SPORTS[[#This Row],[SPORT]],T_2016_EVENT_RESULTS[Bronze - Country], I_CV_CNTRY)+COUNTIFS(T_2016_EVENT_RESULTS[SPORT],T_SPORTS[[#This Row],[SPORT]],T_2016_EVENT_RESULTS[Bronze - Country - 2], I_CV_CNTRY),"")</f>
        <v>0</v>
      </c>
      <c r="O16" s="15">
        <f>SUM(T_SPORTS[[#This Row],[CV - Gold]:[CV - Bronze]])</f>
        <v>0</v>
      </c>
      <c r="P16" s="15" t="str">
        <f>IF(T_SPORTS[[#This Row],[CV - Total]]=0,"",IF(I_RANK_METHOD="TOTAL",(T_SPORTS[[#This Row],[CV - Total]]*10000000),0)+(T_SPORTS[[#This Row],[CV - Gold]]*100000)+(T_SPORTS[[#This Row],[CV - Silver]]*1000)+(T_SPORTS[[#This Row],[CV - Bronze]]*10))</f>
        <v/>
      </c>
      <c r="Q16" s="15" t="str">
        <f>IFERROR(IF(T_SPORTS[[#This Row],[CV - Total]]=0,"",RANK(T_SPORTS[[#This Row],[CV - Rank Value]],T_SPORTS[CV - Rank Value])),"")</f>
        <v/>
      </c>
      <c r="R16" s="15" t="str">
        <f>IFERROR(IF(T_SPORTS[[#This Row],[CV - Total]]=0,"",RANK(T_SPORTS[[#This Row],[CV - Rank Value]],T_SPORTS[CV - Rank Value])+COUNTIF($Q$3:Q15,Q16)),"")</f>
        <v/>
      </c>
      <c r="S16" s="31">
        <f>T_SPORTS[[#This Row],[CV - Total]]/T_SPORTS[[#This Row],[TOTAL]]</f>
        <v>0</v>
      </c>
      <c r="T16" s="15" t="str">
        <f>IF(T_SPORTS[[#This Row],[CV - Domination - Total]]=0,"",RANK(T_SPORTS[[#This Row],[CV - Domination - Total]],T_SPORTS[CV - Domination - Total])+COUNTIF($S$3:S15,S16))</f>
        <v/>
      </c>
      <c r="U16" s="31">
        <f>T_SPORTS[[#This Row],[TOTAL]]/SUM(T_SPORTS[TOTAL])</f>
        <v>3.0800821355236138E-2</v>
      </c>
      <c r="V16" s="15">
        <f>IF(T_SPORTS[[#This Row],[OV - Domination - Total]]=0,"",RANK(T_SPORTS[[#This Row],[OV - Domination - Total]],T_SPORTS[OV - Domination - Total])+COUNTIF($U$3:U15,U16))</f>
        <v>12</v>
      </c>
    </row>
    <row r="17" spans="1:22" ht="45.95" customHeight="1" x14ac:dyDescent="0.25">
      <c r="A17" s="12">
        <v>14</v>
      </c>
      <c r="B17" s="13" t="s">
        <v>404</v>
      </c>
      <c r="C17" s="13" t="s">
        <v>908</v>
      </c>
      <c r="D17" s="13"/>
      <c r="E17" s="12">
        <f>IFERROR(COUNTIF(T_2016_EVENT_RESULTS[SPORT],T_SPORTS[[#This Row],[SPORT]]),0)</f>
        <v>8</v>
      </c>
      <c r="F17" s="12">
        <f>IFERROR(COUNTIFS(T_2016_EVENT_RESULTS[SPORT],T_SPORTS[[#This Row],[SPORT]],T_2016_EVENT_RESULTS[Gold - Country],"&lt;&gt;"&amp;"")+ COUNTIFS(T_2016_EVENT_RESULTS[SPORT],T_SPORTS[[#This Row],[SPORT]],T_2016_EVENT_RESULTS[Gold - Country - 2],"&lt;&gt;"&amp;""), "")</f>
        <v>8</v>
      </c>
      <c r="G17" s="12">
        <f>IFERROR(COUNTIFS(T_2016_EVENT_RESULTS[SPORT],T_SPORTS[[#This Row],[SPORT]],T_2016_EVENT_RESULTS[Silver - Country],"&lt;&gt;"&amp;"")+ COUNTIFS(T_2016_EVENT_RESULTS[SPORT],T_SPORTS[[#This Row],[SPORT]],T_2016_EVENT_RESULTS[Silver - Country - 2],"&lt;&gt;"&amp;"")+ COUNTIFS(T_2016_EVENT_RESULTS[SPORT],T_SPORTS[[#This Row],[SPORT]],T_2016_EVENT_RESULTS[Silver - Country - 3],"&lt;&gt;"&amp;""),"")</f>
        <v>8</v>
      </c>
      <c r="H17" s="12">
        <f>IFERROR(COUNTIFS(T_2016_EVENT_RESULTS[SPORT],T_SPORTS[[#This Row],[SPORT]],T_2016_EVENT_RESULTS[Bronze - Country],"&lt;&gt;"&amp;"")+ COUNTIFS(T_2016_EVENT_RESULTS[SPORT],T_SPORTS[[#This Row],[SPORT]],T_2016_EVENT_RESULTS[Bronze - Country - 2],"&lt;&gt;"&amp;""),"")</f>
        <v>8</v>
      </c>
      <c r="I17" s="12">
        <f>SUM(T_SPORTS[[#This Row],[Gold]:[Bronze]])</f>
        <v>24</v>
      </c>
      <c r="J17" s="15">
        <f>ROUND((T_SPORTS[[#This Row],[Gold]]*10000000)+(T_SPORTS[[#This Row],[Silver]]*100000)+(T_SPORTS[[#This Row],[Bronze]]*1000),0)</f>
        <v>80808000</v>
      </c>
      <c r="K17" s="15">
        <f>IFERROR(IF(T_SPORTS[[#This Row],[TOTAL]]=0,"",IF(I_RANK_METHOD="Total",RANK(T_SPORTS[[#This Row],[TOTAL]],T_SPORTS[TOTAL]),RANK(T_SPORTS[[#This Row],[Rank Value]],T_SPORTS[Rank Value]))),"")</f>
        <v>15</v>
      </c>
      <c r="L17" s="15">
        <f>IFERROR(COUNTIFS(T_2016_EVENT_RESULTS[SPORT],T_SPORTS[[#This Row],[SPORT]],T_2016_EVENT_RESULTS[Gold - Country], I_CV_CNTRY)+COUNTIFS(T_2016_EVENT_RESULTS[SPORT],T_SPORTS[[#This Row],[SPORT]],T_2016_EVENT_RESULTS[Gold - Country - 2], I_CV_CNTRY),"")</f>
        <v>0</v>
      </c>
      <c r="M17" s="15">
        <f>IFERROR(COUNTIFS(T_2016_EVENT_RESULTS[SPORT],T_SPORTS[[#This Row],[SPORT]],T_2016_EVENT_RESULTS[Silver - Country], I_CV_CNTRY)+COUNTIFS(T_2016_EVENT_RESULTS[SPORT],T_SPORTS[[#This Row],[SPORT]],T_2016_EVENT_RESULTS[Silver - Country - 2], I_CV_CNTRY)+COUNTIFS(T_2016_EVENT_RESULTS[SPORT],T_SPORTS[[#This Row],[SPORT]],T_2016_EVENT_RESULTS[Silver - Country - 3], I_CV_CNTRY),"")</f>
        <v>0</v>
      </c>
      <c r="N17" s="15">
        <f>IFERROR(COUNTIFS(T_2016_EVENT_RESULTS[SPORT],T_SPORTS[[#This Row],[SPORT]],T_2016_EVENT_RESULTS[Bronze - Country], I_CV_CNTRY)+COUNTIFS(T_2016_EVENT_RESULTS[SPORT],T_SPORTS[[#This Row],[SPORT]],T_2016_EVENT_RESULTS[Bronze - Country - 2], I_CV_CNTRY),"")</f>
        <v>0</v>
      </c>
      <c r="O17" s="15">
        <f>SUM(T_SPORTS[[#This Row],[CV - Gold]:[CV - Bronze]])</f>
        <v>0</v>
      </c>
      <c r="P17" s="15" t="str">
        <f>IF(T_SPORTS[[#This Row],[CV - Total]]=0,"",IF(I_RANK_METHOD="TOTAL",(T_SPORTS[[#This Row],[CV - Total]]*10000000),0)+(T_SPORTS[[#This Row],[CV - Gold]]*100000)+(T_SPORTS[[#This Row],[CV - Silver]]*1000)+(T_SPORTS[[#This Row],[CV - Bronze]]*10))</f>
        <v/>
      </c>
      <c r="Q17" s="15" t="str">
        <f>IFERROR(IF(T_SPORTS[[#This Row],[CV - Total]]=0,"",RANK(T_SPORTS[[#This Row],[CV - Rank Value]],T_SPORTS[CV - Rank Value])),"")</f>
        <v/>
      </c>
      <c r="R17" s="15" t="str">
        <f>IFERROR(IF(T_SPORTS[[#This Row],[CV - Total]]=0,"",RANK(T_SPORTS[[#This Row],[CV - Rank Value]],T_SPORTS[CV - Rank Value])+COUNTIF($Q$3:Q16,Q17)),"")</f>
        <v/>
      </c>
      <c r="S17" s="31">
        <f>T_SPORTS[[#This Row],[CV - Total]]/T_SPORTS[[#This Row],[TOTAL]]</f>
        <v>0</v>
      </c>
      <c r="T17" s="15" t="str">
        <f>IF(T_SPORTS[[#This Row],[CV - Domination - Total]]=0,"",RANK(T_SPORTS[[#This Row],[CV - Domination - Total]],T_SPORTS[CV - Domination - Total])+COUNTIF($S$3:S16,S17))</f>
        <v/>
      </c>
      <c r="U17" s="31">
        <f>T_SPORTS[[#This Row],[TOTAL]]/SUM(T_SPORTS[TOTAL])</f>
        <v>2.4640657084188913E-2</v>
      </c>
      <c r="V17" s="15">
        <f>IF(T_SPORTS[[#This Row],[OV - Domination - Total]]=0,"",RANK(T_SPORTS[[#This Row],[OV - Domination - Total]],T_SPORTS[OV - Domination - Total])+COUNTIF($U$3:U16,U17))</f>
        <v>15</v>
      </c>
    </row>
    <row r="18" spans="1:22" ht="45.95" customHeight="1" x14ac:dyDescent="0.25">
      <c r="A18" s="12">
        <v>15</v>
      </c>
      <c r="B18" s="13" t="s">
        <v>405</v>
      </c>
      <c r="C18" s="13" t="s">
        <v>909</v>
      </c>
      <c r="D18" s="13"/>
      <c r="E18" s="12">
        <f>IFERROR(COUNTIF(T_2016_EVENT_RESULTS[SPORT],T_SPORTS[[#This Row],[SPORT]]),0)</f>
        <v>6</v>
      </c>
      <c r="F18" s="12">
        <f>IFERROR(COUNTIFS(T_2016_EVENT_RESULTS[SPORT],T_SPORTS[[#This Row],[SPORT]],T_2016_EVENT_RESULTS[Gold - Country],"&lt;&gt;"&amp;"")+ COUNTIFS(T_2016_EVENT_RESULTS[SPORT],T_SPORTS[[#This Row],[SPORT]],T_2016_EVENT_RESULTS[Gold - Country - 2],"&lt;&gt;"&amp;""), "")</f>
        <v>6</v>
      </c>
      <c r="G18" s="12">
        <f>IFERROR(COUNTIFS(T_2016_EVENT_RESULTS[SPORT],T_SPORTS[[#This Row],[SPORT]],T_2016_EVENT_RESULTS[Silver - Country],"&lt;&gt;"&amp;"")+ COUNTIFS(T_2016_EVENT_RESULTS[SPORT],T_SPORTS[[#This Row],[SPORT]],T_2016_EVENT_RESULTS[Silver - Country - 2],"&lt;&gt;"&amp;"")+ COUNTIFS(T_2016_EVENT_RESULTS[SPORT],T_SPORTS[[#This Row],[SPORT]],T_2016_EVENT_RESULTS[Silver - Country - 3],"&lt;&gt;"&amp;""),"")</f>
        <v>6</v>
      </c>
      <c r="H18" s="12">
        <f>IFERROR(COUNTIFS(T_2016_EVENT_RESULTS[SPORT],T_SPORTS[[#This Row],[SPORT]],T_2016_EVENT_RESULTS[Bronze - Country],"&lt;&gt;"&amp;"")+ COUNTIFS(T_2016_EVENT_RESULTS[SPORT],T_SPORTS[[#This Row],[SPORT]],T_2016_EVENT_RESULTS[Bronze - Country - 2],"&lt;&gt;"&amp;""),"")</f>
        <v>6</v>
      </c>
      <c r="I18" s="12">
        <f>SUM(T_SPORTS[[#This Row],[Gold]:[Bronze]])</f>
        <v>18</v>
      </c>
      <c r="J18" s="15">
        <f>ROUND((T_SPORTS[[#This Row],[Gold]]*10000000)+(T_SPORTS[[#This Row],[Silver]]*100000)+(T_SPORTS[[#This Row],[Bronze]]*1000),0)</f>
        <v>60606000</v>
      </c>
      <c r="K18" s="15">
        <f>IFERROR(IF(T_SPORTS[[#This Row],[TOTAL]]=0,"",IF(I_RANK_METHOD="Total",RANK(T_SPORTS[[#This Row],[TOTAL]],T_SPORTS[TOTAL]),RANK(T_SPORTS[[#This Row],[Rank Value]],T_SPORTS[Rank Value]))),"")</f>
        <v>16</v>
      </c>
      <c r="L18" s="15">
        <f>IFERROR(COUNTIFS(T_2016_EVENT_RESULTS[SPORT],T_SPORTS[[#This Row],[SPORT]],T_2016_EVENT_RESULTS[Gold - Country], I_CV_CNTRY)+COUNTIFS(T_2016_EVENT_RESULTS[SPORT],T_SPORTS[[#This Row],[SPORT]],T_2016_EVENT_RESULTS[Gold - Country - 2], I_CV_CNTRY),"")</f>
        <v>0</v>
      </c>
      <c r="M18" s="15">
        <f>IFERROR(COUNTIFS(T_2016_EVENT_RESULTS[SPORT],T_SPORTS[[#This Row],[SPORT]],T_2016_EVENT_RESULTS[Silver - Country], I_CV_CNTRY)+COUNTIFS(T_2016_EVENT_RESULTS[SPORT],T_SPORTS[[#This Row],[SPORT]],T_2016_EVENT_RESULTS[Silver - Country - 2], I_CV_CNTRY)+COUNTIFS(T_2016_EVENT_RESULTS[SPORT],T_SPORTS[[#This Row],[SPORT]],T_2016_EVENT_RESULTS[Silver - Country - 3], I_CV_CNTRY),"")</f>
        <v>0</v>
      </c>
      <c r="N18" s="15">
        <f>IFERROR(COUNTIFS(T_2016_EVENT_RESULTS[SPORT],T_SPORTS[[#This Row],[SPORT]],T_2016_EVENT_RESULTS[Bronze - Country], I_CV_CNTRY)+COUNTIFS(T_2016_EVENT_RESULTS[SPORT],T_SPORTS[[#This Row],[SPORT]],T_2016_EVENT_RESULTS[Bronze - Country - 2], I_CV_CNTRY),"")</f>
        <v>0</v>
      </c>
      <c r="O18" s="15">
        <f>SUM(T_SPORTS[[#This Row],[CV - Gold]:[CV - Bronze]])</f>
        <v>0</v>
      </c>
      <c r="P18" s="15" t="str">
        <f>IF(T_SPORTS[[#This Row],[CV - Total]]=0,"",IF(I_RANK_METHOD="TOTAL",(T_SPORTS[[#This Row],[CV - Total]]*10000000),0)+(T_SPORTS[[#This Row],[CV - Gold]]*100000)+(T_SPORTS[[#This Row],[CV - Silver]]*1000)+(T_SPORTS[[#This Row],[CV - Bronze]]*10))</f>
        <v/>
      </c>
      <c r="Q18" s="15" t="str">
        <f>IFERROR(IF(T_SPORTS[[#This Row],[CV - Total]]=0,"",RANK(T_SPORTS[[#This Row],[CV - Rank Value]],T_SPORTS[CV - Rank Value])),"")</f>
        <v/>
      </c>
      <c r="R18" s="15" t="str">
        <f>IFERROR(IF(T_SPORTS[[#This Row],[CV - Total]]=0,"",RANK(T_SPORTS[[#This Row],[CV - Rank Value]],T_SPORTS[CV - Rank Value])+COUNTIF($Q$3:Q17,Q18)),"")</f>
        <v/>
      </c>
      <c r="S18" s="31">
        <f>T_SPORTS[[#This Row],[CV - Total]]/T_SPORTS[[#This Row],[TOTAL]]</f>
        <v>0</v>
      </c>
      <c r="T18" s="15" t="str">
        <f>IF(T_SPORTS[[#This Row],[CV - Domination - Total]]=0,"",RANK(T_SPORTS[[#This Row],[CV - Domination - Total]],T_SPORTS[CV - Domination - Total])+COUNTIF($S$3:S17,S18))</f>
        <v/>
      </c>
      <c r="U18" s="31">
        <f>T_SPORTS[[#This Row],[TOTAL]]/SUM(T_SPORTS[TOTAL])</f>
        <v>1.8480492813141684E-2</v>
      </c>
      <c r="V18" s="15">
        <f>IF(T_SPORTS[[#This Row],[OV - Domination - Total]]=0,"",RANK(T_SPORTS[[#This Row],[OV - Domination - Total]],T_SPORTS[OV - Domination - Total])+COUNTIF($U$3:U17,U18))</f>
        <v>16</v>
      </c>
    </row>
    <row r="19" spans="1:22" ht="45.95" customHeight="1" x14ac:dyDescent="0.25">
      <c r="A19" s="12">
        <v>16</v>
      </c>
      <c r="B19" s="13" t="s">
        <v>406</v>
      </c>
      <c r="C19" s="13" t="s">
        <v>910</v>
      </c>
      <c r="D19" s="13"/>
      <c r="E19" s="12">
        <f>IFERROR(COUNTIF(T_2016_EVENT_RESULTS[SPORT],T_SPORTS[[#This Row],[SPORT]]),0)</f>
        <v>10</v>
      </c>
      <c r="F19" s="12">
        <f>IFERROR(COUNTIFS(T_2016_EVENT_RESULTS[SPORT],T_SPORTS[[#This Row],[SPORT]],T_2016_EVENT_RESULTS[Gold - Country],"&lt;&gt;"&amp;"")+ COUNTIFS(T_2016_EVENT_RESULTS[SPORT],T_SPORTS[[#This Row],[SPORT]],T_2016_EVENT_RESULTS[Gold - Country - 2],"&lt;&gt;"&amp;""), "")</f>
        <v>10</v>
      </c>
      <c r="G19" s="12">
        <f>IFERROR(COUNTIFS(T_2016_EVENT_RESULTS[SPORT],T_SPORTS[[#This Row],[SPORT]],T_2016_EVENT_RESULTS[Silver - Country],"&lt;&gt;"&amp;"")+ COUNTIFS(T_2016_EVENT_RESULTS[SPORT],T_SPORTS[[#This Row],[SPORT]],T_2016_EVENT_RESULTS[Silver - Country - 2],"&lt;&gt;"&amp;"")+ COUNTIFS(T_2016_EVENT_RESULTS[SPORT],T_SPORTS[[#This Row],[SPORT]],T_2016_EVENT_RESULTS[Silver - Country - 3],"&lt;&gt;"&amp;""),"")</f>
        <v>10</v>
      </c>
      <c r="H19" s="12">
        <f>IFERROR(COUNTIFS(T_2016_EVENT_RESULTS[SPORT],T_SPORTS[[#This Row],[SPORT]],T_2016_EVENT_RESULTS[Bronze - Country],"&lt;&gt;"&amp;"")+ COUNTIFS(T_2016_EVENT_RESULTS[SPORT],T_SPORTS[[#This Row],[SPORT]],T_2016_EVENT_RESULTS[Bronze - Country - 2],"&lt;&gt;"&amp;""),"")</f>
        <v>10</v>
      </c>
      <c r="I19" s="12">
        <f>SUM(T_SPORTS[[#This Row],[Gold]:[Bronze]])</f>
        <v>30</v>
      </c>
      <c r="J19" s="15">
        <f>ROUND((T_SPORTS[[#This Row],[Gold]]*10000000)+(T_SPORTS[[#This Row],[Silver]]*100000)+(T_SPORTS[[#This Row],[Bronze]]*1000),0)</f>
        <v>101010000</v>
      </c>
      <c r="K19" s="15">
        <f>IFERROR(IF(T_SPORTS[[#This Row],[TOTAL]]=0,"",IF(I_RANK_METHOD="Total",RANK(T_SPORTS[[#This Row],[TOTAL]],T_SPORTS[TOTAL]),RANK(T_SPORTS[[#This Row],[Rank Value]],T_SPORTS[Rank Value]))),"")</f>
        <v>12</v>
      </c>
      <c r="L19" s="15">
        <f>IFERROR(COUNTIFS(T_2016_EVENT_RESULTS[SPORT],T_SPORTS[[#This Row],[SPORT]],T_2016_EVENT_RESULTS[Gold - Country], I_CV_CNTRY)+COUNTIFS(T_2016_EVENT_RESULTS[SPORT],T_SPORTS[[#This Row],[SPORT]],T_2016_EVENT_RESULTS[Gold - Country - 2], I_CV_CNTRY),"")</f>
        <v>0</v>
      </c>
      <c r="M19" s="15">
        <f>IFERROR(COUNTIFS(T_2016_EVENT_RESULTS[SPORT],T_SPORTS[[#This Row],[SPORT]],T_2016_EVENT_RESULTS[Silver - Country], I_CV_CNTRY)+COUNTIFS(T_2016_EVENT_RESULTS[SPORT],T_SPORTS[[#This Row],[SPORT]],T_2016_EVENT_RESULTS[Silver - Country - 2], I_CV_CNTRY)+COUNTIFS(T_2016_EVENT_RESULTS[SPORT],T_SPORTS[[#This Row],[SPORT]],T_2016_EVENT_RESULTS[Silver - Country - 3], I_CV_CNTRY),"")</f>
        <v>0</v>
      </c>
      <c r="N19" s="15">
        <f>IFERROR(COUNTIFS(T_2016_EVENT_RESULTS[SPORT],T_SPORTS[[#This Row],[SPORT]],T_2016_EVENT_RESULTS[Bronze - Country], I_CV_CNTRY)+COUNTIFS(T_2016_EVENT_RESULTS[SPORT],T_SPORTS[[#This Row],[SPORT]],T_2016_EVENT_RESULTS[Bronze - Country - 2], I_CV_CNTRY),"")</f>
        <v>0</v>
      </c>
      <c r="O19" s="15">
        <f>SUM(T_SPORTS[[#This Row],[CV - Gold]:[CV - Bronze]])</f>
        <v>0</v>
      </c>
      <c r="P19" s="15" t="str">
        <f>IF(T_SPORTS[[#This Row],[CV - Total]]=0,"",IF(I_RANK_METHOD="TOTAL",(T_SPORTS[[#This Row],[CV - Total]]*10000000),0)+(T_SPORTS[[#This Row],[CV - Gold]]*100000)+(T_SPORTS[[#This Row],[CV - Silver]]*1000)+(T_SPORTS[[#This Row],[CV - Bronze]]*10))</f>
        <v/>
      </c>
      <c r="Q19" s="15" t="str">
        <f>IFERROR(IF(T_SPORTS[[#This Row],[CV - Total]]=0,"",RANK(T_SPORTS[[#This Row],[CV - Rank Value]],T_SPORTS[CV - Rank Value])),"")</f>
        <v/>
      </c>
      <c r="R19" s="15" t="str">
        <f>IFERROR(IF(T_SPORTS[[#This Row],[CV - Total]]=0,"",RANK(T_SPORTS[[#This Row],[CV - Rank Value]],T_SPORTS[CV - Rank Value])+COUNTIF($Q$3:Q18,Q19)),"")</f>
        <v/>
      </c>
      <c r="S19" s="31">
        <f>T_SPORTS[[#This Row],[CV - Total]]/T_SPORTS[[#This Row],[TOTAL]]</f>
        <v>0</v>
      </c>
      <c r="T19" s="15" t="str">
        <f>IF(T_SPORTS[[#This Row],[CV - Domination - Total]]=0,"",RANK(T_SPORTS[[#This Row],[CV - Domination - Total]],T_SPORTS[CV - Domination - Total])+COUNTIF($S$3:S18,S19))</f>
        <v/>
      </c>
      <c r="U19" s="31">
        <f>T_SPORTS[[#This Row],[TOTAL]]/SUM(T_SPORTS[TOTAL])</f>
        <v>3.0800821355236138E-2</v>
      </c>
      <c r="V19" s="15">
        <f>IF(T_SPORTS[[#This Row],[OV - Domination - Total]]=0,"",RANK(T_SPORTS[[#This Row],[OV - Domination - Total]],T_SPORTS[OV - Domination - Total])+COUNTIF($U$3:U18,U19))</f>
        <v>13</v>
      </c>
    </row>
    <row r="20" spans="1:22" ht="45.95" customHeight="1" x14ac:dyDescent="0.25">
      <c r="A20" s="12">
        <v>17</v>
      </c>
      <c r="B20" s="13" t="s">
        <v>407</v>
      </c>
      <c r="C20" s="13" t="s">
        <v>911</v>
      </c>
      <c r="D20" s="13"/>
      <c r="E20" s="12">
        <f>IFERROR(COUNTIF(T_2016_EVENT_RESULTS[SPORT],T_SPORTS[[#This Row],[SPORT]]),0)</f>
        <v>2</v>
      </c>
      <c r="F20" s="12">
        <f>IFERROR(COUNTIFS(T_2016_EVENT_RESULTS[SPORT],T_SPORTS[[#This Row],[SPORT]],T_2016_EVENT_RESULTS[Gold - Country],"&lt;&gt;"&amp;"")+ COUNTIFS(T_2016_EVENT_RESULTS[SPORT],T_SPORTS[[#This Row],[SPORT]],T_2016_EVENT_RESULTS[Gold - Country - 2],"&lt;&gt;"&amp;""), "")</f>
        <v>2</v>
      </c>
      <c r="G20" s="12">
        <f>IFERROR(COUNTIFS(T_2016_EVENT_RESULTS[SPORT],T_SPORTS[[#This Row],[SPORT]],T_2016_EVENT_RESULTS[Silver - Country],"&lt;&gt;"&amp;"")+ COUNTIFS(T_2016_EVENT_RESULTS[SPORT],T_SPORTS[[#This Row],[SPORT]],T_2016_EVENT_RESULTS[Silver - Country - 2],"&lt;&gt;"&amp;"")+ COUNTIFS(T_2016_EVENT_RESULTS[SPORT],T_SPORTS[[#This Row],[SPORT]],T_2016_EVENT_RESULTS[Silver - Country - 3],"&lt;&gt;"&amp;""),"")</f>
        <v>2</v>
      </c>
      <c r="H20" s="12">
        <f>IFERROR(COUNTIFS(T_2016_EVENT_RESULTS[SPORT],T_SPORTS[[#This Row],[SPORT]],T_2016_EVENT_RESULTS[Bronze - Country],"&lt;&gt;"&amp;"")+ COUNTIFS(T_2016_EVENT_RESULTS[SPORT],T_SPORTS[[#This Row],[SPORT]],T_2016_EVENT_RESULTS[Bronze - Country - 2],"&lt;&gt;"&amp;""),"")</f>
        <v>2</v>
      </c>
      <c r="I20" s="12">
        <f>SUM(T_SPORTS[[#This Row],[Gold]:[Bronze]])</f>
        <v>6</v>
      </c>
      <c r="J20" s="15">
        <f>ROUND((T_SPORTS[[#This Row],[Gold]]*10000000)+(T_SPORTS[[#This Row],[Silver]]*100000)+(T_SPORTS[[#This Row],[Bronze]]*1000),0)</f>
        <v>20202000</v>
      </c>
      <c r="K20" s="15">
        <f>IFERROR(IF(T_SPORTS[[#This Row],[TOTAL]]=0,"",IF(I_RANK_METHOD="Total",RANK(T_SPORTS[[#This Row],[TOTAL]],T_SPORTS[TOTAL]),RANK(T_SPORTS[[#This Row],[Rank Value]],T_SPORTS[Rank Value]))),"")</f>
        <v>23</v>
      </c>
      <c r="L20" s="15">
        <f>IFERROR(COUNTIFS(T_2016_EVENT_RESULTS[SPORT],T_SPORTS[[#This Row],[SPORT]],T_2016_EVENT_RESULTS[Gold - Country], I_CV_CNTRY)+COUNTIFS(T_2016_EVENT_RESULTS[SPORT],T_SPORTS[[#This Row],[SPORT]],T_2016_EVENT_RESULTS[Gold - Country - 2], I_CV_CNTRY),"")</f>
        <v>0</v>
      </c>
      <c r="M20" s="15">
        <f>IFERROR(COUNTIFS(T_2016_EVENT_RESULTS[SPORT],T_SPORTS[[#This Row],[SPORT]],T_2016_EVENT_RESULTS[Silver - Country], I_CV_CNTRY)+COUNTIFS(T_2016_EVENT_RESULTS[SPORT],T_SPORTS[[#This Row],[SPORT]],T_2016_EVENT_RESULTS[Silver - Country - 2], I_CV_CNTRY)+COUNTIFS(T_2016_EVENT_RESULTS[SPORT],T_SPORTS[[#This Row],[SPORT]],T_2016_EVENT_RESULTS[Silver - Country - 3], I_CV_CNTRY),"")</f>
        <v>0</v>
      </c>
      <c r="N20" s="15">
        <f>IFERROR(COUNTIFS(T_2016_EVENT_RESULTS[SPORT],T_SPORTS[[#This Row],[SPORT]],T_2016_EVENT_RESULTS[Bronze - Country], I_CV_CNTRY)+COUNTIFS(T_2016_EVENT_RESULTS[SPORT],T_SPORTS[[#This Row],[SPORT]],T_2016_EVENT_RESULTS[Bronze - Country - 2], I_CV_CNTRY),"")</f>
        <v>0</v>
      </c>
      <c r="O20" s="15">
        <f>SUM(T_SPORTS[[#This Row],[CV - Gold]:[CV - Bronze]])</f>
        <v>0</v>
      </c>
      <c r="P20" s="15" t="str">
        <f>IF(T_SPORTS[[#This Row],[CV - Total]]=0,"",IF(I_RANK_METHOD="TOTAL",(T_SPORTS[[#This Row],[CV - Total]]*10000000),0)+(T_SPORTS[[#This Row],[CV - Gold]]*100000)+(T_SPORTS[[#This Row],[CV - Silver]]*1000)+(T_SPORTS[[#This Row],[CV - Bronze]]*10))</f>
        <v/>
      </c>
      <c r="Q20" s="15" t="str">
        <f>IFERROR(IF(T_SPORTS[[#This Row],[CV - Total]]=0,"",RANK(T_SPORTS[[#This Row],[CV - Rank Value]],T_SPORTS[CV - Rank Value])),"")</f>
        <v/>
      </c>
      <c r="R20" s="15" t="str">
        <f>IFERROR(IF(T_SPORTS[[#This Row],[CV - Total]]=0,"",RANK(T_SPORTS[[#This Row],[CV - Rank Value]],T_SPORTS[CV - Rank Value])+COUNTIF($Q$3:Q19,Q20)),"")</f>
        <v/>
      </c>
      <c r="S20" s="31">
        <f>T_SPORTS[[#This Row],[CV - Total]]/T_SPORTS[[#This Row],[TOTAL]]</f>
        <v>0</v>
      </c>
      <c r="T20" s="15" t="str">
        <f>IF(T_SPORTS[[#This Row],[CV - Domination - Total]]=0,"",RANK(T_SPORTS[[#This Row],[CV - Domination - Total]],T_SPORTS[CV - Domination - Total])+COUNTIF($S$3:S19,S20))</f>
        <v/>
      </c>
      <c r="U20" s="31">
        <f>T_SPORTS[[#This Row],[TOTAL]]/SUM(T_SPORTS[TOTAL])</f>
        <v>6.1601642710472282E-3</v>
      </c>
      <c r="V20" s="15">
        <f>IF(T_SPORTS[[#This Row],[OV - Domination - Total]]=0,"",RANK(T_SPORTS[[#This Row],[OV - Domination - Total]],T_SPORTS[OV - Domination - Total])+COUNTIF($U$3:U19,U20))</f>
        <v>27</v>
      </c>
    </row>
    <row r="21" spans="1:22" ht="45.95" customHeight="1" x14ac:dyDescent="0.25">
      <c r="A21" s="12">
        <v>18</v>
      </c>
      <c r="B21" s="13" t="s">
        <v>475</v>
      </c>
      <c r="C21" s="13" t="s">
        <v>912</v>
      </c>
      <c r="D21" s="13"/>
      <c r="E21" s="12">
        <f>IFERROR(COUNTIF(T_2016_EVENT_RESULTS[SPORT],T_SPORTS[[#This Row],[SPORT]]),0)</f>
        <v>2</v>
      </c>
      <c r="F21" s="12">
        <f>IFERROR(COUNTIFS(T_2016_EVENT_RESULTS[SPORT],T_SPORTS[[#This Row],[SPORT]],T_2016_EVENT_RESULTS[Gold - Country],"&lt;&gt;"&amp;"")+ COUNTIFS(T_2016_EVENT_RESULTS[SPORT],T_SPORTS[[#This Row],[SPORT]],T_2016_EVENT_RESULTS[Gold - Country - 2],"&lt;&gt;"&amp;""), "")</f>
        <v>2</v>
      </c>
      <c r="G21" s="12">
        <f>IFERROR(COUNTIFS(T_2016_EVENT_RESULTS[SPORT],T_SPORTS[[#This Row],[SPORT]],T_2016_EVENT_RESULTS[Silver - Country],"&lt;&gt;"&amp;"")+ COUNTIFS(T_2016_EVENT_RESULTS[SPORT],T_SPORTS[[#This Row],[SPORT]],T_2016_EVENT_RESULTS[Silver - Country - 2],"&lt;&gt;"&amp;"")+ COUNTIFS(T_2016_EVENT_RESULTS[SPORT],T_SPORTS[[#This Row],[SPORT]],T_2016_EVENT_RESULTS[Silver - Country - 3],"&lt;&gt;"&amp;""),"")</f>
        <v>2</v>
      </c>
      <c r="H21" s="12">
        <f>IFERROR(COUNTIFS(T_2016_EVENT_RESULTS[SPORT],T_SPORTS[[#This Row],[SPORT]],T_2016_EVENT_RESULTS[Bronze - Country],"&lt;&gt;"&amp;"")+ COUNTIFS(T_2016_EVENT_RESULTS[SPORT],T_SPORTS[[#This Row],[SPORT]],T_2016_EVENT_RESULTS[Bronze - Country - 2],"&lt;&gt;"&amp;""),"")</f>
        <v>2</v>
      </c>
      <c r="I21" s="12">
        <f>SUM(T_SPORTS[[#This Row],[Gold]:[Bronze]])</f>
        <v>6</v>
      </c>
      <c r="J21" s="15">
        <f>ROUND((T_SPORTS[[#This Row],[Gold]]*10000000)+(T_SPORTS[[#This Row],[Silver]]*100000)+(T_SPORTS[[#This Row],[Bronze]]*1000),0)</f>
        <v>20202000</v>
      </c>
      <c r="K21" s="15">
        <f>IFERROR(IF(T_SPORTS[[#This Row],[TOTAL]]=0,"",IF(I_RANK_METHOD="Total",RANK(T_SPORTS[[#This Row],[TOTAL]],T_SPORTS[TOTAL]),RANK(T_SPORTS[[#This Row],[Rank Value]],T_SPORTS[Rank Value]))),"")</f>
        <v>23</v>
      </c>
      <c r="L21" s="15">
        <f>IFERROR(COUNTIFS(T_2016_EVENT_RESULTS[SPORT],T_SPORTS[[#This Row],[SPORT]],T_2016_EVENT_RESULTS[Gold - Country], I_CV_CNTRY)+COUNTIFS(T_2016_EVENT_RESULTS[SPORT],T_SPORTS[[#This Row],[SPORT]],T_2016_EVENT_RESULTS[Gold - Country - 2], I_CV_CNTRY),"")</f>
        <v>0</v>
      </c>
      <c r="M21" s="15">
        <f>IFERROR(COUNTIFS(T_2016_EVENT_RESULTS[SPORT],T_SPORTS[[#This Row],[SPORT]],T_2016_EVENT_RESULTS[Silver - Country], I_CV_CNTRY)+COUNTIFS(T_2016_EVENT_RESULTS[SPORT],T_SPORTS[[#This Row],[SPORT]],T_2016_EVENT_RESULTS[Silver - Country - 2], I_CV_CNTRY)+COUNTIFS(T_2016_EVENT_RESULTS[SPORT],T_SPORTS[[#This Row],[SPORT]],T_2016_EVENT_RESULTS[Silver - Country - 3], I_CV_CNTRY),"")</f>
        <v>0</v>
      </c>
      <c r="N21" s="15">
        <f>IFERROR(COUNTIFS(T_2016_EVENT_RESULTS[SPORT],T_SPORTS[[#This Row],[SPORT]],T_2016_EVENT_RESULTS[Bronze - Country], I_CV_CNTRY)+COUNTIFS(T_2016_EVENT_RESULTS[SPORT],T_SPORTS[[#This Row],[SPORT]],T_2016_EVENT_RESULTS[Bronze - Country - 2], I_CV_CNTRY),"")</f>
        <v>0</v>
      </c>
      <c r="O21" s="15">
        <f>SUM(T_SPORTS[[#This Row],[CV - Gold]:[CV - Bronze]])</f>
        <v>0</v>
      </c>
      <c r="P21" s="15" t="str">
        <f>IF(T_SPORTS[[#This Row],[CV - Total]]=0,"",IF(I_RANK_METHOD="TOTAL",(T_SPORTS[[#This Row],[CV - Total]]*10000000),0)+(T_SPORTS[[#This Row],[CV - Gold]]*100000)+(T_SPORTS[[#This Row],[CV - Silver]]*1000)+(T_SPORTS[[#This Row],[CV - Bronze]]*10))</f>
        <v/>
      </c>
      <c r="Q21" s="15" t="str">
        <f>IFERROR(IF(T_SPORTS[[#This Row],[CV - Total]]=0,"",RANK(T_SPORTS[[#This Row],[CV - Rank Value]],T_SPORTS[CV - Rank Value])),"")</f>
        <v/>
      </c>
      <c r="R21" s="15" t="str">
        <f>IFERROR(IF(T_SPORTS[[#This Row],[CV - Total]]=0,"",RANK(T_SPORTS[[#This Row],[CV - Rank Value]],T_SPORTS[CV - Rank Value])+COUNTIF($Q$3:Q20,Q21)),"")</f>
        <v/>
      </c>
      <c r="S21" s="31">
        <f>T_SPORTS[[#This Row],[CV - Total]]/T_SPORTS[[#This Row],[TOTAL]]</f>
        <v>0</v>
      </c>
      <c r="T21" s="15" t="str">
        <f>IF(T_SPORTS[[#This Row],[CV - Domination - Total]]=0,"",RANK(T_SPORTS[[#This Row],[CV - Domination - Total]],T_SPORTS[CV - Domination - Total])+COUNTIF($S$3:S20,S21))</f>
        <v/>
      </c>
      <c r="U21" s="31">
        <f>T_SPORTS[[#This Row],[TOTAL]]/SUM(T_SPORTS[TOTAL])</f>
        <v>6.1601642710472282E-3</v>
      </c>
      <c r="V21" s="15">
        <f>IF(T_SPORTS[[#This Row],[OV - Domination - Total]]=0,"",RANK(T_SPORTS[[#This Row],[OV - Domination - Total]],T_SPORTS[OV - Domination - Total])+COUNTIF($U$3:U20,U21))</f>
        <v>28</v>
      </c>
    </row>
    <row r="22" spans="1:22" ht="45.95" customHeight="1" x14ac:dyDescent="0.25">
      <c r="A22" s="12">
        <v>19</v>
      </c>
      <c r="B22" s="13" t="s">
        <v>408</v>
      </c>
      <c r="C22" s="13" t="s">
        <v>913</v>
      </c>
      <c r="D22" s="13"/>
      <c r="E22" s="12">
        <f>IFERROR(COUNTIF(T_2016_EVENT_RESULTS[SPORT],T_SPORTS[[#This Row],[SPORT]]),0)</f>
        <v>2</v>
      </c>
      <c r="F22" s="12">
        <f>IFERROR(COUNTIFS(T_2016_EVENT_RESULTS[SPORT],T_SPORTS[[#This Row],[SPORT]],T_2016_EVENT_RESULTS[Gold - Country],"&lt;&gt;"&amp;"")+ COUNTIFS(T_2016_EVENT_RESULTS[SPORT],T_SPORTS[[#This Row],[SPORT]],T_2016_EVENT_RESULTS[Gold - Country - 2],"&lt;&gt;"&amp;""), "")</f>
        <v>2</v>
      </c>
      <c r="G22" s="12">
        <f>IFERROR(COUNTIFS(T_2016_EVENT_RESULTS[SPORT],T_SPORTS[[#This Row],[SPORT]],T_2016_EVENT_RESULTS[Silver - Country],"&lt;&gt;"&amp;"")+ COUNTIFS(T_2016_EVENT_RESULTS[SPORT],T_SPORTS[[#This Row],[SPORT]],T_2016_EVENT_RESULTS[Silver - Country - 2],"&lt;&gt;"&amp;"")+ COUNTIFS(T_2016_EVENT_RESULTS[SPORT],T_SPORTS[[#This Row],[SPORT]],T_2016_EVENT_RESULTS[Silver - Country - 3],"&lt;&gt;"&amp;""),"")</f>
        <v>2</v>
      </c>
      <c r="H22" s="12">
        <f>IFERROR(COUNTIFS(T_2016_EVENT_RESULTS[SPORT],T_SPORTS[[#This Row],[SPORT]],T_2016_EVENT_RESULTS[Bronze - Country],"&lt;&gt;"&amp;"")+ COUNTIFS(T_2016_EVENT_RESULTS[SPORT],T_SPORTS[[#This Row],[SPORT]],T_2016_EVENT_RESULTS[Bronze - Country - 2],"&lt;&gt;"&amp;""),"")</f>
        <v>2</v>
      </c>
      <c r="I22" s="12">
        <f>SUM(T_SPORTS[[#This Row],[Gold]:[Bronze]])</f>
        <v>6</v>
      </c>
      <c r="J22" s="15">
        <f>ROUND((T_SPORTS[[#This Row],[Gold]]*10000000)+(T_SPORTS[[#This Row],[Silver]]*100000)+(T_SPORTS[[#This Row],[Bronze]]*1000),0)</f>
        <v>20202000</v>
      </c>
      <c r="K22" s="15">
        <f>IFERROR(IF(T_SPORTS[[#This Row],[TOTAL]]=0,"",IF(I_RANK_METHOD="Total",RANK(T_SPORTS[[#This Row],[TOTAL]],T_SPORTS[TOTAL]),RANK(T_SPORTS[[#This Row],[Rank Value]],T_SPORTS[Rank Value]))),"")</f>
        <v>23</v>
      </c>
      <c r="L22" s="15">
        <f>IFERROR(COUNTIFS(T_2016_EVENT_RESULTS[SPORT],T_SPORTS[[#This Row],[SPORT]],T_2016_EVENT_RESULTS[Gold - Country], I_CV_CNTRY)+COUNTIFS(T_2016_EVENT_RESULTS[SPORT],T_SPORTS[[#This Row],[SPORT]],T_2016_EVENT_RESULTS[Gold - Country - 2], I_CV_CNTRY),"")</f>
        <v>0</v>
      </c>
      <c r="M22" s="15">
        <f>IFERROR(COUNTIFS(T_2016_EVENT_RESULTS[SPORT],T_SPORTS[[#This Row],[SPORT]],T_2016_EVENT_RESULTS[Silver - Country], I_CV_CNTRY)+COUNTIFS(T_2016_EVENT_RESULTS[SPORT],T_SPORTS[[#This Row],[SPORT]],T_2016_EVENT_RESULTS[Silver - Country - 2], I_CV_CNTRY)+COUNTIFS(T_2016_EVENT_RESULTS[SPORT],T_SPORTS[[#This Row],[SPORT]],T_2016_EVENT_RESULTS[Silver - Country - 3], I_CV_CNTRY),"")</f>
        <v>0</v>
      </c>
      <c r="N22" s="15">
        <f>IFERROR(COUNTIFS(T_2016_EVENT_RESULTS[SPORT],T_SPORTS[[#This Row],[SPORT]],T_2016_EVENT_RESULTS[Bronze - Country], I_CV_CNTRY)+COUNTIFS(T_2016_EVENT_RESULTS[SPORT],T_SPORTS[[#This Row],[SPORT]],T_2016_EVENT_RESULTS[Bronze - Country - 2], I_CV_CNTRY),"")</f>
        <v>0</v>
      </c>
      <c r="O22" s="15">
        <f>SUM(T_SPORTS[[#This Row],[CV - Gold]:[CV - Bronze]])</f>
        <v>0</v>
      </c>
      <c r="P22" s="15" t="str">
        <f>IF(T_SPORTS[[#This Row],[CV - Total]]=0,"",IF(I_RANK_METHOD="TOTAL",(T_SPORTS[[#This Row],[CV - Total]]*10000000),0)+(T_SPORTS[[#This Row],[CV - Gold]]*100000)+(T_SPORTS[[#This Row],[CV - Silver]]*1000)+(T_SPORTS[[#This Row],[CV - Bronze]]*10))</f>
        <v/>
      </c>
      <c r="Q22" s="15" t="str">
        <f>IFERROR(IF(T_SPORTS[[#This Row],[CV - Total]]=0,"",RANK(T_SPORTS[[#This Row],[CV - Rank Value]],T_SPORTS[CV - Rank Value])),"")</f>
        <v/>
      </c>
      <c r="R22" s="15" t="str">
        <f>IFERROR(IF(T_SPORTS[[#This Row],[CV - Total]]=0,"",RANK(T_SPORTS[[#This Row],[CV - Rank Value]],T_SPORTS[CV - Rank Value])+COUNTIF($Q$3:Q21,Q22)),"")</f>
        <v/>
      </c>
      <c r="S22" s="31">
        <f>T_SPORTS[[#This Row],[CV - Total]]/T_SPORTS[[#This Row],[TOTAL]]</f>
        <v>0</v>
      </c>
      <c r="T22" s="15" t="str">
        <f>IF(T_SPORTS[[#This Row],[CV - Domination - Total]]=0,"",RANK(T_SPORTS[[#This Row],[CV - Domination - Total]],T_SPORTS[CV - Domination - Total])+COUNTIF($S$3:S21,S22))</f>
        <v/>
      </c>
      <c r="U22" s="31">
        <f>T_SPORTS[[#This Row],[TOTAL]]/SUM(T_SPORTS[TOTAL])</f>
        <v>6.1601642710472282E-3</v>
      </c>
      <c r="V22" s="15">
        <f>IF(T_SPORTS[[#This Row],[OV - Domination - Total]]=0,"",RANK(T_SPORTS[[#This Row],[OV - Domination - Total]],T_SPORTS[OV - Domination - Total])+COUNTIF($U$3:U21,U22))</f>
        <v>29</v>
      </c>
    </row>
    <row r="23" spans="1:22" ht="45.95" customHeight="1" x14ac:dyDescent="0.25">
      <c r="A23" s="12">
        <v>20</v>
      </c>
      <c r="B23" s="13" t="s">
        <v>645</v>
      </c>
      <c r="C23" s="13" t="s">
        <v>914</v>
      </c>
      <c r="D23" s="13"/>
      <c r="E23" s="12">
        <f>IFERROR(COUNTIF(T_2016_EVENT_RESULTS[SPORT],T_SPORTS[[#This Row],[SPORT]]),0)</f>
        <v>2</v>
      </c>
      <c r="F23" s="12">
        <f>IFERROR(COUNTIFS(T_2016_EVENT_RESULTS[SPORT],T_SPORTS[[#This Row],[SPORT]],T_2016_EVENT_RESULTS[Gold - Country],"&lt;&gt;"&amp;"")+ COUNTIFS(T_2016_EVENT_RESULTS[SPORT],T_SPORTS[[#This Row],[SPORT]],T_2016_EVENT_RESULTS[Gold - Country - 2],"&lt;&gt;"&amp;""), "")</f>
        <v>2</v>
      </c>
      <c r="G23" s="12">
        <f>IFERROR(COUNTIFS(T_2016_EVENT_RESULTS[SPORT],T_SPORTS[[#This Row],[SPORT]],T_2016_EVENT_RESULTS[Silver - Country],"&lt;&gt;"&amp;"")+ COUNTIFS(T_2016_EVENT_RESULTS[SPORT],T_SPORTS[[#This Row],[SPORT]],T_2016_EVENT_RESULTS[Silver - Country - 2],"&lt;&gt;"&amp;"")+ COUNTIFS(T_2016_EVENT_RESULTS[SPORT],T_SPORTS[[#This Row],[SPORT]],T_2016_EVENT_RESULTS[Silver - Country - 3],"&lt;&gt;"&amp;""),"")</f>
        <v>2</v>
      </c>
      <c r="H23" s="12">
        <f>IFERROR(COUNTIFS(T_2016_EVENT_RESULTS[SPORT],T_SPORTS[[#This Row],[SPORT]],T_2016_EVENT_RESULTS[Bronze - Country],"&lt;&gt;"&amp;"")+ COUNTIFS(T_2016_EVENT_RESULTS[SPORT],T_SPORTS[[#This Row],[SPORT]],T_2016_EVENT_RESULTS[Bronze - Country - 2],"&lt;&gt;"&amp;""),"")</f>
        <v>2</v>
      </c>
      <c r="I23" s="12">
        <f>SUM(T_SPORTS[[#This Row],[Gold]:[Bronze]])</f>
        <v>6</v>
      </c>
      <c r="J23" s="15">
        <f>ROUND((T_SPORTS[[#This Row],[Gold]]*10000000)+(T_SPORTS[[#This Row],[Silver]]*100000)+(T_SPORTS[[#This Row],[Bronze]]*1000),0)</f>
        <v>20202000</v>
      </c>
      <c r="K23" s="15">
        <f>IFERROR(IF(T_SPORTS[[#This Row],[TOTAL]]=0,"",IF(I_RANK_METHOD="Total",RANK(T_SPORTS[[#This Row],[TOTAL]],T_SPORTS[TOTAL]),RANK(T_SPORTS[[#This Row],[Rank Value]],T_SPORTS[Rank Value]))),"")</f>
        <v>23</v>
      </c>
      <c r="L23" s="15">
        <f>IFERROR(COUNTIFS(T_2016_EVENT_RESULTS[SPORT],T_SPORTS[[#This Row],[SPORT]],T_2016_EVENT_RESULTS[Gold - Country], I_CV_CNTRY)+COUNTIFS(T_2016_EVENT_RESULTS[SPORT],T_SPORTS[[#This Row],[SPORT]],T_2016_EVENT_RESULTS[Gold - Country - 2], I_CV_CNTRY),"")</f>
        <v>0</v>
      </c>
      <c r="M23" s="15">
        <f>IFERROR(COUNTIFS(T_2016_EVENT_RESULTS[SPORT],T_SPORTS[[#This Row],[SPORT]],T_2016_EVENT_RESULTS[Silver - Country], I_CV_CNTRY)+COUNTIFS(T_2016_EVENT_RESULTS[SPORT],T_SPORTS[[#This Row],[SPORT]],T_2016_EVENT_RESULTS[Silver - Country - 2], I_CV_CNTRY)+COUNTIFS(T_2016_EVENT_RESULTS[SPORT],T_SPORTS[[#This Row],[SPORT]],T_2016_EVENT_RESULTS[Silver - Country - 3], I_CV_CNTRY),"")</f>
        <v>0</v>
      </c>
      <c r="N23" s="15">
        <f>IFERROR(COUNTIFS(T_2016_EVENT_RESULTS[SPORT],T_SPORTS[[#This Row],[SPORT]],T_2016_EVENT_RESULTS[Bronze - Country], I_CV_CNTRY)+COUNTIFS(T_2016_EVENT_RESULTS[SPORT],T_SPORTS[[#This Row],[SPORT]],T_2016_EVENT_RESULTS[Bronze - Country - 2], I_CV_CNTRY),"")</f>
        <v>0</v>
      </c>
      <c r="O23" s="15">
        <f>SUM(T_SPORTS[[#This Row],[CV - Gold]:[CV - Bronze]])</f>
        <v>0</v>
      </c>
      <c r="P23" s="15" t="str">
        <f>IF(T_SPORTS[[#This Row],[CV - Total]]=0,"",IF(I_RANK_METHOD="TOTAL",(T_SPORTS[[#This Row],[CV - Total]]*10000000),0)+(T_SPORTS[[#This Row],[CV - Gold]]*100000)+(T_SPORTS[[#This Row],[CV - Silver]]*1000)+(T_SPORTS[[#This Row],[CV - Bronze]]*10))</f>
        <v/>
      </c>
      <c r="Q23" s="15" t="str">
        <f>IFERROR(IF(T_SPORTS[[#This Row],[CV - Total]]=0,"",RANK(T_SPORTS[[#This Row],[CV - Rank Value]],T_SPORTS[CV - Rank Value])),"")</f>
        <v/>
      </c>
      <c r="R23" s="15" t="str">
        <f>IFERROR(IF(T_SPORTS[[#This Row],[CV - Total]]=0,"",RANK(T_SPORTS[[#This Row],[CV - Rank Value]],T_SPORTS[CV - Rank Value])+COUNTIF($Q$3:Q22,Q23)),"")</f>
        <v/>
      </c>
      <c r="S23" s="31">
        <f>T_SPORTS[[#This Row],[CV - Total]]/T_SPORTS[[#This Row],[TOTAL]]</f>
        <v>0</v>
      </c>
      <c r="T23" s="15" t="str">
        <f>IF(T_SPORTS[[#This Row],[CV - Domination - Total]]=0,"",RANK(T_SPORTS[[#This Row],[CV - Domination - Total]],T_SPORTS[CV - Domination - Total])+COUNTIF($S$3:S22,S23))</f>
        <v/>
      </c>
      <c r="U23" s="31">
        <f>T_SPORTS[[#This Row],[TOTAL]]/SUM(T_SPORTS[TOTAL])</f>
        <v>6.1601642710472282E-3</v>
      </c>
      <c r="V23" s="15">
        <f>IF(T_SPORTS[[#This Row],[OV - Domination - Total]]=0,"",RANK(T_SPORTS[[#This Row],[OV - Domination - Total]],T_SPORTS[OV - Domination - Total])+COUNTIF($U$3:U22,U23))</f>
        <v>30</v>
      </c>
    </row>
    <row r="24" spans="1:22" ht="45.95" customHeight="1" x14ac:dyDescent="0.25">
      <c r="A24" s="12">
        <v>21</v>
      </c>
      <c r="B24" s="13" t="s">
        <v>409</v>
      </c>
      <c r="C24" s="13" t="s">
        <v>915</v>
      </c>
      <c r="D24" s="13"/>
      <c r="E24" s="12">
        <f>IFERROR(COUNTIF(T_2016_EVENT_RESULTS[SPORT],T_SPORTS[[#This Row],[SPORT]]),0)</f>
        <v>14</v>
      </c>
      <c r="F24" s="12">
        <f>IFERROR(COUNTIFS(T_2016_EVENT_RESULTS[SPORT],T_SPORTS[[#This Row],[SPORT]],T_2016_EVENT_RESULTS[Gold - Country],"&lt;&gt;"&amp;"")+ COUNTIFS(T_2016_EVENT_RESULTS[SPORT],T_SPORTS[[#This Row],[SPORT]],T_2016_EVENT_RESULTS[Gold - Country - 2],"&lt;&gt;"&amp;""), "")</f>
        <v>14</v>
      </c>
      <c r="G24" s="12">
        <f>IFERROR(COUNTIFS(T_2016_EVENT_RESULTS[SPORT],T_SPORTS[[#This Row],[SPORT]],T_2016_EVENT_RESULTS[Silver - Country],"&lt;&gt;"&amp;"")+ COUNTIFS(T_2016_EVENT_RESULTS[SPORT],T_SPORTS[[#This Row],[SPORT]],T_2016_EVENT_RESULTS[Silver - Country - 2],"&lt;&gt;"&amp;"")+ COUNTIFS(T_2016_EVENT_RESULTS[SPORT],T_SPORTS[[#This Row],[SPORT]],T_2016_EVENT_RESULTS[Silver - Country - 3],"&lt;&gt;"&amp;""),"")</f>
        <v>14</v>
      </c>
      <c r="H24" s="12">
        <f>IFERROR(COUNTIFS(T_2016_EVENT_RESULTS[SPORT],T_SPORTS[[#This Row],[SPORT]],T_2016_EVENT_RESULTS[Bronze - Country],"&lt;&gt;"&amp;"")+ COUNTIFS(T_2016_EVENT_RESULTS[SPORT],T_SPORTS[[#This Row],[SPORT]],T_2016_EVENT_RESULTS[Bronze - Country - 2],"&lt;&gt;"&amp;""),"")</f>
        <v>28</v>
      </c>
      <c r="I24" s="12">
        <f>SUM(T_SPORTS[[#This Row],[Gold]:[Bronze]])</f>
        <v>56</v>
      </c>
      <c r="J24" s="15">
        <f>ROUND((T_SPORTS[[#This Row],[Gold]]*10000000)+(T_SPORTS[[#This Row],[Silver]]*100000)+(T_SPORTS[[#This Row],[Bronze]]*1000),0)</f>
        <v>141428000</v>
      </c>
      <c r="K24" s="15">
        <f>IFERROR(IF(T_SPORTS[[#This Row],[TOTAL]]=0,"",IF(I_RANK_METHOD="Total",RANK(T_SPORTS[[#This Row],[TOTAL]],T_SPORTS[TOTAL]),RANK(T_SPORTS[[#This Row],[Rank Value]],T_SPORTS[Rank Value]))),"")</f>
        <v>4</v>
      </c>
      <c r="L24" s="15">
        <f>IFERROR(COUNTIFS(T_2016_EVENT_RESULTS[SPORT],T_SPORTS[[#This Row],[SPORT]],T_2016_EVENT_RESULTS[Gold - Country], I_CV_CNTRY)+COUNTIFS(T_2016_EVENT_RESULTS[SPORT],T_SPORTS[[#This Row],[SPORT]],T_2016_EVENT_RESULTS[Gold - Country - 2], I_CV_CNTRY),"")</f>
        <v>0</v>
      </c>
      <c r="M24" s="15">
        <f>IFERROR(COUNTIFS(T_2016_EVENT_RESULTS[SPORT],T_SPORTS[[#This Row],[SPORT]],T_2016_EVENT_RESULTS[Silver - Country], I_CV_CNTRY)+COUNTIFS(T_2016_EVENT_RESULTS[SPORT],T_SPORTS[[#This Row],[SPORT]],T_2016_EVENT_RESULTS[Silver - Country - 2], I_CV_CNTRY)+COUNTIFS(T_2016_EVENT_RESULTS[SPORT],T_SPORTS[[#This Row],[SPORT]],T_2016_EVENT_RESULTS[Silver - Country - 3], I_CV_CNTRY),"")</f>
        <v>0</v>
      </c>
      <c r="N24" s="15">
        <f>IFERROR(COUNTIFS(T_2016_EVENT_RESULTS[SPORT],T_SPORTS[[#This Row],[SPORT]],T_2016_EVENT_RESULTS[Bronze - Country], I_CV_CNTRY)+COUNTIFS(T_2016_EVENT_RESULTS[SPORT],T_SPORTS[[#This Row],[SPORT]],T_2016_EVENT_RESULTS[Bronze - Country - 2], I_CV_CNTRY),"")</f>
        <v>0</v>
      </c>
      <c r="O24" s="15">
        <f>SUM(T_SPORTS[[#This Row],[CV - Gold]:[CV - Bronze]])</f>
        <v>0</v>
      </c>
      <c r="P24" s="15" t="str">
        <f>IF(T_SPORTS[[#This Row],[CV - Total]]=0,"",IF(I_RANK_METHOD="TOTAL",(T_SPORTS[[#This Row],[CV - Total]]*10000000),0)+(T_SPORTS[[#This Row],[CV - Gold]]*100000)+(T_SPORTS[[#This Row],[CV - Silver]]*1000)+(T_SPORTS[[#This Row],[CV - Bronze]]*10))</f>
        <v/>
      </c>
      <c r="Q24" s="15" t="str">
        <f>IFERROR(IF(T_SPORTS[[#This Row],[CV - Total]]=0,"",RANK(T_SPORTS[[#This Row],[CV - Rank Value]],T_SPORTS[CV - Rank Value])),"")</f>
        <v/>
      </c>
      <c r="R24" s="15" t="str">
        <f>IFERROR(IF(T_SPORTS[[#This Row],[CV - Total]]=0,"",RANK(T_SPORTS[[#This Row],[CV - Rank Value]],T_SPORTS[CV - Rank Value])+COUNTIF($Q$3:Q23,Q24)),"")</f>
        <v/>
      </c>
      <c r="S24" s="31">
        <f>T_SPORTS[[#This Row],[CV - Total]]/T_SPORTS[[#This Row],[TOTAL]]</f>
        <v>0</v>
      </c>
      <c r="T24" s="15" t="str">
        <f>IF(T_SPORTS[[#This Row],[CV - Domination - Total]]=0,"",RANK(T_SPORTS[[#This Row],[CV - Domination - Total]],T_SPORTS[CV - Domination - Total])+COUNTIF($S$3:S23,S24))</f>
        <v/>
      </c>
      <c r="U24" s="31">
        <f>T_SPORTS[[#This Row],[TOTAL]]/SUM(T_SPORTS[TOTAL])</f>
        <v>5.7494866529774126E-2</v>
      </c>
      <c r="V24" s="15">
        <f>IF(T_SPORTS[[#This Row],[OV - Domination - Total]]=0,"",RANK(T_SPORTS[[#This Row],[OV - Domination - Total]],T_SPORTS[OV - Domination - Total])+COUNTIF($U$3:U23,U24))</f>
        <v>4</v>
      </c>
    </row>
    <row r="25" spans="1:22" ht="45.95" customHeight="1" x14ac:dyDescent="0.25">
      <c r="A25" s="12">
        <v>22</v>
      </c>
      <c r="B25" s="13" t="s">
        <v>471</v>
      </c>
      <c r="C25" s="13" t="s">
        <v>916</v>
      </c>
      <c r="D25" s="13"/>
      <c r="E25" s="12">
        <f>IFERROR(COUNTIF(T_2016_EVENT_RESULTS[SPORT],T_SPORTS[[#This Row],[SPORT]]),0)</f>
        <v>2</v>
      </c>
      <c r="F25" s="12">
        <f>IFERROR(COUNTIFS(T_2016_EVENT_RESULTS[SPORT],T_SPORTS[[#This Row],[SPORT]],T_2016_EVENT_RESULTS[Gold - Country],"&lt;&gt;"&amp;"")+ COUNTIFS(T_2016_EVENT_RESULTS[SPORT],T_SPORTS[[#This Row],[SPORT]],T_2016_EVENT_RESULTS[Gold - Country - 2],"&lt;&gt;"&amp;""), "")</f>
        <v>2</v>
      </c>
      <c r="G25" s="12">
        <f>IFERROR(COUNTIFS(T_2016_EVENT_RESULTS[SPORT],T_SPORTS[[#This Row],[SPORT]],T_2016_EVENT_RESULTS[Silver - Country],"&lt;&gt;"&amp;"")+ COUNTIFS(T_2016_EVENT_RESULTS[SPORT],T_SPORTS[[#This Row],[SPORT]],T_2016_EVENT_RESULTS[Silver - Country - 2],"&lt;&gt;"&amp;"")+ COUNTIFS(T_2016_EVENT_RESULTS[SPORT],T_SPORTS[[#This Row],[SPORT]],T_2016_EVENT_RESULTS[Silver - Country - 3],"&lt;&gt;"&amp;""),"")</f>
        <v>2</v>
      </c>
      <c r="H25" s="12">
        <f>IFERROR(COUNTIFS(T_2016_EVENT_RESULTS[SPORT],T_SPORTS[[#This Row],[SPORT]],T_2016_EVENT_RESULTS[Bronze - Country],"&lt;&gt;"&amp;"")+ COUNTIFS(T_2016_EVENT_RESULTS[SPORT],T_SPORTS[[#This Row],[SPORT]],T_2016_EVENT_RESULTS[Bronze - Country - 2],"&lt;&gt;"&amp;""),"")</f>
        <v>2</v>
      </c>
      <c r="I25" s="12">
        <f>SUM(T_SPORTS[[#This Row],[Gold]:[Bronze]])</f>
        <v>6</v>
      </c>
      <c r="J25" s="15">
        <f>ROUND((T_SPORTS[[#This Row],[Gold]]*10000000)+(T_SPORTS[[#This Row],[Silver]]*100000)+(T_SPORTS[[#This Row],[Bronze]]*1000),0)</f>
        <v>20202000</v>
      </c>
      <c r="K25" s="15">
        <f>IFERROR(IF(T_SPORTS[[#This Row],[TOTAL]]=0,"",IF(I_RANK_METHOD="Total",RANK(T_SPORTS[[#This Row],[TOTAL]],T_SPORTS[TOTAL]),RANK(T_SPORTS[[#This Row],[Rank Value]],T_SPORTS[Rank Value]))),"")</f>
        <v>23</v>
      </c>
      <c r="L25" s="15">
        <f>IFERROR(COUNTIFS(T_2016_EVENT_RESULTS[SPORT],T_SPORTS[[#This Row],[SPORT]],T_2016_EVENT_RESULTS[Gold - Country], I_CV_CNTRY)+COUNTIFS(T_2016_EVENT_RESULTS[SPORT],T_SPORTS[[#This Row],[SPORT]],T_2016_EVENT_RESULTS[Gold - Country - 2], I_CV_CNTRY),"")</f>
        <v>0</v>
      </c>
      <c r="M25" s="15">
        <f>IFERROR(COUNTIFS(T_2016_EVENT_RESULTS[SPORT],T_SPORTS[[#This Row],[SPORT]],T_2016_EVENT_RESULTS[Silver - Country], I_CV_CNTRY)+COUNTIFS(T_2016_EVENT_RESULTS[SPORT],T_SPORTS[[#This Row],[SPORT]],T_2016_EVENT_RESULTS[Silver - Country - 2], I_CV_CNTRY)+COUNTIFS(T_2016_EVENT_RESULTS[SPORT],T_SPORTS[[#This Row],[SPORT]],T_2016_EVENT_RESULTS[Silver - Country - 3], I_CV_CNTRY),"")</f>
        <v>0</v>
      </c>
      <c r="N25" s="15">
        <f>IFERROR(COUNTIFS(T_2016_EVENT_RESULTS[SPORT],T_SPORTS[[#This Row],[SPORT]],T_2016_EVENT_RESULTS[Bronze - Country], I_CV_CNTRY)+COUNTIFS(T_2016_EVENT_RESULTS[SPORT],T_SPORTS[[#This Row],[SPORT]],T_2016_EVENT_RESULTS[Bronze - Country - 2], I_CV_CNTRY),"")</f>
        <v>0</v>
      </c>
      <c r="O25" s="15">
        <f>SUM(T_SPORTS[[#This Row],[CV - Gold]:[CV - Bronze]])</f>
        <v>0</v>
      </c>
      <c r="P25" s="15" t="str">
        <f>IF(T_SPORTS[[#This Row],[CV - Total]]=0,"",IF(I_RANK_METHOD="TOTAL",(T_SPORTS[[#This Row],[CV - Total]]*10000000),0)+(T_SPORTS[[#This Row],[CV - Gold]]*100000)+(T_SPORTS[[#This Row],[CV - Silver]]*1000)+(T_SPORTS[[#This Row],[CV - Bronze]]*10))</f>
        <v/>
      </c>
      <c r="Q25" s="15" t="str">
        <f>IFERROR(IF(T_SPORTS[[#This Row],[CV - Total]]=0,"",RANK(T_SPORTS[[#This Row],[CV - Rank Value]],T_SPORTS[CV - Rank Value])),"")</f>
        <v/>
      </c>
      <c r="R25" s="15" t="str">
        <f>IFERROR(IF(T_SPORTS[[#This Row],[CV - Total]]=0,"",RANK(T_SPORTS[[#This Row],[CV - Rank Value]],T_SPORTS[CV - Rank Value])+COUNTIF($Q$3:Q24,Q25)),"")</f>
        <v/>
      </c>
      <c r="S25" s="31">
        <f>T_SPORTS[[#This Row],[CV - Total]]/T_SPORTS[[#This Row],[TOTAL]]</f>
        <v>0</v>
      </c>
      <c r="T25" s="15" t="str">
        <f>IF(T_SPORTS[[#This Row],[CV - Domination - Total]]=0,"",RANK(T_SPORTS[[#This Row],[CV - Domination - Total]],T_SPORTS[CV - Domination - Total])+COUNTIF($S$3:S24,S25))</f>
        <v/>
      </c>
      <c r="U25" s="31">
        <f>T_SPORTS[[#This Row],[TOTAL]]/SUM(T_SPORTS[TOTAL])</f>
        <v>6.1601642710472282E-3</v>
      </c>
      <c r="V25" s="15">
        <f>IF(T_SPORTS[[#This Row],[OV - Domination - Total]]=0,"",RANK(T_SPORTS[[#This Row],[OV - Domination - Total]],T_SPORTS[OV - Domination - Total])+COUNTIF($U$3:U24,U25))</f>
        <v>31</v>
      </c>
    </row>
    <row r="26" spans="1:22" ht="45.95" customHeight="1" x14ac:dyDescent="0.25">
      <c r="A26" s="12">
        <v>23</v>
      </c>
      <c r="B26" s="13" t="s">
        <v>410</v>
      </c>
      <c r="C26" s="13" t="s">
        <v>917</v>
      </c>
      <c r="D26" s="13"/>
      <c r="E26" s="12">
        <f>IFERROR(COUNTIF(T_2016_EVENT_RESULTS[SPORT],T_SPORTS[[#This Row],[SPORT]]),0)</f>
        <v>2</v>
      </c>
      <c r="F26" s="12">
        <f>IFERROR(COUNTIFS(T_2016_EVENT_RESULTS[SPORT],T_SPORTS[[#This Row],[SPORT]],T_2016_EVENT_RESULTS[Gold - Country],"&lt;&gt;"&amp;"")+ COUNTIFS(T_2016_EVENT_RESULTS[SPORT],T_SPORTS[[#This Row],[SPORT]],T_2016_EVENT_RESULTS[Gold - Country - 2],"&lt;&gt;"&amp;""), "")</f>
        <v>2</v>
      </c>
      <c r="G26" s="12">
        <f>IFERROR(COUNTIFS(T_2016_EVENT_RESULTS[SPORT],T_SPORTS[[#This Row],[SPORT]],T_2016_EVENT_RESULTS[Silver - Country],"&lt;&gt;"&amp;"")+ COUNTIFS(T_2016_EVENT_RESULTS[SPORT],T_SPORTS[[#This Row],[SPORT]],T_2016_EVENT_RESULTS[Silver - Country - 2],"&lt;&gt;"&amp;"")+ COUNTIFS(T_2016_EVENT_RESULTS[SPORT],T_SPORTS[[#This Row],[SPORT]],T_2016_EVENT_RESULTS[Silver - Country - 3],"&lt;&gt;"&amp;""),"")</f>
        <v>2</v>
      </c>
      <c r="H26" s="12">
        <f>IFERROR(COUNTIFS(T_2016_EVENT_RESULTS[SPORT],T_SPORTS[[#This Row],[SPORT]],T_2016_EVENT_RESULTS[Bronze - Country],"&lt;&gt;"&amp;"")+ COUNTIFS(T_2016_EVENT_RESULTS[SPORT],T_SPORTS[[#This Row],[SPORT]],T_2016_EVENT_RESULTS[Bronze - Country - 2],"&lt;&gt;"&amp;""),"")</f>
        <v>2</v>
      </c>
      <c r="I26" s="12">
        <f>SUM(T_SPORTS[[#This Row],[Gold]:[Bronze]])</f>
        <v>6</v>
      </c>
      <c r="J26" s="15">
        <f>ROUND((T_SPORTS[[#This Row],[Gold]]*10000000)+(T_SPORTS[[#This Row],[Silver]]*100000)+(T_SPORTS[[#This Row],[Bronze]]*1000),0)</f>
        <v>20202000</v>
      </c>
      <c r="K26" s="15">
        <f>IFERROR(IF(T_SPORTS[[#This Row],[TOTAL]]=0,"",IF(I_RANK_METHOD="Total",RANK(T_SPORTS[[#This Row],[TOTAL]],T_SPORTS[TOTAL]),RANK(T_SPORTS[[#This Row],[Rank Value]],T_SPORTS[Rank Value]))),"")</f>
        <v>23</v>
      </c>
      <c r="L26" s="15">
        <f>IFERROR(COUNTIFS(T_2016_EVENT_RESULTS[SPORT],T_SPORTS[[#This Row],[SPORT]],T_2016_EVENT_RESULTS[Gold - Country], I_CV_CNTRY)+COUNTIFS(T_2016_EVENT_RESULTS[SPORT],T_SPORTS[[#This Row],[SPORT]],T_2016_EVENT_RESULTS[Gold - Country - 2], I_CV_CNTRY),"")</f>
        <v>0</v>
      </c>
      <c r="M26" s="15">
        <f>IFERROR(COUNTIFS(T_2016_EVENT_RESULTS[SPORT],T_SPORTS[[#This Row],[SPORT]],T_2016_EVENT_RESULTS[Silver - Country], I_CV_CNTRY)+COUNTIFS(T_2016_EVENT_RESULTS[SPORT],T_SPORTS[[#This Row],[SPORT]],T_2016_EVENT_RESULTS[Silver - Country - 2], I_CV_CNTRY)+COUNTIFS(T_2016_EVENT_RESULTS[SPORT],T_SPORTS[[#This Row],[SPORT]],T_2016_EVENT_RESULTS[Silver - Country - 3], I_CV_CNTRY),"")</f>
        <v>0</v>
      </c>
      <c r="N26" s="15">
        <f>IFERROR(COUNTIFS(T_2016_EVENT_RESULTS[SPORT],T_SPORTS[[#This Row],[SPORT]],T_2016_EVENT_RESULTS[Bronze - Country], I_CV_CNTRY)+COUNTIFS(T_2016_EVENT_RESULTS[SPORT],T_SPORTS[[#This Row],[SPORT]],T_2016_EVENT_RESULTS[Bronze - Country - 2], I_CV_CNTRY),"")</f>
        <v>0</v>
      </c>
      <c r="O26" s="15">
        <f>SUM(T_SPORTS[[#This Row],[CV - Gold]:[CV - Bronze]])</f>
        <v>0</v>
      </c>
      <c r="P26" s="15" t="str">
        <f>IF(T_SPORTS[[#This Row],[CV - Total]]=0,"",IF(I_RANK_METHOD="TOTAL",(T_SPORTS[[#This Row],[CV - Total]]*10000000),0)+(T_SPORTS[[#This Row],[CV - Gold]]*100000)+(T_SPORTS[[#This Row],[CV - Silver]]*1000)+(T_SPORTS[[#This Row],[CV - Bronze]]*10))</f>
        <v/>
      </c>
      <c r="Q26" s="15" t="str">
        <f>IFERROR(IF(T_SPORTS[[#This Row],[CV - Total]]=0,"",RANK(T_SPORTS[[#This Row],[CV - Rank Value]],T_SPORTS[CV - Rank Value])),"")</f>
        <v/>
      </c>
      <c r="R26" s="15" t="str">
        <f>IFERROR(IF(T_SPORTS[[#This Row],[CV - Total]]=0,"",RANK(T_SPORTS[[#This Row],[CV - Rank Value]],T_SPORTS[CV - Rank Value])+COUNTIF($Q$3:Q25,Q26)),"")</f>
        <v/>
      </c>
      <c r="S26" s="31">
        <f>T_SPORTS[[#This Row],[CV - Total]]/T_SPORTS[[#This Row],[TOTAL]]</f>
        <v>0</v>
      </c>
      <c r="T26" s="15" t="str">
        <f>IF(T_SPORTS[[#This Row],[CV - Domination - Total]]=0,"",RANK(T_SPORTS[[#This Row],[CV - Domination - Total]],T_SPORTS[CV - Domination - Total])+COUNTIF($S$3:S25,S26))</f>
        <v/>
      </c>
      <c r="U26" s="31">
        <f>T_SPORTS[[#This Row],[TOTAL]]/SUM(T_SPORTS[TOTAL])</f>
        <v>6.1601642710472282E-3</v>
      </c>
      <c r="V26" s="15">
        <f>IF(T_SPORTS[[#This Row],[OV - Domination - Total]]=0,"",RANK(T_SPORTS[[#This Row],[OV - Domination - Total]],T_SPORTS[OV - Domination - Total])+COUNTIF($U$3:U25,U26))</f>
        <v>32</v>
      </c>
    </row>
    <row r="27" spans="1:22" ht="45.95" customHeight="1" x14ac:dyDescent="0.25">
      <c r="A27" s="12">
        <v>24</v>
      </c>
      <c r="B27" s="13" t="s">
        <v>472</v>
      </c>
      <c r="C27" s="13" t="s">
        <v>918</v>
      </c>
      <c r="D27" s="13"/>
      <c r="E27" s="12">
        <f>IFERROR(COUNTIF(T_2016_EVENT_RESULTS[SPORT],T_SPORTS[[#This Row],[SPORT]]),0)</f>
        <v>2</v>
      </c>
      <c r="F27" s="12">
        <f>IFERROR(COUNTIFS(T_2016_EVENT_RESULTS[SPORT],T_SPORTS[[#This Row],[SPORT]],T_2016_EVENT_RESULTS[Gold - Country],"&lt;&gt;"&amp;"")+ COUNTIFS(T_2016_EVENT_RESULTS[SPORT],T_SPORTS[[#This Row],[SPORT]],T_2016_EVENT_RESULTS[Gold - Country - 2],"&lt;&gt;"&amp;""), "")</f>
        <v>2</v>
      </c>
      <c r="G27" s="12">
        <f>IFERROR(COUNTIFS(T_2016_EVENT_RESULTS[SPORT],T_SPORTS[[#This Row],[SPORT]],T_2016_EVENT_RESULTS[Silver - Country],"&lt;&gt;"&amp;"")+ COUNTIFS(T_2016_EVENT_RESULTS[SPORT],T_SPORTS[[#This Row],[SPORT]],T_2016_EVENT_RESULTS[Silver - Country - 2],"&lt;&gt;"&amp;"")+ COUNTIFS(T_2016_EVENT_RESULTS[SPORT],T_SPORTS[[#This Row],[SPORT]],T_2016_EVENT_RESULTS[Silver - Country - 3],"&lt;&gt;"&amp;""),"")</f>
        <v>2</v>
      </c>
      <c r="H27" s="12">
        <f>IFERROR(COUNTIFS(T_2016_EVENT_RESULTS[SPORT],T_SPORTS[[#This Row],[SPORT]],T_2016_EVENT_RESULTS[Bronze - Country],"&lt;&gt;"&amp;"")+ COUNTIFS(T_2016_EVENT_RESULTS[SPORT],T_SPORTS[[#This Row],[SPORT]],T_2016_EVENT_RESULTS[Bronze - Country - 2],"&lt;&gt;"&amp;""),"")</f>
        <v>2</v>
      </c>
      <c r="I27" s="12">
        <f>SUM(T_SPORTS[[#This Row],[Gold]:[Bronze]])</f>
        <v>6</v>
      </c>
      <c r="J27" s="15">
        <f>ROUND((T_SPORTS[[#This Row],[Gold]]*10000000)+(T_SPORTS[[#This Row],[Silver]]*100000)+(T_SPORTS[[#This Row],[Bronze]]*1000),0)</f>
        <v>20202000</v>
      </c>
      <c r="K27" s="15">
        <f>IFERROR(IF(T_SPORTS[[#This Row],[TOTAL]]=0,"",IF(I_RANK_METHOD="Total",RANK(T_SPORTS[[#This Row],[TOTAL]],T_SPORTS[TOTAL]),RANK(T_SPORTS[[#This Row],[Rank Value]],T_SPORTS[Rank Value]))),"")</f>
        <v>23</v>
      </c>
      <c r="L27" s="15">
        <f>IFERROR(COUNTIFS(T_2016_EVENT_RESULTS[SPORT],T_SPORTS[[#This Row],[SPORT]],T_2016_EVENT_RESULTS[Gold - Country], I_CV_CNTRY)+COUNTIFS(T_2016_EVENT_RESULTS[SPORT],T_SPORTS[[#This Row],[SPORT]],T_2016_EVENT_RESULTS[Gold - Country - 2], I_CV_CNTRY),"")</f>
        <v>0</v>
      </c>
      <c r="M27" s="15">
        <f>IFERROR(COUNTIFS(T_2016_EVENT_RESULTS[SPORT],T_SPORTS[[#This Row],[SPORT]],T_2016_EVENT_RESULTS[Silver - Country], I_CV_CNTRY)+COUNTIFS(T_2016_EVENT_RESULTS[SPORT],T_SPORTS[[#This Row],[SPORT]],T_2016_EVENT_RESULTS[Silver - Country - 2], I_CV_CNTRY)+COUNTIFS(T_2016_EVENT_RESULTS[SPORT],T_SPORTS[[#This Row],[SPORT]],T_2016_EVENT_RESULTS[Silver - Country - 3], I_CV_CNTRY),"")</f>
        <v>0</v>
      </c>
      <c r="N27" s="15">
        <f>IFERROR(COUNTIFS(T_2016_EVENT_RESULTS[SPORT],T_SPORTS[[#This Row],[SPORT]],T_2016_EVENT_RESULTS[Bronze - Country], I_CV_CNTRY)+COUNTIFS(T_2016_EVENT_RESULTS[SPORT],T_SPORTS[[#This Row],[SPORT]],T_2016_EVENT_RESULTS[Bronze - Country - 2], I_CV_CNTRY),"")</f>
        <v>0</v>
      </c>
      <c r="O27" s="15">
        <f>SUM(T_SPORTS[[#This Row],[CV - Gold]:[CV - Bronze]])</f>
        <v>0</v>
      </c>
      <c r="P27" s="15" t="str">
        <f>IF(T_SPORTS[[#This Row],[CV - Total]]=0,"",IF(I_RANK_METHOD="TOTAL",(T_SPORTS[[#This Row],[CV - Total]]*10000000),0)+(T_SPORTS[[#This Row],[CV - Gold]]*100000)+(T_SPORTS[[#This Row],[CV - Silver]]*1000)+(T_SPORTS[[#This Row],[CV - Bronze]]*10))</f>
        <v/>
      </c>
      <c r="Q27" s="15" t="str">
        <f>IFERROR(IF(T_SPORTS[[#This Row],[CV - Total]]=0,"",RANK(T_SPORTS[[#This Row],[CV - Rank Value]],T_SPORTS[CV - Rank Value])),"")</f>
        <v/>
      </c>
      <c r="R27" s="15" t="str">
        <f>IFERROR(IF(T_SPORTS[[#This Row],[CV - Total]]=0,"",RANK(T_SPORTS[[#This Row],[CV - Rank Value]],T_SPORTS[CV - Rank Value])+COUNTIF($Q$3:Q26,Q27)),"")</f>
        <v/>
      </c>
      <c r="S27" s="31">
        <f>T_SPORTS[[#This Row],[CV - Total]]/T_SPORTS[[#This Row],[TOTAL]]</f>
        <v>0</v>
      </c>
      <c r="T27" s="15" t="str">
        <f>IF(T_SPORTS[[#This Row],[CV - Domination - Total]]=0,"",RANK(T_SPORTS[[#This Row],[CV - Domination - Total]],T_SPORTS[CV - Domination - Total])+COUNTIF($S$3:S26,S27))</f>
        <v/>
      </c>
      <c r="U27" s="31">
        <f>T_SPORTS[[#This Row],[TOTAL]]/SUM(T_SPORTS[TOTAL])</f>
        <v>6.1601642710472282E-3</v>
      </c>
      <c r="V27" s="15">
        <f>IF(T_SPORTS[[#This Row],[OV - Domination - Total]]=0,"",RANK(T_SPORTS[[#This Row],[OV - Domination - Total]],T_SPORTS[OV - Domination - Total])+COUNTIF($U$3:U26,U27))</f>
        <v>33</v>
      </c>
    </row>
    <row r="28" spans="1:22" ht="45.95" customHeight="1" x14ac:dyDescent="0.25">
      <c r="A28" s="12">
        <v>25</v>
      </c>
      <c r="B28" s="13" t="s">
        <v>411</v>
      </c>
      <c r="C28" s="13" t="s">
        <v>435</v>
      </c>
      <c r="D28" s="13"/>
      <c r="E28" s="12">
        <f>IFERROR(COUNTIF(T_2016_EVENT_RESULTS[SPORT],T_SPORTS[[#This Row],[SPORT]]),0)</f>
        <v>14</v>
      </c>
      <c r="F28" s="12">
        <f>IFERROR(COUNTIFS(T_2016_EVENT_RESULTS[SPORT],T_SPORTS[[#This Row],[SPORT]],T_2016_EVENT_RESULTS[Gold - Country],"&lt;&gt;"&amp;"")+ COUNTIFS(T_2016_EVENT_RESULTS[SPORT],T_SPORTS[[#This Row],[SPORT]],T_2016_EVENT_RESULTS[Gold - Country - 2],"&lt;&gt;"&amp;""), "")</f>
        <v>14</v>
      </c>
      <c r="G28" s="12">
        <f>IFERROR(COUNTIFS(T_2016_EVENT_RESULTS[SPORT],T_SPORTS[[#This Row],[SPORT]],T_2016_EVENT_RESULTS[Silver - Country],"&lt;&gt;"&amp;"")+ COUNTIFS(T_2016_EVENT_RESULTS[SPORT],T_SPORTS[[#This Row],[SPORT]],T_2016_EVENT_RESULTS[Silver - Country - 2],"&lt;&gt;"&amp;"")+ COUNTIFS(T_2016_EVENT_RESULTS[SPORT],T_SPORTS[[#This Row],[SPORT]],T_2016_EVENT_RESULTS[Silver - Country - 3],"&lt;&gt;"&amp;""),"")</f>
        <v>14</v>
      </c>
      <c r="H28" s="12">
        <f>IFERROR(COUNTIFS(T_2016_EVENT_RESULTS[SPORT],T_SPORTS[[#This Row],[SPORT]],T_2016_EVENT_RESULTS[Bronze - Country],"&lt;&gt;"&amp;"")+ COUNTIFS(T_2016_EVENT_RESULTS[SPORT],T_SPORTS[[#This Row],[SPORT]],T_2016_EVENT_RESULTS[Bronze - Country - 2],"&lt;&gt;"&amp;""),"")</f>
        <v>14</v>
      </c>
      <c r="I28" s="12">
        <f>SUM(T_SPORTS[[#This Row],[Gold]:[Bronze]])</f>
        <v>42</v>
      </c>
      <c r="J28" s="15">
        <f>ROUND((T_SPORTS[[#This Row],[Gold]]*10000000)+(T_SPORTS[[#This Row],[Silver]]*100000)+(T_SPORTS[[#This Row],[Bronze]]*1000),0)</f>
        <v>141414000</v>
      </c>
      <c r="K28" s="15">
        <f>IFERROR(IF(T_SPORTS[[#This Row],[TOTAL]]=0,"",IF(I_RANK_METHOD="Total",RANK(T_SPORTS[[#This Row],[TOTAL]],T_SPORTS[TOTAL]),RANK(T_SPORTS[[#This Row],[Rank Value]],T_SPORTS[Rank Value]))),"")</f>
        <v>8</v>
      </c>
      <c r="L28" s="15">
        <f>IFERROR(COUNTIFS(T_2016_EVENT_RESULTS[SPORT],T_SPORTS[[#This Row],[SPORT]],T_2016_EVENT_RESULTS[Gold - Country], I_CV_CNTRY)+COUNTIFS(T_2016_EVENT_RESULTS[SPORT],T_SPORTS[[#This Row],[SPORT]],T_2016_EVENT_RESULTS[Gold - Country - 2], I_CV_CNTRY),"")</f>
        <v>0</v>
      </c>
      <c r="M28" s="15">
        <f>IFERROR(COUNTIFS(T_2016_EVENT_RESULTS[SPORT],T_SPORTS[[#This Row],[SPORT]],T_2016_EVENT_RESULTS[Silver - Country], I_CV_CNTRY)+COUNTIFS(T_2016_EVENT_RESULTS[SPORT],T_SPORTS[[#This Row],[SPORT]],T_2016_EVENT_RESULTS[Silver - Country - 2], I_CV_CNTRY)+COUNTIFS(T_2016_EVENT_RESULTS[SPORT],T_SPORTS[[#This Row],[SPORT]],T_2016_EVENT_RESULTS[Silver - Country - 3], I_CV_CNTRY),"")</f>
        <v>0</v>
      </c>
      <c r="N28" s="15">
        <f>IFERROR(COUNTIFS(T_2016_EVENT_RESULTS[SPORT],T_SPORTS[[#This Row],[SPORT]],T_2016_EVENT_RESULTS[Bronze - Country], I_CV_CNTRY)+COUNTIFS(T_2016_EVENT_RESULTS[SPORT],T_SPORTS[[#This Row],[SPORT]],T_2016_EVENT_RESULTS[Bronze - Country - 2], I_CV_CNTRY),"")</f>
        <v>0</v>
      </c>
      <c r="O28" s="15">
        <f>SUM(T_SPORTS[[#This Row],[CV - Gold]:[CV - Bronze]])</f>
        <v>0</v>
      </c>
      <c r="P28" s="15" t="str">
        <f>IF(T_SPORTS[[#This Row],[CV - Total]]=0,"",IF(I_RANK_METHOD="TOTAL",(T_SPORTS[[#This Row],[CV - Total]]*10000000),0)+(T_SPORTS[[#This Row],[CV - Gold]]*100000)+(T_SPORTS[[#This Row],[CV - Silver]]*1000)+(T_SPORTS[[#This Row],[CV - Bronze]]*10))</f>
        <v/>
      </c>
      <c r="Q28" s="15" t="str">
        <f>IFERROR(IF(T_SPORTS[[#This Row],[CV - Total]]=0,"",RANK(T_SPORTS[[#This Row],[CV - Rank Value]],T_SPORTS[CV - Rank Value])),"")</f>
        <v/>
      </c>
      <c r="R28" s="15" t="str">
        <f>IFERROR(IF(T_SPORTS[[#This Row],[CV - Total]]=0,"",RANK(T_SPORTS[[#This Row],[CV - Rank Value]],T_SPORTS[CV - Rank Value])+COUNTIF($Q$3:Q27,Q28)),"")</f>
        <v/>
      </c>
      <c r="S28" s="31">
        <f>T_SPORTS[[#This Row],[CV - Total]]/T_SPORTS[[#This Row],[TOTAL]]</f>
        <v>0</v>
      </c>
      <c r="T28" s="15" t="str">
        <f>IF(T_SPORTS[[#This Row],[CV - Domination - Total]]=0,"",RANK(T_SPORTS[[#This Row],[CV - Domination - Total]],T_SPORTS[CV - Domination - Total])+COUNTIF($S$3:S27,S28))</f>
        <v/>
      </c>
      <c r="U28" s="31">
        <f>T_SPORTS[[#This Row],[TOTAL]]/SUM(T_SPORTS[TOTAL])</f>
        <v>4.3121149897330596E-2</v>
      </c>
      <c r="V28" s="15">
        <f>IF(T_SPORTS[[#This Row],[OV - Domination - Total]]=0,"",RANK(T_SPORTS[[#This Row],[OV - Domination - Total]],T_SPORTS[OV - Domination - Total])+COUNTIF($U$3:U27,U28))</f>
        <v>9</v>
      </c>
    </row>
    <row r="29" spans="1:22" ht="45.95" customHeight="1" x14ac:dyDescent="0.25">
      <c r="A29" s="12">
        <v>26</v>
      </c>
      <c r="B29" s="13" t="s">
        <v>473</v>
      </c>
      <c r="C29" s="13" t="s">
        <v>919</v>
      </c>
      <c r="D29" s="13"/>
      <c r="E29" s="12">
        <f>IFERROR(COUNTIF(T_2016_EVENT_RESULTS[SPORT],T_SPORTS[[#This Row],[SPORT]]),0)</f>
        <v>2</v>
      </c>
      <c r="F29" s="12">
        <f>IFERROR(COUNTIFS(T_2016_EVENT_RESULTS[SPORT],T_SPORTS[[#This Row],[SPORT]],T_2016_EVENT_RESULTS[Gold - Country],"&lt;&gt;"&amp;"")+ COUNTIFS(T_2016_EVENT_RESULTS[SPORT],T_SPORTS[[#This Row],[SPORT]],T_2016_EVENT_RESULTS[Gold - Country - 2],"&lt;&gt;"&amp;""), "")</f>
        <v>2</v>
      </c>
      <c r="G29" s="12">
        <f>IFERROR(COUNTIFS(T_2016_EVENT_RESULTS[SPORT],T_SPORTS[[#This Row],[SPORT]],T_2016_EVENT_RESULTS[Silver - Country],"&lt;&gt;"&amp;"")+ COUNTIFS(T_2016_EVENT_RESULTS[SPORT],T_SPORTS[[#This Row],[SPORT]],T_2016_EVENT_RESULTS[Silver - Country - 2],"&lt;&gt;"&amp;"")+ COUNTIFS(T_2016_EVENT_RESULTS[SPORT],T_SPORTS[[#This Row],[SPORT]],T_2016_EVENT_RESULTS[Silver - Country - 3],"&lt;&gt;"&amp;""),"")</f>
        <v>2</v>
      </c>
      <c r="H29" s="12">
        <f>IFERROR(COUNTIFS(T_2016_EVENT_RESULTS[SPORT],T_SPORTS[[#This Row],[SPORT]],T_2016_EVENT_RESULTS[Bronze - Country],"&lt;&gt;"&amp;"")+ COUNTIFS(T_2016_EVENT_RESULTS[SPORT],T_SPORTS[[#This Row],[SPORT]],T_2016_EVENT_RESULTS[Bronze - Country - 2],"&lt;&gt;"&amp;""),"")</f>
        <v>2</v>
      </c>
      <c r="I29" s="12">
        <f>SUM(T_SPORTS[[#This Row],[Gold]:[Bronze]])</f>
        <v>6</v>
      </c>
      <c r="J29" s="15">
        <f>ROUND((T_SPORTS[[#This Row],[Gold]]*10000000)+(T_SPORTS[[#This Row],[Silver]]*100000)+(T_SPORTS[[#This Row],[Bronze]]*1000),0)</f>
        <v>20202000</v>
      </c>
      <c r="K29" s="15">
        <f>IFERROR(IF(T_SPORTS[[#This Row],[TOTAL]]=0,"",IF(I_RANK_METHOD="Total",RANK(T_SPORTS[[#This Row],[TOTAL]],T_SPORTS[TOTAL]),RANK(T_SPORTS[[#This Row],[Rank Value]],T_SPORTS[Rank Value]))),"")</f>
        <v>23</v>
      </c>
      <c r="L29" s="15">
        <f>IFERROR(COUNTIFS(T_2016_EVENT_RESULTS[SPORT],T_SPORTS[[#This Row],[SPORT]],T_2016_EVENT_RESULTS[Gold - Country], I_CV_CNTRY)+COUNTIFS(T_2016_EVENT_RESULTS[SPORT],T_SPORTS[[#This Row],[SPORT]],T_2016_EVENT_RESULTS[Gold - Country - 2], I_CV_CNTRY),"")</f>
        <v>0</v>
      </c>
      <c r="M29" s="15">
        <f>IFERROR(COUNTIFS(T_2016_EVENT_RESULTS[SPORT],T_SPORTS[[#This Row],[SPORT]],T_2016_EVENT_RESULTS[Silver - Country], I_CV_CNTRY)+COUNTIFS(T_2016_EVENT_RESULTS[SPORT],T_SPORTS[[#This Row],[SPORT]],T_2016_EVENT_RESULTS[Silver - Country - 2], I_CV_CNTRY)+COUNTIFS(T_2016_EVENT_RESULTS[SPORT],T_SPORTS[[#This Row],[SPORT]],T_2016_EVENT_RESULTS[Silver - Country - 3], I_CV_CNTRY),"")</f>
        <v>0</v>
      </c>
      <c r="N29" s="15">
        <f>IFERROR(COUNTIFS(T_2016_EVENT_RESULTS[SPORT],T_SPORTS[[#This Row],[SPORT]],T_2016_EVENT_RESULTS[Bronze - Country], I_CV_CNTRY)+COUNTIFS(T_2016_EVENT_RESULTS[SPORT],T_SPORTS[[#This Row],[SPORT]],T_2016_EVENT_RESULTS[Bronze - Country - 2], I_CV_CNTRY),"")</f>
        <v>0</v>
      </c>
      <c r="O29" s="15">
        <f>SUM(T_SPORTS[[#This Row],[CV - Gold]:[CV - Bronze]])</f>
        <v>0</v>
      </c>
      <c r="P29" s="15" t="str">
        <f>IF(T_SPORTS[[#This Row],[CV - Total]]=0,"",IF(I_RANK_METHOD="TOTAL",(T_SPORTS[[#This Row],[CV - Total]]*10000000),0)+(T_SPORTS[[#This Row],[CV - Gold]]*100000)+(T_SPORTS[[#This Row],[CV - Silver]]*1000)+(T_SPORTS[[#This Row],[CV - Bronze]]*10))</f>
        <v/>
      </c>
      <c r="Q29" s="15" t="str">
        <f>IFERROR(IF(T_SPORTS[[#This Row],[CV - Total]]=0,"",RANK(T_SPORTS[[#This Row],[CV - Rank Value]],T_SPORTS[CV - Rank Value])),"")</f>
        <v/>
      </c>
      <c r="R29" s="15" t="str">
        <f>IFERROR(IF(T_SPORTS[[#This Row],[CV - Total]]=0,"",RANK(T_SPORTS[[#This Row],[CV - Rank Value]],T_SPORTS[CV - Rank Value])+COUNTIF($Q$3:Q28,Q29)),"")</f>
        <v/>
      </c>
      <c r="S29" s="31">
        <f>T_SPORTS[[#This Row],[CV - Total]]/T_SPORTS[[#This Row],[TOTAL]]</f>
        <v>0</v>
      </c>
      <c r="T29" s="15" t="str">
        <f>IF(T_SPORTS[[#This Row],[CV - Domination - Total]]=0,"",RANK(T_SPORTS[[#This Row],[CV - Domination - Total]],T_SPORTS[CV - Domination - Total])+COUNTIF($S$3:S28,S29))</f>
        <v/>
      </c>
      <c r="U29" s="31">
        <f>T_SPORTS[[#This Row],[TOTAL]]/SUM(T_SPORTS[TOTAL])</f>
        <v>6.1601642710472282E-3</v>
      </c>
      <c r="V29" s="15">
        <f>IF(T_SPORTS[[#This Row],[OV - Domination - Total]]=0,"",RANK(T_SPORTS[[#This Row],[OV - Domination - Total]],T_SPORTS[OV - Domination - Total])+COUNTIF($U$3:U28,U29))</f>
        <v>34</v>
      </c>
    </row>
    <row r="30" spans="1:22" ht="45.95" customHeight="1" x14ac:dyDescent="0.25">
      <c r="A30" s="12">
        <v>27</v>
      </c>
      <c r="B30" s="13" t="s">
        <v>412</v>
      </c>
      <c r="C30" s="13" t="s">
        <v>920</v>
      </c>
      <c r="D30" s="13"/>
      <c r="E30" s="12">
        <f>IFERROR(COUNTIF(T_2016_EVENT_RESULTS[SPORT],T_SPORTS[[#This Row],[SPORT]]),0)</f>
        <v>10</v>
      </c>
      <c r="F30" s="12">
        <f>IFERROR(COUNTIFS(T_2016_EVENT_RESULTS[SPORT],T_SPORTS[[#This Row],[SPORT]],T_2016_EVENT_RESULTS[Gold - Country],"&lt;&gt;"&amp;"")+ COUNTIFS(T_2016_EVENT_RESULTS[SPORT],T_SPORTS[[#This Row],[SPORT]],T_2016_EVENT_RESULTS[Gold - Country - 2],"&lt;&gt;"&amp;""), "")</f>
        <v>10</v>
      </c>
      <c r="G30" s="12">
        <f>IFERROR(COUNTIFS(T_2016_EVENT_RESULTS[SPORT],T_SPORTS[[#This Row],[SPORT]],T_2016_EVENT_RESULTS[Silver - Country],"&lt;&gt;"&amp;"")+ COUNTIFS(T_2016_EVENT_RESULTS[SPORT],T_SPORTS[[#This Row],[SPORT]],T_2016_EVENT_RESULTS[Silver - Country - 2],"&lt;&gt;"&amp;"")+ COUNTIFS(T_2016_EVENT_RESULTS[SPORT],T_SPORTS[[#This Row],[SPORT]],T_2016_EVENT_RESULTS[Silver - Country - 3],"&lt;&gt;"&amp;""),"")</f>
        <v>10</v>
      </c>
      <c r="H30" s="12">
        <f>IFERROR(COUNTIFS(T_2016_EVENT_RESULTS[SPORT],T_SPORTS[[#This Row],[SPORT]],T_2016_EVENT_RESULTS[Bronze - Country],"&lt;&gt;"&amp;"")+ COUNTIFS(T_2016_EVENT_RESULTS[SPORT],T_SPORTS[[#This Row],[SPORT]],T_2016_EVENT_RESULTS[Bronze - Country - 2],"&lt;&gt;"&amp;""),"")</f>
        <v>10</v>
      </c>
      <c r="I30" s="12">
        <f>SUM(T_SPORTS[[#This Row],[Gold]:[Bronze]])</f>
        <v>30</v>
      </c>
      <c r="J30" s="15">
        <f>ROUND((T_SPORTS[[#This Row],[Gold]]*10000000)+(T_SPORTS[[#This Row],[Silver]]*100000)+(T_SPORTS[[#This Row],[Bronze]]*1000),0)</f>
        <v>101010000</v>
      </c>
      <c r="K30" s="15">
        <f>IFERROR(IF(T_SPORTS[[#This Row],[TOTAL]]=0,"",IF(I_RANK_METHOD="Total",RANK(T_SPORTS[[#This Row],[TOTAL]],T_SPORTS[TOTAL]),RANK(T_SPORTS[[#This Row],[Rank Value]],T_SPORTS[Rank Value]))),"")</f>
        <v>12</v>
      </c>
      <c r="L30" s="15">
        <f>IFERROR(COUNTIFS(T_2016_EVENT_RESULTS[SPORT],T_SPORTS[[#This Row],[SPORT]],T_2016_EVENT_RESULTS[Gold - Country], I_CV_CNTRY)+COUNTIFS(T_2016_EVENT_RESULTS[SPORT],T_SPORTS[[#This Row],[SPORT]],T_2016_EVENT_RESULTS[Gold - Country - 2], I_CV_CNTRY),"")</f>
        <v>0</v>
      </c>
      <c r="M30" s="15">
        <f>IFERROR(COUNTIFS(T_2016_EVENT_RESULTS[SPORT],T_SPORTS[[#This Row],[SPORT]],T_2016_EVENT_RESULTS[Silver - Country], I_CV_CNTRY)+COUNTIFS(T_2016_EVENT_RESULTS[SPORT],T_SPORTS[[#This Row],[SPORT]],T_2016_EVENT_RESULTS[Silver - Country - 2], I_CV_CNTRY)+COUNTIFS(T_2016_EVENT_RESULTS[SPORT],T_SPORTS[[#This Row],[SPORT]],T_2016_EVENT_RESULTS[Silver - Country - 3], I_CV_CNTRY),"")</f>
        <v>0</v>
      </c>
      <c r="N30" s="15">
        <f>IFERROR(COUNTIFS(T_2016_EVENT_RESULTS[SPORT],T_SPORTS[[#This Row],[SPORT]],T_2016_EVENT_RESULTS[Bronze - Country], I_CV_CNTRY)+COUNTIFS(T_2016_EVENT_RESULTS[SPORT],T_SPORTS[[#This Row],[SPORT]],T_2016_EVENT_RESULTS[Bronze - Country - 2], I_CV_CNTRY),"")</f>
        <v>0</v>
      </c>
      <c r="O30" s="15">
        <f>SUM(T_SPORTS[[#This Row],[CV - Gold]:[CV - Bronze]])</f>
        <v>0</v>
      </c>
      <c r="P30" s="15" t="str">
        <f>IF(T_SPORTS[[#This Row],[CV - Total]]=0,"",IF(I_RANK_METHOD="TOTAL",(T_SPORTS[[#This Row],[CV - Total]]*10000000),0)+(T_SPORTS[[#This Row],[CV - Gold]]*100000)+(T_SPORTS[[#This Row],[CV - Silver]]*1000)+(T_SPORTS[[#This Row],[CV - Bronze]]*10))</f>
        <v/>
      </c>
      <c r="Q30" s="15" t="str">
        <f>IFERROR(IF(T_SPORTS[[#This Row],[CV - Total]]=0,"",RANK(T_SPORTS[[#This Row],[CV - Rank Value]],T_SPORTS[CV - Rank Value])),"")</f>
        <v/>
      </c>
      <c r="R30" s="15" t="str">
        <f>IFERROR(IF(T_SPORTS[[#This Row],[CV - Total]]=0,"",RANK(T_SPORTS[[#This Row],[CV - Rank Value]],T_SPORTS[CV - Rank Value])+COUNTIF($Q$3:Q29,Q30)),"")</f>
        <v/>
      </c>
      <c r="S30" s="31">
        <f>T_SPORTS[[#This Row],[CV - Total]]/T_SPORTS[[#This Row],[TOTAL]]</f>
        <v>0</v>
      </c>
      <c r="T30" s="15" t="str">
        <f>IF(T_SPORTS[[#This Row],[CV - Domination - Total]]=0,"",RANK(T_SPORTS[[#This Row],[CV - Domination - Total]],T_SPORTS[CV - Domination - Total])+COUNTIF($S$3:S29,S30))</f>
        <v/>
      </c>
      <c r="U30" s="31">
        <f>T_SPORTS[[#This Row],[TOTAL]]/SUM(T_SPORTS[TOTAL])</f>
        <v>3.0800821355236138E-2</v>
      </c>
      <c r="V30" s="15">
        <f>IF(T_SPORTS[[#This Row],[OV - Domination - Total]]=0,"",RANK(T_SPORTS[[#This Row],[OV - Domination - Total]],T_SPORTS[OV - Domination - Total])+COUNTIF($U$3:U29,U30))</f>
        <v>14</v>
      </c>
    </row>
    <row r="31" spans="1:22" ht="45.95" customHeight="1" x14ac:dyDescent="0.25">
      <c r="A31" s="12">
        <v>28</v>
      </c>
      <c r="B31" s="13" t="s">
        <v>413</v>
      </c>
      <c r="C31" s="13" t="s">
        <v>863</v>
      </c>
      <c r="D31" s="13"/>
      <c r="E31" s="12">
        <f>IFERROR(COUNTIF(T_2016_EVENT_RESULTS[SPORT],T_SPORTS[[#This Row],[SPORT]]),0)</f>
        <v>15</v>
      </c>
      <c r="F31" s="12">
        <f>IFERROR(COUNTIFS(T_2016_EVENT_RESULTS[SPORT],T_SPORTS[[#This Row],[SPORT]],T_2016_EVENT_RESULTS[Gold - Country],"&lt;&gt;"&amp;"")+ COUNTIFS(T_2016_EVENT_RESULTS[SPORT],T_SPORTS[[#This Row],[SPORT]],T_2016_EVENT_RESULTS[Gold - Country - 2],"&lt;&gt;"&amp;""), "")</f>
        <v>15</v>
      </c>
      <c r="G31" s="12">
        <f>IFERROR(COUNTIFS(T_2016_EVENT_RESULTS[SPORT],T_SPORTS[[#This Row],[SPORT]],T_2016_EVENT_RESULTS[Silver - Country],"&lt;&gt;"&amp;"")+ COUNTIFS(T_2016_EVENT_RESULTS[SPORT],T_SPORTS[[#This Row],[SPORT]],T_2016_EVENT_RESULTS[Silver - Country - 2],"&lt;&gt;"&amp;"")+ COUNTIFS(T_2016_EVENT_RESULTS[SPORT],T_SPORTS[[#This Row],[SPORT]],T_2016_EVENT_RESULTS[Silver - Country - 3],"&lt;&gt;"&amp;""),"")</f>
        <v>15</v>
      </c>
      <c r="H31" s="12">
        <f>IFERROR(COUNTIFS(T_2016_EVENT_RESULTS[SPORT],T_SPORTS[[#This Row],[SPORT]],T_2016_EVENT_RESULTS[Bronze - Country],"&lt;&gt;"&amp;"")+ COUNTIFS(T_2016_EVENT_RESULTS[SPORT],T_SPORTS[[#This Row],[SPORT]],T_2016_EVENT_RESULTS[Bronze - Country - 2],"&lt;&gt;"&amp;""),"")</f>
        <v>15</v>
      </c>
      <c r="I31" s="12">
        <f>SUM(T_SPORTS[[#This Row],[Gold]:[Bronze]])</f>
        <v>45</v>
      </c>
      <c r="J31" s="15">
        <f>ROUND((T_SPORTS[[#This Row],[Gold]]*10000000)+(T_SPORTS[[#This Row],[Silver]]*100000)+(T_SPORTS[[#This Row],[Bronze]]*1000),0)</f>
        <v>151515000</v>
      </c>
      <c r="K31" s="15">
        <f>IFERROR(IF(T_SPORTS[[#This Row],[TOTAL]]=0,"",IF(I_RANK_METHOD="Total",RANK(T_SPORTS[[#This Row],[TOTAL]],T_SPORTS[TOTAL]),RANK(T_SPORTS[[#This Row],[Rank Value]],T_SPORTS[Rank Value]))),"")</f>
        <v>6</v>
      </c>
      <c r="L31" s="15">
        <f>IFERROR(COUNTIFS(T_2016_EVENT_RESULTS[SPORT],T_SPORTS[[#This Row],[SPORT]],T_2016_EVENT_RESULTS[Gold - Country], I_CV_CNTRY)+COUNTIFS(T_2016_EVENT_RESULTS[SPORT],T_SPORTS[[#This Row],[SPORT]],T_2016_EVENT_RESULTS[Gold - Country - 2], I_CV_CNTRY),"")</f>
        <v>0</v>
      </c>
      <c r="M31" s="15">
        <f>IFERROR(COUNTIFS(T_2016_EVENT_RESULTS[SPORT],T_SPORTS[[#This Row],[SPORT]],T_2016_EVENT_RESULTS[Silver - Country], I_CV_CNTRY)+COUNTIFS(T_2016_EVENT_RESULTS[SPORT],T_SPORTS[[#This Row],[SPORT]],T_2016_EVENT_RESULTS[Silver - Country - 2], I_CV_CNTRY)+COUNTIFS(T_2016_EVENT_RESULTS[SPORT],T_SPORTS[[#This Row],[SPORT]],T_2016_EVENT_RESULTS[Silver - Country - 3], I_CV_CNTRY),"")</f>
        <v>0</v>
      </c>
      <c r="N31" s="15">
        <f>IFERROR(COUNTIFS(T_2016_EVENT_RESULTS[SPORT],T_SPORTS[[#This Row],[SPORT]],T_2016_EVENT_RESULTS[Bronze - Country], I_CV_CNTRY)+COUNTIFS(T_2016_EVENT_RESULTS[SPORT],T_SPORTS[[#This Row],[SPORT]],T_2016_EVENT_RESULTS[Bronze - Country - 2], I_CV_CNTRY),"")</f>
        <v>0</v>
      </c>
      <c r="O31" s="15">
        <f>SUM(T_SPORTS[[#This Row],[CV - Gold]:[CV - Bronze]])</f>
        <v>0</v>
      </c>
      <c r="P31" s="15" t="str">
        <f>IF(T_SPORTS[[#This Row],[CV - Total]]=0,"",IF(I_RANK_METHOD="TOTAL",(T_SPORTS[[#This Row],[CV - Total]]*10000000),0)+(T_SPORTS[[#This Row],[CV - Gold]]*100000)+(T_SPORTS[[#This Row],[CV - Silver]]*1000)+(T_SPORTS[[#This Row],[CV - Bronze]]*10))</f>
        <v/>
      </c>
      <c r="Q31" s="15" t="str">
        <f>IFERROR(IF(T_SPORTS[[#This Row],[CV - Total]]=0,"",RANK(T_SPORTS[[#This Row],[CV - Rank Value]],T_SPORTS[CV - Rank Value])),"")</f>
        <v/>
      </c>
      <c r="R31" s="15" t="str">
        <f>IFERROR(IF(T_SPORTS[[#This Row],[CV - Total]]=0,"",RANK(T_SPORTS[[#This Row],[CV - Rank Value]],T_SPORTS[CV - Rank Value])+COUNTIF($Q$3:Q30,Q31)),"")</f>
        <v/>
      </c>
      <c r="S31" s="31">
        <f>T_SPORTS[[#This Row],[CV - Total]]/T_SPORTS[[#This Row],[TOTAL]]</f>
        <v>0</v>
      </c>
      <c r="T31" s="15" t="str">
        <f>IF(T_SPORTS[[#This Row],[CV - Domination - Total]]=0,"",RANK(T_SPORTS[[#This Row],[CV - Domination - Total]],T_SPORTS[CV - Domination - Total])+COUNTIF($S$3:S30,S31))</f>
        <v/>
      </c>
      <c r="U31" s="31">
        <f>T_SPORTS[[#This Row],[TOTAL]]/SUM(T_SPORTS[TOTAL])</f>
        <v>4.6201232032854207E-2</v>
      </c>
      <c r="V31" s="15">
        <f>IF(T_SPORTS[[#This Row],[OV - Domination - Total]]=0,"",RANK(T_SPORTS[[#This Row],[OV - Domination - Total]],T_SPORTS[OV - Domination - Total])+COUNTIF($U$3:U30,U31))</f>
        <v>6</v>
      </c>
    </row>
    <row r="32" spans="1:22" ht="45.95" customHeight="1" x14ac:dyDescent="0.25">
      <c r="A32" s="12">
        <v>29</v>
      </c>
      <c r="B32" s="13" t="s">
        <v>414</v>
      </c>
      <c r="C32" s="13" t="s">
        <v>921</v>
      </c>
      <c r="D32" s="13"/>
      <c r="E32" s="12">
        <f>IFERROR(COUNTIF(T_2016_EVENT_RESULTS[SPORT],T_SPORTS[[#This Row],[SPORT]]),0)</f>
        <v>32</v>
      </c>
      <c r="F32" s="12">
        <f>IFERROR(COUNTIFS(T_2016_EVENT_RESULTS[SPORT],T_SPORTS[[#This Row],[SPORT]],T_2016_EVENT_RESULTS[Gold - Country],"&lt;&gt;"&amp;"")+ COUNTIFS(T_2016_EVENT_RESULTS[SPORT],T_SPORTS[[#This Row],[SPORT]],T_2016_EVENT_RESULTS[Gold - Country - 2],"&lt;&gt;"&amp;""), "")</f>
        <v>33</v>
      </c>
      <c r="G32" s="12">
        <f>IFERROR(COUNTIFS(T_2016_EVENT_RESULTS[SPORT],T_SPORTS[[#This Row],[SPORT]],T_2016_EVENT_RESULTS[Silver - Country],"&lt;&gt;"&amp;"")+ COUNTIFS(T_2016_EVENT_RESULTS[SPORT],T_SPORTS[[#This Row],[SPORT]],T_2016_EVENT_RESULTS[Silver - Country - 2],"&lt;&gt;"&amp;"")+ COUNTIFS(T_2016_EVENT_RESULTS[SPORT],T_SPORTS[[#This Row],[SPORT]],T_2016_EVENT_RESULTS[Silver - Country - 3],"&lt;&gt;"&amp;""),"")</f>
        <v>33</v>
      </c>
      <c r="H32" s="12">
        <f>IFERROR(COUNTIFS(T_2016_EVENT_RESULTS[SPORT],T_SPORTS[[#This Row],[SPORT]],T_2016_EVENT_RESULTS[Bronze - Country],"&lt;&gt;"&amp;"")+ COUNTIFS(T_2016_EVENT_RESULTS[SPORT],T_SPORTS[[#This Row],[SPORT]],T_2016_EVENT_RESULTS[Bronze - Country - 2],"&lt;&gt;"&amp;""),"")</f>
        <v>32</v>
      </c>
      <c r="I32" s="12">
        <f>SUM(T_SPORTS[[#This Row],[Gold]:[Bronze]])</f>
        <v>98</v>
      </c>
      <c r="J32" s="15">
        <f>ROUND((T_SPORTS[[#This Row],[Gold]]*10000000)+(T_SPORTS[[#This Row],[Silver]]*100000)+(T_SPORTS[[#This Row],[Bronze]]*1000),0)</f>
        <v>333332000</v>
      </c>
      <c r="K32" s="15">
        <f>IFERROR(IF(T_SPORTS[[#This Row],[TOTAL]]=0,"",IF(I_RANK_METHOD="Total",RANK(T_SPORTS[[#This Row],[TOTAL]],T_SPORTS[TOTAL]),RANK(T_SPORTS[[#This Row],[Rank Value]],T_SPORTS[Rank Value]))),"")</f>
        <v>2</v>
      </c>
      <c r="L32" s="15">
        <f>IFERROR(COUNTIFS(T_2016_EVENT_RESULTS[SPORT],T_SPORTS[[#This Row],[SPORT]],T_2016_EVENT_RESULTS[Gold - Country], I_CV_CNTRY)+COUNTIFS(T_2016_EVENT_RESULTS[SPORT],T_SPORTS[[#This Row],[SPORT]],T_2016_EVENT_RESULTS[Gold - Country - 2], I_CV_CNTRY),"")</f>
        <v>0</v>
      </c>
      <c r="M32" s="15">
        <f>IFERROR(COUNTIFS(T_2016_EVENT_RESULTS[SPORT],T_SPORTS[[#This Row],[SPORT]],T_2016_EVENT_RESULTS[Silver - Country], I_CV_CNTRY)+COUNTIFS(T_2016_EVENT_RESULTS[SPORT],T_SPORTS[[#This Row],[SPORT]],T_2016_EVENT_RESULTS[Silver - Country - 2], I_CV_CNTRY)+COUNTIFS(T_2016_EVENT_RESULTS[SPORT],T_SPORTS[[#This Row],[SPORT]],T_2016_EVENT_RESULTS[Silver - Country - 3], I_CV_CNTRY),"")</f>
        <v>0</v>
      </c>
      <c r="N32" s="15">
        <f>IFERROR(COUNTIFS(T_2016_EVENT_RESULTS[SPORT],T_SPORTS[[#This Row],[SPORT]],T_2016_EVENT_RESULTS[Bronze - Country], I_CV_CNTRY)+COUNTIFS(T_2016_EVENT_RESULTS[SPORT],T_SPORTS[[#This Row],[SPORT]],T_2016_EVENT_RESULTS[Bronze - Country - 2], I_CV_CNTRY),"")</f>
        <v>0</v>
      </c>
      <c r="O32" s="15">
        <f>SUM(T_SPORTS[[#This Row],[CV - Gold]:[CV - Bronze]])</f>
        <v>0</v>
      </c>
      <c r="P32" s="15" t="str">
        <f>IF(T_SPORTS[[#This Row],[CV - Total]]=0,"",IF(I_RANK_METHOD="TOTAL",(T_SPORTS[[#This Row],[CV - Total]]*10000000),0)+(T_SPORTS[[#This Row],[CV - Gold]]*100000)+(T_SPORTS[[#This Row],[CV - Silver]]*1000)+(T_SPORTS[[#This Row],[CV - Bronze]]*10))</f>
        <v/>
      </c>
      <c r="Q32" s="15" t="str">
        <f>IFERROR(IF(T_SPORTS[[#This Row],[CV - Total]]=0,"",RANK(T_SPORTS[[#This Row],[CV - Rank Value]],T_SPORTS[CV - Rank Value])),"")</f>
        <v/>
      </c>
      <c r="R32" s="15" t="str">
        <f>IFERROR(IF(T_SPORTS[[#This Row],[CV - Total]]=0,"",RANK(T_SPORTS[[#This Row],[CV - Rank Value]],T_SPORTS[CV - Rank Value])+COUNTIF($Q$3:Q31,Q32)),"")</f>
        <v/>
      </c>
      <c r="S32" s="31">
        <f>T_SPORTS[[#This Row],[CV - Total]]/T_SPORTS[[#This Row],[TOTAL]]</f>
        <v>0</v>
      </c>
      <c r="T32" s="15" t="str">
        <f>IF(T_SPORTS[[#This Row],[CV - Domination - Total]]=0,"",RANK(T_SPORTS[[#This Row],[CV - Domination - Total]],T_SPORTS[CV - Domination - Total])+COUNTIF($S$3:S31,S32))</f>
        <v/>
      </c>
      <c r="U32" s="31">
        <f>T_SPORTS[[#This Row],[TOTAL]]/SUM(T_SPORTS[TOTAL])</f>
        <v>0.10061601642710473</v>
      </c>
      <c r="V32" s="15">
        <f>IF(T_SPORTS[[#This Row],[OV - Domination - Total]]=0,"",RANK(T_SPORTS[[#This Row],[OV - Domination - Total]],T_SPORTS[OV - Domination - Total])+COUNTIF($U$3:U31,U32))</f>
        <v>2</v>
      </c>
    </row>
    <row r="33" spans="1:22" ht="45.95" customHeight="1" x14ac:dyDescent="0.25">
      <c r="A33" s="12">
        <v>30</v>
      </c>
      <c r="B33" s="13" t="s">
        <v>759</v>
      </c>
      <c r="C33" s="13" t="s">
        <v>922</v>
      </c>
      <c r="D33" s="13"/>
      <c r="E33" s="12">
        <f>IFERROR(COUNTIF(T_2016_EVENT_RESULTS[SPORT],T_SPORTS[[#This Row],[SPORT]]),0)</f>
        <v>2</v>
      </c>
      <c r="F33" s="12">
        <f>IFERROR(COUNTIFS(T_2016_EVENT_RESULTS[SPORT],T_SPORTS[[#This Row],[SPORT]],T_2016_EVENT_RESULTS[Gold - Country],"&lt;&gt;"&amp;"")+ COUNTIFS(T_2016_EVENT_RESULTS[SPORT],T_SPORTS[[#This Row],[SPORT]],T_2016_EVENT_RESULTS[Gold - Country - 2],"&lt;&gt;"&amp;""), "")</f>
        <v>2</v>
      </c>
      <c r="G33" s="12">
        <f>IFERROR(COUNTIFS(T_2016_EVENT_RESULTS[SPORT],T_SPORTS[[#This Row],[SPORT]],T_2016_EVENT_RESULTS[Silver - Country],"&lt;&gt;"&amp;"")+ COUNTIFS(T_2016_EVENT_RESULTS[SPORT],T_SPORTS[[#This Row],[SPORT]],T_2016_EVENT_RESULTS[Silver - Country - 2],"&lt;&gt;"&amp;"")+ COUNTIFS(T_2016_EVENT_RESULTS[SPORT],T_SPORTS[[#This Row],[SPORT]],T_2016_EVENT_RESULTS[Silver - Country - 3],"&lt;&gt;"&amp;""),"")</f>
        <v>2</v>
      </c>
      <c r="H33" s="12">
        <f>IFERROR(COUNTIFS(T_2016_EVENT_RESULTS[SPORT],T_SPORTS[[#This Row],[SPORT]],T_2016_EVENT_RESULTS[Bronze - Country],"&lt;&gt;"&amp;"")+ COUNTIFS(T_2016_EVENT_RESULTS[SPORT],T_SPORTS[[#This Row],[SPORT]],T_2016_EVENT_RESULTS[Bronze - Country - 2],"&lt;&gt;"&amp;""),"")</f>
        <v>2</v>
      </c>
      <c r="I33" s="12">
        <f>SUM(T_SPORTS[[#This Row],[Gold]:[Bronze]])</f>
        <v>6</v>
      </c>
      <c r="J33" s="15">
        <f>ROUND((T_SPORTS[[#This Row],[Gold]]*10000000)+(T_SPORTS[[#This Row],[Silver]]*100000)+(T_SPORTS[[#This Row],[Bronze]]*1000),0)</f>
        <v>20202000</v>
      </c>
      <c r="K33" s="15">
        <f>IFERROR(IF(T_SPORTS[[#This Row],[TOTAL]]=0,"",IF(I_RANK_METHOD="Total",RANK(T_SPORTS[[#This Row],[TOTAL]],T_SPORTS[TOTAL]),RANK(T_SPORTS[[#This Row],[Rank Value]],T_SPORTS[Rank Value]))),"")</f>
        <v>23</v>
      </c>
      <c r="L33" s="15">
        <f>IFERROR(COUNTIFS(T_2016_EVENT_RESULTS[SPORT],T_SPORTS[[#This Row],[SPORT]],T_2016_EVENT_RESULTS[Gold - Country], I_CV_CNTRY)+COUNTIFS(T_2016_EVENT_RESULTS[SPORT],T_SPORTS[[#This Row],[SPORT]],T_2016_EVENT_RESULTS[Gold - Country - 2], I_CV_CNTRY),"")</f>
        <v>0</v>
      </c>
      <c r="M33" s="15">
        <f>IFERROR(COUNTIFS(T_2016_EVENT_RESULTS[SPORT],T_SPORTS[[#This Row],[SPORT]],T_2016_EVENT_RESULTS[Silver - Country], I_CV_CNTRY)+COUNTIFS(T_2016_EVENT_RESULTS[SPORT],T_SPORTS[[#This Row],[SPORT]],T_2016_EVENT_RESULTS[Silver - Country - 2], I_CV_CNTRY)+COUNTIFS(T_2016_EVENT_RESULTS[SPORT],T_SPORTS[[#This Row],[SPORT]],T_2016_EVENT_RESULTS[Silver - Country - 3], I_CV_CNTRY),"")</f>
        <v>0</v>
      </c>
      <c r="N33" s="15">
        <f>IFERROR(COUNTIFS(T_2016_EVENT_RESULTS[SPORT],T_SPORTS[[#This Row],[SPORT]],T_2016_EVENT_RESULTS[Bronze - Country], I_CV_CNTRY)+COUNTIFS(T_2016_EVENT_RESULTS[SPORT],T_SPORTS[[#This Row],[SPORT]],T_2016_EVENT_RESULTS[Bronze - Country - 2], I_CV_CNTRY),"")</f>
        <v>0</v>
      </c>
      <c r="O33" s="15">
        <f>SUM(T_SPORTS[[#This Row],[CV - Gold]:[CV - Bronze]])</f>
        <v>0</v>
      </c>
      <c r="P33" s="15" t="str">
        <f>IF(T_SPORTS[[#This Row],[CV - Total]]=0,"",IF(I_RANK_METHOD="TOTAL",(T_SPORTS[[#This Row],[CV - Total]]*10000000),0)+(T_SPORTS[[#This Row],[CV - Gold]]*100000)+(T_SPORTS[[#This Row],[CV - Silver]]*1000)+(T_SPORTS[[#This Row],[CV - Bronze]]*10))</f>
        <v/>
      </c>
      <c r="Q33" s="15" t="str">
        <f>IFERROR(IF(T_SPORTS[[#This Row],[CV - Total]]=0,"",RANK(T_SPORTS[[#This Row],[CV - Rank Value]],T_SPORTS[CV - Rank Value])),"")</f>
        <v/>
      </c>
      <c r="R33" s="15" t="str">
        <f>IFERROR(IF(T_SPORTS[[#This Row],[CV - Total]]=0,"",RANK(T_SPORTS[[#This Row],[CV - Rank Value]],T_SPORTS[CV - Rank Value])+COUNTIF($Q$3:Q32,Q33)),"")</f>
        <v/>
      </c>
      <c r="S33" s="31">
        <f>T_SPORTS[[#This Row],[CV - Total]]/T_SPORTS[[#This Row],[TOTAL]]</f>
        <v>0</v>
      </c>
      <c r="T33" s="15" t="str">
        <f>IF(T_SPORTS[[#This Row],[CV - Domination - Total]]=0,"",RANK(T_SPORTS[[#This Row],[CV - Domination - Total]],T_SPORTS[CV - Domination - Total])+COUNTIF($S$3:S32,S33))</f>
        <v/>
      </c>
      <c r="U33" s="31">
        <f>T_SPORTS[[#This Row],[TOTAL]]/SUM(T_SPORTS[TOTAL])</f>
        <v>6.1601642710472282E-3</v>
      </c>
      <c r="V33" s="15">
        <f>IF(T_SPORTS[[#This Row],[OV - Domination - Total]]=0,"",RANK(T_SPORTS[[#This Row],[OV - Domination - Total]],T_SPORTS[OV - Domination - Total])+COUNTIF($U$3:U32,U33))</f>
        <v>35</v>
      </c>
    </row>
    <row r="34" spans="1:22" ht="45.95" customHeight="1" x14ac:dyDescent="0.25">
      <c r="A34" s="12">
        <v>31</v>
      </c>
      <c r="B34" s="13" t="s">
        <v>415</v>
      </c>
      <c r="C34" s="13" t="s">
        <v>923</v>
      </c>
      <c r="D34" s="13"/>
      <c r="E34" s="12">
        <f>IFERROR(COUNTIF(T_2016_EVENT_RESULTS[SPORT],T_SPORTS[[#This Row],[SPORT]]),0)</f>
        <v>4</v>
      </c>
      <c r="F34" s="12">
        <f>IFERROR(COUNTIFS(T_2016_EVENT_RESULTS[SPORT],T_SPORTS[[#This Row],[SPORT]],T_2016_EVENT_RESULTS[Gold - Country],"&lt;&gt;"&amp;"")+ COUNTIFS(T_2016_EVENT_RESULTS[SPORT],T_SPORTS[[#This Row],[SPORT]],T_2016_EVENT_RESULTS[Gold - Country - 2],"&lt;&gt;"&amp;""), "")</f>
        <v>4</v>
      </c>
      <c r="G34" s="12">
        <f>IFERROR(COUNTIFS(T_2016_EVENT_RESULTS[SPORT],T_SPORTS[[#This Row],[SPORT]],T_2016_EVENT_RESULTS[Silver - Country],"&lt;&gt;"&amp;"")+ COUNTIFS(T_2016_EVENT_RESULTS[SPORT],T_SPORTS[[#This Row],[SPORT]],T_2016_EVENT_RESULTS[Silver - Country - 2],"&lt;&gt;"&amp;"")+ COUNTIFS(T_2016_EVENT_RESULTS[SPORT],T_SPORTS[[#This Row],[SPORT]],T_2016_EVENT_RESULTS[Silver - Country - 3],"&lt;&gt;"&amp;""),"")</f>
        <v>4</v>
      </c>
      <c r="H34" s="12">
        <f>IFERROR(COUNTIFS(T_2016_EVENT_RESULTS[SPORT],T_SPORTS[[#This Row],[SPORT]],T_2016_EVENT_RESULTS[Bronze - Country],"&lt;&gt;"&amp;"")+ COUNTIFS(T_2016_EVENT_RESULTS[SPORT],T_SPORTS[[#This Row],[SPORT]],T_2016_EVENT_RESULTS[Bronze - Country - 2],"&lt;&gt;"&amp;""),"")</f>
        <v>4</v>
      </c>
      <c r="I34" s="12">
        <f>SUM(T_SPORTS[[#This Row],[Gold]:[Bronze]])</f>
        <v>12</v>
      </c>
      <c r="J34" s="15">
        <f>ROUND((T_SPORTS[[#This Row],[Gold]]*10000000)+(T_SPORTS[[#This Row],[Silver]]*100000)+(T_SPORTS[[#This Row],[Bronze]]*1000),0)</f>
        <v>40404000</v>
      </c>
      <c r="K34" s="15">
        <f>IFERROR(IF(T_SPORTS[[#This Row],[TOTAL]]=0,"",IF(I_RANK_METHOD="Total",RANK(T_SPORTS[[#This Row],[TOTAL]],T_SPORTS[TOTAL]),RANK(T_SPORTS[[#This Row],[Rank Value]],T_SPORTS[Rank Value]))),"")</f>
        <v>19</v>
      </c>
      <c r="L34" s="15">
        <f>IFERROR(COUNTIFS(T_2016_EVENT_RESULTS[SPORT],T_SPORTS[[#This Row],[SPORT]],T_2016_EVENT_RESULTS[Gold - Country], I_CV_CNTRY)+COUNTIFS(T_2016_EVENT_RESULTS[SPORT],T_SPORTS[[#This Row],[SPORT]],T_2016_EVENT_RESULTS[Gold - Country - 2], I_CV_CNTRY),"")</f>
        <v>0</v>
      </c>
      <c r="M34" s="15">
        <f>IFERROR(COUNTIFS(T_2016_EVENT_RESULTS[SPORT],T_SPORTS[[#This Row],[SPORT]],T_2016_EVENT_RESULTS[Silver - Country], I_CV_CNTRY)+COUNTIFS(T_2016_EVENT_RESULTS[SPORT],T_SPORTS[[#This Row],[SPORT]],T_2016_EVENT_RESULTS[Silver - Country - 2], I_CV_CNTRY)+COUNTIFS(T_2016_EVENT_RESULTS[SPORT],T_SPORTS[[#This Row],[SPORT]],T_2016_EVENT_RESULTS[Silver - Country - 3], I_CV_CNTRY),"")</f>
        <v>0</v>
      </c>
      <c r="N34" s="15">
        <f>IFERROR(COUNTIFS(T_2016_EVENT_RESULTS[SPORT],T_SPORTS[[#This Row],[SPORT]],T_2016_EVENT_RESULTS[Bronze - Country], I_CV_CNTRY)+COUNTIFS(T_2016_EVENT_RESULTS[SPORT],T_SPORTS[[#This Row],[SPORT]],T_2016_EVENT_RESULTS[Bronze - Country - 2], I_CV_CNTRY),"")</f>
        <v>0</v>
      </c>
      <c r="O34" s="15">
        <f>SUM(T_SPORTS[[#This Row],[CV - Gold]:[CV - Bronze]])</f>
        <v>0</v>
      </c>
      <c r="P34" s="15" t="str">
        <f>IF(T_SPORTS[[#This Row],[CV - Total]]=0,"",IF(I_RANK_METHOD="TOTAL",(T_SPORTS[[#This Row],[CV - Total]]*10000000),0)+(T_SPORTS[[#This Row],[CV - Gold]]*100000)+(T_SPORTS[[#This Row],[CV - Silver]]*1000)+(T_SPORTS[[#This Row],[CV - Bronze]]*10))</f>
        <v/>
      </c>
      <c r="Q34" s="15" t="str">
        <f>IFERROR(IF(T_SPORTS[[#This Row],[CV - Total]]=0,"",RANK(T_SPORTS[[#This Row],[CV - Rank Value]],T_SPORTS[CV - Rank Value])),"")</f>
        <v/>
      </c>
      <c r="R34" s="15" t="str">
        <f>IFERROR(IF(T_SPORTS[[#This Row],[CV - Total]]=0,"",RANK(T_SPORTS[[#This Row],[CV - Rank Value]],T_SPORTS[CV - Rank Value])+COUNTIF($Q$3:Q33,Q34)),"")</f>
        <v/>
      </c>
      <c r="S34" s="31">
        <f>T_SPORTS[[#This Row],[CV - Total]]/T_SPORTS[[#This Row],[TOTAL]]</f>
        <v>0</v>
      </c>
      <c r="T34" s="15" t="str">
        <f>IF(T_SPORTS[[#This Row],[CV - Domination - Total]]=0,"",RANK(T_SPORTS[[#This Row],[CV - Domination - Total]],T_SPORTS[CV - Domination - Total])+COUNTIF($S$3:S33,S34))</f>
        <v/>
      </c>
      <c r="U34" s="31">
        <f>T_SPORTS[[#This Row],[TOTAL]]/SUM(T_SPORTS[TOTAL])</f>
        <v>1.2320328542094456E-2</v>
      </c>
      <c r="V34" s="15">
        <f>IF(T_SPORTS[[#This Row],[OV - Domination - Total]]=0,"",RANK(T_SPORTS[[#This Row],[OV - Domination - Total]],T_SPORTS[OV - Domination - Total])+COUNTIF($U$3:U33,U34))</f>
        <v>22</v>
      </c>
    </row>
    <row r="35" spans="1:22" ht="45.95" customHeight="1" x14ac:dyDescent="0.25">
      <c r="A35" s="12">
        <v>32</v>
      </c>
      <c r="B35" s="13" t="s">
        <v>416</v>
      </c>
      <c r="C35" s="13" t="s">
        <v>924</v>
      </c>
      <c r="D35" s="13"/>
      <c r="E35" s="12">
        <f>IFERROR(COUNTIF(T_2016_EVENT_RESULTS[SPORT],T_SPORTS[[#This Row],[SPORT]]),0)</f>
        <v>8</v>
      </c>
      <c r="F35" s="12">
        <f>IFERROR(COUNTIFS(T_2016_EVENT_RESULTS[SPORT],T_SPORTS[[#This Row],[SPORT]],T_2016_EVENT_RESULTS[Gold - Country],"&lt;&gt;"&amp;"")+ COUNTIFS(T_2016_EVENT_RESULTS[SPORT],T_SPORTS[[#This Row],[SPORT]],T_2016_EVENT_RESULTS[Gold - Country - 2],"&lt;&gt;"&amp;""), "")</f>
        <v>8</v>
      </c>
      <c r="G35" s="12">
        <f>IFERROR(COUNTIFS(T_2016_EVENT_RESULTS[SPORT],T_SPORTS[[#This Row],[SPORT]],T_2016_EVENT_RESULTS[Silver - Country],"&lt;&gt;"&amp;"")+ COUNTIFS(T_2016_EVENT_RESULTS[SPORT],T_SPORTS[[#This Row],[SPORT]],T_2016_EVENT_RESULTS[Silver - Country - 2],"&lt;&gt;"&amp;"")+ COUNTIFS(T_2016_EVENT_RESULTS[SPORT],T_SPORTS[[#This Row],[SPORT]],T_2016_EVENT_RESULTS[Silver - Country - 3],"&lt;&gt;"&amp;""),"")</f>
        <v>8</v>
      </c>
      <c r="H35" s="12">
        <f>IFERROR(COUNTIFS(T_2016_EVENT_RESULTS[SPORT],T_SPORTS[[#This Row],[SPORT]],T_2016_EVENT_RESULTS[Bronze - Country],"&lt;&gt;"&amp;"")+ COUNTIFS(T_2016_EVENT_RESULTS[SPORT],T_SPORTS[[#This Row],[SPORT]],T_2016_EVENT_RESULTS[Bronze - Country - 2],"&lt;&gt;"&amp;""),"")</f>
        <v>16</v>
      </c>
      <c r="I35" s="12">
        <f>SUM(T_SPORTS[[#This Row],[Gold]:[Bronze]])</f>
        <v>32</v>
      </c>
      <c r="J35" s="15">
        <f>ROUND((T_SPORTS[[#This Row],[Gold]]*10000000)+(T_SPORTS[[#This Row],[Silver]]*100000)+(T_SPORTS[[#This Row],[Bronze]]*1000),0)</f>
        <v>80816000</v>
      </c>
      <c r="K35" s="15">
        <f>IFERROR(IF(T_SPORTS[[#This Row],[TOTAL]]=0,"",IF(I_RANK_METHOD="Total",RANK(T_SPORTS[[#This Row],[TOTAL]],T_SPORTS[TOTAL]),RANK(T_SPORTS[[#This Row],[Rank Value]],T_SPORTS[Rank Value]))),"")</f>
        <v>11</v>
      </c>
      <c r="L35" s="15">
        <f>IFERROR(COUNTIFS(T_2016_EVENT_RESULTS[SPORT],T_SPORTS[[#This Row],[SPORT]],T_2016_EVENT_RESULTS[Gold - Country], I_CV_CNTRY)+COUNTIFS(T_2016_EVENT_RESULTS[SPORT],T_SPORTS[[#This Row],[SPORT]],T_2016_EVENT_RESULTS[Gold - Country - 2], I_CV_CNTRY),"")</f>
        <v>0</v>
      </c>
      <c r="M35" s="15">
        <f>IFERROR(COUNTIFS(T_2016_EVENT_RESULTS[SPORT],T_SPORTS[[#This Row],[SPORT]],T_2016_EVENT_RESULTS[Silver - Country], I_CV_CNTRY)+COUNTIFS(T_2016_EVENT_RESULTS[SPORT],T_SPORTS[[#This Row],[SPORT]],T_2016_EVENT_RESULTS[Silver - Country - 2], I_CV_CNTRY)+COUNTIFS(T_2016_EVENT_RESULTS[SPORT],T_SPORTS[[#This Row],[SPORT]],T_2016_EVENT_RESULTS[Silver - Country - 3], I_CV_CNTRY),"")</f>
        <v>0</v>
      </c>
      <c r="N35" s="15">
        <f>IFERROR(COUNTIFS(T_2016_EVENT_RESULTS[SPORT],T_SPORTS[[#This Row],[SPORT]],T_2016_EVENT_RESULTS[Bronze - Country], I_CV_CNTRY)+COUNTIFS(T_2016_EVENT_RESULTS[SPORT],T_SPORTS[[#This Row],[SPORT]],T_2016_EVENT_RESULTS[Bronze - Country - 2], I_CV_CNTRY),"")</f>
        <v>0</v>
      </c>
      <c r="O35" s="15">
        <f>SUM(T_SPORTS[[#This Row],[CV - Gold]:[CV - Bronze]])</f>
        <v>0</v>
      </c>
      <c r="P35" s="15" t="str">
        <f>IF(T_SPORTS[[#This Row],[CV - Total]]=0,"",IF(I_RANK_METHOD="TOTAL",(T_SPORTS[[#This Row],[CV - Total]]*10000000),0)+(T_SPORTS[[#This Row],[CV - Gold]]*100000)+(T_SPORTS[[#This Row],[CV - Silver]]*1000)+(T_SPORTS[[#This Row],[CV - Bronze]]*10))</f>
        <v/>
      </c>
      <c r="Q35" s="15" t="str">
        <f>IFERROR(IF(T_SPORTS[[#This Row],[CV - Total]]=0,"",RANK(T_SPORTS[[#This Row],[CV - Rank Value]],T_SPORTS[CV - Rank Value])),"")</f>
        <v/>
      </c>
      <c r="R35" s="15" t="str">
        <f>IFERROR(IF(T_SPORTS[[#This Row],[CV - Total]]=0,"",RANK(T_SPORTS[[#This Row],[CV - Rank Value]],T_SPORTS[CV - Rank Value])+COUNTIF($Q$3:Q34,Q35)),"")</f>
        <v/>
      </c>
      <c r="S35" s="31">
        <f>T_SPORTS[[#This Row],[CV - Total]]/T_SPORTS[[#This Row],[TOTAL]]</f>
        <v>0</v>
      </c>
      <c r="T35" s="15" t="str">
        <f>IF(T_SPORTS[[#This Row],[CV - Domination - Total]]=0,"",RANK(T_SPORTS[[#This Row],[CV - Domination - Total]],T_SPORTS[CV - Domination - Total])+COUNTIF($S$3:S34,S35))</f>
        <v/>
      </c>
      <c r="U35" s="31">
        <f>T_SPORTS[[#This Row],[TOTAL]]/SUM(T_SPORTS[TOTAL])</f>
        <v>3.2854209445585217E-2</v>
      </c>
      <c r="V35" s="15">
        <f>IF(T_SPORTS[[#This Row],[OV - Domination - Total]]=0,"",RANK(T_SPORTS[[#This Row],[OV - Domination - Total]],T_SPORTS[OV - Domination - Total])+COUNTIF($U$3:U34,U35))</f>
        <v>11</v>
      </c>
    </row>
    <row r="36" spans="1:22" ht="45.95" customHeight="1" x14ac:dyDescent="0.25">
      <c r="A36" s="12">
        <v>33</v>
      </c>
      <c r="B36" s="13" t="s">
        <v>417</v>
      </c>
      <c r="C36" s="13" t="s">
        <v>925</v>
      </c>
      <c r="D36" s="13"/>
      <c r="E36" s="12">
        <f>IFERROR(COUNTIF(T_2016_EVENT_RESULTS[SPORT],T_SPORTS[[#This Row],[SPORT]]),0)</f>
        <v>5</v>
      </c>
      <c r="F36" s="12">
        <f>IFERROR(COUNTIFS(T_2016_EVENT_RESULTS[SPORT],T_SPORTS[[#This Row],[SPORT]],T_2016_EVENT_RESULTS[Gold - Country],"&lt;&gt;"&amp;"")+ COUNTIFS(T_2016_EVENT_RESULTS[SPORT],T_SPORTS[[#This Row],[SPORT]],T_2016_EVENT_RESULTS[Gold - Country - 2],"&lt;&gt;"&amp;""), "")</f>
        <v>5</v>
      </c>
      <c r="G36" s="12">
        <f>IFERROR(COUNTIFS(T_2016_EVENT_RESULTS[SPORT],T_SPORTS[[#This Row],[SPORT]],T_2016_EVENT_RESULTS[Silver - Country],"&lt;&gt;"&amp;"")+ COUNTIFS(T_2016_EVENT_RESULTS[SPORT],T_SPORTS[[#This Row],[SPORT]],T_2016_EVENT_RESULTS[Silver - Country - 2],"&lt;&gt;"&amp;"")+ COUNTIFS(T_2016_EVENT_RESULTS[SPORT],T_SPORTS[[#This Row],[SPORT]],T_2016_EVENT_RESULTS[Silver - Country - 3],"&lt;&gt;"&amp;""),"")</f>
        <v>5</v>
      </c>
      <c r="H36" s="12">
        <f>IFERROR(COUNTIFS(T_2016_EVENT_RESULTS[SPORT],T_SPORTS[[#This Row],[SPORT]],T_2016_EVENT_RESULTS[Bronze - Country],"&lt;&gt;"&amp;"")+ COUNTIFS(T_2016_EVENT_RESULTS[SPORT],T_SPORTS[[#This Row],[SPORT]],T_2016_EVENT_RESULTS[Bronze - Country - 2],"&lt;&gt;"&amp;""),"")</f>
        <v>5</v>
      </c>
      <c r="I36" s="12">
        <f>SUM(T_SPORTS[[#This Row],[Gold]:[Bronze]])</f>
        <v>15</v>
      </c>
      <c r="J36" s="15">
        <f>ROUND((T_SPORTS[[#This Row],[Gold]]*10000000)+(T_SPORTS[[#This Row],[Silver]]*100000)+(T_SPORTS[[#This Row],[Bronze]]*1000),0)</f>
        <v>50505000</v>
      </c>
      <c r="K36" s="15">
        <f>IFERROR(IF(T_SPORTS[[#This Row],[TOTAL]]=0,"",IF(I_RANK_METHOD="Total",RANK(T_SPORTS[[#This Row],[TOTAL]],T_SPORTS[TOTAL]),RANK(T_SPORTS[[#This Row],[Rank Value]],T_SPORTS[Rank Value]))),"")</f>
        <v>17</v>
      </c>
      <c r="L36" s="15">
        <f>IFERROR(COUNTIFS(T_2016_EVENT_RESULTS[SPORT],T_SPORTS[[#This Row],[SPORT]],T_2016_EVENT_RESULTS[Gold - Country], I_CV_CNTRY)+COUNTIFS(T_2016_EVENT_RESULTS[SPORT],T_SPORTS[[#This Row],[SPORT]],T_2016_EVENT_RESULTS[Gold - Country - 2], I_CV_CNTRY),"")</f>
        <v>0</v>
      </c>
      <c r="M36" s="15">
        <f>IFERROR(COUNTIFS(T_2016_EVENT_RESULTS[SPORT],T_SPORTS[[#This Row],[SPORT]],T_2016_EVENT_RESULTS[Silver - Country], I_CV_CNTRY)+COUNTIFS(T_2016_EVENT_RESULTS[SPORT],T_SPORTS[[#This Row],[SPORT]],T_2016_EVENT_RESULTS[Silver - Country - 2], I_CV_CNTRY)+COUNTIFS(T_2016_EVENT_RESULTS[SPORT],T_SPORTS[[#This Row],[SPORT]],T_2016_EVENT_RESULTS[Silver - Country - 3], I_CV_CNTRY),"")</f>
        <v>0</v>
      </c>
      <c r="N36" s="15">
        <f>IFERROR(COUNTIFS(T_2016_EVENT_RESULTS[SPORT],T_SPORTS[[#This Row],[SPORT]],T_2016_EVENT_RESULTS[Bronze - Country], I_CV_CNTRY)+COUNTIFS(T_2016_EVENT_RESULTS[SPORT],T_SPORTS[[#This Row],[SPORT]],T_2016_EVENT_RESULTS[Bronze - Country - 2], I_CV_CNTRY),"")</f>
        <v>0</v>
      </c>
      <c r="O36" s="15">
        <f>SUM(T_SPORTS[[#This Row],[CV - Gold]:[CV - Bronze]])</f>
        <v>0</v>
      </c>
      <c r="P36" s="15" t="str">
        <f>IF(T_SPORTS[[#This Row],[CV - Total]]=0,"",IF(I_RANK_METHOD="TOTAL",(T_SPORTS[[#This Row],[CV - Total]]*10000000),0)+(T_SPORTS[[#This Row],[CV - Gold]]*100000)+(T_SPORTS[[#This Row],[CV - Silver]]*1000)+(T_SPORTS[[#This Row],[CV - Bronze]]*10))</f>
        <v/>
      </c>
      <c r="Q36" s="15" t="str">
        <f>IFERROR(IF(T_SPORTS[[#This Row],[CV - Total]]=0,"",RANK(T_SPORTS[[#This Row],[CV - Rank Value]],T_SPORTS[CV - Rank Value])),"")</f>
        <v/>
      </c>
      <c r="R36" s="15" t="str">
        <f>IFERROR(IF(T_SPORTS[[#This Row],[CV - Total]]=0,"",RANK(T_SPORTS[[#This Row],[CV - Rank Value]],T_SPORTS[CV - Rank Value])+COUNTIF($Q$3:Q35,Q36)),"")</f>
        <v/>
      </c>
      <c r="S36" s="31">
        <f>T_SPORTS[[#This Row],[CV - Total]]/T_SPORTS[[#This Row],[TOTAL]]</f>
        <v>0</v>
      </c>
      <c r="T36" s="15" t="str">
        <f>IF(T_SPORTS[[#This Row],[CV - Domination - Total]]=0,"",RANK(T_SPORTS[[#This Row],[CV - Domination - Total]],T_SPORTS[CV - Domination - Total])+COUNTIF($S$3:S35,S36))</f>
        <v/>
      </c>
      <c r="U36" s="31">
        <f>T_SPORTS[[#This Row],[TOTAL]]/SUM(T_SPORTS[TOTAL])</f>
        <v>1.5400410677618069E-2</v>
      </c>
      <c r="V36" s="15">
        <f>IF(T_SPORTS[[#This Row],[OV - Domination - Total]]=0,"",RANK(T_SPORTS[[#This Row],[OV - Domination - Total]],T_SPORTS[OV - Domination - Total])+COUNTIF($U$3:U35,U36))</f>
        <v>18</v>
      </c>
    </row>
    <row r="37" spans="1:22" ht="45.95" customHeight="1" x14ac:dyDescent="0.25">
      <c r="A37" s="12">
        <v>34</v>
      </c>
      <c r="B37" s="13" t="s">
        <v>474</v>
      </c>
      <c r="C37" s="13" t="s">
        <v>926</v>
      </c>
      <c r="D37" s="13"/>
      <c r="E37" s="12">
        <f>IFERROR(COUNTIF(T_2016_EVENT_RESULTS[SPORT],T_SPORTS[[#This Row],[SPORT]]),0)</f>
        <v>2</v>
      </c>
      <c r="F37" s="12">
        <f>IFERROR(COUNTIFS(T_2016_EVENT_RESULTS[SPORT],T_SPORTS[[#This Row],[SPORT]],T_2016_EVENT_RESULTS[Gold - Country],"&lt;&gt;"&amp;"")+ COUNTIFS(T_2016_EVENT_RESULTS[SPORT],T_SPORTS[[#This Row],[SPORT]],T_2016_EVENT_RESULTS[Gold - Country - 2],"&lt;&gt;"&amp;""), "")</f>
        <v>2</v>
      </c>
      <c r="G37" s="12">
        <f>IFERROR(COUNTIFS(T_2016_EVENT_RESULTS[SPORT],T_SPORTS[[#This Row],[SPORT]],T_2016_EVENT_RESULTS[Silver - Country],"&lt;&gt;"&amp;"")+ COUNTIFS(T_2016_EVENT_RESULTS[SPORT],T_SPORTS[[#This Row],[SPORT]],T_2016_EVENT_RESULTS[Silver - Country - 2],"&lt;&gt;"&amp;"")+ COUNTIFS(T_2016_EVENT_RESULTS[SPORT],T_SPORTS[[#This Row],[SPORT]],T_2016_EVENT_RESULTS[Silver - Country - 3],"&lt;&gt;"&amp;""),"")</f>
        <v>2</v>
      </c>
      <c r="H37" s="12">
        <f>IFERROR(COUNTIFS(T_2016_EVENT_RESULTS[SPORT],T_SPORTS[[#This Row],[SPORT]],T_2016_EVENT_RESULTS[Bronze - Country],"&lt;&gt;"&amp;"")+ COUNTIFS(T_2016_EVENT_RESULTS[SPORT],T_SPORTS[[#This Row],[SPORT]],T_2016_EVENT_RESULTS[Bronze - Country - 2],"&lt;&gt;"&amp;""),"")</f>
        <v>2</v>
      </c>
      <c r="I37" s="12">
        <f>SUM(T_SPORTS[[#This Row],[Gold]:[Bronze]])</f>
        <v>6</v>
      </c>
      <c r="J37" s="15">
        <f>ROUND((T_SPORTS[[#This Row],[Gold]]*10000000)+(T_SPORTS[[#This Row],[Silver]]*100000)+(T_SPORTS[[#This Row],[Bronze]]*1000),0)</f>
        <v>20202000</v>
      </c>
      <c r="K37" s="15">
        <f>IFERROR(IF(T_SPORTS[[#This Row],[TOTAL]]=0,"",IF(I_RANK_METHOD="Total",RANK(T_SPORTS[[#This Row],[TOTAL]],T_SPORTS[TOTAL]),RANK(T_SPORTS[[#This Row],[Rank Value]],T_SPORTS[Rank Value]))),"")</f>
        <v>23</v>
      </c>
      <c r="L37" s="15">
        <f>IFERROR(COUNTIFS(T_2016_EVENT_RESULTS[SPORT],T_SPORTS[[#This Row],[SPORT]],T_2016_EVENT_RESULTS[Gold - Country], I_CV_CNTRY)+COUNTIFS(T_2016_EVENT_RESULTS[SPORT],T_SPORTS[[#This Row],[SPORT]],T_2016_EVENT_RESULTS[Gold - Country - 2], I_CV_CNTRY),"")</f>
        <v>0</v>
      </c>
      <c r="M37" s="15">
        <f>IFERROR(COUNTIFS(T_2016_EVENT_RESULTS[SPORT],T_SPORTS[[#This Row],[SPORT]],T_2016_EVENT_RESULTS[Silver - Country], I_CV_CNTRY)+COUNTIFS(T_2016_EVENT_RESULTS[SPORT],T_SPORTS[[#This Row],[SPORT]],T_2016_EVENT_RESULTS[Silver - Country - 2], I_CV_CNTRY)+COUNTIFS(T_2016_EVENT_RESULTS[SPORT],T_SPORTS[[#This Row],[SPORT]],T_2016_EVENT_RESULTS[Silver - Country - 3], I_CV_CNTRY),"")</f>
        <v>0</v>
      </c>
      <c r="N37" s="15">
        <f>IFERROR(COUNTIFS(T_2016_EVENT_RESULTS[SPORT],T_SPORTS[[#This Row],[SPORT]],T_2016_EVENT_RESULTS[Bronze - Country], I_CV_CNTRY)+COUNTIFS(T_2016_EVENT_RESULTS[SPORT],T_SPORTS[[#This Row],[SPORT]],T_2016_EVENT_RESULTS[Bronze - Country - 2], I_CV_CNTRY),"")</f>
        <v>0</v>
      </c>
      <c r="O37" s="15">
        <f>SUM(T_SPORTS[[#This Row],[CV - Gold]:[CV - Bronze]])</f>
        <v>0</v>
      </c>
      <c r="P37" s="15" t="str">
        <f>IF(T_SPORTS[[#This Row],[CV - Total]]=0,"",IF(I_RANK_METHOD="TOTAL",(T_SPORTS[[#This Row],[CV - Total]]*10000000),0)+(T_SPORTS[[#This Row],[CV - Gold]]*100000)+(T_SPORTS[[#This Row],[CV - Silver]]*1000)+(T_SPORTS[[#This Row],[CV - Bronze]]*10))</f>
        <v/>
      </c>
      <c r="Q37" s="15" t="str">
        <f>IFERROR(IF(T_SPORTS[[#This Row],[CV - Total]]=0,"",RANK(T_SPORTS[[#This Row],[CV - Rank Value]],T_SPORTS[CV - Rank Value])),"")</f>
        <v/>
      </c>
      <c r="R37" s="15" t="str">
        <f>IFERROR(IF(T_SPORTS[[#This Row],[CV - Total]]=0,"",RANK(T_SPORTS[[#This Row],[CV - Rank Value]],T_SPORTS[CV - Rank Value])+COUNTIF($Q$3:Q36,Q37)),"")</f>
        <v/>
      </c>
      <c r="S37" s="31">
        <f>T_SPORTS[[#This Row],[CV - Total]]/T_SPORTS[[#This Row],[TOTAL]]</f>
        <v>0</v>
      </c>
      <c r="T37" s="15" t="str">
        <f>IF(T_SPORTS[[#This Row],[CV - Domination - Total]]=0,"",RANK(T_SPORTS[[#This Row],[CV - Domination - Total]],T_SPORTS[CV - Domination - Total])+COUNTIF($S$3:S36,S37))</f>
        <v/>
      </c>
      <c r="U37" s="31">
        <f>T_SPORTS[[#This Row],[TOTAL]]/SUM(T_SPORTS[TOTAL])</f>
        <v>6.1601642710472282E-3</v>
      </c>
      <c r="V37" s="15">
        <f>IF(T_SPORTS[[#This Row],[OV - Domination - Total]]=0,"",RANK(T_SPORTS[[#This Row],[OV - Domination - Total]],T_SPORTS[OV - Domination - Total])+COUNTIF($U$3:U36,U37))</f>
        <v>36</v>
      </c>
    </row>
    <row r="38" spans="1:22" ht="45.95" customHeight="1" x14ac:dyDescent="0.25">
      <c r="A38" s="12">
        <v>35</v>
      </c>
      <c r="B38" s="13" t="s">
        <v>418</v>
      </c>
      <c r="C38" s="13" t="s">
        <v>932</v>
      </c>
      <c r="D38" s="13"/>
      <c r="E38" s="12">
        <f>IFERROR(COUNTIF(T_2016_EVENT_RESULTS[SPORT],T_SPORTS[[#This Row],[SPORT]]),0)</f>
        <v>2</v>
      </c>
      <c r="F38" s="12">
        <f>IFERROR(COUNTIFS(T_2016_EVENT_RESULTS[SPORT],T_SPORTS[[#This Row],[SPORT]],T_2016_EVENT_RESULTS[Gold - Country],"&lt;&gt;"&amp;"")+ COUNTIFS(T_2016_EVENT_RESULTS[SPORT],T_SPORTS[[#This Row],[SPORT]],T_2016_EVENT_RESULTS[Gold - Country - 2],"&lt;&gt;"&amp;""), "")</f>
        <v>2</v>
      </c>
      <c r="G38" s="12">
        <f>IFERROR(COUNTIFS(T_2016_EVENT_RESULTS[SPORT],T_SPORTS[[#This Row],[SPORT]],T_2016_EVENT_RESULTS[Silver - Country],"&lt;&gt;"&amp;"")+ COUNTIFS(T_2016_EVENT_RESULTS[SPORT],T_SPORTS[[#This Row],[SPORT]],T_2016_EVENT_RESULTS[Silver - Country - 2],"&lt;&gt;"&amp;"")+ COUNTIFS(T_2016_EVENT_RESULTS[SPORT],T_SPORTS[[#This Row],[SPORT]],T_2016_EVENT_RESULTS[Silver - Country - 3],"&lt;&gt;"&amp;""),"")</f>
        <v>2</v>
      </c>
      <c r="H38" s="12">
        <f>IFERROR(COUNTIFS(T_2016_EVENT_RESULTS[SPORT],T_SPORTS[[#This Row],[SPORT]],T_2016_EVENT_RESULTS[Bronze - Country],"&lt;&gt;"&amp;"")+ COUNTIFS(T_2016_EVENT_RESULTS[SPORT],T_SPORTS[[#This Row],[SPORT]],T_2016_EVENT_RESULTS[Bronze - Country - 2],"&lt;&gt;"&amp;""),"")</f>
        <v>2</v>
      </c>
      <c r="I38" s="12">
        <f>SUM(T_SPORTS[[#This Row],[Gold]:[Bronze]])</f>
        <v>6</v>
      </c>
      <c r="J38" s="15">
        <f>ROUND((T_SPORTS[[#This Row],[Gold]]*10000000)+(T_SPORTS[[#This Row],[Silver]]*100000)+(T_SPORTS[[#This Row],[Bronze]]*1000),0)</f>
        <v>20202000</v>
      </c>
      <c r="K38" s="15">
        <f>IFERROR(IF(T_SPORTS[[#This Row],[TOTAL]]=0,"",IF(I_RANK_METHOD="Total",RANK(T_SPORTS[[#This Row],[TOTAL]],T_SPORTS[TOTAL]),RANK(T_SPORTS[[#This Row],[Rank Value]],T_SPORTS[Rank Value]))),"")</f>
        <v>23</v>
      </c>
      <c r="L38" s="15">
        <f>IFERROR(COUNTIFS(T_2016_EVENT_RESULTS[SPORT],T_SPORTS[[#This Row],[SPORT]],T_2016_EVENT_RESULTS[Gold - Country], I_CV_CNTRY)+COUNTIFS(T_2016_EVENT_RESULTS[SPORT],T_SPORTS[[#This Row],[SPORT]],T_2016_EVENT_RESULTS[Gold - Country - 2], I_CV_CNTRY),"")</f>
        <v>0</v>
      </c>
      <c r="M38" s="15">
        <f>IFERROR(COUNTIFS(T_2016_EVENT_RESULTS[SPORT],T_SPORTS[[#This Row],[SPORT]],T_2016_EVENT_RESULTS[Silver - Country], I_CV_CNTRY)+COUNTIFS(T_2016_EVENT_RESULTS[SPORT],T_SPORTS[[#This Row],[SPORT]],T_2016_EVENT_RESULTS[Silver - Country - 2], I_CV_CNTRY)+COUNTIFS(T_2016_EVENT_RESULTS[SPORT],T_SPORTS[[#This Row],[SPORT]],T_2016_EVENT_RESULTS[Silver - Country - 3], I_CV_CNTRY),"")</f>
        <v>0</v>
      </c>
      <c r="N38" s="15">
        <f>IFERROR(COUNTIFS(T_2016_EVENT_RESULTS[SPORT],T_SPORTS[[#This Row],[SPORT]],T_2016_EVENT_RESULTS[Bronze - Country], I_CV_CNTRY)+COUNTIFS(T_2016_EVENT_RESULTS[SPORT],T_SPORTS[[#This Row],[SPORT]],T_2016_EVENT_RESULTS[Bronze - Country - 2], I_CV_CNTRY),"")</f>
        <v>0</v>
      </c>
      <c r="O38" s="15">
        <f>SUM(T_SPORTS[[#This Row],[CV - Gold]:[CV - Bronze]])</f>
        <v>0</v>
      </c>
      <c r="P38" s="15" t="str">
        <f>IF(T_SPORTS[[#This Row],[CV - Total]]=0,"",IF(I_RANK_METHOD="TOTAL",(T_SPORTS[[#This Row],[CV - Total]]*10000000),0)+(T_SPORTS[[#This Row],[CV - Gold]]*100000)+(T_SPORTS[[#This Row],[CV - Silver]]*1000)+(T_SPORTS[[#This Row],[CV - Bronze]]*10))</f>
        <v/>
      </c>
      <c r="Q38" s="15" t="str">
        <f>IFERROR(IF(T_SPORTS[[#This Row],[CV - Total]]=0,"",RANK(T_SPORTS[[#This Row],[CV - Rank Value]],T_SPORTS[CV - Rank Value])),"")</f>
        <v/>
      </c>
      <c r="R38" s="15" t="str">
        <f>IFERROR(IF(T_SPORTS[[#This Row],[CV - Total]]=0,"",RANK(T_SPORTS[[#This Row],[CV - Rank Value]],T_SPORTS[CV - Rank Value])+COUNTIF($Q$3:Q37,Q38)),"")</f>
        <v/>
      </c>
      <c r="S38" s="31">
        <f>T_SPORTS[[#This Row],[CV - Total]]/T_SPORTS[[#This Row],[TOTAL]]</f>
        <v>0</v>
      </c>
      <c r="T38" s="15" t="str">
        <f>IF(T_SPORTS[[#This Row],[CV - Domination - Total]]=0,"",RANK(T_SPORTS[[#This Row],[CV - Domination - Total]],T_SPORTS[CV - Domination - Total])+COUNTIF($S$3:S37,S38))</f>
        <v/>
      </c>
      <c r="U38" s="31">
        <f>T_SPORTS[[#This Row],[TOTAL]]/SUM(T_SPORTS[TOTAL])</f>
        <v>6.1601642710472282E-3</v>
      </c>
      <c r="V38" s="15">
        <f>IF(T_SPORTS[[#This Row],[OV - Domination - Total]]=0,"",RANK(T_SPORTS[[#This Row],[OV - Domination - Total]],T_SPORTS[OV - Domination - Total])+COUNTIF($U$3:U37,U38))</f>
        <v>37</v>
      </c>
    </row>
    <row r="39" spans="1:22" ht="45.95" customHeight="1" x14ac:dyDescent="0.25">
      <c r="A39" s="12">
        <v>36</v>
      </c>
      <c r="B39" s="13" t="s">
        <v>419</v>
      </c>
      <c r="C39" s="13" t="s">
        <v>927</v>
      </c>
      <c r="D39" s="13"/>
      <c r="E39" s="12">
        <f>IFERROR(COUNTIF(T_2016_EVENT_RESULTS[SPORT],T_SPORTS[[#This Row],[SPORT]]),0)</f>
        <v>2</v>
      </c>
      <c r="F39" s="12">
        <f>IFERROR(COUNTIFS(T_2016_EVENT_RESULTS[SPORT],T_SPORTS[[#This Row],[SPORT]],T_2016_EVENT_RESULTS[Gold - Country],"&lt;&gt;"&amp;"")+ COUNTIFS(T_2016_EVENT_RESULTS[SPORT],T_SPORTS[[#This Row],[SPORT]],T_2016_EVENT_RESULTS[Gold - Country - 2],"&lt;&gt;"&amp;""), "")</f>
        <v>2</v>
      </c>
      <c r="G39" s="12">
        <f>IFERROR(COUNTIFS(T_2016_EVENT_RESULTS[SPORT],T_SPORTS[[#This Row],[SPORT]],T_2016_EVENT_RESULTS[Silver - Country],"&lt;&gt;"&amp;"")+ COUNTIFS(T_2016_EVENT_RESULTS[SPORT],T_SPORTS[[#This Row],[SPORT]],T_2016_EVENT_RESULTS[Silver - Country - 2],"&lt;&gt;"&amp;"")+ COUNTIFS(T_2016_EVENT_RESULTS[SPORT],T_SPORTS[[#This Row],[SPORT]],T_2016_EVENT_RESULTS[Silver - Country - 3],"&lt;&gt;"&amp;""),"")</f>
        <v>2</v>
      </c>
      <c r="H39" s="12">
        <f>IFERROR(COUNTIFS(T_2016_EVENT_RESULTS[SPORT],T_SPORTS[[#This Row],[SPORT]],T_2016_EVENT_RESULTS[Bronze - Country],"&lt;&gt;"&amp;"")+ COUNTIFS(T_2016_EVENT_RESULTS[SPORT],T_SPORTS[[#This Row],[SPORT]],T_2016_EVENT_RESULTS[Bronze - Country - 2],"&lt;&gt;"&amp;""),"")</f>
        <v>2</v>
      </c>
      <c r="I39" s="12">
        <f>SUM(T_SPORTS[[#This Row],[Gold]:[Bronze]])</f>
        <v>6</v>
      </c>
      <c r="J39" s="15">
        <f>ROUND((T_SPORTS[[#This Row],[Gold]]*10000000)+(T_SPORTS[[#This Row],[Silver]]*100000)+(T_SPORTS[[#This Row],[Bronze]]*1000),0)</f>
        <v>20202000</v>
      </c>
      <c r="K39" s="15">
        <f>IFERROR(IF(T_SPORTS[[#This Row],[TOTAL]]=0,"",IF(I_RANK_METHOD="Total",RANK(T_SPORTS[[#This Row],[TOTAL]],T_SPORTS[TOTAL]),RANK(T_SPORTS[[#This Row],[Rank Value]],T_SPORTS[Rank Value]))),"")</f>
        <v>23</v>
      </c>
      <c r="L39" s="15">
        <f>IFERROR(COUNTIFS(T_2016_EVENT_RESULTS[SPORT],T_SPORTS[[#This Row],[SPORT]],T_2016_EVENT_RESULTS[Gold - Country], I_CV_CNTRY)+COUNTIFS(T_2016_EVENT_RESULTS[SPORT],T_SPORTS[[#This Row],[SPORT]],T_2016_EVENT_RESULTS[Gold - Country - 2], I_CV_CNTRY),"")</f>
        <v>0</v>
      </c>
      <c r="M39" s="15">
        <f>IFERROR(COUNTIFS(T_2016_EVENT_RESULTS[SPORT],T_SPORTS[[#This Row],[SPORT]],T_2016_EVENT_RESULTS[Silver - Country], I_CV_CNTRY)+COUNTIFS(T_2016_EVENT_RESULTS[SPORT],T_SPORTS[[#This Row],[SPORT]],T_2016_EVENT_RESULTS[Silver - Country - 2], I_CV_CNTRY)+COUNTIFS(T_2016_EVENT_RESULTS[SPORT],T_SPORTS[[#This Row],[SPORT]],T_2016_EVENT_RESULTS[Silver - Country - 3], I_CV_CNTRY),"")</f>
        <v>0</v>
      </c>
      <c r="N39" s="15">
        <f>IFERROR(COUNTIFS(T_2016_EVENT_RESULTS[SPORT],T_SPORTS[[#This Row],[SPORT]],T_2016_EVENT_RESULTS[Bronze - Country], I_CV_CNTRY)+COUNTIFS(T_2016_EVENT_RESULTS[SPORT],T_SPORTS[[#This Row],[SPORT]],T_2016_EVENT_RESULTS[Bronze - Country - 2], I_CV_CNTRY),"")</f>
        <v>0</v>
      </c>
      <c r="O39" s="15">
        <f>SUM(T_SPORTS[[#This Row],[CV - Gold]:[CV - Bronze]])</f>
        <v>0</v>
      </c>
      <c r="P39" s="15" t="str">
        <f>IF(T_SPORTS[[#This Row],[CV - Total]]=0,"",IF(I_RANK_METHOD="TOTAL",(T_SPORTS[[#This Row],[CV - Total]]*10000000),0)+(T_SPORTS[[#This Row],[CV - Gold]]*100000)+(T_SPORTS[[#This Row],[CV - Silver]]*1000)+(T_SPORTS[[#This Row],[CV - Bronze]]*10))</f>
        <v/>
      </c>
      <c r="Q39" s="15" t="str">
        <f>IFERROR(IF(T_SPORTS[[#This Row],[CV - Total]]=0,"",RANK(T_SPORTS[[#This Row],[CV - Rank Value]],T_SPORTS[CV - Rank Value])),"")</f>
        <v/>
      </c>
      <c r="R39" s="15" t="str">
        <f>IFERROR(IF(T_SPORTS[[#This Row],[CV - Total]]=0,"",RANK(T_SPORTS[[#This Row],[CV - Rank Value]],T_SPORTS[CV - Rank Value])+COUNTIF($Q$3:Q38,Q39)),"")</f>
        <v/>
      </c>
      <c r="S39" s="31">
        <f>T_SPORTS[[#This Row],[CV - Total]]/T_SPORTS[[#This Row],[TOTAL]]</f>
        <v>0</v>
      </c>
      <c r="T39" s="15" t="str">
        <f>IF(T_SPORTS[[#This Row],[CV - Domination - Total]]=0,"",RANK(T_SPORTS[[#This Row],[CV - Domination - Total]],T_SPORTS[CV - Domination - Total])+COUNTIF($S$3:S38,S39))</f>
        <v/>
      </c>
      <c r="U39" s="31">
        <f>T_SPORTS[[#This Row],[TOTAL]]/SUM(T_SPORTS[TOTAL])</f>
        <v>6.1601642710472282E-3</v>
      </c>
      <c r="V39" s="15">
        <f>IF(T_SPORTS[[#This Row],[OV - Domination - Total]]=0,"",RANK(T_SPORTS[[#This Row],[OV - Domination - Total]],T_SPORTS[OV - Domination - Total])+COUNTIF($U$3:U38,U39))</f>
        <v>38</v>
      </c>
    </row>
    <row r="40" spans="1:22" ht="45.95" customHeight="1" x14ac:dyDescent="0.25">
      <c r="A40" s="12">
        <v>37</v>
      </c>
      <c r="B40" s="13" t="s">
        <v>420</v>
      </c>
      <c r="C40" s="13" t="s">
        <v>928</v>
      </c>
      <c r="D40" s="13"/>
      <c r="E40" s="12">
        <f>IFERROR(COUNTIF(T_2016_EVENT_RESULTS[SPORT],T_SPORTS[[#This Row],[SPORT]]),0)</f>
        <v>2</v>
      </c>
      <c r="F40" s="12">
        <f>IFERROR(COUNTIFS(T_2016_EVENT_RESULTS[SPORT],T_SPORTS[[#This Row],[SPORT]],T_2016_EVENT_RESULTS[Gold - Country],"&lt;&gt;"&amp;"")+ COUNTIFS(T_2016_EVENT_RESULTS[SPORT],T_SPORTS[[#This Row],[SPORT]],T_2016_EVENT_RESULTS[Gold - Country - 2],"&lt;&gt;"&amp;""), "")</f>
        <v>2</v>
      </c>
      <c r="G40" s="12">
        <f>IFERROR(COUNTIFS(T_2016_EVENT_RESULTS[SPORT],T_SPORTS[[#This Row],[SPORT]],T_2016_EVENT_RESULTS[Silver - Country],"&lt;&gt;"&amp;"")+ COUNTIFS(T_2016_EVENT_RESULTS[SPORT],T_SPORTS[[#This Row],[SPORT]],T_2016_EVENT_RESULTS[Silver - Country - 2],"&lt;&gt;"&amp;"")+ COUNTIFS(T_2016_EVENT_RESULTS[SPORT],T_SPORTS[[#This Row],[SPORT]],T_2016_EVENT_RESULTS[Silver - Country - 3],"&lt;&gt;"&amp;""),"")</f>
        <v>2</v>
      </c>
      <c r="H40" s="12">
        <f>IFERROR(COUNTIFS(T_2016_EVENT_RESULTS[SPORT],T_SPORTS[[#This Row],[SPORT]],T_2016_EVENT_RESULTS[Bronze - Country],"&lt;&gt;"&amp;"")+ COUNTIFS(T_2016_EVENT_RESULTS[SPORT],T_SPORTS[[#This Row],[SPORT]],T_2016_EVENT_RESULTS[Bronze - Country - 2],"&lt;&gt;"&amp;""),"")</f>
        <v>2</v>
      </c>
      <c r="I40" s="12">
        <f>SUM(T_SPORTS[[#This Row],[Gold]:[Bronze]])</f>
        <v>6</v>
      </c>
      <c r="J40" s="15">
        <f>ROUND((T_SPORTS[[#This Row],[Gold]]*10000000)+(T_SPORTS[[#This Row],[Silver]]*100000)+(T_SPORTS[[#This Row],[Bronze]]*1000),0)</f>
        <v>20202000</v>
      </c>
      <c r="K40" s="15">
        <f>IFERROR(IF(T_SPORTS[[#This Row],[TOTAL]]=0,"",IF(I_RANK_METHOD="Total",RANK(T_SPORTS[[#This Row],[TOTAL]],T_SPORTS[TOTAL]),RANK(T_SPORTS[[#This Row],[Rank Value]],T_SPORTS[Rank Value]))),"")</f>
        <v>23</v>
      </c>
      <c r="L40" s="15">
        <f>IFERROR(COUNTIFS(T_2016_EVENT_RESULTS[SPORT],T_SPORTS[[#This Row],[SPORT]],T_2016_EVENT_RESULTS[Gold - Country], I_CV_CNTRY)+COUNTIFS(T_2016_EVENT_RESULTS[SPORT],T_SPORTS[[#This Row],[SPORT]],T_2016_EVENT_RESULTS[Gold - Country - 2], I_CV_CNTRY),"")</f>
        <v>0</v>
      </c>
      <c r="M40" s="15">
        <f>IFERROR(COUNTIFS(T_2016_EVENT_RESULTS[SPORT],T_SPORTS[[#This Row],[SPORT]],T_2016_EVENT_RESULTS[Silver - Country], I_CV_CNTRY)+COUNTIFS(T_2016_EVENT_RESULTS[SPORT],T_SPORTS[[#This Row],[SPORT]],T_2016_EVENT_RESULTS[Silver - Country - 2], I_CV_CNTRY)+COUNTIFS(T_2016_EVENT_RESULTS[SPORT],T_SPORTS[[#This Row],[SPORT]],T_2016_EVENT_RESULTS[Silver - Country - 3], I_CV_CNTRY),"")</f>
        <v>0</v>
      </c>
      <c r="N40" s="15">
        <f>IFERROR(COUNTIFS(T_2016_EVENT_RESULTS[SPORT],T_SPORTS[[#This Row],[SPORT]],T_2016_EVENT_RESULTS[Bronze - Country], I_CV_CNTRY)+COUNTIFS(T_2016_EVENT_RESULTS[SPORT],T_SPORTS[[#This Row],[SPORT]],T_2016_EVENT_RESULTS[Bronze - Country - 2], I_CV_CNTRY),"")</f>
        <v>0</v>
      </c>
      <c r="O40" s="15">
        <f>SUM(T_SPORTS[[#This Row],[CV - Gold]:[CV - Bronze]])</f>
        <v>0</v>
      </c>
      <c r="P40" s="15" t="str">
        <f>IF(T_SPORTS[[#This Row],[CV - Total]]=0,"",IF(I_RANK_METHOD="TOTAL",(T_SPORTS[[#This Row],[CV - Total]]*10000000),0)+(T_SPORTS[[#This Row],[CV - Gold]]*100000)+(T_SPORTS[[#This Row],[CV - Silver]]*1000)+(T_SPORTS[[#This Row],[CV - Bronze]]*10))</f>
        <v/>
      </c>
      <c r="Q40" s="15" t="str">
        <f>IFERROR(IF(T_SPORTS[[#This Row],[CV - Total]]=0,"",RANK(T_SPORTS[[#This Row],[CV - Rank Value]],T_SPORTS[CV - Rank Value])),"")</f>
        <v/>
      </c>
      <c r="R40" s="15" t="str">
        <f>IFERROR(IF(T_SPORTS[[#This Row],[CV - Total]]=0,"",RANK(T_SPORTS[[#This Row],[CV - Rank Value]],T_SPORTS[CV - Rank Value])+COUNTIF($Q$3:Q39,Q40)),"")</f>
        <v/>
      </c>
      <c r="S40" s="31">
        <f>T_SPORTS[[#This Row],[CV - Total]]/T_SPORTS[[#This Row],[TOTAL]]</f>
        <v>0</v>
      </c>
      <c r="T40" s="15" t="str">
        <f>IF(T_SPORTS[[#This Row],[CV - Domination - Total]]=0,"",RANK(T_SPORTS[[#This Row],[CV - Domination - Total]],T_SPORTS[CV - Domination - Total])+COUNTIF($S$3:S39,S40))</f>
        <v/>
      </c>
      <c r="U40" s="31">
        <f>T_SPORTS[[#This Row],[TOTAL]]/SUM(T_SPORTS[TOTAL])</f>
        <v>6.1601642710472282E-3</v>
      </c>
      <c r="V40" s="15">
        <f>IF(T_SPORTS[[#This Row],[OV - Domination - Total]]=0,"",RANK(T_SPORTS[[#This Row],[OV - Domination - Total]],T_SPORTS[OV - Domination - Total])+COUNTIF($U$3:U39,U40))</f>
        <v>39</v>
      </c>
    </row>
    <row r="41" spans="1:22" ht="45.95" customHeight="1" x14ac:dyDescent="0.25">
      <c r="A41" s="12">
        <v>38</v>
      </c>
      <c r="B41" s="13" t="s">
        <v>421</v>
      </c>
      <c r="C41" s="13" t="s">
        <v>929</v>
      </c>
      <c r="D41" s="13"/>
      <c r="E41" s="12">
        <f>IFERROR(COUNTIF(T_2016_EVENT_RESULTS[SPORT],T_SPORTS[[#This Row],[SPORT]]),0)</f>
        <v>15</v>
      </c>
      <c r="F41" s="12">
        <f>IFERROR(COUNTIFS(T_2016_EVENT_RESULTS[SPORT],T_SPORTS[[#This Row],[SPORT]],T_2016_EVENT_RESULTS[Gold - Country],"&lt;&gt;"&amp;"")+ COUNTIFS(T_2016_EVENT_RESULTS[SPORT],T_SPORTS[[#This Row],[SPORT]],T_2016_EVENT_RESULTS[Gold - Country - 2],"&lt;&gt;"&amp;""), "")</f>
        <v>15</v>
      </c>
      <c r="G41" s="12">
        <f>IFERROR(COUNTIFS(T_2016_EVENT_RESULTS[SPORT],T_SPORTS[[#This Row],[SPORT]],T_2016_EVENT_RESULTS[Silver - Country],"&lt;&gt;"&amp;"")+ COUNTIFS(T_2016_EVENT_RESULTS[SPORT],T_SPORTS[[#This Row],[SPORT]],T_2016_EVENT_RESULTS[Silver - Country - 2],"&lt;&gt;"&amp;"")+ COUNTIFS(T_2016_EVENT_RESULTS[SPORT],T_SPORTS[[#This Row],[SPORT]],T_2016_EVENT_RESULTS[Silver - Country - 3],"&lt;&gt;"&amp;""),"")</f>
        <v>15</v>
      </c>
      <c r="H41" s="12">
        <f>IFERROR(COUNTIFS(T_2016_EVENT_RESULTS[SPORT],T_SPORTS[[#This Row],[SPORT]],T_2016_EVENT_RESULTS[Bronze - Country],"&lt;&gt;"&amp;"")+ COUNTIFS(T_2016_EVENT_RESULTS[SPORT],T_SPORTS[[#This Row],[SPORT]],T_2016_EVENT_RESULTS[Bronze - Country - 2],"&lt;&gt;"&amp;""),"")</f>
        <v>15</v>
      </c>
      <c r="I41" s="12">
        <f>SUM(T_SPORTS[[#This Row],[Gold]:[Bronze]])</f>
        <v>45</v>
      </c>
      <c r="J41" s="15">
        <f>ROUND((T_SPORTS[[#This Row],[Gold]]*10000000)+(T_SPORTS[[#This Row],[Silver]]*100000)+(T_SPORTS[[#This Row],[Bronze]]*1000),0)</f>
        <v>151515000</v>
      </c>
      <c r="K41" s="15">
        <f>IFERROR(IF(T_SPORTS[[#This Row],[TOTAL]]=0,"",IF(I_RANK_METHOD="Total",RANK(T_SPORTS[[#This Row],[TOTAL]],T_SPORTS[TOTAL]),RANK(T_SPORTS[[#This Row],[Rank Value]],T_SPORTS[Rank Value]))),"")</f>
        <v>6</v>
      </c>
      <c r="L41" s="15">
        <f>IFERROR(COUNTIFS(T_2016_EVENT_RESULTS[SPORT],T_SPORTS[[#This Row],[SPORT]],T_2016_EVENT_RESULTS[Gold - Country], I_CV_CNTRY)+COUNTIFS(T_2016_EVENT_RESULTS[SPORT],T_SPORTS[[#This Row],[SPORT]],T_2016_EVENT_RESULTS[Gold - Country - 2], I_CV_CNTRY),"")</f>
        <v>0</v>
      </c>
      <c r="M41" s="15">
        <f>IFERROR(COUNTIFS(T_2016_EVENT_RESULTS[SPORT],T_SPORTS[[#This Row],[SPORT]],T_2016_EVENT_RESULTS[Silver - Country], I_CV_CNTRY)+COUNTIFS(T_2016_EVENT_RESULTS[SPORT],T_SPORTS[[#This Row],[SPORT]],T_2016_EVENT_RESULTS[Silver - Country - 2], I_CV_CNTRY)+COUNTIFS(T_2016_EVENT_RESULTS[SPORT],T_SPORTS[[#This Row],[SPORT]],T_2016_EVENT_RESULTS[Silver - Country - 3], I_CV_CNTRY),"")</f>
        <v>0</v>
      </c>
      <c r="N41" s="15">
        <f>IFERROR(COUNTIFS(T_2016_EVENT_RESULTS[SPORT],T_SPORTS[[#This Row],[SPORT]],T_2016_EVENT_RESULTS[Bronze - Country], I_CV_CNTRY)+COUNTIFS(T_2016_EVENT_RESULTS[SPORT],T_SPORTS[[#This Row],[SPORT]],T_2016_EVENT_RESULTS[Bronze - Country - 2], I_CV_CNTRY),"")</f>
        <v>0</v>
      </c>
      <c r="O41" s="15">
        <f>SUM(T_SPORTS[[#This Row],[CV - Gold]:[CV - Bronze]])</f>
        <v>0</v>
      </c>
      <c r="P41" s="15" t="str">
        <f>IF(T_SPORTS[[#This Row],[CV - Total]]=0,"",IF(I_RANK_METHOD="TOTAL",(T_SPORTS[[#This Row],[CV - Total]]*10000000),0)+(T_SPORTS[[#This Row],[CV - Gold]]*100000)+(T_SPORTS[[#This Row],[CV - Silver]]*1000)+(T_SPORTS[[#This Row],[CV - Bronze]]*10))</f>
        <v/>
      </c>
      <c r="Q41" s="15" t="str">
        <f>IFERROR(IF(T_SPORTS[[#This Row],[CV - Total]]=0,"",RANK(T_SPORTS[[#This Row],[CV - Rank Value]],T_SPORTS[CV - Rank Value])),"")</f>
        <v/>
      </c>
      <c r="R41" s="15" t="str">
        <f>IFERROR(IF(T_SPORTS[[#This Row],[CV - Total]]=0,"",RANK(T_SPORTS[[#This Row],[CV - Rank Value]],T_SPORTS[CV - Rank Value])+COUNTIF($Q$3:Q40,Q41)),"")</f>
        <v/>
      </c>
      <c r="S41" s="31">
        <f>T_SPORTS[[#This Row],[CV - Total]]/T_SPORTS[[#This Row],[TOTAL]]</f>
        <v>0</v>
      </c>
      <c r="T41" s="15" t="str">
        <f>IF(T_SPORTS[[#This Row],[CV - Domination - Total]]=0,"",RANK(T_SPORTS[[#This Row],[CV - Domination - Total]],T_SPORTS[CV - Domination - Total])+COUNTIF($S$3:S40,S41))</f>
        <v/>
      </c>
      <c r="U41" s="31">
        <f>T_SPORTS[[#This Row],[TOTAL]]/SUM(T_SPORTS[TOTAL])</f>
        <v>4.6201232032854207E-2</v>
      </c>
      <c r="V41" s="15">
        <f>IF(T_SPORTS[[#This Row],[OV - Domination - Total]]=0,"",RANK(T_SPORTS[[#This Row],[OV - Domination - Total]],T_SPORTS[OV - Domination - Total])+COUNTIF($U$3:U40,U41))</f>
        <v>7</v>
      </c>
    </row>
    <row r="42" spans="1:22" ht="45.95" customHeight="1" x14ac:dyDescent="0.25">
      <c r="A42" s="12">
        <v>39</v>
      </c>
      <c r="B42" s="13" t="s">
        <v>422</v>
      </c>
      <c r="C42" s="13" t="s">
        <v>930</v>
      </c>
      <c r="D42" s="13"/>
      <c r="E42" s="12">
        <f>IFERROR(COUNTIF(T_2016_EVENT_RESULTS[SPORT],T_SPORTS[[#This Row],[SPORT]]),0)</f>
        <v>18</v>
      </c>
      <c r="F42" s="12">
        <f>IFERROR(COUNTIFS(T_2016_EVENT_RESULTS[SPORT],T_SPORTS[[#This Row],[SPORT]],T_2016_EVENT_RESULTS[Gold - Country],"&lt;&gt;"&amp;"")+ COUNTIFS(T_2016_EVENT_RESULTS[SPORT],T_SPORTS[[#This Row],[SPORT]],T_2016_EVENT_RESULTS[Gold - Country - 2],"&lt;&gt;"&amp;""), "")</f>
        <v>18</v>
      </c>
      <c r="G42" s="12">
        <f>IFERROR(COUNTIFS(T_2016_EVENT_RESULTS[SPORT],T_SPORTS[[#This Row],[SPORT]],T_2016_EVENT_RESULTS[Silver - Country],"&lt;&gt;"&amp;"")+ COUNTIFS(T_2016_EVENT_RESULTS[SPORT],T_SPORTS[[#This Row],[SPORT]],T_2016_EVENT_RESULTS[Silver - Country - 2],"&lt;&gt;"&amp;"")+ COUNTIFS(T_2016_EVENT_RESULTS[SPORT],T_SPORTS[[#This Row],[SPORT]],T_2016_EVENT_RESULTS[Silver - Country - 3],"&lt;&gt;"&amp;""),"")</f>
        <v>18</v>
      </c>
      <c r="H42" s="12">
        <f>IFERROR(COUNTIFS(T_2016_EVENT_RESULTS[SPORT],T_SPORTS[[#This Row],[SPORT]],T_2016_EVENT_RESULTS[Bronze - Country],"&lt;&gt;"&amp;"")+ COUNTIFS(T_2016_EVENT_RESULTS[SPORT],T_SPORTS[[#This Row],[SPORT]],T_2016_EVENT_RESULTS[Bronze - Country - 2],"&lt;&gt;"&amp;""),"")</f>
        <v>36</v>
      </c>
      <c r="I42" s="12">
        <f>SUM(T_SPORTS[[#This Row],[Gold]:[Bronze]])</f>
        <v>72</v>
      </c>
      <c r="J42" s="15">
        <f>ROUND((T_SPORTS[[#This Row],[Gold]]*10000000)+(T_SPORTS[[#This Row],[Silver]]*100000)+(T_SPORTS[[#This Row],[Bronze]]*1000),0)</f>
        <v>181836000</v>
      </c>
      <c r="K42" s="15">
        <f>IFERROR(IF(T_SPORTS[[#This Row],[TOTAL]]=0,"",IF(I_RANK_METHOD="Total",RANK(T_SPORTS[[#This Row],[TOTAL]],T_SPORTS[TOTAL]),RANK(T_SPORTS[[#This Row],[Rank Value]],T_SPORTS[Rank Value]))),"")</f>
        <v>3</v>
      </c>
      <c r="L42" s="15">
        <f>IFERROR(COUNTIFS(T_2016_EVENT_RESULTS[SPORT],T_SPORTS[[#This Row],[SPORT]],T_2016_EVENT_RESULTS[Gold - Country], I_CV_CNTRY)+COUNTIFS(T_2016_EVENT_RESULTS[SPORT],T_SPORTS[[#This Row],[SPORT]],T_2016_EVENT_RESULTS[Gold - Country - 2], I_CV_CNTRY),"")</f>
        <v>0</v>
      </c>
      <c r="M42" s="15">
        <f>IFERROR(COUNTIFS(T_2016_EVENT_RESULTS[SPORT],T_SPORTS[[#This Row],[SPORT]],T_2016_EVENT_RESULTS[Silver - Country], I_CV_CNTRY)+COUNTIFS(T_2016_EVENT_RESULTS[SPORT],T_SPORTS[[#This Row],[SPORT]],T_2016_EVENT_RESULTS[Silver - Country - 2], I_CV_CNTRY)+COUNTIFS(T_2016_EVENT_RESULTS[SPORT],T_SPORTS[[#This Row],[SPORT]],T_2016_EVENT_RESULTS[Silver - Country - 3], I_CV_CNTRY),"")</f>
        <v>0</v>
      </c>
      <c r="N42" s="15">
        <f>IFERROR(COUNTIFS(T_2016_EVENT_RESULTS[SPORT],T_SPORTS[[#This Row],[SPORT]],T_2016_EVENT_RESULTS[Bronze - Country], I_CV_CNTRY)+COUNTIFS(T_2016_EVENT_RESULTS[SPORT],T_SPORTS[[#This Row],[SPORT]],T_2016_EVENT_RESULTS[Bronze - Country - 2], I_CV_CNTRY),"")</f>
        <v>0</v>
      </c>
      <c r="O42" s="15">
        <f>SUM(T_SPORTS[[#This Row],[CV - Gold]:[CV - Bronze]])</f>
        <v>0</v>
      </c>
      <c r="P42" s="15" t="str">
        <f>IF(T_SPORTS[[#This Row],[CV - Total]]=0,"",IF(I_RANK_METHOD="TOTAL",(T_SPORTS[[#This Row],[CV - Total]]*10000000),0)+(T_SPORTS[[#This Row],[CV - Gold]]*100000)+(T_SPORTS[[#This Row],[CV - Silver]]*1000)+(T_SPORTS[[#This Row],[CV - Bronze]]*10))</f>
        <v/>
      </c>
      <c r="Q42" s="15" t="str">
        <f>IFERROR(IF(T_SPORTS[[#This Row],[CV - Total]]=0,"",RANK(T_SPORTS[[#This Row],[CV - Rank Value]],T_SPORTS[CV - Rank Value])),"")</f>
        <v/>
      </c>
      <c r="R42" s="15" t="str">
        <f>IFERROR(IF(T_SPORTS[[#This Row],[CV - Total]]=0,"",RANK(T_SPORTS[[#This Row],[CV - Rank Value]],T_SPORTS[CV - Rank Value])+COUNTIF($Q$3:Q41,Q42)),"")</f>
        <v/>
      </c>
      <c r="S42" s="31">
        <f>T_SPORTS[[#This Row],[CV - Total]]/T_SPORTS[[#This Row],[TOTAL]]</f>
        <v>0</v>
      </c>
      <c r="T42" s="15" t="str">
        <f>IF(T_SPORTS[[#This Row],[CV - Domination - Total]]=0,"",RANK(T_SPORTS[[#This Row],[CV - Domination - Total]],T_SPORTS[CV - Domination - Total])+COUNTIF($S$3:S41,S42))</f>
        <v/>
      </c>
      <c r="U42" s="31">
        <f>T_SPORTS[[#This Row],[TOTAL]]/SUM(T_SPORTS[TOTAL])</f>
        <v>7.3921971252566734E-2</v>
      </c>
      <c r="V42" s="15">
        <f>IF(T_SPORTS[[#This Row],[OV - Domination - Total]]=0,"",RANK(T_SPORTS[[#This Row],[OV - Domination - Total]],T_SPORTS[OV - Domination - Total])+COUNTIF($U$3:U41,U42))</f>
        <v>3</v>
      </c>
    </row>
  </sheetData>
  <pageMargins left="0.7" right="0.7" top="0.75" bottom="0.75" header="0.3" footer="0.3"/>
  <pageSetup orientation="portrait" horizontalDpi="4294967293" verticalDpi="0" r:id="rId1"/>
  <drawing r:id="rId2"/>
  <tableParts count="1">
    <tablePart r:id="rId3"/>
  </tableParts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F0"/>
  </sheetPr>
  <dimension ref="A1:I1863"/>
  <sheetViews>
    <sheetView workbookViewId="0">
      <selection activeCell="G2" sqref="G2"/>
    </sheetView>
  </sheetViews>
  <sheetFormatPr defaultRowHeight="15" x14ac:dyDescent="0.25"/>
  <cols>
    <col min="1" max="2" width="26.85546875" customWidth="1"/>
    <col min="3" max="3" width="16.140625" bestFit="1" customWidth="1"/>
    <col min="4" max="4" width="17" bestFit="1" customWidth="1"/>
    <col min="5" max="5" width="18.28515625" bestFit="1" customWidth="1"/>
    <col min="6" max="9" width="18.28515625" customWidth="1"/>
    <col min="13" max="13" width="12.140625" bestFit="1" customWidth="1"/>
    <col min="14" max="14" width="18.5703125" bestFit="1" customWidth="1"/>
  </cols>
  <sheetData>
    <row r="1" spans="1:9" x14ac:dyDescent="0.25">
      <c r="A1" t="s">
        <v>442</v>
      </c>
      <c r="B1" t="s">
        <v>430</v>
      </c>
      <c r="C1" s="46" t="s">
        <v>431</v>
      </c>
      <c r="D1" s="46" t="s">
        <v>432</v>
      </c>
      <c r="E1" s="46" t="s">
        <v>433</v>
      </c>
      <c r="F1" s="46" t="s">
        <v>402</v>
      </c>
      <c r="G1" s="46" t="s">
        <v>1001</v>
      </c>
      <c r="H1" s="46" t="s">
        <v>434</v>
      </c>
      <c r="I1" s="46" t="s">
        <v>1040</v>
      </c>
    </row>
    <row r="2" spans="1:9" x14ac:dyDescent="0.25">
      <c r="A2" t="s">
        <v>1013</v>
      </c>
      <c r="B2" t="s">
        <v>187</v>
      </c>
      <c r="C2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2</v>
      </c>
      <c r="D2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2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2">
        <f>SUM(TS_ATHLETES[[#This Row],[GOLD MEDALS]:[BRONZE MEDALS]])</f>
        <v>2</v>
      </c>
      <c r="G2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20200000</v>
      </c>
      <c r="H2">
        <f>IF(TS_ATHLETES[[#This Row],[TOTAL]]=0,"",RANK(TS_ATHLETES[[#This Row],[RANK VALUE]],TS_ATHLETES[RANK VALUE]))</f>
        <v>27</v>
      </c>
      <c r="I2" s="3">
        <f>IFERROR(IF(TS_ATHLETES[[#This Row],[TOTAL]]=0,"",RANK(TS_ATHLETES[[#This Row],[RANK VALUE]],TS_ATHLETES[RANK VALUE])+COUNTIF($H$1:H1,H2)),"")</f>
        <v>27</v>
      </c>
    </row>
    <row r="3" spans="1:9" x14ac:dyDescent="0.25">
      <c r="A3" t="s">
        <v>1019</v>
      </c>
      <c r="B3" t="s">
        <v>187</v>
      </c>
      <c r="C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2</v>
      </c>
      <c r="D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3">
        <f>SUM(TS_ATHLETES[[#This Row],[GOLD MEDALS]:[BRONZE MEDALS]])</f>
        <v>2</v>
      </c>
      <c r="G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20200000</v>
      </c>
      <c r="H3">
        <f>IF(TS_ATHLETES[[#This Row],[TOTAL]]=0,"",RANK(TS_ATHLETES[[#This Row],[RANK VALUE]],TS_ATHLETES[RANK VALUE]))</f>
        <v>27</v>
      </c>
      <c r="I3" s="3">
        <f>IFERROR(IF(TS_ATHLETES[[#This Row],[TOTAL]]=0,"",RANK(TS_ATHLETES[[#This Row],[RANK VALUE]],TS_ATHLETES[RANK VALUE])+COUNTIF($H$1:H2,H3)),"")</f>
        <v>28</v>
      </c>
    </row>
    <row r="4" spans="1:9" x14ac:dyDescent="0.25">
      <c r="A4" t="s">
        <v>1085</v>
      </c>
      <c r="B4" s="3" t="s">
        <v>179</v>
      </c>
      <c r="C4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2</v>
      </c>
      <c r="D4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4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4" s="3">
        <f>SUM(TS_ATHLETES[[#This Row],[GOLD MEDALS]:[BRONZE MEDALS]])</f>
        <v>2</v>
      </c>
      <c r="G4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20200000</v>
      </c>
      <c r="H4" s="3">
        <f>IF(TS_ATHLETES[[#This Row],[TOTAL]]=0,"",RANK(TS_ATHLETES[[#This Row],[RANK VALUE]],TS_ATHLETES[RANK VALUE]))</f>
        <v>27</v>
      </c>
      <c r="I4" s="3">
        <f>IFERROR(IF(TS_ATHLETES[[#This Row],[TOTAL]]=0,"",RANK(TS_ATHLETES[[#This Row],[RANK VALUE]],TS_ATHLETES[RANK VALUE])+COUNTIF($H$1:H3,H4)),"")</f>
        <v>29</v>
      </c>
    </row>
    <row r="5" spans="1:9" x14ac:dyDescent="0.25">
      <c r="A5" t="s">
        <v>1086</v>
      </c>
      <c r="B5" s="3" t="s">
        <v>361</v>
      </c>
      <c r="C5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2</v>
      </c>
      <c r="D5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5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1</v>
      </c>
      <c r="F5" s="3">
        <f>SUM(TS_ATHLETES[[#This Row],[GOLD MEDALS]:[BRONZE MEDALS]])</f>
        <v>3</v>
      </c>
      <c r="G5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30200010</v>
      </c>
      <c r="H5" s="3">
        <f>IF(TS_ATHLETES[[#This Row],[TOTAL]]=0,"",RANK(TS_ATHLETES[[#This Row],[RANK VALUE]],TS_ATHLETES[RANK VALUE]))</f>
        <v>16</v>
      </c>
      <c r="I5" s="3">
        <f>IFERROR(IF(TS_ATHLETES[[#This Row],[TOTAL]]=0,"",RANK(TS_ATHLETES[[#This Row],[RANK VALUE]],TS_ATHLETES[RANK VALUE])+COUNTIF($H$1:H4,H5)),"")</f>
        <v>16</v>
      </c>
    </row>
    <row r="6" spans="1:9" x14ac:dyDescent="0.25">
      <c r="A6" t="s">
        <v>1087</v>
      </c>
      <c r="B6" s="3" t="s">
        <v>140</v>
      </c>
      <c r="C6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1</v>
      </c>
      <c r="D6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6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6" s="3">
        <f>SUM(TS_ATHLETES[[#This Row],[GOLD MEDALS]:[BRONZE MEDALS]])</f>
        <v>1</v>
      </c>
      <c r="G6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10100000</v>
      </c>
      <c r="H6" s="3">
        <f>IF(TS_ATHLETES[[#This Row],[TOTAL]]=0,"",RANK(TS_ATHLETES[[#This Row],[RANK VALUE]],TS_ATHLETES[RANK VALUE]))</f>
        <v>129</v>
      </c>
      <c r="I6" s="3">
        <f>IFERROR(IF(TS_ATHLETES[[#This Row],[TOTAL]]=0,"",RANK(TS_ATHLETES[[#This Row],[RANK VALUE]],TS_ATHLETES[RANK VALUE])+COUNTIF($H$1:H5,H6)),"")</f>
        <v>129</v>
      </c>
    </row>
    <row r="7" spans="1:9" x14ac:dyDescent="0.25">
      <c r="A7" t="s">
        <v>1088</v>
      </c>
      <c r="B7" s="3" t="s">
        <v>186</v>
      </c>
      <c r="C7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1</v>
      </c>
      <c r="D7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7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7" s="3">
        <f>SUM(TS_ATHLETES[[#This Row],[GOLD MEDALS]:[BRONZE MEDALS]])</f>
        <v>1</v>
      </c>
      <c r="G7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10100000</v>
      </c>
      <c r="H7" s="3">
        <f>IF(TS_ATHLETES[[#This Row],[TOTAL]]=0,"",RANK(TS_ATHLETES[[#This Row],[RANK VALUE]],TS_ATHLETES[RANK VALUE]))</f>
        <v>129</v>
      </c>
      <c r="I7" s="3">
        <f>IFERROR(IF(TS_ATHLETES[[#This Row],[TOTAL]]=0,"",RANK(TS_ATHLETES[[#This Row],[RANK VALUE]],TS_ATHLETES[RANK VALUE])+COUNTIF($H$1:H6,H7)),"")</f>
        <v>130</v>
      </c>
    </row>
    <row r="8" spans="1:9" x14ac:dyDescent="0.25">
      <c r="A8" t="s">
        <v>1089</v>
      </c>
      <c r="B8" s="3" t="s">
        <v>358</v>
      </c>
      <c r="C8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1</v>
      </c>
      <c r="D8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1</v>
      </c>
      <c r="E8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8" s="3">
        <f>SUM(TS_ATHLETES[[#This Row],[GOLD MEDALS]:[BRONZE MEDALS]])</f>
        <v>2</v>
      </c>
      <c r="G8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20100100</v>
      </c>
      <c r="H8" s="3">
        <f>IF(TS_ATHLETES[[#This Row],[TOTAL]]=0,"",RANK(TS_ATHLETES[[#This Row],[RANK VALUE]],TS_ATHLETES[RANK VALUE]))</f>
        <v>48</v>
      </c>
      <c r="I8" s="3">
        <f>IFERROR(IF(TS_ATHLETES[[#This Row],[TOTAL]]=0,"",RANK(TS_ATHLETES[[#This Row],[RANK VALUE]],TS_ATHLETES[RANK VALUE])+COUNTIF($H$1:H7,H8)),"")</f>
        <v>48</v>
      </c>
    </row>
    <row r="9" spans="1:9" x14ac:dyDescent="0.25">
      <c r="A9" t="s">
        <v>1090</v>
      </c>
      <c r="B9" s="3" t="s">
        <v>136</v>
      </c>
      <c r="C9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1</v>
      </c>
      <c r="D9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9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9" s="3">
        <f>SUM(TS_ATHLETES[[#This Row],[GOLD MEDALS]:[BRONZE MEDALS]])</f>
        <v>1</v>
      </c>
      <c r="G9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10100000</v>
      </c>
      <c r="H9" s="3">
        <f>IF(TS_ATHLETES[[#This Row],[TOTAL]]=0,"",RANK(TS_ATHLETES[[#This Row],[RANK VALUE]],TS_ATHLETES[RANK VALUE]))</f>
        <v>129</v>
      </c>
      <c r="I9" s="3">
        <f>IFERROR(IF(TS_ATHLETES[[#This Row],[TOTAL]]=0,"",RANK(TS_ATHLETES[[#This Row],[RANK VALUE]],TS_ATHLETES[RANK VALUE])+COUNTIF($H$1:H8,H9)),"")</f>
        <v>131</v>
      </c>
    </row>
    <row r="10" spans="1:9" x14ac:dyDescent="0.25">
      <c r="A10" t="s">
        <v>1091</v>
      </c>
      <c r="B10" s="3" t="s">
        <v>363</v>
      </c>
      <c r="C10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4</v>
      </c>
      <c r="D10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10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1</v>
      </c>
      <c r="F10" s="3">
        <f>SUM(TS_ATHLETES[[#This Row],[GOLD MEDALS]:[BRONZE MEDALS]])</f>
        <v>5</v>
      </c>
      <c r="G10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50400010</v>
      </c>
      <c r="H10" s="3">
        <f>IF(TS_ATHLETES[[#This Row],[TOTAL]]=0,"",RANK(TS_ATHLETES[[#This Row],[RANK VALUE]],TS_ATHLETES[RANK VALUE]))</f>
        <v>3</v>
      </c>
      <c r="I10" s="3">
        <f>IFERROR(IF(TS_ATHLETES[[#This Row],[TOTAL]]=0,"",RANK(TS_ATHLETES[[#This Row],[RANK VALUE]],TS_ATHLETES[RANK VALUE])+COUNTIF($H$1:H9,H10)),"")</f>
        <v>3</v>
      </c>
    </row>
    <row r="11" spans="1:9" x14ac:dyDescent="0.25">
      <c r="A11" t="s">
        <v>1092</v>
      </c>
      <c r="B11" s="3" t="s">
        <v>287</v>
      </c>
      <c r="C11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1</v>
      </c>
      <c r="D11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1</v>
      </c>
      <c r="E11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1</v>
      </c>
      <c r="F11" s="3">
        <f>SUM(TS_ATHLETES[[#This Row],[GOLD MEDALS]:[BRONZE MEDALS]])</f>
        <v>3</v>
      </c>
      <c r="G11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30100110</v>
      </c>
      <c r="H11" s="3">
        <f>IF(TS_ATHLETES[[#This Row],[TOTAL]]=0,"",RANK(TS_ATHLETES[[#This Row],[RANK VALUE]],TS_ATHLETES[RANK VALUE]))</f>
        <v>18</v>
      </c>
      <c r="I11" s="3">
        <f>IFERROR(IF(TS_ATHLETES[[#This Row],[TOTAL]]=0,"",RANK(TS_ATHLETES[[#This Row],[RANK VALUE]],TS_ATHLETES[RANK VALUE])+COUNTIF($H$1:H10,H11)),"")</f>
        <v>18</v>
      </c>
    </row>
    <row r="12" spans="1:9" x14ac:dyDescent="0.25">
      <c r="A12" t="s">
        <v>1093</v>
      </c>
      <c r="B12" s="3" t="s">
        <v>250</v>
      </c>
      <c r="C12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1</v>
      </c>
      <c r="D12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12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12" s="3">
        <f>SUM(TS_ATHLETES[[#This Row],[GOLD MEDALS]:[BRONZE MEDALS]])</f>
        <v>1</v>
      </c>
      <c r="G12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10100000</v>
      </c>
      <c r="H12" s="3">
        <f>IF(TS_ATHLETES[[#This Row],[TOTAL]]=0,"",RANK(TS_ATHLETES[[#This Row],[RANK VALUE]],TS_ATHLETES[RANK VALUE]))</f>
        <v>129</v>
      </c>
      <c r="I12" s="3">
        <f>IFERROR(IF(TS_ATHLETES[[#This Row],[TOTAL]]=0,"",RANK(TS_ATHLETES[[#This Row],[RANK VALUE]],TS_ATHLETES[RANK VALUE])+COUNTIF($H$1:H11,H12)),"")</f>
        <v>132</v>
      </c>
    </row>
    <row r="13" spans="1:9" x14ac:dyDescent="0.25">
      <c r="A13" t="s">
        <v>1058</v>
      </c>
      <c r="B13" s="3" t="s">
        <v>177</v>
      </c>
      <c r="C13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3</v>
      </c>
      <c r="D13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13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13" s="3">
        <f>SUM(TS_ATHLETES[[#This Row],[GOLD MEDALS]:[BRONZE MEDALS]])</f>
        <v>3</v>
      </c>
      <c r="G13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30300000</v>
      </c>
      <c r="H13" s="3">
        <f>IF(TS_ATHLETES[[#This Row],[TOTAL]]=0,"",RANK(TS_ATHLETES[[#This Row],[RANK VALUE]],TS_ATHLETES[RANK VALUE]))</f>
        <v>10</v>
      </c>
      <c r="I13" s="3">
        <f>IFERROR(IF(TS_ATHLETES[[#This Row],[TOTAL]]=0,"",RANK(TS_ATHLETES[[#This Row],[RANK VALUE]],TS_ATHLETES[RANK VALUE])+COUNTIF($H$1:H12,H13)),"")</f>
        <v>10</v>
      </c>
    </row>
    <row r="14" spans="1:9" x14ac:dyDescent="0.25">
      <c r="A14" t="s">
        <v>1094</v>
      </c>
      <c r="B14" s="3" t="s">
        <v>319</v>
      </c>
      <c r="C14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1</v>
      </c>
      <c r="D14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14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14" s="3">
        <f>SUM(TS_ATHLETES[[#This Row],[GOLD MEDALS]:[BRONZE MEDALS]])</f>
        <v>1</v>
      </c>
      <c r="G14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10100000</v>
      </c>
      <c r="H14" s="3">
        <f>IF(TS_ATHLETES[[#This Row],[TOTAL]]=0,"",RANK(TS_ATHLETES[[#This Row],[RANK VALUE]],TS_ATHLETES[RANK VALUE]))</f>
        <v>129</v>
      </c>
      <c r="I14" s="3">
        <f>IFERROR(IF(TS_ATHLETES[[#This Row],[TOTAL]]=0,"",RANK(TS_ATHLETES[[#This Row],[RANK VALUE]],TS_ATHLETES[RANK VALUE])+COUNTIF($H$1:H13,H14)),"")</f>
        <v>133</v>
      </c>
    </row>
    <row r="15" spans="1:9" x14ac:dyDescent="0.25">
      <c r="A15" t="s">
        <v>1095</v>
      </c>
      <c r="B15" s="3" t="s">
        <v>185</v>
      </c>
      <c r="C15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1</v>
      </c>
      <c r="D15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15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15" s="3">
        <f>SUM(TS_ATHLETES[[#This Row],[GOLD MEDALS]:[BRONZE MEDALS]])</f>
        <v>1</v>
      </c>
      <c r="G15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10100000</v>
      </c>
      <c r="H15" s="3">
        <f>IF(TS_ATHLETES[[#This Row],[TOTAL]]=0,"",RANK(TS_ATHLETES[[#This Row],[RANK VALUE]],TS_ATHLETES[RANK VALUE]))</f>
        <v>129</v>
      </c>
      <c r="I15" s="3">
        <f>IFERROR(IF(TS_ATHLETES[[#This Row],[TOTAL]]=0,"",RANK(TS_ATHLETES[[#This Row],[RANK VALUE]],TS_ATHLETES[RANK VALUE])+COUNTIF($H$1:H14,H15)),"")</f>
        <v>134</v>
      </c>
    </row>
    <row r="16" spans="1:9" x14ac:dyDescent="0.25">
      <c r="A16" t="s">
        <v>1096</v>
      </c>
      <c r="B16" s="3" t="s">
        <v>363</v>
      </c>
      <c r="C16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1</v>
      </c>
      <c r="D16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16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16" s="3">
        <f>SUM(TS_ATHLETES[[#This Row],[GOLD MEDALS]:[BRONZE MEDALS]])</f>
        <v>1</v>
      </c>
      <c r="G16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10100000</v>
      </c>
      <c r="H16" s="3">
        <f>IF(TS_ATHLETES[[#This Row],[TOTAL]]=0,"",RANK(TS_ATHLETES[[#This Row],[RANK VALUE]],TS_ATHLETES[RANK VALUE]))</f>
        <v>129</v>
      </c>
      <c r="I16" s="3">
        <f>IFERROR(IF(TS_ATHLETES[[#This Row],[TOTAL]]=0,"",RANK(TS_ATHLETES[[#This Row],[RANK VALUE]],TS_ATHLETES[RANK VALUE])+COUNTIF($H$1:H15,H16)),"")</f>
        <v>135</v>
      </c>
    </row>
    <row r="17" spans="1:9" x14ac:dyDescent="0.25">
      <c r="A17" t="s">
        <v>1097</v>
      </c>
      <c r="B17" s="3" t="s">
        <v>361</v>
      </c>
      <c r="C17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2</v>
      </c>
      <c r="D17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17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17" s="3">
        <f>SUM(TS_ATHLETES[[#This Row],[GOLD MEDALS]:[BRONZE MEDALS]])</f>
        <v>2</v>
      </c>
      <c r="G17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20200000</v>
      </c>
      <c r="H17" s="3">
        <f>IF(TS_ATHLETES[[#This Row],[TOTAL]]=0,"",RANK(TS_ATHLETES[[#This Row],[RANK VALUE]],TS_ATHLETES[RANK VALUE]))</f>
        <v>27</v>
      </c>
      <c r="I17" s="3">
        <f>IFERROR(IF(TS_ATHLETES[[#This Row],[TOTAL]]=0,"",RANK(TS_ATHLETES[[#This Row],[RANK VALUE]],TS_ATHLETES[RANK VALUE])+COUNTIF($H$1:H16,H17)),"")</f>
        <v>30</v>
      </c>
    </row>
    <row r="18" spans="1:9" x14ac:dyDescent="0.25">
      <c r="A18" t="s">
        <v>933</v>
      </c>
      <c r="B18" s="3" t="s">
        <v>185</v>
      </c>
      <c r="C18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1</v>
      </c>
      <c r="D18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18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18" s="3">
        <f>SUM(TS_ATHLETES[[#This Row],[GOLD MEDALS]:[BRONZE MEDALS]])</f>
        <v>1</v>
      </c>
      <c r="G18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10100000</v>
      </c>
      <c r="H18" s="3">
        <f>IF(TS_ATHLETES[[#This Row],[TOTAL]]=0,"",RANK(TS_ATHLETES[[#This Row],[RANK VALUE]],TS_ATHLETES[RANK VALUE]))</f>
        <v>129</v>
      </c>
      <c r="I18" s="3">
        <f>IFERROR(IF(TS_ATHLETES[[#This Row],[TOTAL]]=0,"",RANK(TS_ATHLETES[[#This Row],[RANK VALUE]],TS_ATHLETES[RANK VALUE])+COUNTIF($H$1:H17,H18)),"")</f>
        <v>136</v>
      </c>
    </row>
    <row r="19" spans="1:9" x14ac:dyDescent="0.25">
      <c r="A19" t="s">
        <v>1098</v>
      </c>
      <c r="B19" s="3" t="s">
        <v>185</v>
      </c>
      <c r="C19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1</v>
      </c>
      <c r="D19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19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19" s="3">
        <f>SUM(TS_ATHLETES[[#This Row],[GOLD MEDALS]:[BRONZE MEDALS]])</f>
        <v>1</v>
      </c>
      <c r="G19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10100000</v>
      </c>
      <c r="H19" s="3">
        <f>IF(TS_ATHLETES[[#This Row],[TOTAL]]=0,"",RANK(TS_ATHLETES[[#This Row],[RANK VALUE]],TS_ATHLETES[RANK VALUE]))</f>
        <v>129</v>
      </c>
      <c r="I19" s="3">
        <f>IFERROR(IF(TS_ATHLETES[[#This Row],[TOTAL]]=0,"",RANK(TS_ATHLETES[[#This Row],[RANK VALUE]],TS_ATHLETES[RANK VALUE])+COUNTIF($H$1:H18,H19)),"")</f>
        <v>137</v>
      </c>
    </row>
    <row r="20" spans="1:9" x14ac:dyDescent="0.25">
      <c r="A20" t="s">
        <v>1099</v>
      </c>
      <c r="B20" s="3" t="s">
        <v>177</v>
      </c>
      <c r="C20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1</v>
      </c>
      <c r="D20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20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20" s="3">
        <f>SUM(TS_ATHLETES[[#This Row],[GOLD MEDALS]:[BRONZE MEDALS]])</f>
        <v>1</v>
      </c>
      <c r="G20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10100000</v>
      </c>
      <c r="H20" s="3">
        <f>IF(TS_ATHLETES[[#This Row],[TOTAL]]=0,"",RANK(TS_ATHLETES[[#This Row],[RANK VALUE]],TS_ATHLETES[RANK VALUE]))</f>
        <v>129</v>
      </c>
      <c r="I20" s="3">
        <f>IFERROR(IF(TS_ATHLETES[[#This Row],[TOTAL]]=0,"",RANK(TS_ATHLETES[[#This Row],[RANK VALUE]],TS_ATHLETES[RANK VALUE])+COUNTIF($H$1:H19,H20)),"")</f>
        <v>138</v>
      </c>
    </row>
    <row r="21" spans="1:9" x14ac:dyDescent="0.25">
      <c r="A21" t="s">
        <v>1100</v>
      </c>
      <c r="B21" s="3" t="s">
        <v>363</v>
      </c>
      <c r="C21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1</v>
      </c>
      <c r="D21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21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21" s="3">
        <f>SUM(TS_ATHLETES[[#This Row],[GOLD MEDALS]:[BRONZE MEDALS]])</f>
        <v>1</v>
      </c>
      <c r="G21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10100000</v>
      </c>
      <c r="H21" s="3">
        <f>IF(TS_ATHLETES[[#This Row],[TOTAL]]=0,"",RANK(TS_ATHLETES[[#This Row],[RANK VALUE]],TS_ATHLETES[RANK VALUE]))</f>
        <v>129</v>
      </c>
      <c r="I21" s="3">
        <f>IFERROR(IF(TS_ATHLETES[[#This Row],[TOTAL]]=0,"",RANK(TS_ATHLETES[[#This Row],[RANK VALUE]],TS_ATHLETES[RANK VALUE])+COUNTIF($H$1:H20,H21)),"")</f>
        <v>139</v>
      </c>
    </row>
    <row r="22" spans="1:9" x14ac:dyDescent="0.25">
      <c r="A22" t="s">
        <v>1101</v>
      </c>
      <c r="B22" s="3" t="s">
        <v>66</v>
      </c>
      <c r="C22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1</v>
      </c>
      <c r="D22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22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22" s="3">
        <f>SUM(TS_ATHLETES[[#This Row],[GOLD MEDALS]:[BRONZE MEDALS]])</f>
        <v>1</v>
      </c>
      <c r="G22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10100000</v>
      </c>
      <c r="H22" s="3">
        <f>IF(TS_ATHLETES[[#This Row],[TOTAL]]=0,"",RANK(TS_ATHLETES[[#This Row],[RANK VALUE]],TS_ATHLETES[RANK VALUE]))</f>
        <v>129</v>
      </c>
      <c r="I22" s="3">
        <f>IFERROR(IF(TS_ATHLETES[[#This Row],[TOTAL]]=0,"",RANK(TS_ATHLETES[[#This Row],[RANK VALUE]],TS_ATHLETES[RANK VALUE])+COUNTIF($H$1:H21,H22)),"")</f>
        <v>140</v>
      </c>
    </row>
    <row r="23" spans="1:9" x14ac:dyDescent="0.25">
      <c r="A23" t="s">
        <v>1102</v>
      </c>
      <c r="B23" s="3" t="s">
        <v>51</v>
      </c>
      <c r="C23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1</v>
      </c>
      <c r="D23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23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23" s="3">
        <f>SUM(TS_ATHLETES[[#This Row],[GOLD MEDALS]:[BRONZE MEDALS]])</f>
        <v>1</v>
      </c>
      <c r="G23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10100000</v>
      </c>
      <c r="H23" s="3">
        <f>IF(TS_ATHLETES[[#This Row],[TOTAL]]=0,"",RANK(TS_ATHLETES[[#This Row],[RANK VALUE]],TS_ATHLETES[RANK VALUE]))</f>
        <v>129</v>
      </c>
      <c r="I23" s="3">
        <f>IFERROR(IF(TS_ATHLETES[[#This Row],[TOTAL]]=0,"",RANK(TS_ATHLETES[[#This Row],[RANK VALUE]],TS_ATHLETES[RANK VALUE])+COUNTIF($H$1:H22,H23)),"")</f>
        <v>141</v>
      </c>
    </row>
    <row r="24" spans="1:9" x14ac:dyDescent="0.25">
      <c r="A24" t="s">
        <v>1103</v>
      </c>
      <c r="B24" s="3" t="s">
        <v>363</v>
      </c>
      <c r="C24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1</v>
      </c>
      <c r="D24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24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24" s="3">
        <f>SUM(TS_ATHLETES[[#This Row],[GOLD MEDALS]:[BRONZE MEDALS]])</f>
        <v>1</v>
      </c>
      <c r="G24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10100000</v>
      </c>
      <c r="H24" s="3">
        <f>IF(TS_ATHLETES[[#This Row],[TOTAL]]=0,"",RANK(TS_ATHLETES[[#This Row],[RANK VALUE]],TS_ATHLETES[RANK VALUE]))</f>
        <v>129</v>
      </c>
      <c r="I24" s="3">
        <f>IFERROR(IF(TS_ATHLETES[[#This Row],[TOTAL]]=0,"",RANK(TS_ATHLETES[[#This Row],[RANK VALUE]],TS_ATHLETES[RANK VALUE])+COUNTIF($H$1:H23,H24)),"")</f>
        <v>142</v>
      </c>
    </row>
    <row r="25" spans="1:9" x14ac:dyDescent="0.25">
      <c r="A25" t="s">
        <v>1104</v>
      </c>
      <c r="B25" s="3" t="s">
        <v>363</v>
      </c>
      <c r="C25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1</v>
      </c>
      <c r="D25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25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25" s="3">
        <f>SUM(TS_ATHLETES[[#This Row],[GOLD MEDALS]:[BRONZE MEDALS]])</f>
        <v>1</v>
      </c>
      <c r="G25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10100000</v>
      </c>
      <c r="H25" s="3">
        <f>IF(TS_ATHLETES[[#This Row],[TOTAL]]=0,"",RANK(TS_ATHLETES[[#This Row],[RANK VALUE]],TS_ATHLETES[RANK VALUE]))</f>
        <v>129</v>
      </c>
      <c r="I25" s="3">
        <f>IFERROR(IF(TS_ATHLETES[[#This Row],[TOTAL]]=0,"",RANK(TS_ATHLETES[[#This Row],[RANK VALUE]],TS_ATHLETES[RANK VALUE])+COUNTIF($H$1:H24,H25)),"")</f>
        <v>143</v>
      </c>
    </row>
    <row r="26" spans="1:9" x14ac:dyDescent="0.25">
      <c r="A26" t="s">
        <v>1105</v>
      </c>
      <c r="B26" s="3" t="s">
        <v>363</v>
      </c>
      <c r="C26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1</v>
      </c>
      <c r="D26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26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26" s="3">
        <f>SUM(TS_ATHLETES[[#This Row],[GOLD MEDALS]:[BRONZE MEDALS]])</f>
        <v>1</v>
      </c>
      <c r="G26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10100000</v>
      </c>
      <c r="H26" s="3">
        <f>IF(TS_ATHLETES[[#This Row],[TOTAL]]=0,"",RANK(TS_ATHLETES[[#This Row],[RANK VALUE]],TS_ATHLETES[RANK VALUE]))</f>
        <v>129</v>
      </c>
      <c r="I26" s="3">
        <f>IFERROR(IF(TS_ATHLETES[[#This Row],[TOTAL]]=0,"",RANK(TS_ATHLETES[[#This Row],[RANK VALUE]],TS_ATHLETES[RANK VALUE])+COUNTIF($H$1:H25,H26)),"")</f>
        <v>144</v>
      </c>
    </row>
    <row r="27" spans="1:9" x14ac:dyDescent="0.25">
      <c r="A27" t="s">
        <v>1106</v>
      </c>
      <c r="B27" s="3" t="s">
        <v>136</v>
      </c>
      <c r="C27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1</v>
      </c>
      <c r="D27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27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27" s="3">
        <f>SUM(TS_ATHLETES[[#This Row],[GOLD MEDALS]:[BRONZE MEDALS]])</f>
        <v>1</v>
      </c>
      <c r="G27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10100000</v>
      </c>
      <c r="H27" s="3">
        <f>IF(TS_ATHLETES[[#This Row],[TOTAL]]=0,"",RANK(TS_ATHLETES[[#This Row],[RANK VALUE]],TS_ATHLETES[RANK VALUE]))</f>
        <v>129</v>
      </c>
      <c r="I27" s="3">
        <f>IFERROR(IF(TS_ATHLETES[[#This Row],[TOTAL]]=0,"",RANK(TS_ATHLETES[[#This Row],[RANK VALUE]],TS_ATHLETES[RANK VALUE])+COUNTIF($H$1:H26,H27)),"")</f>
        <v>145</v>
      </c>
    </row>
    <row r="28" spans="1:9" x14ac:dyDescent="0.25">
      <c r="A28" t="s">
        <v>1107</v>
      </c>
      <c r="B28" s="3" t="s">
        <v>339</v>
      </c>
      <c r="C28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1</v>
      </c>
      <c r="D28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28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28" s="3">
        <f>SUM(TS_ATHLETES[[#This Row],[GOLD MEDALS]:[BRONZE MEDALS]])</f>
        <v>1</v>
      </c>
      <c r="G28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10100000</v>
      </c>
      <c r="H28" s="3">
        <f>IF(TS_ATHLETES[[#This Row],[TOTAL]]=0,"",RANK(TS_ATHLETES[[#This Row],[RANK VALUE]],TS_ATHLETES[RANK VALUE]))</f>
        <v>129</v>
      </c>
      <c r="I28" s="3">
        <f>IFERROR(IF(TS_ATHLETES[[#This Row],[TOTAL]]=0,"",RANK(TS_ATHLETES[[#This Row],[RANK VALUE]],TS_ATHLETES[RANK VALUE])+COUNTIF($H$1:H27,H28)),"")</f>
        <v>146</v>
      </c>
    </row>
    <row r="29" spans="1:9" x14ac:dyDescent="0.25">
      <c r="A29" t="s">
        <v>1108</v>
      </c>
      <c r="B29" s="3" t="s">
        <v>136</v>
      </c>
      <c r="C29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1</v>
      </c>
      <c r="D29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29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29" s="3">
        <f>SUM(TS_ATHLETES[[#This Row],[GOLD MEDALS]:[BRONZE MEDALS]])</f>
        <v>1</v>
      </c>
      <c r="G29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10100000</v>
      </c>
      <c r="H29" s="3">
        <f>IF(TS_ATHLETES[[#This Row],[TOTAL]]=0,"",RANK(TS_ATHLETES[[#This Row],[RANK VALUE]],TS_ATHLETES[RANK VALUE]))</f>
        <v>129</v>
      </c>
      <c r="I29" s="3">
        <f>IFERROR(IF(TS_ATHLETES[[#This Row],[TOTAL]]=0,"",RANK(TS_ATHLETES[[#This Row],[RANK VALUE]],TS_ATHLETES[RANK VALUE])+COUNTIF($H$1:H28,H29)),"")</f>
        <v>147</v>
      </c>
    </row>
    <row r="30" spans="1:9" x14ac:dyDescent="0.25">
      <c r="A30" t="s">
        <v>551</v>
      </c>
      <c r="B30" s="3" t="s">
        <v>363</v>
      </c>
      <c r="C30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1</v>
      </c>
      <c r="D30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30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30" s="3">
        <f>SUM(TS_ATHLETES[[#This Row],[GOLD MEDALS]:[BRONZE MEDALS]])</f>
        <v>1</v>
      </c>
      <c r="G30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10100000</v>
      </c>
      <c r="H30" s="3">
        <f>IF(TS_ATHLETES[[#This Row],[TOTAL]]=0,"",RANK(TS_ATHLETES[[#This Row],[RANK VALUE]],TS_ATHLETES[RANK VALUE]))</f>
        <v>129</v>
      </c>
      <c r="I30" s="3">
        <f>IFERROR(IF(TS_ATHLETES[[#This Row],[TOTAL]]=0,"",RANK(TS_ATHLETES[[#This Row],[RANK VALUE]],TS_ATHLETES[RANK VALUE])+COUNTIF($H$1:H29,H30)),"")</f>
        <v>148</v>
      </c>
    </row>
    <row r="31" spans="1:9" x14ac:dyDescent="0.25">
      <c r="A31" t="s">
        <v>1109</v>
      </c>
      <c r="B31" s="3" t="s">
        <v>77</v>
      </c>
      <c r="C31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1</v>
      </c>
      <c r="D31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31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31" s="3">
        <f>SUM(TS_ATHLETES[[#This Row],[GOLD MEDALS]:[BRONZE MEDALS]])</f>
        <v>1</v>
      </c>
      <c r="G31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10100000</v>
      </c>
      <c r="H31" s="3">
        <f>IF(TS_ATHLETES[[#This Row],[TOTAL]]=0,"",RANK(TS_ATHLETES[[#This Row],[RANK VALUE]],TS_ATHLETES[RANK VALUE]))</f>
        <v>129</v>
      </c>
      <c r="I31" s="3">
        <f>IFERROR(IF(TS_ATHLETES[[#This Row],[TOTAL]]=0,"",RANK(TS_ATHLETES[[#This Row],[RANK VALUE]],TS_ATHLETES[RANK VALUE])+COUNTIF($H$1:H30,H31)),"")</f>
        <v>149</v>
      </c>
    </row>
    <row r="32" spans="1:9" x14ac:dyDescent="0.25">
      <c r="A32" t="s">
        <v>1110</v>
      </c>
      <c r="B32" s="3" t="s">
        <v>311</v>
      </c>
      <c r="C32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1</v>
      </c>
      <c r="D32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32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32" s="3">
        <f>SUM(TS_ATHLETES[[#This Row],[GOLD MEDALS]:[BRONZE MEDALS]])</f>
        <v>1</v>
      </c>
      <c r="G32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10100000</v>
      </c>
      <c r="H32" s="3">
        <f>IF(TS_ATHLETES[[#This Row],[TOTAL]]=0,"",RANK(TS_ATHLETES[[#This Row],[RANK VALUE]],TS_ATHLETES[RANK VALUE]))</f>
        <v>129</v>
      </c>
      <c r="I32" s="3">
        <f>IFERROR(IF(TS_ATHLETES[[#This Row],[TOTAL]]=0,"",RANK(TS_ATHLETES[[#This Row],[RANK VALUE]],TS_ATHLETES[RANK VALUE])+COUNTIF($H$1:H31,H32)),"")</f>
        <v>150</v>
      </c>
    </row>
    <row r="33" spans="1:9" x14ac:dyDescent="0.25">
      <c r="A33" t="s">
        <v>1111</v>
      </c>
      <c r="B33" s="3" t="s">
        <v>177</v>
      </c>
      <c r="C33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2</v>
      </c>
      <c r="D33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1</v>
      </c>
      <c r="E33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33" s="3">
        <f>SUM(TS_ATHLETES[[#This Row],[GOLD MEDALS]:[BRONZE MEDALS]])</f>
        <v>3</v>
      </c>
      <c r="G33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30200100</v>
      </c>
      <c r="H33" s="3">
        <f>IF(TS_ATHLETES[[#This Row],[TOTAL]]=0,"",RANK(TS_ATHLETES[[#This Row],[RANK VALUE]],TS_ATHLETES[RANK VALUE]))</f>
        <v>14</v>
      </c>
      <c r="I33" s="3">
        <f>IFERROR(IF(TS_ATHLETES[[#This Row],[TOTAL]]=0,"",RANK(TS_ATHLETES[[#This Row],[RANK VALUE]],TS_ATHLETES[RANK VALUE])+COUNTIF($H$1:H32,H33)),"")</f>
        <v>14</v>
      </c>
    </row>
    <row r="34" spans="1:9" x14ac:dyDescent="0.25">
      <c r="A34" t="s">
        <v>1112</v>
      </c>
      <c r="B34" s="3" t="s">
        <v>27</v>
      </c>
      <c r="C34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1</v>
      </c>
      <c r="D34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34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34" s="3">
        <f>SUM(TS_ATHLETES[[#This Row],[GOLD MEDALS]:[BRONZE MEDALS]])</f>
        <v>1</v>
      </c>
      <c r="G34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10100000</v>
      </c>
      <c r="H34" s="3">
        <f>IF(TS_ATHLETES[[#This Row],[TOTAL]]=0,"",RANK(TS_ATHLETES[[#This Row],[RANK VALUE]],TS_ATHLETES[RANK VALUE]))</f>
        <v>129</v>
      </c>
      <c r="I34" s="3">
        <f>IFERROR(IF(TS_ATHLETES[[#This Row],[TOTAL]]=0,"",RANK(TS_ATHLETES[[#This Row],[RANK VALUE]],TS_ATHLETES[RANK VALUE])+COUNTIF($H$1:H33,H34)),"")</f>
        <v>151</v>
      </c>
    </row>
    <row r="35" spans="1:9" x14ac:dyDescent="0.25">
      <c r="A35" t="s">
        <v>1113</v>
      </c>
      <c r="B35" s="3" t="s">
        <v>319</v>
      </c>
      <c r="C35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1</v>
      </c>
      <c r="D35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35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35" s="3">
        <f>SUM(TS_ATHLETES[[#This Row],[GOLD MEDALS]:[BRONZE MEDALS]])</f>
        <v>1</v>
      </c>
      <c r="G35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10100000</v>
      </c>
      <c r="H35" s="3">
        <f>IF(TS_ATHLETES[[#This Row],[TOTAL]]=0,"",RANK(TS_ATHLETES[[#This Row],[RANK VALUE]],TS_ATHLETES[RANK VALUE]))</f>
        <v>129</v>
      </c>
      <c r="I35" s="3">
        <f>IFERROR(IF(TS_ATHLETES[[#This Row],[TOTAL]]=0,"",RANK(TS_ATHLETES[[#This Row],[RANK VALUE]],TS_ATHLETES[RANK VALUE])+COUNTIF($H$1:H34,H35)),"")</f>
        <v>152</v>
      </c>
    </row>
    <row r="36" spans="1:9" x14ac:dyDescent="0.25">
      <c r="A36" t="s">
        <v>1114</v>
      </c>
      <c r="B36" s="3" t="s">
        <v>185</v>
      </c>
      <c r="C36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1</v>
      </c>
      <c r="D36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36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36" s="3">
        <f>SUM(TS_ATHLETES[[#This Row],[GOLD MEDALS]:[BRONZE MEDALS]])</f>
        <v>1</v>
      </c>
      <c r="G36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10100000</v>
      </c>
      <c r="H36" s="3">
        <f>IF(TS_ATHLETES[[#This Row],[TOTAL]]=0,"",RANK(TS_ATHLETES[[#This Row],[RANK VALUE]],TS_ATHLETES[RANK VALUE]))</f>
        <v>129</v>
      </c>
      <c r="I36" s="3">
        <f>IFERROR(IF(TS_ATHLETES[[#This Row],[TOTAL]]=0,"",RANK(TS_ATHLETES[[#This Row],[RANK VALUE]],TS_ATHLETES[RANK VALUE])+COUNTIF($H$1:H35,H36)),"")</f>
        <v>153</v>
      </c>
    </row>
    <row r="37" spans="1:9" x14ac:dyDescent="0.25">
      <c r="A37" t="s">
        <v>1115</v>
      </c>
      <c r="B37" s="3" t="s">
        <v>185</v>
      </c>
      <c r="C37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1</v>
      </c>
      <c r="D37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1</v>
      </c>
      <c r="E37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37" s="3">
        <f>SUM(TS_ATHLETES[[#This Row],[GOLD MEDALS]:[BRONZE MEDALS]])</f>
        <v>2</v>
      </c>
      <c r="G37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20100100</v>
      </c>
      <c r="H37" s="3">
        <f>IF(TS_ATHLETES[[#This Row],[TOTAL]]=0,"",RANK(TS_ATHLETES[[#This Row],[RANK VALUE]],TS_ATHLETES[RANK VALUE]))</f>
        <v>48</v>
      </c>
      <c r="I37" s="3">
        <f>IFERROR(IF(TS_ATHLETES[[#This Row],[TOTAL]]=0,"",RANK(TS_ATHLETES[[#This Row],[RANK VALUE]],TS_ATHLETES[RANK VALUE])+COUNTIF($H$1:H36,H37)),"")</f>
        <v>49</v>
      </c>
    </row>
    <row r="38" spans="1:9" x14ac:dyDescent="0.25">
      <c r="A38" t="s">
        <v>1116</v>
      </c>
      <c r="B38" s="3" t="s">
        <v>122</v>
      </c>
      <c r="C38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1</v>
      </c>
      <c r="D38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38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1</v>
      </c>
      <c r="F38" s="3">
        <f>SUM(TS_ATHLETES[[#This Row],[GOLD MEDALS]:[BRONZE MEDALS]])</f>
        <v>2</v>
      </c>
      <c r="G38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20100010</v>
      </c>
      <c r="H38" s="3">
        <f>IF(TS_ATHLETES[[#This Row],[TOTAL]]=0,"",RANK(TS_ATHLETES[[#This Row],[RANK VALUE]],TS_ATHLETES[RANK VALUE]))</f>
        <v>71</v>
      </c>
      <c r="I38" s="3">
        <f>IFERROR(IF(TS_ATHLETES[[#This Row],[TOTAL]]=0,"",RANK(TS_ATHLETES[[#This Row],[RANK VALUE]],TS_ATHLETES[RANK VALUE])+COUNTIF($H$1:H37,H38)),"")</f>
        <v>71</v>
      </c>
    </row>
    <row r="39" spans="1:9" x14ac:dyDescent="0.25">
      <c r="A39" t="s">
        <v>1117</v>
      </c>
      <c r="B39" s="3" t="s">
        <v>185</v>
      </c>
      <c r="C39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1</v>
      </c>
      <c r="D39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39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39" s="3">
        <f>SUM(TS_ATHLETES[[#This Row],[GOLD MEDALS]:[BRONZE MEDALS]])</f>
        <v>1</v>
      </c>
      <c r="G39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10100000</v>
      </c>
      <c r="H39" s="3">
        <f>IF(TS_ATHLETES[[#This Row],[TOTAL]]=0,"",RANK(TS_ATHLETES[[#This Row],[RANK VALUE]],TS_ATHLETES[RANK VALUE]))</f>
        <v>129</v>
      </c>
      <c r="I39" s="3">
        <f>IFERROR(IF(TS_ATHLETES[[#This Row],[TOTAL]]=0,"",RANK(TS_ATHLETES[[#This Row],[RANK VALUE]],TS_ATHLETES[RANK VALUE])+COUNTIF($H$1:H38,H39)),"")</f>
        <v>154</v>
      </c>
    </row>
    <row r="40" spans="1:9" x14ac:dyDescent="0.25">
      <c r="A40" t="s">
        <v>1118</v>
      </c>
      <c r="B40" s="3" t="s">
        <v>29</v>
      </c>
      <c r="C40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1</v>
      </c>
      <c r="D40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40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40" s="3">
        <f>SUM(TS_ATHLETES[[#This Row],[GOLD MEDALS]:[BRONZE MEDALS]])</f>
        <v>1</v>
      </c>
      <c r="G40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10100000</v>
      </c>
      <c r="H40" s="3">
        <f>IF(TS_ATHLETES[[#This Row],[TOTAL]]=0,"",RANK(TS_ATHLETES[[#This Row],[RANK VALUE]],TS_ATHLETES[RANK VALUE]))</f>
        <v>129</v>
      </c>
      <c r="I40" s="3">
        <f>IFERROR(IF(TS_ATHLETES[[#This Row],[TOTAL]]=0,"",RANK(TS_ATHLETES[[#This Row],[RANK VALUE]],TS_ATHLETES[RANK VALUE])+COUNTIF($H$1:H39,H40)),"")</f>
        <v>155</v>
      </c>
    </row>
    <row r="41" spans="1:9" x14ac:dyDescent="0.25">
      <c r="A41" t="s">
        <v>1119</v>
      </c>
      <c r="B41" s="3" t="s">
        <v>363</v>
      </c>
      <c r="C41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1</v>
      </c>
      <c r="D41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41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41" s="3">
        <f>SUM(TS_ATHLETES[[#This Row],[GOLD MEDALS]:[BRONZE MEDALS]])</f>
        <v>1</v>
      </c>
      <c r="G41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10100000</v>
      </c>
      <c r="H41" s="3">
        <f>IF(TS_ATHLETES[[#This Row],[TOTAL]]=0,"",RANK(TS_ATHLETES[[#This Row],[RANK VALUE]],TS_ATHLETES[RANK VALUE]))</f>
        <v>129</v>
      </c>
      <c r="I41" s="3">
        <f>IFERROR(IF(TS_ATHLETES[[#This Row],[TOTAL]]=0,"",RANK(TS_ATHLETES[[#This Row],[RANK VALUE]],TS_ATHLETES[RANK VALUE])+COUNTIF($H$1:H40,H41)),"")</f>
        <v>156</v>
      </c>
    </row>
    <row r="42" spans="1:9" x14ac:dyDescent="0.25">
      <c r="A42" t="s">
        <v>1120</v>
      </c>
      <c r="B42" s="3" t="s">
        <v>363</v>
      </c>
      <c r="C42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1</v>
      </c>
      <c r="D42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42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42" s="3">
        <f>SUM(TS_ATHLETES[[#This Row],[GOLD MEDALS]:[BRONZE MEDALS]])</f>
        <v>1</v>
      </c>
      <c r="G42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10100000</v>
      </c>
      <c r="H42" s="3">
        <f>IF(TS_ATHLETES[[#This Row],[TOTAL]]=0,"",RANK(TS_ATHLETES[[#This Row],[RANK VALUE]],TS_ATHLETES[RANK VALUE]))</f>
        <v>129</v>
      </c>
      <c r="I42" s="3">
        <f>IFERROR(IF(TS_ATHLETES[[#This Row],[TOTAL]]=0,"",RANK(TS_ATHLETES[[#This Row],[RANK VALUE]],TS_ATHLETES[RANK VALUE])+COUNTIF($H$1:H41,H42)),"")</f>
        <v>157</v>
      </c>
    </row>
    <row r="43" spans="1:9" x14ac:dyDescent="0.25">
      <c r="A43" t="s">
        <v>1121</v>
      </c>
      <c r="B43" s="3" t="s">
        <v>321</v>
      </c>
      <c r="C43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1</v>
      </c>
      <c r="D43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43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43" s="3">
        <f>SUM(TS_ATHLETES[[#This Row],[GOLD MEDALS]:[BRONZE MEDALS]])</f>
        <v>1</v>
      </c>
      <c r="G43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10100000</v>
      </c>
      <c r="H43" s="3">
        <f>IF(TS_ATHLETES[[#This Row],[TOTAL]]=0,"",RANK(TS_ATHLETES[[#This Row],[RANK VALUE]],TS_ATHLETES[RANK VALUE]))</f>
        <v>129</v>
      </c>
      <c r="I43" s="3">
        <f>IFERROR(IF(TS_ATHLETES[[#This Row],[TOTAL]]=0,"",RANK(TS_ATHLETES[[#This Row],[RANK VALUE]],TS_ATHLETES[RANK VALUE])+COUNTIF($H$1:H42,H43)),"")</f>
        <v>158</v>
      </c>
    </row>
    <row r="44" spans="1:9" x14ac:dyDescent="0.25">
      <c r="A44" t="s">
        <v>1122</v>
      </c>
      <c r="B44" s="3" t="s">
        <v>140</v>
      </c>
      <c r="C44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1</v>
      </c>
      <c r="D44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44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44" s="3">
        <f>SUM(TS_ATHLETES[[#This Row],[GOLD MEDALS]:[BRONZE MEDALS]])</f>
        <v>1</v>
      </c>
      <c r="G44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10100000</v>
      </c>
      <c r="H44" s="3">
        <f>IF(TS_ATHLETES[[#This Row],[TOTAL]]=0,"",RANK(TS_ATHLETES[[#This Row],[RANK VALUE]],TS_ATHLETES[RANK VALUE]))</f>
        <v>129</v>
      </c>
      <c r="I44" s="3">
        <f>IFERROR(IF(TS_ATHLETES[[#This Row],[TOTAL]]=0,"",RANK(TS_ATHLETES[[#This Row],[RANK VALUE]],TS_ATHLETES[RANK VALUE])+COUNTIF($H$1:H43,H44)),"")</f>
        <v>159</v>
      </c>
    </row>
    <row r="45" spans="1:9" x14ac:dyDescent="0.25">
      <c r="A45" t="s">
        <v>1123</v>
      </c>
      <c r="B45" s="3" t="s">
        <v>363</v>
      </c>
      <c r="C45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2</v>
      </c>
      <c r="D45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45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45" s="3">
        <f>SUM(TS_ATHLETES[[#This Row],[GOLD MEDALS]:[BRONZE MEDALS]])</f>
        <v>2</v>
      </c>
      <c r="G45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20200000</v>
      </c>
      <c r="H45" s="3">
        <f>IF(TS_ATHLETES[[#This Row],[TOTAL]]=0,"",RANK(TS_ATHLETES[[#This Row],[RANK VALUE]],TS_ATHLETES[RANK VALUE]))</f>
        <v>27</v>
      </c>
      <c r="I45" s="3">
        <f>IFERROR(IF(TS_ATHLETES[[#This Row],[TOTAL]]=0,"",RANK(TS_ATHLETES[[#This Row],[RANK VALUE]],TS_ATHLETES[RANK VALUE])+COUNTIF($H$1:H44,H45)),"")</f>
        <v>31</v>
      </c>
    </row>
    <row r="46" spans="1:9" x14ac:dyDescent="0.25">
      <c r="A46" t="s">
        <v>1124</v>
      </c>
      <c r="B46" s="3" t="s">
        <v>79</v>
      </c>
      <c r="C46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1</v>
      </c>
      <c r="D46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46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46" s="3">
        <f>SUM(TS_ATHLETES[[#This Row],[GOLD MEDALS]:[BRONZE MEDALS]])</f>
        <v>1</v>
      </c>
      <c r="G46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10100000</v>
      </c>
      <c r="H46" s="3">
        <f>IF(TS_ATHLETES[[#This Row],[TOTAL]]=0,"",RANK(TS_ATHLETES[[#This Row],[RANK VALUE]],TS_ATHLETES[RANK VALUE]))</f>
        <v>129</v>
      </c>
      <c r="I46" s="3">
        <f>IFERROR(IF(TS_ATHLETES[[#This Row],[TOTAL]]=0,"",RANK(TS_ATHLETES[[#This Row],[RANK VALUE]],TS_ATHLETES[RANK VALUE])+COUNTIF($H$1:H45,H46)),"")</f>
        <v>160</v>
      </c>
    </row>
    <row r="47" spans="1:9" x14ac:dyDescent="0.25">
      <c r="A47" t="s">
        <v>1125</v>
      </c>
      <c r="B47" s="3" t="s">
        <v>363</v>
      </c>
      <c r="C47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1</v>
      </c>
      <c r="D47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47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47" s="3">
        <f>SUM(TS_ATHLETES[[#This Row],[GOLD MEDALS]:[BRONZE MEDALS]])</f>
        <v>1</v>
      </c>
      <c r="G47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10100000</v>
      </c>
      <c r="H47" s="3">
        <f>IF(TS_ATHLETES[[#This Row],[TOTAL]]=0,"",RANK(TS_ATHLETES[[#This Row],[RANK VALUE]],TS_ATHLETES[RANK VALUE]))</f>
        <v>129</v>
      </c>
      <c r="I47" s="3">
        <f>IFERROR(IF(TS_ATHLETES[[#This Row],[TOTAL]]=0,"",RANK(TS_ATHLETES[[#This Row],[RANK VALUE]],TS_ATHLETES[RANK VALUE])+COUNTIF($H$1:H46,H47)),"")</f>
        <v>161</v>
      </c>
    </row>
    <row r="48" spans="1:9" x14ac:dyDescent="0.25">
      <c r="A48" t="s">
        <v>1126</v>
      </c>
      <c r="B48" s="3" t="s">
        <v>92</v>
      </c>
      <c r="C48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1</v>
      </c>
      <c r="D48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48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48" s="3">
        <f>SUM(TS_ATHLETES[[#This Row],[GOLD MEDALS]:[BRONZE MEDALS]])</f>
        <v>1</v>
      </c>
      <c r="G48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10100000</v>
      </c>
      <c r="H48" s="3">
        <f>IF(TS_ATHLETES[[#This Row],[TOTAL]]=0,"",RANK(TS_ATHLETES[[#This Row],[RANK VALUE]],TS_ATHLETES[RANK VALUE]))</f>
        <v>129</v>
      </c>
      <c r="I48" s="3">
        <f>IFERROR(IF(TS_ATHLETES[[#This Row],[TOTAL]]=0,"",RANK(TS_ATHLETES[[#This Row],[RANK VALUE]],TS_ATHLETES[RANK VALUE])+COUNTIF($H$1:H47,H48)),"")</f>
        <v>162</v>
      </c>
    </row>
    <row r="49" spans="1:9" x14ac:dyDescent="0.25">
      <c r="A49" t="s">
        <v>1127</v>
      </c>
      <c r="B49" s="3" t="s">
        <v>280</v>
      </c>
      <c r="C49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1</v>
      </c>
      <c r="D49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49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49" s="3">
        <f>SUM(TS_ATHLETES[[#This Row],[GOLD MEDALS]:[BRONZE MEDALS]])</f>
        <v>1</v>
      </c>
      <c r="G49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10100000</v>
      </c>
      <c r="H49" s="3">
        <f>IF(TS_ATHLETES[[#This Row],[TOTAL]]=0,"",RANK(TS_ATHLETES[[#This Row],[RANK VALUE]],TS_ATHLETES[RANK VALUE]))</f>
        <v>129</v>
      </c>
      <c r="I49" s="3">
        <f>IFERROR(IF(TS_ATHLETES[[#This Row],[TOTAL]]=0,"",RANK(TS_ATHLETES[[#This Row],[RANK VALUE]],TS_ATHLETES[RANK VALUE])+COUNTIF($H$1:H48,H49)),"")</f>
        <v>163</v>
      </c>
    </row>
    <row r="50" spans="1:9" x14ac:dyDescent="0.25">
      <c r="A50" t="s">
        <v>1128</v>
      </c>
      <c r="B50" s="3" t="s">
        <v>92</v>
      </c>
      <c r="C50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1</v>
      </c>
      <c r="D50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50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50" s="3">
        <f>SUM(TS_ATHLETES[[#This Row],[GOLD MEDALS]:[BRONZE MEDALS]])</f>
        <v>1</v>
      </c>
      <c r="G50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10100000</v>
      </c>
      <c r="H50" s="3">
        <f>IF(TS_ATHLETES[[#This Row],[TOTAL]]=0,"",RANK(TS_ATHLETES[[#This Row],[RANK VALUE]],TS_ATHLETES[RANK VALUE]))</f>
        <v>129</v>
      </c>
      <c r="I50" s="3">
        <f>IFERROR(IF(TS_ATHLETES[[#This Row],[TOTAL]]=0,"",RANK(TS_ATHLETES[[#This Row],[RANK VALUE]],TS_ATHLETES[RANK VALUE])+COUNTIF($H$1:H49,H50)),"")</f>
        <v>164</v>
      </c>
    </row>
    <row r="51" spans="1:9" x14ac:dyDescent="0.25">
      <c r="A51" t="s">
        <v>554</v>
      </c>
      <c r="B51" s="3" t="s">
        <v>37</v>
      </c>
      <c r="C51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1</v>
      </c>
      <c r="D51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51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51" s="3">
        <f>SUM(TS_ATHLETES[[#This Row],[GOLD MEDALS]:[BRONZE MEDALS]])</f>
        <v>1</v>
      </c>
      <c r="G51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10100000</v>
      </c>
      <c r="H51" s="3">
        <f>IF(TS_ATHLETES[[#This Row],[TOTAL]]=0,"",RANK(TS_ATHLETES[[#This Row],[RANK VALUE]],TS_ATHLETES[RANK VALUE]))</f>
        <v>129</v>
      </c>
      <c r="I51" s="3">
        <f>IFERROR(IF(TS_ATHLETES[[#This Row],[TOTAL]]=0,"",RANK(TS_ATHLETES[[#This Row],[RANK VALUE]],TS_ATHLETES[RANK VALUE])+COUNTIF($H$1:H50,H51)),"")</f>
        <v>165</v>
      </c>
    </row>
    <row r="52" spans="1:9" x14ac:dyDescent="0.25">
      <c r="A52" t="s">
        <v>1129</v>
      </c>
      <c r="B52" s="3" t="s">
        <v>77</v>
      </c>
      <c r="C52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1</v>
      </c>
      <c r="D52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52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52" s="3">
        <f>SUM(TS_ATHLETES[[#This Row],[GOLD MEDALS]:[BRONZE MEDALS]])</f>
        <v>1</v>
      </c>
      <c r="G52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10100000</v>
      </c>
      <c r="H52" s="3">
        <f>IF(TS_ATHLETES[[#This Row],[TOTAL]]=0,"",RANK(TS_ATHLETES[[#This Row],[RANK VALUE]],TS_ATHLETES[RANK VALUE]))</f>
        <v>129</v>
      </c>
      <c r="I52" s="3">
        <f>IFERROR(IF(TS_ATHLETES[[#This Row],[TOTAL]]=0,"",RANK(TS_ATHLETES[[#This Row],[RANK VALUE]],TS_ATHLETES[RANK VALUE])+COUNTIF($H$1:H51,H52)),"")</f>
        <v>166</v>
      </c>
    </row>
    <row r="53" spans="1:9" x14ac:dyDescent="0.25">
      <c r="A53" t="s">
        <v>1130</v>
      </c>
      <c r="B53" s="3" t="s">
        <v>77</v>
      </c>
      <c r="C53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1</v>
      </c>
      <c r="D53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53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53" s="3">
        <f>SUM(TS_ATHLETES[[#This Row],[GOLD MEDALS]:[BRONZE MEDALS]])</f>
        <v>1</v>
      </c>
      <c r="G53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10100000</v>
      </c>
      <c r="H53" s="3">
        <f>IF(TS_ATHLETES[[#This Row],[TOTAL]]=0,"",RANK(TS_ATHLETES[[#This Row],[RANK VALUE]],TS_ATHLETES[RANK VALUE]))</f>
        <v>129</v>
      </c>
      <c r="I53" s="3">
        <f>IFERROR(IF(TS_ATHLETES[[#This Row],[TOTAL]]=0,"",RANK(TS_ATHLETES[[#This Row],[RANK VALUE]],TS_ATHLETES[RANK VALUE])+COUNTIF($H$1:H52,H53)),"")</f>
        <v>167</v>
      </c>
    </row>
    <row r="54" spans="1:9" x14ac:dyDescent="0.25">
      <c r="A54" t="s">
        <v>1131</v>
      </c>
      <c r="B54" s="3" t="s">
        <v>321</v>
      </c>
      <c r="C54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1</v>
      </c>
      <c r="D54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54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54" s="3">
        <f>SUM(TS_ATHLETES[[#This Row],[GOLD MEDALS]:[BRONZE MEDALS]])</f>
        <v>1</v>
      </c>
      <c r="G54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10100000</v>
      </c>
      <c r="H54" s="3">
        <f>IF(TS_ATHLETES[[#This Row],[TOTAL]]=0,"",RANK(TS_ATHLETES[[#This Row],[RANK VALUE]],TS_ATHLETES[RANK VALUE]))</f>
        <v>129</v>
      </c>
      <c r="I54" s="3">
        <f>IFERROR(IF(TS_ATHLETES[[#This Row],[TOTAL]]=0,"",RANK(TS_ATHLETES[[#This Row],[RANK VALUE]],TS_ATHLETES[RANK VALUE])+COUNTIF($H$1:H53,H54)),"")</f>
        <v>168</v>
      </c>
    </row>
    <row r="55" spans="1:9" x14ac:dyDescent="0.25">
      <c r="A55" t="s">
        <v>1132</v>
      </c>
      <c r="B55" s="3" t="s">
        <v>367</v>
      </c>
      <c r="C55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1</v>
      </c>
      <c r="D55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55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55" s="3">
        <f>SUM(TS_ATHLETES[[#This Row],[GOLD MEDALS]:[BRONZE MEDALS]])</f>
        <v>1</v>
      </c>
      <c r="G55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10100000</v>
      </c>
      <c r="H55" s="3">
        <f>IF(TS_ATHLETES[[#This Row],[TOTAL]]=0,"",RANK(TS_ATHLETES[[#This Row],[RANK VALUE]],TS_ATHLETES[RANK VALUE]))</f>
        <v>129</v>
      </c>
      <c r="I55" s="3">
        <f>IFERROR(IF(TS_ATHLETES[[#This Row],[TOTAL]]=0,"",RANK(TS_ATHLETES[[#This Row],[RANK VALUE]],TS_ATHLETES[RANK VALUE])+COUNTIF($H$1:H54,H55)),"")</f>
        <v>169</v>
      </c>
    </row>
    <row r="56" spans="1:9" x14ac:dyDescent="0.25">
      <c r="A56" t="s">
        <v>936</v>
      </c>
      <c r="B56" s="3" t="s">
        <v>367</v>
      </c>
      <c r="C56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1</v>
      </c>
      <c r="D56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56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56" s="3">
        <f>SUM(TS_ATHLETES[[#This Row],[GOLD MEDALS]:[BRONZE MEDALS]])</f>
        <v>1</v>
      </c>
      <c r="G56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10100000</v>
      </c>
      <c r="H56" s="3">
        <f>IF(TS_ATHLETES[[#This Row],[TOTAL]]=0,"",RANK(TS_ATHLETES[[#This Row],[RANK VALUE]],TS_ATHLETES[RANK VALUE]))</f>
        <v>129</v>
      </c>
      <c r="I56" s="3">
        <f>IFERROR(IF(TS_ATHLETES[[#This Row],[TOTAL]]=0,"",RANK(TS_ATHLETES[[#This Row],[RANK VALUE]],TS_ATHLETES[RANK VALUE])+COUNTIF($H$1:H55,H56)),"")</f>
        <v>170</v>
      </c>
    </row>
    <row r="57" spans="1:9" x14ac:dyDescent="0.25">
      <c r="A57" t="s">
        <v>1133</v>
      </c>
      <c r="B57" s="3" t="s">
        <v>94</v>
      </c>
      <c r="C57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1</v>
      </c>
      <c r="D57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57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57" s="3">
        <f>SUM(TS_ATHLETES[[#This Row],[GOLD MEDALS]:[BRONZE MEDALS]])</f>
        <v>1</v>
      </c>
      <c r="G57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10100000</v>
      </c>
      <c r="H57" s="3">
        <f>IF(TS_ATHLETES[[#This Row],[TOTAL]]=0,"",RANK(TS_ATHLETES[[#This Row],[RANK VALUE]],TS_ATHLETES[RANK VALUE]))</f>
        <v>129</v>
      </c>
      <c r="I57" s="3">
        <f>IFERROR(IF(TS_ATHLETES[[#This Row],[TOTAL]]=0,"",RANK(TS_ATHLETES[[#This Row],[RANK VALUE]],TS_ATHLETES[RANK VALUE])+COUNTIF($H$1:H56,H57)),"")</f>
        <v>171</v>
      </c>
    </row>
    <row r="58" spans="1:9" x14ac:dyDescent="0.25">
      <c r="A58" t="s">
        <v>1134</v>
      </c>
      <c r="B58" s="3" t="s">
        <v>51</v>
      </c>
      <c r="C58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1</v>
      </c>
      <c r="D58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58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58" s="3">
        <f>SUM(TS_ATHLETES[[#This Row],[GOLD MEDALS]:[BRONZE MEDALS]])</f>
        <v>1</v>
      </c>
      <c r="G58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10100000</v>
      </c>
      <c r="H58" s="3">
        <f>IF(TS_ATHLETES[[#This Row],[TOTAL]]=0,"",RANK(TS_ATHLETES[[#This Row],[RANK VALUE]],TS_ATHLETES[RANK VALUE]))</f>
        <v>129</v>
      </c>
      <c r="I58" s="3">
        <f>IFERROR(IF(TS_ATHLETES[[#This Row],[TOTAL]]=0,"",RANK(TS_ATHLETES[[#This Row],[RANK VALUE]],TS_ATHLETES[RANK VALUE])+COUNTIF($H$1:H57,H58)),"")</f>
        <v>172</v>
      </c>
    </row>
    <row r="59" spans="1:9" x14ac:dyDescent="0.25">
      <c r="A59" t="s">
        <v>938</v>
      </c>
      <c r="B59" s="3" t="s">
        <v>367</v>
      </c>
      <c r="C59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1</v>
      </c>
      <c r="D59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59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59" s="3">
        <f>SUM(TS_ATHLETES[[#This Row],[GOLD MEDALS]:[BRONZE MEDALS]])</f>
        <v>1</v>
      </c>
      <c r="G59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10100000</v>
      </c>
      <c r="H59" s="3">
        <f>IF(TS_ATHLETES[[#This Row],[TOTAL]]=0,"",RANK(TS_ATHLETES[[#This Row],[RANK VALUE]],TS_ATHLETES[RANK VALUE]))</f>
        <v>129</v>
      </c>
      <c r="I59" s="3">
        <f>IFERROR(IF(TS_ATHLETES[[#This Row],[TOTAL]]=0,"",RANK(TS_ATHLETES[[#This Row],[RANK VALUE]],TS_ATHLETES[RANK VALUE])+COUNTIF($H$1:H58,H59)),"")</f>
        <v>173</v>
      </c>
    </row>
    <row r="60" spans="1:9" x14ac:dyDescent="0.25">
      <c r="A60" t="s">
        <v>1135</v>
      </c>
      <c r="B60" s="3" t="s">
        <v>183</v>
      </c>
      <c r="C60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1</v>
      </c>
      <c r="D60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60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60" s="3">
        <f>SUM(TS_ATHLETES[[#This Row],[GOLD MEDALS]:[BRONZE MEDALS]])</f>
        <v>1</v>
      </c>
      <c r="G60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10100000</v>
      </c>
      <c r="H60" s="3">
        <f>IF(TS_ATHLETES[[#This Row],[TOTAL]]=0,"",RANK(TS_ATHLETES[[#This Row],[RANK VALUE]],TS_ATHLETES[RANK VALUE]))</f>
        <v>129</v>
      </c>
      <c r="I60" s="3">
        <f>IFERROR(IF(TS_ATHLETES[[#This Row],[TOTAL]]=0,"",RANK(TS_ATHLETES[[#This Row],[RANK VALUE]],TS_ATHLETES[RANK VALUE])+COUNTIF($H$1:H59,H60)),"")</f>
        <v>174</v>
      </c>
    </row>
    <row r="61" spans="1:9" x14ac:dyDescent="0.25">
      <c r="A61" t="s">
        <v>1136</v>
      </c>
      <c r="B61" s="3" t="s">
        <v>94</v>
      </c>
      <c r="C61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1</v>
      </c>
      <c r="D61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61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61" s="3">
        <f>SUM(TS_ATHLETES[[#This Row],[GOLD MEDALS]:[BRONZE MEDALS]])</f>
        <v>1</v>
      </c>
      <c r="G61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10100000</v>
      </c>
      <c r="H61" s="3">
        <f>IF(TS_ATHLETES[[#This Row],[TOTAL]]=0,"",RANK(TS_ATHLETES[[#This Row],[RANK VALUE]],TS_ATHLETES[RANK VALUE]))</f>
        <v>129</v>
      </c>
      <c r="I61" s="3">
        <f>IFERROR(IF(TS_ATHLETES[[#This Row],[TOTAL]]=0,"",RANK(TS_ATHLETES[[#This Row],[RANK VALUE]],TS_ATHLETES[RANK VALUE])+COUNTIF($H$1:H60,H61)),"")</f>
        <v>175</v>
      </c>
    </row>
    <row r="62" spans="1:9" x14ac:dyDescent="0.25">
      <c r="A62" t="s">
        <v>1137</v>
      </c>
      <c r="B62" s="3" t="s">
        <v>94</v>
      </c>
      <c r="C62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1</v>
      </c>
      <c r="D62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62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62" s="3">
        <f>SUM(TS_ATHLETES[[#This Row],[GOLD MEDALS]:[BRONZE MEDALS]])</f>
        <v>1</v>
      </c>
      <c r="G62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10100000</v>
      </c>
      <c r="H62" s="3">
        <f>IF(TS_ATHLETES[[#This Row],[TOTAL]]=0,"",RANK(TS_ATHLETES[[#This Row],[RANK VALUE]],TS_ATHLETES[RANK VALUE]))</f>
        <v>129</v>
      </c>
      <c r="I62" s="3">
        <f>IFERROR(IF(TS_ATHLETES[[#This Row],[TOTAL]]=0,"",RANK(TS_ATHLETES[[#This Row],[RANK VALUE]],TS_ATHLETES[RANK VALUE])+COUNTIF($H$1:H61,H62)),"")</f>
        <v>176</v>
      </c>
    </row>
    <row r="63" spans="1:9" x14ac:dyDescent="0.25">
      <c r="A63" t="s">
        <v>1138</v>
      </c>
      <c r="B63" s="3" t="s">
        <v>287</v>
      </c>
      <c r="C63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1</v>
      </c>
      <c r="D63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63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63" s="3">
        <f>SUM(TS_ATHLETES[[#This Row],[GOLD MEDALS]:[BRONZE MEDALS]])</f>
        <v>1</v>
      </c>
      <c r="G63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10100000</v>
      </c>
      <c r="H63" s="3">
        <f>IF(TS_ATHLETES[[#This Row],[TOTAL]]=0,"",RANK(TS_ATHLETES[[#This Row],[RANK VALUE]],TS_ATHLETES[RANK VALUE]))</f>
        <v>129</v>
      </c>
      <c r="I63" s="3">
        <f>IFERROR(IF(TS_ATHLETES[[#This Row],[TOTAL]]=0,"",RANK(TS_ATHLETES[[#This Row],[RANK VALUE]],TS_ATHLETES[RANK VALUE])+COUNTIF($H$1:H62,H63)),"")</f>
        <v>177</v>
      </c>
    </row>
    <row r="64" spans="1:9" x14ac:dyDescent="0.25">
      <c r="A64" t="s">
        <v>940</v>
      </c>
      <c r="B64" s="3" t="s">
        <v>128</v>
      </c>
      <c r="C64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1</v>
      </c>
      <c r="D64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64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64" s="3">
        <f>SUM(TS_ATHLETES[[#This Row],[GOLD MEDALS]:[BRONZE MEDALS]])</f>
        <v>1</v>
      </c>
      <c r="G64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10100000</v>
      </c>
      <c r="H64" s="3">
        <f>IF(TS_ATHLETES[[#This Row],[TOTAL]]=0,"",RANK(TS_ATHLETES[[#This Row],[RANK VALUE]],TS_ATHLETES[RANK VALUE]))</f>
        <v>129</v>
      </c>
      <c r="I64" s="3">
        <f>IFERROR(IF(TS_ATHLETES[[#This Row],[TOTAL]]=0,"",RANK(TS_ATHLETES[[#This Row],[RANK VALUE]],TS_ATHLETES[RANK VALUE])+COUNTIF($H$1:H63,H64)),"")</f>
        <v>178</v>
      </c>
    </row>
    <row r="65" spans="1:9" x14ac:dyDescent="0.25">
      <c r="A65" t="s">
        <v>1139</v>
      </c>
      <c r="B65" s="3" t="s">
        <v>361</v>
      </c>
      <c r="C65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1</v>
      </c>
      <c r="D65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65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65" s="3">
        <f>SUM(TS_ATHLETES[[#This Row],[GOLD MEDALS]:[BRONZE MEDALS]])</f>
        <v>1</v>
      </c>
      <c r="G65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10100000</v>
      </c>
      <c r="H65" s="3">
        <f>IF(TS_ATHLETES[[#This Row],[TOTAL]]=0,"",RANK(TS_ATHLETES[[#This Row],[RANK VALUE]],TS_ATHLETES[RANK VALUE]))</f>
        <v>129</v>
      </c>
      <c r="I65" s="3">
        <f>IFERROR(IF(TS_ATHLETES[[#This Row],[TOTAL]]=0,"",RANK(TS_ATHLETES[[#This Row],[RANK VALUE]],TS_ATHLETES[RANK VALUE])+COUNTIF($H$1:H64,H65)),"")</f>
        <v>179</v>
      </c>
    </row>
    <row r="66" spans="1:9" x14ac:dyDescent="0.25">
      <c r="A66" t="s">
        <v>1140</v>
      </c>
      <c r="B66" s="3" t="s">
        <v>128</v>
      </c>
      <c r="C66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1</v>
      </c>
      <c r="D66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66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66" s="3">
        <f>SUM(TS_ATHLETES[[#This Row],[GOLD MEDALS]:[BRONZE MEDALS]])</f>
        <v>1</v>
      </c>
      <c r="G66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10100000</v>
      </c>
      <c r="H66" s="3">
        <f>IF(TS_ATHLETES[[#This Row],[TOTAL]]=0,"",RANK(TS_ATHLETES[[#This Row],[RANK VALUE]],TS_ATHLETES[RANK VALUE]))</f>
        <v>129</v>
      </c>
      <c r="I66" s="3">
        <f>IFERROR(IF(TS_ATHLETES[[#This Row],[TOTAL]]=0,"",RANK(TS_ATHLETES[[#This Row],[RANK VALUE]],TS_ATHLETES[RANK VALUE])+COUNTIF($H$1:H65,H66)),"")</f>
        <v>180</v>
      </c>
    </row>
    <row r="67" spans="1:9" x14ac:dyDescent="0.25">
      <c r="A67" t="s">
        <v>942</v>
      </c>
      <c r="B67" s="3" t="s">
        <v>363</v>
      </c>
      <c r="C67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1</v>
      </c>
      <c r="D67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67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67" s="3">
        <f>SUM(TS_ATHLETES[[#This Row],[GOLD MEDALS]:[BRONZE MEDALS]])</f>
        <v>1</v>
      </c>
      <c r="G67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10100000</v>
      </c>
      <c r="H67" s="3">
        <f>IF(TS_ATHLETES[[#This Row],[TOTAL]]=0,"",RANK(TS_ATHLETES[[#This Row],[RANK VALUE]],TS_ATHLETES[RANK VALUE]))</f>
        <v>129</v>
      </c>
      <c r="I67" s="3">
        <f>IFERROR(IF(TS_ATHLETES[[#This Row],[TOTAL]]=0,"",RANK(TS_ATHLETES[[#This Row],[RANK VALUE]],TS_ATHLETES[RANK VALUE])+COUNTIF($H$1:H66,H67)),"")</f>
        <v>181</v>
      </c>
    </row>
    <row r="68" spans="1:9" x14ac:dyDescent="0.25">
      <c r="A68" t="s">
        <v>598</v>
      </c>
      <c r="B68" s="3" t="s">
        <v>128</v>
      </c>
      <c r="C68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1</v>
      </c>
      <c r="D68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68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68" s="3">
        <f>SUM(TS_ATHLETES[[#This Row],[GOLD MEDALS]:[BRONZE MEDALS]])</f>
        <v>1</v>
      </c>
      <c r="G68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10100000</v>
      </c>
      <c r="H68" s="3">
        <f>IF(TS_ATHLETES[[#This Row],[TOTAL]]=0,"",RANK(TS_ATHLETES[[#This Row],[RANK VALUE]],TS_ATHLETES[RANK VALUE]))</f>
        <v>129</v>
      </c>
      <c r="I68" s="3">
        <f>IFERROR(IF(TS_ATHLETES[[#This Row],[TOTAL]]=0,"",RANK(TS_ATHLETES[[#This Row],[RANK VALUE]],TS_ATHLETES[RANK VALUE])+COUNTIF($H$1:H67,H68)),"")</f>
        <v>182</v>
      </c>
    </row>
    <row r="69" spans="1:9" x14ac:dyDescent="0.25">
      <c r="A69" t="s">
        <v>1141</v>
      </c>
      <c r="B69" s="3" t="s">
        <v>321</v>
      </c>
      <c r="C69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1</v>
      </c>
      <c r="D69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69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69" s="3">
        <f>SUM(TS_ATHLETES[[#This Row],[GOLD MEDALS]:[BRONZE MEDALS]])</f>
        <v>1</v>
      </c>
      <c r="G69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10100000</v>
      </c>
      <c r="H69" s="3">
        <f>IF(TS_ATHLETES[[#This Row],[TOTAL]]=0,"",RANK(TS_ATHLETES[[#This Row],[RANK VALUE]],TS_ATHLETES[RANK VALUE]))</f>
        <v>129</v>
      </c>
      <c r="I69" s="3">
        <f>IFERROR(IF(TS_ATHLETES[[#This Row],[TOTAL]]=0,"",RANK(TS_ATHLETES[[#This Row],[RANK VALUE]],TS_ATHLETES[RANK VALUE])+COUNTIF($H$1:H68,H69)),"")</f>
        <v>183</v>
      </c>
    </row>
    <row r="70" spans="1:9" x14ac:dyDescent="0.25">
      <c r="A70" t="s">
        <v>1142</v>
      </c>
      <c r="B70" s="3" t="s">
        <v>361</v>
      </c>
      <c r="C70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1</v>
      </c>
      <c r="D70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70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70" s="3">
        <f>SUM(TS_ATHLETES[[#This Row],[GOLD MEDALS]:[BRONZE MEDALS]])</f>
        <v>1</v>
      </c>
      <c r="G70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10100000</v>
      </c>
      <c r="H70" s="3">
        <f>IF(TS_ATHLETES[[#This Row],[TOTAL]]=0,"",RANK(TS_ATHLETES[[#This Row],[RANK VALUE]],TS_ATHLETES[RANK VALUE]))</f>
        <v>129</v>
      </c>
      <c r="I70" s="3">
        <f>IFERROR(IF(TS_ATHLETES[[#This Row],[TOTAL]]=0,"",RANK(TS_ATHLETES[[#This Row],[RANK VALUE]],TS_ATHLETES[RANK VALUE])+COUNTIF($H$1:H69,H70)),"")</f>
        <v>184</v>
      </c>
    </row>
    <row r="71" spans="1:9" x14ac:dyDescent="0.25">
      <c r="A71" t="s">
        <v>1143</v>
      </c>
      <c r="B71" s="3" t="s">
        <v>361</v>
      </c>
      <c r="C71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1</v>
      </c>
      <c r="D71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1</v>
      </c>
      <c r="E71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71" s="3">
        <f>SUM(TS_ATHLETES[[#This Row],[GOLD MEDALS]:[BRONZE MEDALS]])</f>
        <v>2</v>
      </c>
      <c r="G71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20100100</v>
      </c>
      <c r="H71" s="3">
        <f>IF(TS_ATHLETES[[#This Row],[TOTAL]]=0,"",RANK(TS_ATHLETES[[#This Row],[RANK VALUE]],TS_ATHLETES[RANK VALUE]))</f>
        <v>48</v>
      </c>
      <c r="I71" s="3">
        <f>IFERROR(IF(TS_ATHLETES[[#This Row],[TOTAL]]=0,"",RANK(TS_ATHLETES[[#This Row],[RANK VALUE]],TS_ATHLETES[RANK VALUE])+COUNTIF($H$1:H70,H71)),"")</f>
        <v>50</v>
      </c>
    </row>
    <row r="72" spans="1:9" x14ac:dyDescent="0.25">
      <c r="A72" t="s">
        <v>1144</v>
      </c>
      <c r="B72" s="3" t="s">
        <v>321</v>
      </c>
      <c r="C72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1</v>
      </c>
      <c r="D72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72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72" s="3">
        <f>SUM(TS_ATHLETES[[#This Row],[GOLD MEDALS]:[BRONZE MEDALS]])</f>
        <v>1</v>
      </c>
      <c r="G72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10100000</v>
      </c>
      <c r="H72" s="3">
        <f>IF(TS_ATHLETES[[#This Row],[TOTAL]]=0,"",RANK(TS_ATHLETES[[#This Row],[RANK VALUE]],TS_ATHLETES[RANK VALUE]))</f>
        <v>129</v>
      </c>
      <c r="I72" s="3">
        <f>IFERROR(IF(TS_ATHLETES[[#This Row],[TOTAL]]=0,"",RANK(TS_ATHLETES[[#This Row],[RANK VALUE]],TS_ATHLETES[RANK VALUE])+COUNTIF($H$1:H71,H72)),"")</f>
        <v>185</v>
      </c>
    </row>
    <row r="73" spans="1:9" x14ac:dyDescent="0.25">
      <c r="A73" t="s">
        <v>1145</v>
      </c>
      <c r="B73" s="3" t="s">
        <v>358</v>
      </c>
      <c r="C73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1</v>
      </c>
      <c r="D73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73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73" s="3">
        <f>SUM(TS_ATHLETES[[#This Row],[GOLD MEDALS]:[BRONZE MEDALS]])</f>
        <v>1</v>
      </c>
      <c r="G73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10100000</v>
      </c>
      <c r="H73" s="3">
        <f>IF(TS_ATHLETES[[#This Row],[TOTAL]]=0,"",RANK(TS_ATHLETES[[#This Row],[RANK VALUE]],TS_ATHLETES[RANK VALUE]))</f>
        <v>129</v>
      </c>
      <c r="I73" s="3">
        <f>IFERROR(IF(TS_ATHLETES[[#This Row],[TOTAL]]=0,"",RANK(TS_ATHLETES[[#This Row],[RANK VALUE]],TS_ATHLETES[RANK VALUE])+COUNTIF($H$1:H72,H73)),"")</f>
        <v>186</v>
      </c>
    </row>
    <row r="74" spans="1:9" x14ac:dyDescent="0.25">
      <c r="A74" t="s">
        <v>1146</v>
      </c>
      <c r="B74" s="3" t="s">
        <v>136</v>
      </c>
      <c r="C74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2</v>
      </c>
      <c r="D74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74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74" s="3">
        <f>SUM(TS_ATHLETES[[#This Row],[GOLD MEDALS]:[BRONZE MEDALS]])</f>
        <v>2</v>
      </c>
      <c r="G74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20200000</v>
      </c>
      <c r="H74" s="3">
        <f>IF(TS_ATHLETES[[#This Row],[TOTAL]]=0,"",RANK(TS_ATHLETES[[#This Row],[RANK VALUE]],TS_ATHLETES[RANK VALUE]))</f>
        <v>27</v>
      </c>
      <c r="I74" s="3">
        <f>IFERROR(IF(TS_ATHLETES[[#This Row],[TOTAL]]=0,"",RANK(TS_ATHLETES[[#This Row],[RANK VALUE]],TS_ATHLETES[RANK VALUE])+COUNTIF($H$1:H73,H74)),"")</f>
        <v>32</v>
      </c>
    </row>
    <row r="75" spans="1:9" x14ac:dyDescent="0.25">
      <c r="A75" t="s">
        <v>1147</v>
      </c>
      <c r="B75" s="3" t="s">
        <v>253</v>
      </c>
      <c r="C75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1</v>
      </c>
      <c r="D75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75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1</v>
      </c>
      <c r="F75" s="3">
        <f>SUM(TS_ATHLETES[[#This Row],[GOLD MEDALS]:[BRONZE MEDALS]])</f>
        <v>2</v>
      </c>
      <c r="G75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20100010</v>
      </c>
      <c r="H75" s="3">
        <f>IF(TS_ATHLETES[[#This Row],[TOTAL]]=0,"",RANK(TS_ATHLETES[[#This Row],[RANK VALUE]],TS_ATHLETES[RANK VALUE]))</f>
        <v>71</v>
      </c>
      <c r="I75" s="3">
        <f>IFERROR(IF(TS_ATHLETES[[#This Row],[TOTAL]]=0,"",RANK(TS_ATHLETES[[#This Row],[RANK VALUE]],TS_ATHLETES[RANK VALUE])+COUNTIF($H$1:H74,H75)),"")</f>
        <v>72</v>
      </c>
    </row>
    <row r="76" spans="1:9" x14ac:dyDescent="0.25">
      <c r="A76" t="s">
        <v>1148</v>
      </c>
      <c r="B76" s="3" t="s">
        <v>159</v>
      </c>
      <c r="C76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3</v>
      </c>
      <c r="D76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76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76" s="3">
        <f>SUM(TS_ATHLETES[[#This Row],[GOLD MEDALS]:[BRONZE MEDALS]])</f>
        <v>3</v>
      </c>
      <c r="G76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30300000</v>
      </c>
      <c r="H76" s="3">
        <f>IF(TS_ATHLETES[[#This Row],[TOTAL]]=0,"",RANK(TS_ATHLETES[[#This Row],[RANK VALUE]],TS_ATHLETES[RANK VALUE]))</f>
        <v>10</v>
      </c>
      <c r="I76" s="3">
        <f>IFERROR(IF(TS_ATHLETES[[#This Row],[TOTAL]]=0,"",RANK(TS_ATHLETES[[#This Row],[RANK VALUE]],TS_ATHLETES[RANK VALUE])+COUNTIF($H$1:H75,H76)),"")</f>
        <v>11</v>
      </c>
    </row>
    <row r="77" spans="1:9" x14ac:dyDescent="0.25">
      <c r="A77" t="s">
        <v>1149</v>
      </c>
      <c r="B77" s="3" t="s">
        <v>363</v>
      </c>
      <c r="C77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1</v>
      </c>
      <c r="D77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77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77" s="3">
        <f>SUM(TS_ATHLETES[[#This Row],[GOLD MEDALS]:[BRONZE MEDALS]])</f>
        <v>1</v>
      </c>
      <c r="G77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10100000</v>
      </c>
      <c r="H77" s="3">
        <f>IF(TS_ATHLETES[[#This Row],[TOTAL]]=0,"",RANK(TS_ATHLETES[[#This Row],[RANK VALUE]],TS_ATHLETES[RANK VALUE]))</f>
        <v>129</v>
      </c>
      <c r="I77" s="3">
        <f>IFERROR(IF(TS_ATHLETES[[#This Row],[TOTAL]]=0,"",RANK(TS_ATHLETES[[#This Row],[RANK VALUE]],TS_ATHLETES[RANK VALUE])+COUNTIF($H$1:H76,H77)),"")</f>
        <v>187</v>
      </c>
    </row>
    <row r="78" spans="1:9" x14ac:dyDescent="0.25">
      <c r="A78" t="s">
        <v>1150</v>
      </c>
      <c r="B78" s="3" t="s">
        <v>79</v>
      </c>
      <c r="C78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1</v>
      </c>
      <c r="D78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78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78" s="3">
        <f>SUM(TS_ATHLETES[[#This Row],[GOLD MEDALS]:[BRONZE MEDALS]])</f>
        <v>1</v>
      </c>
      <c r="G78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10100000</v>
      </c>
      <c r="H78" s="3">
        <f>IF(TS_ATHLETES[[#This Row],[TOTAL]]=0,"",RANK(TS_ATHLETES[[#This Row],[RANK VALUE]],TS_ATHLETES[RANK VALUE]))</f>
        <v>129</v>
      </c>
      <c r="I78" s="3">
        <f>IFERROR(IF(TS_ATHLETES[[#This Row],[TOTAL]]=0,"",RANK(TS_ATHLETES[[#This Row],[RANK VALUE]],TS_ATHLETES[RANK VALUE])+COUNTIF($H$1:H77,H78)),"")</f>
        <v>188</v>
      </c>
    </row>
    <row r="79" spans="1:9" x14ac:dyDescent="0.25">
      <c r="A79" t="s">
        <v>944</v>
      </c>
      <c r="B79" s="3" t="s">
        <v>333</v>
      </c>
      <c r="C79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1</v>
      </c>
      <c r="D79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79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79" s="3">
        <f>SUM(TS_ATHLETES[[#This Row],[GOLD MEDALS]:[BRONZE MEDALS]])</f>
        <v>1</v>
      </c>
      <c r="G79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10100000</v>
      </c>
      <c r="H79" s="3">
        <f>IF(TS_ATHLETES[[#This Row],[TOTAL]]=0,"",RANK(TS_ATHLETES[[#This Row],[RANK VALUE]],TS_ATHLETES[RANK VALUE]))</f>
        <v>129</v>
      </c>
      <c r="I79" s="3">
        <f>IFERROR(IF(TS_ATHLETES[[#This Row],[TOTAL]]=0,"",RANK(TS_ATHLETES[[#This Row],[RANK VALUE]],TS_ATHLETES[RANK VALUE])+COUNTIF($H$1:H78,H79)),"")</f>
        <v>189</v>
      </c>
    </row>
    <row r="80" spans="1:9" x14ac:dyDescent="0.25">
      <c r="A80" t="s">
        <v>1151</v>
      </c>
      <c r="B80" s="3" t="s">
        <v>331</v>
      </c>
      <c r="C80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1</v>
      </c>
      <c r="D80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80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80" s="3">
        <f>SUM(TS_ATHLETES[[#This Row],[GOLD MEDALS]:[BRONZE MEDALS]])</f>
        <v>1</v>
      </c>
      <c r="G80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10100000</v>
      </c>
      <c r="H80" s="3">
        <f>IF(TS_ATHLETES[[#This Row],[TOTAL]]=0,"",RANK(TS_ATHLETES[[#This Row],[RANK VALUE]],TS_ATHLETES[RANK VALUE]))</f>
        <v>129</v>
      </c>
      <c r="I80" s="3">
        <f>IFERROR(IF(TS_ATHLETES[[#This Row],[TOTAL]]=0,"",RANK(TS_ATHLETES[[#This Row],[RANK VALUE]],TS_ATHLETES[RANK VALUE])+COUNTIF($H$1:H79,H80)),"")</f>
        <v>190</v>
      </c>
    </row>
    <row r="81" spans="1:9" x14ac:dyDescent="0.25">
      <c r="A81" t="s">
        <v>1152</v>
      </c>
      <c r="B81" s="3" t="s">
        <v>37</v>
      </c>
      <c r="C81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1</v>
      </c>
      <c r="D81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81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81" s="3">
        <f>SUM(TS_ATHLETES[[#This Row],[GOLD MEDALS]:[BRONZE MEDALS]])</f>
        <v>1</v>
      </c>
      <c r="G81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10100000</v>
      </c>
      <c r="H81" s="3">
        <f>IF(TS_ATHLETES[[#This Row],[TOTAL]]=0,"",RANK(TS_ATHLETES[[#This Row],[RANK VALUE]],TS_ATHLETES[RANK VALUE]))</f>
        <v>129</v>
      </c>
      <c r="I81" s="3">
        <f>IFERROR(IF(TS_ATHLETES[[#This Row],[TOTAL]]=0,"",RANK(TS_ATHLETES[[#This Row],[RANK VALUE]],TS_ATHLETES[RANK VALUE])+COUNTIF($H$1:H80,H81)),"")</f>
        <v>191</v>
      </c>
    </row>
    <row r="82" spans="1:9" x14ac:dyDescent="0.25">
      <c r="A82" t="s">
        <v>1153</v>
      </c>
      <c r="B82" s="3" t="s">
        <v>333</v>
      </c>
      <c r="C82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1</v>
      </c>
      <c r="D82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82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82" s="3">
        <f>SUM(TS_ATHLETES[[#This Row],[GOLD MEDALS]:[BRONZE MEDALS]])</f>
        <v>1</v>
      </c>
      <c r="G82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10100000</v>
      </c>
      <c r="H82" s="3">
        <f>IF(TS_ATHLETES[[#This Row],[TOTAL]]=0,"",RANK(TS_ATHLETES[[#This Row],[RANK VALUE]],TS_ATHLETES[RANK VALUE]))</f>
        <v>129</v>
      </c>
      <c r="I82" s="3">
        <f>IFERROR(IF(TS_ATHLETES[[#This Row],[TOTAL]]=0,"",RANK(TS_ATHLETES[[#This Row],[RANK VALUE]],TS_ATHLETES[RANK VALUE])+COUNTIF($H$1:H81,H82)),"")</f>
        <v>192</v>
      </c>
    </row>
    <row r="83" spans="1:9" x14ac:dyDescent="0.25">
      <c r="A83" t="s">
        <v>1154</v>
      </c>
      <c r="B83" s="3" t="s">
        <v>250</v>
      </c>
      <c r="C83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1</v>
      </c>
      <c r="D83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83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1</v>
      </c>
      <c r="F83" s="3">
        <f>SUM(TS_ATHLETES[[#This Row],[GOLD MEDALS]:[BRONZE MEDALS]])</f>
        <v>2</v>
      </c>
      <c r="G83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20100010</v>
      </c>
      <c r="H83" s="3">
        <f>IF(TS_ATHLETES[[#This Row],[TOTAL]]=0,"",RANK(TS_ATHLETES[[#This Row],[RANK VALUE]],TS_ATHLETES[RANK VALUE]))</f>
        <v>71</v>
      </c>
      <c r="I83" s="3">
        <f>IFERROR(IF(TS_ATHLETES[[#This Row],[TOTAL]]=0,"",RANK(TS_ATHLETES[[#This Row],[RANK VALUE]],TS_ATHLETES[RANK VALUE])+COUNTIF($H$1:H82,H83)),"")</f>
        <v>73</v>
      </c>
    </row>
    <row r="84" spans="1:9" x14ac:dyDescent="0.25">
      <c r="A84" t="s">
        <v>1155</v>
      </c>
      <c r="B84" s="3" t="s">
        <v>363</v>
      </c>
      <c r="C84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1</v>
      </c>
      <c r="D84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84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84" s="3">
        <f>SUM(TS_ATHLETES[[#This Row],[GOLD MEDALS]:[BRONZE MEDALS]])</f>
        <v>1</v>
      </c>
      <c r="G84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10100000</v>
      </c>
      <c r="H84" s="3">
        <f>IF(TS_ATHLETES[[#This Row],[TOTAL]]=0,"",RANK(TS_ATHLETES[[#This Row],[RANK VALUE]],TS_ATHLETES[RANK VALUE]))</f>
        <v>129</v>
      </c>
      <c r="I84" s="3">
        <f>IFERROR(IF(TS_ATHLETES[[#This Row],[TOTAL]]=0,"",RANK(TS_ATHLETES[[#This Row],[RANK VALUE]],TS_ATHLETES[RANK VALUE])+COUNTIF($H$1:H83,H84)),"")</f>
        <v>193</v>
      </c>
    </row>
    <row r="85" spans="1:9" x14ac:dyDescent="0.25">
      <c r="A85" t="s">
        <v>1156</v>
      </c>
      <c r="B85" s="3" t="s">
        <v>361</v>
      </c>
      <c r="C85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3</v>
      </c>
      <c r="D85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85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85" s="3">
        <f>SUM(TS_ATHLETES[[#This Row],[GOLD MEDALS]:[BRONZE MEDALS]])</f>
        <v>3</v>
      </c>
      <c r="G85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30300000</v>
      </c>
      <c r="H85" s="3">
        <f>IF(TS_ATHLETES[[#This Row],[TOTAL]]=0,"",RANK(TS_ATHLETES[[#This Row],[RANK VALUE]],TS_ATHLETES[RANK VALUE]))</f>
        <v>10</v>
      </c>
      <c r="I85" s="3">
        <f>IFERROR(IF(TS_ATHLETES[[#This Row],[TOTAL]]=0,"",RANK(TS_ATHLETES[[#This Row],[RANK VALUE]],TS_ATHLETES[RANK VALUE])+COUNTIF($H$1:H84,H85)),"")</f>
        <v>12</v>
      </c>
    </row>
    <row r="86" spans="1:9" x14ac:dyDescent="0.25">
      <c r="A86" t="s">
        <v>1157</v>
      </c>
      <c r="B86" s="3" t="s">
        <v>136</v>
      </c>
      <c r="C86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1</v>
      </c>
      <c r="D86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86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1</v>
      </c>
      <c r="F86" s="3">
        <f>SUM(TS_ATHLETES[[#This Row],[GOLD MEDALS]:[BRONZE MEDALS]])</f>
        <v>2</v>
      </c>
      <c r="G86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20100010</v>
      </c>
      <c r="H86" s="3">
        <f>IF(TS_ATHLETES[[#This Row],[TOTAL]]=0,"",RANK(TS_ATHLETES[[#This Row],[RANK VALUE]],TS_ATHLETES[RANK VALUE]))</f>
        <v>71</v>
      </c>
      <c r="I86" s="3">
        <f>IFERROR(IF(TS_ATHLETES[[#This Row],[TOTAL]]=0,"",RANK(TS_ATHLETES[[#This Row],[RANK VALUE]],TS_ATHLETES[RANK VALUE])+COUNTIF($H$1:H85,H86)),"")</f>
        <v>74</v>
      </c>
    </row>
    <row r="87" spans="1:9" x14ac:dyDescent="0.25">
      <c r="A87" t="s">
        <v>1158</v>
      </c>
      <c r="B87" s="3" t="s">
        <v>250</v>
      </c>
      <c r="C87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1</v>
      </c>
      <c r="D87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87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87" s="3">
        <f>SUM(TS_ATHLETES[[#This Row],[GOLD MEDALS]:[BRONZE MEDALS]])</f>
        <v>1</v>
      </c>
      <c r="G87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10100000</v>
      </c>
      <c r="H87" s="3">
        <f>IF(TS_ATHLETES[[#This Row],[TOTAL]]=0,"",RANK(TS_ATHLETES[[#This Row],[RANK VALUE]],TS_ATHLETES[RANK VALUE]))</f>
        <v>129</v>
      </c>
      <c r="I87" s="3">
        <f>IFERROR(IF(TS_ATHLETES[[#This Row],[TOTAL]]=0,"",RANK(TS_ATHLETES[[#This Row],[RANK VALUE]],TS_ATHLETES[RANK VALUE])+COUNTIF($H$1:H86,H87)),"")</f>
        <v>194</v>
      </c>
    </row>
    <row r="88" spans="1:9" x14ac:dyDescent="0.25">
      <c r="A88" t="s">
        <v>1159</v>
      </c>
      <c r="B88" s="3" t="s">
        <v>175</v>
      </c>
      <c r="C88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1</v>
      </c>
      <c r="D88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88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88" s="3">
        <f>SUM(TS_ATHLETES[[#This Row],[GOLD MEDALS]:[BRONZE MEDALS]])</f>
        <v>1</v>
      </c>
      <c r="G88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10100000</v>
      </c>
      <c r="H88" s="3">
        <f>IF(TS_ATHLETES[[#This Row],[TOTAL]]=0,"",RANK(TS_ATHLETES[[#This Row],[RANK VALUE]],TS_ATHLETES[RANK VALUE]))</f>
        <v>129</v>
      </c>
      <c r="I88" s="3">
        <f>IFERROR(IF(TS_ATHLETES[[#This Row],[TOTAL]]=0,"",RANK(TS_ATHLETES[[#This Row],[RANK VALUE]],TS_ATHLETES[RANK VALUE])+COUNTIF($H$1:H87,H88)),"")</f>
        <v>195</v>
      </c>
    </row>
    <row r="89" spans="1:9" x14ac:dyDescent="0.25">
      <c r="A89" t="s">
        <v>1160</v>
      </c>
      <c r="B89" s="3" t="s">
        <v>361</v>
      </c>
      <c r="C89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2</v>
      </c>
      <c r="D89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89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89" s="3">
        <f>SUM(TS_ATHLETES[[#This Row],[GOLD MEDALS]:[BRONZE MEDALS]])</f>
        <v>2</v>
      </c>
      <c r="G89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20200000</v>
      </c>
      <c r="H89" s="3">
        <f>IF(TS_ATHLETES[[#This Row],[TOTAL]]=0,"",RANK(TS_ATHLETES[[#This Row],[RANK VALUE]],TS_ATHLETES[RANK VALUE]))</f>
        <v>27</v>
      </c>
      <c r="I89" s="3">
        <f>IFERROR(IF(TS_ATHLETES[[#This Row],[TOTAL]]=0,"",RANK(TS_ATHLETES[[#This Row],[RANK VALUE]],TS_ATHLETES[RANK VALUE])+COUNTIF($H$1:H88,H89)),"")</f>
        <v>33</v>
      </c>
    </row>
    <row r="90" spans="1:9" x14ac:dyDescent="0.25">
      <c r="A90" t="s">
        <v>1161</v>
      </c>
      <c r="B90" s="3" t="s">
        <v>77</v>
      </c>
      <c r="C90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1</v>
      </c>
      <c r="D90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90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1</v>
      </c>
      <c r="F90" s="3">
        <f>SUM(TS_ATHLETES[[#This Row],[GOLD MEDALS]:[BRONZE MEDALS]])</f>
        <v>2</v>
      </c>
      <c r="G90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20100010</v>
      </c>
      <c r="H90" s="3">
        <f>IF(TS_ATHLETES[[#This Row],[TOTAL]]=0,"",RANK(TS_ATHLETES[[#This Row],[RANK VALUE]],TS_ATHLETES[RANK VALUE]))</f>
        <v>71</v>
      </c>
      <c r="I90" s="3">
        <f>IFERROR(IF(TS_ATHLETES[[#This Row],[TOTAL]]=0,"",RANK(TS_ATHLETES[[#This Row],[RANK VALUE]],TS_ATHLETES[RANK VALUE])+COUNTIF($H$1:H89,H90)),"")</f>
        <v>75</v>
      </c>
    </row>
    <row r="91" spans="1:9" x14ac:dyDescent="0.25">
      <c r="A91" t="s">
        <v>1162</v>
      </c>
      <c r="B91" s="3" t="s">
        <v>77</v>
      </c>
      <c r="C91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2</v>
      </c>
      <c r="D91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91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91" s="3">
        <f>SUM(TS_ATHLETES[[#This Row],[GOLD MEDALS]:[BRONZE MEDALS]])</f>
        <v>2</v>
      </c>
      <c r="G91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20200000</v>
      </c>
      <c r="H91" s="3">
        <f>IF(TS_ATHLETES[[#This Row],[TOTAL]]=0,"",RANK(TS_ATHLETES[[#This Row],[RANK VALUE]],TS_ATHLETES[RANK VALUE]))</f>
        <v>27</v>
      </c>
      <c r="I91" s="3">
        <f>IFERROR(IF(TS_ATHLETES[[#This Row],[TOTAL]]=0,"",RANK(TS_ATHLETES[[#This Row],[RANK VALUE]],TS_ATHLETES[RANK VALUE])+COUNTIF($H$1:H90,H91)),"")</f>
        <v>34</v>
      </c>
    </row>
    <row r="92" spans="1:9" x14ac:dyDescent="0.25">
      <c r="A92" t="s">
        <v>1163</v>
      </c>
      <c r="B92" s="3" t="s">
        <v>77</v>
      </c>
      <c r="C92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2</v>
      </c>
      <c r="D92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92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92" s="3">
        <f>SUM(TS_ATHLETES[[#This Row],[GOLD MEDALS]:[BRONZE MEDALS]])</f>
        <v>2</v>
      </c>
      <c r="G92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20200000</v>
      </c>
      <c r="H92" s="3">
        <f>IF(TS_ATHLETES[[#This Row],[TOTAL]]=0,"",RANK(TS_ATHLETES[[#This Row],[RANK VALUE]],TS_ATHLETES[RANK VALUE]))</f>
        <v>27</v>
      </c>
      <c r="I92" s="3">
        <f>IFERROR(IF(TS_ATHLETES[[#This Row],[TOTAL]]=0,"",RANK(TS_ATHLETES[[#This Row],[RANK VALUE]],TS_ATHLETES[RANK VALUE])+COUNTIF($H$1:H91,H92)),"")</f>
        <v>35</v>
      </c>
    </row>
    <row r="93" spans="1:9" x14ac:dyDescent="0.25">
      <c r="A93" t="s">
        <v>1164</v>
      </c>
      <c r="B93" s="3" t="s">
        <v>77</v>
      </c>
      <c r="C93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1</v>
      </c>
      <c r="D93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93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93" s="3">
        <f>SUM(TS_ATHLETES[[#This Row],[GOLD MEDALS]:[BRONZE MEDALS]])</f>
        <v>1</v>
      </c>
      <c r="G93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10100000</v>
      </c>
      <c r="H93" s="3">
        <f>IF(TS_ATHLETES[[#This Row],[TOTAL]]=0,"",RANK(TS_ATHLETES[[#This Row],[RANK VALUE]],TS_ATHLETES[RANK VALUE]))</f>
        <v>129</v>
      </c>
      <c r="I93" s="3">
        <f>IFERROR(IF(TS_ATHLETES[[#This Row],[TOTAL]]=0,"",RANK(TS_ATHLETES[[#This Row],[RANK VALUE]],TS_ATHLETES[RANK VALUE])+COUNTIF($H$1:H92,H93)),"")</f>
        <v>196</v>
      </c>
    </row>
    <row r="94" spans="1:9" x14ac:dyDescent="0.25">
      <c r="A94" t="s">
        <v>1165</v>
      </c>
      <c r="B94" s="3" t="s">
        <v>136</v>
      </c>
      <c r="C94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1</v>
      </c>
      <c r="D94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1</v>
      </c>
      <c r="E94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94" s="3">
        <f>SUM(TS_ATHLETES[[#This Row],[GOLD MEDALS]:[BRONZE MEDALS]])</f>
        <v>2</v>
      </c>
      <c r="G94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20100100</v>
      </c>
      <c r="H94" s="3">
        <f>IF(TS_ATHLETES[[#This Row],[TOTAL]]=0,"",RANK(TS_ATHLETES[[#This Row],[RANK VALUE]],TS_ATHLETES[RANK VALUE]))</f>
        <v>48</v>
      </c>
      <c r="I94" s="3">
        <f>IFERROR(IF(TS_ATHLETES[[#This Row],[TOTAL]]=0,"",RANK(TS_ATHLETES[[#This Row],[RANK VALUE]],TS_ATHLETES[RANK VALUE])+COUNTIF($H$1:H93,H94)),"")</f>
        <v>51</v>
      </c>
    </row>
    <row r="95" spans="1:9" x14ac:dyDescent="0.25">
      <c r="A95" t="s">
        <v>1166</v>
      </c>
      <c r="B95" s="3" t="s">
        <v>361</v>
      </c>
      <c r="C95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1</v>
      </c>
      <c r="D95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1</v>
      </c>
      <c r="E95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95" s="3">
        <f>SUM(TS_ATHLETES[[#This Row],[GOLD MEDALS]:[BRONZE MEDALS]])</f>
        <v>2</v>
      </c>
      <c r="G95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20100100</v>
      </c>
      <c r="H95" s="3">
        <f>IF(TS_ATHLETES[[#This Row],[TOTAL]]=0,"",RANK(TS_ATHLETES[[#This Row],[RANK VALUE]],TS_ATHLETES[RANK VALUE]))</f>
        <v>48</v>
      </c>
      <c r="I95" s="3">
        <f>IFERROR(IF(TS_ATHLETES[[#This Row],[TOTAL]]=0,"",RANK(TS_ATHLETES[[#This Row],[RANK VALUE]],TS_ATHLETES[RANK VALUE])+COUNTIF($H$1:H94,H95)),"")</f>
        <v>52</v>
      </c>
    </row>
    <row r="96" spans="1:9" x14ac:dyDescent="0.25">
      <c r="A96" t="s">
        <v>1167</v>
      </c>
      <c r="B96" s="3" t="s">
        <v>361</v>
      </c>
      <c r="C96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1</v>
      </c>
      <c r="D96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96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96" s="3">
        <f>SUM(TS_ATHLETES[[#This Row],[GOLD MEDALS]:[BRONZE MEDALS]])</f>
        <v>1</v>
      </c>
      <c r="G96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10100000</v>
      </c>
      <c r="H96" s="3">
        <f>IF(TS_ATHLETES[[#This Row],[TOTAL]]=0,"",RANK(TS_ATHLETES[[#This Row],[RANK VALUE]],TS_ATHLETES[RANK VALUE]))</f>
        <v>129</v>
      </c>
      <c r="I96" s="3">
        <f>IFERROR(IF(TS_ATHLETES[[#This Row],[TOTAL]]=0,"",RANK(TS_ATHLETES[[#This Row],[RANK VALUE]],TS_ATHLETES[RANK VALUE])+COUNTIF($H$1:H95,H96)),"")</f>
        <v>197</v>
      </c>
    </row>
    <row r="97" spans="1:9" x14ac:dyDescent="0.25">
      <c r="A97" t="s">
        <v>1168</v>
      </c>
      <c r="B97" s="3" t="s">
        <v>175</v>
      </c>
      <c r="C97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1</v>
      </c>
      <c r="D97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97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97" s="3">
        <f>SUM(TS_ATHLETES[[#This Row],[GOLD MEDALS]:[BRONZE MEDALS]])</f>
        <v>1</v>
      </c>
      <c r="G97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10100000</v>
      </c>
      <c r="H97" s="3">
        <f>IF(TS_ATHLETES[[#This Row],[TOTAL]]=0,"",RANK(TS_ATHLETES[[#This Row],[RANK VALUE]],TS_ATHLETES[RANK VALUE]))</f>
        <v>129</v>
      </c>
      <c r="I97" s="3">
        <f>IFERROR(IF(TS_ATHLETES[[#This Row],[TOTAL]]=0,"",RANK(TS_ATHLETES[[#This Row],[RANK VALUE]],TS_ATHLETES[RANK VALUE])+COUNTIF($H$1:H96,H97)),"")</f>
        <v>198</v>
      </c>
    </row>
    <row r="98" spans="1:9" x14ac:dyDescent="0.25">
      <c r="A98" t="s">
        <v>1169</v>
      </c>
      <c r="B98" s="3" t="s">
        <v>287</v>
      </c>
      <c r="C98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1</v>
      </c>
      <c r="D98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98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98" s="3">
        <f>SUM(TS_ATHLETES[[#This Row],[GOLD MEDALS]:[BRONZE MEDALS]])</f>
        <v>1</v>
      </c>
      <c r="G98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10100000</v>
      </c>
      <c r="H98" s="3">
        <f>IF(TS_ATHLETES[[#This Row],[TOTAL]]=0,"",RANK(TS_ATHLETES[[#This Row],[RANK VALUE]],TS_ATHLETES[RANK VALUE]))</f>
        <v>129</v>
      </c>
      <c r="I98" s="3">
        <f>IFERROR(IF(TS_ATHLETES[[#This Row],[TOTAL]]=0,"",RANK(TS_ATHLETES[[#This Row],[RANK VALUE]],TS_ATHLETES[RANK VALUE])+COUNTIF($H$1:H97,H98)),"")</f>
        <v>199</v>
      </c>
    </row>
    <row r="99" spans="1:9" x14ac:dyDescent="0.25">
      <c r="A99" t="s">
        <v>1170</v>
      </c>
      <c r="B99" s="3" t="s">
        <v>187</v>
      </c>
      <c r="C99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1</v>
      </c>
      <c r="D99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99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99" s="3">
        <f>SUM(TS_ATHLETES[[#This Row],[GOLD MEDALS]:[BRONZE MEDALS]])</f>
        <v>1</v>
      </c>
      <c r="G99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10100000</v>
      </c>
      <c r="H99" s="3">
        <f>IF(TS_ATHLETES[[#This Row],[TOTAL]]=0,"",RANK(TS_ATHLETES[[#This Row],[RANK VALUE]],TS_ATHLETES[RANK VALUE]))</f>
        <v>129</v>
      </c>
      <c r="I99" s="3">
        <f>IFERROR(IF(TS_ATHLETES[[#This Row],[TOTAL]]=0,"",RANK(TS_ATHLETES[[#This Row],[RANK VALUE]],TS_ATHLETES[RANK VALUE])+COUNTIF($H$1:H98,H99)),"")</f>
        <v>200</v>
      </c>
    </row>
    <row r="100" spans="1:9" x14ac:dyDescent="0.25">
      <c r="A100" t="s">
        <v>1171</v>
      </c>
      <c r="B100" s="3" t="s">
        <v>159</v>
      </c>
      <c r="C100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1</v>
      </c>
      <c r="D100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100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100" s="3">
        <f>SUM(TS_ATHLETES[[#This Row],[GOLD MEDALS]:[BRONZE MEDALS]])</f>
        <v>1</v>
      </c>
      <c r="G100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10100000</v>
      </c>
      <c r="H100" s="3">
        <f>IF(TS_ATHLETES[[#This Row],[TOTAL]]=0,"",RANK(TS_ATHLETES[[#This Row],[RANK VALUE]],TS_ATHLETES[RANK VALUE]))</f>
        <v>129</v>
      </c>
      <c r="I100" s="3">
        <f>IFERROR(IF(TS_ATHLETES[[#This Row],[TOTAL]]=0,"",RANK(TS_ATHLETES[[#This Row],[RANK VALUE]],TS_ATHLETES[RANK VALUE])+COUNTIF($H$1:H99,H100)),"")</f>
        <v>201</v>
      </c>
    </row>
    <row r="101" spans="1:9" x14ac:dyDescent="0.25">
      <c r="A101" t="s">
        <v>1172</v>
      </c>
      <c r="B101" s="3" t="s">
        <v>159</v>
      </c>
      <c r="C101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1</v>
      </c>
      <c r="D101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101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101" s="3">
        <f>SUM(TS_ATHLETES[[#This Row],[GOLD MEDALS]:[BRONZE MEDALS]])</f>
        <v>1</v>
      </c>
      <c r="G101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10100000</v>
      </c>
      <c r="H101" s="3">
        <f>IF(TS_ATHLETES[[#This Row],[TOTAL]]=0,"",RANK(TS_ATHLETES[[#This Row],[RANK VALUE]],TS_ATHLETES[RANK VALUE]))</f>
        <v>129</v>
      </c>
      <c r="I101" s="3">
        <f>IFERROR(IF(TS_ATHLETES[[#This Row],[TOTAL]]=0,"",RANK(TS_ATHLETES[[#This Row],[RANK VALUE]],TS_ATHLETES[RANK VALUE])+COUNTIF($H$1:H100,H101)),"")</f>
        <v>202</v>
      </c>
    </row>
    <row r="102" spans="1:9" x14ac:dyDescent="0.25">
      <c r="A102" t="s">
        <v>1173</v>
      </c>
      <c r="B102" s="3" t="s">
        <v>287</v>
      </c>
      <c r="C102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2</v>
      </c>
      <c r="D102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102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102" s="3">
        <f>SUM(TS_ATHLETES[[#This Row],[GOLD MEDALS]:[BRONZE MEDALS]])</f>
        <v>2</v>
      </c>
      <c r="G102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20200000</v>
      </c>
      <c r="H102" s="3">
        <f>IF(TS_ATHLETES[[#This Row],[TOTAL]]=0,"",RANK(TS_ATHLETES[[#This Row],[RANK VALUE]],TS_ATHLETES[RANK VALUE]))</f>
        <v>27</v>
      </c>
      <c r="I102" s="3">
        <f>IFERROR(IF(TS_ATHLETES[[#This Row],[TOTAL]]=0,"",RANK(TS_ATHLETES[[#This Row],[RANK VALUE]],TS_ATHLETES[RANK VALUE])+COUNTIF($H$1:H101,H102)),"")</f>
        <v>36</v>
      </c>
    </row>
    <row r="103" spans="1:9" x14ac:dyDescent="0.25">
      <c r="A103" t="s">
        <v>1174</v>
      </c>
      <c r="B103" s="3" t="s">
        <v>361</v>
      </c>
      <c r="C103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1</v>
      </c>
      <c r="D103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103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103" s="3">
        <f>SUM(TS_ATHLETES[[#This Row],[GOLD MEDALS]:[BRONZE MEDALS]])</f>
        <v>1</v>
      </c>
      <c r="G103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10100000</v>
      </c>
      <c r="H103" s="3">
        <f>IF(TS_ATHLETES[[#This Row],[TOTAL]]=0,"",RANK(TS_ATHLETES[[#This Row],[RANK VALUE]],TS_ATHLETES[RANK VALUE]))</f>
        <v>129</v>
      </c>
      <c r="I103" s="3">
        <f>IFERROR(IF(TS_ATHLETES[[#This Row],[TOTAL]]=0,"",RANK(TS_ATHLETES[[#This Row],[RANK VALUE]],TS_ATHLETES[RANK VALUE])+COUNTIF($H$1:H102,H103)),"")</f>
        <v>203</v>
      </c>
    </row>
    <row r="104" spans="1:9" x14ac:dyDescent="0.25">
      <c r="A104" t="s">
        <v>1175</v>
      </c>
      <c r="B104" s="3" t="s">
        <v>187</v>
      </c>
      <c r="C104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1</v>
      </c>
      <c r="D104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104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104" s="3">
        <f>SUM(TS_ATHLETES[[#This Row],[GOLD MEDALS]:[BRONZE MEDALS]])</f>
        <v>1</v>
      </c>
      <c r="G104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10100000</v>
      </c>
      <c r="H104" s="3">
        <f>IF(TS_ATHLETES[[#This Row],[TOTAL]]=0,"",RANK(TS_ATHLETES[[#This Row],[RANK VALUE]],TS_ATHLETES[RANK VALUE]))</f>
        <v>129</v>
      </c>
      <c r="I104" s="3">
        <f>IFERROR(IF(TS_ATHLETES[[#This Row],[TOTAL]]=0,"",RANK(TS_ATHLETES[[#This Row],[RANK VALUE]],TS_ATHLETES[RANK VALUE])+COUNTIF($H$1:H103,H104)),"")</f>
        <v>204</v>
      </c>
    </row>
    <row r="105" spans="1:9" x14ac:dyDescent="0.25">
      <c r="A105" t="s">
        <v>1176</v>
      </c>
      <c r="B105" s="3" t="s">
        <v>16</v>
      </c>
      <c r="C105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1</v>
      </c>
      <c r="D105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105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105" s="3">
        <f>SUM(TS_ATHLETES[[#This Row],[GOLD MEDALS]:[BRONZE MEDALS]])</f>
        <v>1</v>
      </c>
      <c r="G105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10100000</v>
      </c>
      <c r="H105" s="3">
        <f>IF(TS_ATHLETES[[#This Row],[TOTAL]]=0,"",RANK(TS_ATHLETES[[#This Row],[RANK VALUE]],TS_ATHLETES[RANK VALUE]))</f>
        <v>129</v>
      </c>
      <c r="I105" s="3">
        <f>IFERROR(IF(TS_ATHLETES[[#This Row],[TOTAL]]=0,"",RANK(TS_ATHLETES[[#This Row],[RANK VALUE]],TS_ATHLETES[RANK VALUE])+COUNTIF($H$1:H104,H105)),"")</f>
        <v>205</v>
      </c>
    </row>
    <row r="106" spans="1:9" x14ac:dyDescent="0.25">
      <c r="A106" t="s">
        <v>1177</v>
      </c>
      <c r="B106" s="3" t="s">
        <v>648</v>
      </c>
      <c r="C106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1</v>
      </c>
      <c r="D106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106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106" s="3">
        <f>SUM(TS_ATHLETES[[#This Row],[GOLD MEDALS]:[BRONZE MEDALS]])</f>
        <v>1</v>
      </c>
      <c r="G106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10100000</v>
      </c>
      <c r="H106" s="3">
        <f>IF(TS_ATHLETES[[#This Row],[TOTAL]]=0,"",RANK(TS_ATHLETES[[#This Row],[RANK VALUE]],TS_ATHLETES[RANK VALUE]))</f>
        <v>129</v>
      </c>
      <c r="I106" s="3">
        <f>IFERROR(IF(TS_ATHLETES[[#This Row],[TOTAL]]=0,"",RANK(TS_ATHLETES[[#This Row],[RANK VALUE]],TS_ATHLETES[RANK VALUE])+COUNTIF($H$1:H105,H106)),"")</f>
        <v>206</v>
      </c>
    </row>
    <row r="107" spans="1:9" x14ac:dyDescent="0.25">
      <c r="A107" t="s">
        <v>1178</v>
      </c>
      <c r="B107" s="3" t="s">
        <v>51</v>
      </c>
      <c r="C107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1</v>
      </c>
      <c r="D107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107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107" s="3">
        <f>SUM(TS_ATHLETES[[#This Row],[GOLD MEDALS]:[BRONZE MEDALS]])</f>
        <v>1</v>
      </c>
      <c r="G107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10100000</v>
      </c>
      <c r="H107" s="3">
        <f>IF(TS_ATHLETES[[#This Row],[TOTAL]]=0,"",RANK(TS_ATHLETES[[#This Row],[RANK VALUE]],TS_ATHLETES[RANK VALUE]))</f>
        <v>129</v>
      </c>
      <c r="I107" s="3">
        <f>IFERROR(IF(TS_ATHLETES[[#This Row],[TOTAL]]=0,"",RANK(TS_ATHLETES[[#This Row],[RANK VALUE]],TS_ATHLETES[RANK VALUE])+COUNTIF($H$1:H106,H107)),"")</f>
        <v>207</v>
      </c>
    </row>
    <row r="108" spans="1:9" x14ac:dyDescent="0.25">
      <c r="A108" t="s">
        <v>1179</v>
      </c>
      <c r="B108" s="3" t="s">
        <v>313</v>
      </c>
      <c r="C108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1</v>
      </c>
      <c r="D108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108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108" s="3">
        <f>SUM(TS_ATHLETES[[#This Row],[GOLD MEDALS]:[BRONZE MEDALS]])</f>
        <v>1</v>
      </c>
      <c r="G108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10100000</v>
      </c>
      <c r="H108" s="3">
        <f>IF(TS_ATHLETES[[#This Row],[TOTAL]]=0,"",RANK(TS_ATHLETES[[#This Row],[RANK VALUE]],TS_ATHLETES[RANK VALUE]))</f>
        <v>129</v>
      </c>
      <c r="I108" s="3">
        <f>IFERROR(IF(TS_ATHLETES[[#This Row],[TOTAL]]=0,"",RANK(TS_ATHLETES[[#This Row],[RANK VALUE]],TS_ATHLETES[RANK VALUE])+COUNTIF($H$1:H107,H108)),"")</f>
        <v>208</v>
      </c>
    </row>
    <row r="109" spans="1:9" x14ac:dyDescent="0.25">
      <c r="A109" t="s">
        <v>1180</v>
      </c>
      <c r="B109" s="3" t="s">
        <v>179</v>
      </c>
      <c r="C109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1</v>
      </c>
      <c r="D109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109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109" s="3">
        <f>SUM(TS_ATHLETES[[#This Row],[GOLD MEDALS]:[BRONZE MEDALS]])</f>
        <v>1</v>
      </c>
      <c r="G109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10100000</v>
      </c>
      <c r="H109" s="3">
        <f>IF(TS_ATHLETES[[#This Row],[TOTAL]]=0,"",RANK(TS_ATHLETES[[#This Row],[RANK VALUE]],TS_ATHLETES[RANK VALUE]))</f>
        <v>129</v>
      </c>
      <c r="I109" s="3">
        <f>IFERROR(IF(TS_ATHLETES[[#This Row],[TOTAL]]=0,"",RANK(TS_ATHLETES[[#This Row],[RANK VALUE]],TS_ATHLETES[RANK VALUE])+COUNTIF($H$1:H108,H109)),"")</f>
        <v>209</v>
      </c>
    </row>
    <row r="110" spans="1:9" x14ac:dyDescent="0.25">
      <c r="A110" t="s">
        <v>1181</v>
      </c>
      <c r="B110" s="3" t="s">
        <v>363</v>
      </c>
      <c r="C110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1</v>
      </c>
      <c r="D110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110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110" s="3">
        <f>SUM(TS_ATHLETES[[#This Row],[GOLD MEDALS]:[BRONZE MEDALS]])</f>
        <v>1</v>
      </c>
      <c r="G110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10100000</v>
      </c>
      <c r="H110" s="3">
        <f>IF(TS_ATHLETES[[#This Row],[TOTAL]]=0,"",RANK(TS_ATHLETES[[#This Row],[RANK VALUE]],TS_ATHLETES[RANK VALUE]))</f>
        <v>129</v>
      </c>
      <c r="I110" s="3">
        <f>IFERROR(IF(TS_ATHLETES[[#This Row],[TOTAL]]=0,"",RANK(TS_ATHLETES[[#This Row],[RANK VALUE]],TS_ATHLETES[RANK VALUE])+COUNTIF($H$1:H109,H110)),"")</f>
        <v>210</v>
      </c>
    </row>
    <row r="111" spans="1:9" x14ac:dyDescent="0.25">
      <c r="A111" t="s">
        <v>1182</v>
      </c>
      <c r="B111" s="3" t="s">
        <v>128</v>
      </c>
      <c r="C111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1</v>
      </c>
      <c r="D111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111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111" s="3">
        <f>SUM(TS_ATHLETES[[#This Row],[GOLD MEDALS]:[BRONZE MEDALS]])</f>
        <v>1</v>
      </c>
      <c r="G111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10100000</v>
      </c>
      <c r="H111" s="3">
        <f>IF(TS_ATHLETES[[#This Row],[TOTAL]]=0,"",RANK(TS_ATHLETES[[#This Row],[RANK VALUE]],TS_ATHLETES[RANK VALUE]))</f>
        <v>129</v>
      </c>
      <c r="I111" s="3">
        <f>IFERROR(IF(TS_ATHLETES[[#This Row],[TOTAL]]=0,"",RANK(TS_ATHLETES[[#This Row],[RANK VALUE]],TS_ATHLETES[RANK VALUE])+COUNTIF($H$1:H110,H111)),"")</f>
        <v>211</v>
      </c>
    </row>
    <row r="112" spans="1:9" x14ac:dyDescent="0.25">
      <c r="A112" t="s">
        <v>1183</v>
      </c>
      <c r="B112" s="3" t="s">
        <v>287</v>
      </c>
      <c r="C112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1</v>
      </c>
      <c r="D112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112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112" s="3">
        <f>SUM(TS_ATHLETES[[#This Row],[GOLD MEDALS]:[BRONZE MEDALS]])</f>
        <v>1</v>
      </c>
      <c r="G112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10100000</v>
      </c>
      <c r="H112" s="3">
        <f>IF(TS_ATHLETES[[#This Row],[TOTAL]]=0,"",RANK(TS_ATHLETES[[#This Row],[RANK VALUE]],TS_ATHLETES[RANK VALUE]))</f>
        <v>129</v>
      </c>
      <c r="I112" s="3">
        <f>IFERROR(IF(TS_ATHLETES[[#This Row],[TOTAL]]=0,"",RANK(TS_ATHLETES[[#This Row],[RANK VALUE]],TS_ATHLETES[RANK VALUE])+COUNTIF($H$1:H111,H112)),"")</f>
        <v>212</v>
      </c>
    </row>
    <row r="113" spans="1:9" x14ac:dyDescent="0.25">
      <c r="A113" t="s">
        <v>1184</v>
      </c>
      <c r="B113" s="3" t="s">
        <v>175</v>
      </c>
      <c r="C113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1</v>
      </c>
      <c r="D113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113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113" s="3">
        <f>SUM(TS_ATHLETES[[#This Row],[GOLD MEDALS]:[BRONZE MEDALS]])</f>
        <v>1</v>
      </c>
      <c r="G113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10100000</v>
      </c>
      <c r="H113" s="3">
        <f>IF(TS_ATHLETES[[#This Row],[TOTAL]]=0,"",RANK(TS_ATHLETES[[#This Row],[RANK VALUE]],TS_ATHLETES[RANK VALUE]))</f>
        <v>129</v>
      </c>
      <c r="I113" s="3">
        <f>IFERROR(IF(TS_ATHLETES[[#This Row],[TOTAL]]=0,"",RANK(TS_ATHLETES[[#This Row],[RANK VALUE]],TS_ATHLETES[RANK VALUE])+COUNTIF($H$1:H112,H113)),"")</f>
        <v>213</v>
      </c>
    </row>
    <row r="114" spans="1:9" x14ac:dyDescent="0.25">
      <c r="A114" t="s">
        <v>1185</v>
      </c>
      <c r="B114" s="3" t="s">
        <v>179</v>
      </c>
      <c r="C114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1</v>
      </c>
      <c r="D114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114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114" s="3">
        <f>SUM(TS_ATHLETES[[#This Row],[GOLD MEDALS]:[BRONZE MEDALS]])</f>
        <v>1</v>
      </c>
      <c r="G114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10100000</v>
      </c>
      <c r="H114" s="3">
        <f>IF(TS_ATHLETES[[#This Row],[TOTAL]]=0,"",RANK(TS_ATHLETES[[#This Row],[RANK VALUE]],TS_ATHLETES[RANK VALUE]))</f>
        <v>129</v>
      </c>
      <c r="I114" s="3">
        <f>IFERROR(IF(TS_ATHLETES[[#This Row],[TOTAL]]=0,"",RANK(TS_ATHLETES[[#This Row],[RANK VALUE]],TS_ATHLETES[RANK VALUE])+COUNTIF($H$1:H113,H114)),"")</f>
        <v>214</v>
      </c>
    </row>
    <row r="115" spans="1:9" x14ac:dyDescent="0.25">
      <c r="A115" t="s">
        <v>1186</v>
      </c>
      <c r="B115" s="3" t="s">
        <v>287</v>
      </c>
      <c r="C115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1</v>
      </c>
      <c r="D115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115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115" s="3">
        <f>SUM(TS_ATHLETES[[#This Row],[GOLD MEDALS]:[BRONZE MEDALS]])</f>
        <v>1</v>
      </c>
      <c r="G115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10100000</v>
      </c>
      <c r="H115" s="3">
        <f>IF(TS_ATHLETES[[#This Row],[TOTAL]]=0,"",RANK(TS_ATHLETES[[#This Row],[RANK VALUE]],TS_ATHLETES[RANK VALUE]))</f>
        <v>129</v>
      </c>
      <c r="I115" s="3">
        <f>IFERROR(IF(TS_ATHLETES[[#This Row],[TOTAL]]=0,"",RANK(TS_ATHLETES[[#This Row],[RANK VALUE]],TS_ATHLETES[RANK VALUE])+COUNTIF($H$1:H114,H115)),"")</f>
        <v>215</v>
      </c>
    </row>
    <row r="116" spans="1:9" x14ac:dyDescent="0.25">
      <c r="A116" t="s">
        <v>1187</v>
      </c>
      <c r="B116" s="3" t="s">
        <v>179</v>
      </c>
      <c r="C116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1</v>
      </c>
      <c r="D116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116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116" s="3">
        <f>SUM(TS_ATHLETES[[#This Row],[GOLD MEDALS]:[BRONZE MEDALS]])</f>
        <v>1</v>
      </c>
      <c r="G116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10100000</v>
      </c>
      <c r="H116" s="3">
        <f>IF(TS_ATHLETES[[#This Row],[TOTAL]]=0,"",RANK(TS_ATHLETES[[#This Row],[RANK VALUE]],TS_ATHLETES[RANK VALUE]))</f>
        <v>129</v>
      </c>
      <c r="I116" s="3">
        <f>IFERROR(IF(TS_ATHLETES[[#This Row],[TOTAL]]=0,"",RANK(TS_ATHLETES[[#This Row],[RANK VALUE]],TS_ATHLETES[RANK VALUE])+COUNTIF($H$1:H115,H116)),"")</f>
        <v>216</v>
      </c>
    </row>
    <row r="117" spans="1:9" x14ac:dyDescent="0.25">
      <c r="A117" t="s">
        <v>1188</v>
      </c>
      <c r="B117" s="3" t="s">
        <v>98</v>
      </c>
      <c r="C117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1</v>
      </c>
      <c r="D117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117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117" s="3">
        <f>SUM(TS_ATHLETES[[#This Row],[GOLD MEDALS]:[BRONZE MEDALS]])</f>
        <v>1</v>
      </c>
      <c r="G117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10100000</v>
      </c>
      <c r="H117" s="3">
        <f>IF(TS_ATHLETES[[#This Row],[TOTAL]]=0,"",RANK(TS_ATHLETES[[#This Row],[RANK VALUE]],TS_ATHLETES[RANK VALUE]))</f>
        <v>129</v>
      </c>
      <c r="I117" s="3">
        <f>IFERROR(IF(TS_ATHLETES[[#This Row],[TOTAL]]=0,"",RANK(TS_ATHLETES[[#This Row],[RANK VALUE]],TS_ATHLETES[RANK VALUE])+COUNTIF($H$1:H116,H117)),"")</f>
        <v>217</v>
      </c>
    </row>
    <row r="118" spans="1:9" x14ac:dyDescent="0.25">
      <c r="A118" t="s">
        <v>661</v>
      </c>
      <c r="B118" s="3" t="s">
        <v>128</v>
      </c>
      <c r="C118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1</v>
      </c>
      <c r="D118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118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118" s="3">
        <f>SUM(TS_ATHLETES[[#This Row],[GOLD MEDALS]:[BRONZE MEDALS]])</f>
        <v>1</v>
      </c>
      <c r="G118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10100000</v>
      </c>
      <c r="H118" s="3">
        <f>IF(TS_ATHLETES[[#This Row],[TOTAL]]=0,"",RANK(TS_ATHLETES[[#This Row],[RANK VALUE]],TS_ATHLETES[RANK VALUE]))</f>
        <v>129</v>
      </c>
      <c r="I118" s="3">
        <f>IFERROR(IF(TS_ATHLETES[[#This Row],[TOTAL]]=0,"",RANK(TS_ATHLETES[[#This Row],[RANK VALUE]],TS_ATHLETES[RANK VALUE])+COUNTIF($H$1:H117,H118)),"")</f>
        <v>218</v>
      </c>
    </row>
    <row r="119" spans="1:9" x14ac:dyDescent="0.25">
      <c r="A119" t="s">
        <v>1189</v>
      </c>
      <c r="B119" s="3" t="s">
        <v>250</v>
      </c>
      <c r="C119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1</v>
      </c>
      <c r="D119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119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119" s="3">
        <f>SUM(TS_ATHLETES[[#This Row],[GOLD MEDALS]:[BRONZE MEDALS]])</f>
        <v>1</v>
      </c>
      <c r="G119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10100000</v>
      </c>
      <c r="H119" s="3">
        <f>IF(TS_ATHLETES[[#This Row],[TOTAL]]=0,"",RANK(TS_ATHLETES[[#This Row],[RANK VALUE]],TS_ATHLETES[RANK VALUE]))</f>
        <v>129</v>
      </c>
      <c r="I119" s="3">
        <f>IFERROR(IF(TS_ATHLETES[[#This Row],[TOTAL]]=0,"",RANK(TS_ATHLETES[[#This Row],[RANK VALUE]],TS_ATHLETES[RANK VALUE])+COUNTIF($H$1:H118,H119)),"")</f>
        <v>219</v>
      </c>
    </row>
    <row r="120" spans="1:9" x14ac:dyDescent="0.25">
      <c r="A120" t="s">
        <v>1190</v>
      </c>
      <c r="B120" s="3" t="s">
        <v>250</v>
      </c>
      <c r="C120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1</v>
      </c>
      <c r="D120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120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120" s="3">
        <f>SUM(TS_ATHLETES[[#This Row],[GOLD MEDALS]:[BRONZE MEDALS]])</f>
        <v>1</v>
      </c>
      <c r="G120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10100000</v>
      </c>
      <c r="H120" s="3">
        <f>IF(TS_ATHLETES[[#This Row],[TOTAL]]=0,"",RANK(TS_ATHLETES[[#This Row],[RANK VALUE]],TS_ATHLETES[RANK VALUE]))</f>
        <v>129</v>
      </c>
      <c r="I120" s="3">
        <f>IFERROR(IF(TS_ATHLETES[[#This Row],[TOTAL]]=0,"",RANK(TS_ATHLETES[[#This Row],[RANK VALUE]],TS_ATHLETES[RANK VALUE])+COUNTIF($H$1:H119,H120)),"")</f>
        <v>220</v>
      </c>
    </row>
    <row r="121" spans="1:9" x14ac:dyDescent="0.25">
      <c r="A121" t="s">
        <v>1191</v>
      </c>
      <c r="B121" s="3" t="s">
        <v>287</v>
      </c>
      <c r="C121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1</v>
      </c>
      <c r="D121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121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121" s="3">
        <f>SUM(TS_ATHLETES[[#This Row],[GOLD MEDALS]:[BRONZE MEDALS]])</f>
        <v>1</v>
      </c>
      <c r="G121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10100000</v>
      </c>
      <c r="H121" s="3">
        <f>IF(TS_ATHLETES[[#This Row],[TOTAL]]=0,"",RANK(TS_ATHLETES[[#This Row],[RANK VALUE]],TS_ATHLETES[RANK VALUE]))</f>
        <v>129</v>
      </c>
      <c r="I121" s="3">
        <f>IFERROR(IF(TS_ATHLETES[[#This Row],[TOTAL]]=0,"",RANK(TS_ATHLETES[[#This Row],[RANK VALUE]],TS_ATHLETES[RANK VALUE])+COUNTIF($H$1:H120,H121)),"")</f>
        <v>221</v>
      </c>
    </row>
    <row r="122" spans="1:9" x14ac:dyDescent="0.25">
      <c r="A122" t="s">
        <v>1192</v>
      </c>
      <c r="B122" s="3" t="s">
        <v>21</v>
      </c>
      <c r="C122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1</v>
      </c>
      <c r="D122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122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122" s="3">
        <f>SUM(TS_ATHLETES[[#This Row],[GOLD MEDALS]:[BRONZE MEDALS]])</f>
        <v>1</v>
      </c>
      <c r="G122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10100000</v>
      </c>
      <c r="H122" s="3">
        <f>IF(TS_ATHLETES[[#This Row],[TOTAL]]=0,"",RANK(TS_ATHLETES[[#This Row],[RANK VALUE]],TS_ATHLETES[RANK VALUE]))</f>
        <v>129</v>
      </c>
      <c r="I122" s="3">
        <f>IFERROR(IF(TS_ATHLETES[[#This Row],[TOTAL]]=0,"",RANK(TS_ATHLETES[[#This Row],[RANK VALUE]],TS_ATHLETES[RANK VALUE])+COUNTIF($H$1:H121,H122)),"")</f>
        <v>222</v>
      </c>
    </row>
    <row r="123" spans="1:9" x14ac:dyDescent="0.25">
      <c r="A123" t="s">
        <v>1193</v>
      </c>
      <c r="B123" s="3" t="s">
        <v>287</v>
      </c>
      <c r="C123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1</v>
      </c>
      <c r="D123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123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123" s="3">
        <f>SUM(TS_ATHLETES[[#This Row],[GOLD MEDALS]:[BRONZE MEDALS]])</f>
        <v>1</v>
      </c>
      <c r="G123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10100000</v>
      </c>
      <c r="H123" s="3">
        <f>IF(TS_ATHLETES[[#This Row],[TOTAL]]=0,"",RANK(TS_ATHLETES[[#This Row],[RANK VALUE]],TS_ATHLETES[RANK VALUE]))</f>
        <v>129</v>
      </c>
      <c r="I123" s="3">
        <f>IFERROR(IF(TS_ATHLETES[[#This Row],[TOTAL]]=0,"",RANK(TS_ATHLETES[[#This Row],[RANK VALUE]],TS_ATHLETES[RANK VALUE])+COUNTIF($H$1:H122,H123)),"")</f>
        <v>223</v>
      </c>
    </row>
    <row r="124" spans="1:9" x14ac:dyDescent="0.25">
      <c r="A124" t="s">
        <v>1194</v>
      </c>
      <c r="B124" s="3" t="s">
        <v>21</v>
      </c>
      <c r="C124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1</v>
      </c>
      <c r="D124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124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124" s="3">
        <f>SUM(TS_ATHLETES[[#This Row],[GOLD MEDALS]:[BRONZE MEDALS]])</f>
        <v>1</v>
      </c>
      <c r="G124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10100000</v>
      </c>
      <c r="H124" s="3">
        <f>IF(TS_ATHLETES[[#This Row],[TOTAL]]=0,"",RANK(TS_ATHLETES[[#This Row],[RANK VALUE]],TS_ATHLETES[RANK VALUE]))</f>
        <v>129</v>
      </c>
      <c r="I124" s="3">
        <f>IFERROR(IF(TS_ATHLETES[[#This Row],[TOTAL]]=0,"",RANK(TS_ATHLETES[[#This Row],[RANK VALUE]],TS_ATHLETES[RANK VALUE])+COUNTIF($H$1:H123,H124)),"")</f>
        <v>224</v>
      </c>
    </row>
    <row r="125" spans="1:9" x14ac:dyDescent="0.25">
      <c r="A125" t="s">
        <v>1195</v>
      </c>
      <c r="B125" s="3" t="s">
        <v>253</v>
      </c>
      <c r="C125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1</v>
      </c>
      <c r="D125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125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125" s="3">
        <f>SUM(TS_ATHLETES[[#This Row],[GOLD MEDALS]:[BRONZE MEDALS]])</f>
        <v>1</v>
      </c>
      <c r="G125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10100000</v>
      </c>
      <c r="H125" s="3">
        <f>IF(TS_ATHLETES[[#This Row],[TOTAL]]=0,"",RANK(TS_ATHLETES[[#This Row],[RANK VALUE]],TS_ATHLETES[RANK VALUE]))</f>
        <v>129</v>
      </c>
      <c r="I125" s="3">
        <f>IFERROR(IF(TS_ATHLETES[[#This Row],[TOTAL]]=0,"",RANK(TS_ATHLETES[[#This Row],[RANK VALUE]],TS_ATHLETES[RANK VALUE])+COUNTIF($H$1:H124,H125)),"")</f>
        <v>225</v>
      </c>
    </row>
    <row r="126" spans="1:9" x14ac:dyDescent="0.25">
      <c r="A126" t="s">
        <v>1196</v>
      </c>
      <c r="B126" s="3" t="s">
        <v>250</v>
      </c>
      <c r="C126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1</v>
      </c>
      <c r="D126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126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126" s="3">
        <f>SUM(TS_ATHLETES[[#This Row],[GOLD MEDALS]:[BRONZE MEDALS]])</f>
        <v>1</v>
      </c>
      <c r="G126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10100000</v>
      </c>
      <c r="H126" s="3">
        <f>IF(TS_ATHLETES[[#This Row],[TOTAL]]=0,"",RANK(TS_ATHLETES[[#This Row],[RANK VALUE]],TS_ATHLETES[RANK VALUE]))</f>
        <v>129</v>
      </c>
      <c r="I126" s="3">
        <f>IFERROR(IF(TS_ATHLETES[[#This Row],[TOTAL]]=0,"",RANK(TS_ATHLETES[[#This Row],[RANK VALUE]],TS_ATHLETES[RANK VALUE])+COUNTIF($H$1:H125,H126)),"")</f>
        <v>226</v>
      </c>
    </row>
    <row r="127" spans="1:9" x14ac:dyDescent="0.25">
      <c r="A127" t="s">
        <v>1197</v>
      </c>
      <c r="B127" s="3" t="s">
        <v>128</v>
      </c>
      <c r="C127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1</v>
      </c>
      <c r="D127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127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127" s="3">
        <f>SUM(TS_ATHLETES[[#This Row],[GOLD MEDALS]:[BRONZE MEDALS]])</f>
        <v>1</v>
      </c>
      <c r="G127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10100000</v>
      </c>
      <c r="H127" s="3">
        <f>IF(TS_ATHLETES[[#This Row],[TOTAL]]=0,"",RANK(TS_ATHLETES[[#This Row],[RANK VALUE]],TS_ATHLETES[RANK VALUE]))</f>
        <v>129</v>
      </c>
      <c r="I127" s="3">
        <f>IFERROR(IF(TS_ATHLETES[[#This Row],[TOTAL]]=0,"",RANK(TS_ATHLETES[[#This Row],[RANK VALUE]],TS_ATHLETES[RANK VALUE])+COUNTIF($H$1:H126,H127)),"")</f>
        <v>227</v>
      </c>
    </row>
    <row r="128" spans="1:9" x14ac:dyDescent="0.25">
      <c r="A128" t="s">
        <v>1198</v>
      </c>
      <c r="B128" s="3" t="s">
        <v>21</v>
      </c>
      <c r="C128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1</v>
      </c>
      <c r="D128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128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128" s="3">
        <f>SUM(TS_ATHLETES[[#This Row],[GOLD MEDALS]:[BRONZE MEDALS]])</f>
        <v>1</v>
      </c>
      <c r="G128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10100000</v>
      </c>
      <c r="H128" s="3">
        <f>IF(TS_ATHLETES[[#This Row],[TOTAL]]=0,"",RANK(TS_ATHLETES[[#This Row],[RANK VALUE]],TS_ATHLETES[RANK VALUE]))</f>
        <v>129</v>
      </c>
      <c r="I128" s="3">
        <f>IFERROR(IF(TS_ATHLETES[[#This Row],[TOTAL]]=0,"",RANK(TS_ATHLETES[[#This Row],[RANK VALUE]],TS_ATHLETES[RANK VALUE])+COUNTIF($H$1:H127,H128)),"")</f>
        <v>228</v>
      </c>
    </row>
    <row r="129" spans="1:9" x14ac:dyDescent="0.25">
      <c r="A129" t="s">
        <v>1199</v>
      </c>
      <c r="B129" s="3" t="s">
        <v>250</v>
      </c>
      <c r="C129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1</v>
      </c>
      <c r="D129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129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129" s="3">
        <f>SUM(TS_ATHLETES[[#This Row],[GOLD MEDALS]:[BRONZE MEDALS]])</f>
        <v>1</v>
      </c>
      <c r="G129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10100000</v>
      </c>
      <c r="H129" s="3">
        <f>IF(TS_ATHLETES[[#This Row],[TOTAL]]=0,"",RANK(TS_ATHLETES[[#This Row],[RANK VALUE]],TS_ATHLETES[RANK VALUE]))</f>
        <v>129</v>
      </c>
      <c r="I129" s="3">
        <f>IFERROR(IF(TS_ATHLETES[[#This Row],[TOTAL]]=0,"",RANK(TS_ATHLETES[[#This Row],[RANK VALUE]],TS_ATHLETES[RANK VALUE])+COUNTIF($H$1:H128,H129)),"")</f>
        <v>229</v>
      </c>
    </row>
    <row r="130" spans="1:9" x14ac:dyDescent="0.25">
      <c r="A130" t="s">
        <v>1200</v>
      </c>
      <c r="B130" s="3" t="s">
        <v>361</v>
      </c>
      <c r="C130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1</v>
      </c>
      <c r="D130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130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130" s="3">
        <f>SUM(TS_ATHLETES[[#This Row],[GOLD MEDALS]:[BRONZE MEDALS]])</f>
        <v>1</v>
      </c>
      <c r="G130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10100000</v>
      </c>
      <c r="H130" s="3">
        <f>IF(TS_ATHLETES[[#This Row],[TOTAL]]=0,"",RANK(TS_ATHLETES[[#This Row],[RANK VALUE]],TS_ATHLETES[RANK VALUE]))</f>
        <v>129</v>
      </c>
      <c r="I130" s="3">
        <f>IFERROR(IF(TS_ATHLETES[[#This Row],[TOTAL]]=0,"",RANK(TS_ATHLETES[[#This Row],[RANK VALUE]],TS_ATHLETES[RANK VALUE])+COUNTIF($H$1:H129,H130)),"")</f>
        <v>230</v>
      </c>
    </row>
    <row r="131" spans="1:9" x14ac:dyDescent="0.25">
      <c r="A131" t="s">
        <v>1201</v>
      </c>
      <c r="B131" s="3" t="s">
        <v>175</v>
      </c>
      <c r="C131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2</v>
      </c>
      <c r="D131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131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131" s="3">
        <f>SUM(TS_ATHLETES[[#This Row],[GOLD MEDALS]:[BRONZE MEDALS]])</f>
        <v>2</v>
      </c>
      <c r="G131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20200000</v>
      </c>
      <c r="H131" s="3">
        <f>IF(TS_ATHLETES[[#This Row],[TOTAL]]=0,"",RANK(TS_ATHLETES[[#This Row],[RANK VALUE]],TS_ATHLETES[RANK VALUE]))</f>
        <v>27</v>
      </c>
      <c r="I131" s="3">
        <f>IFERROR(IF(TS_ATHLETES[[#This Row],[TOTAL]]=0,"",RANK(TS_ATHLETES[[#This Row],[RANK VALUE]],TS_ATHLETES[RANK VALUE])+COUNTIF($H$1:H130,H131)),"")</f>
        <v>37</v>
      </c>
    </row>
    <row r="132" spans="1:9" x14ac:dyDescent="0.25">
      <c r="A132" t="s">
        <v>1202</v>
      </c>
      <c r="B132" s="3" t="s">
        <v>136</v>
      </c>
      <c r="C132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1</v>
      </c>
      <c r="D132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132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132" s="3">
        <f>SUM(TS_ATHLETES[[#This Row],[GOLD MEDALS]:[BRONZE MEDALS]])</f>
        <v>1</v>
      </c>
      <c r="G132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10100000</v>
      </c>
      <c r="H132" s="3">
        <f>IF(TS_ATHLETES[[#This Row],[TOTAL]]=0,"",RANK(TS_ATHLETES[[#This Row],[RANK VALUE]],TS_ATHLETES[RANK VALUE]))</f>
        <v>129</v>
      </c>
      <c r="I132" s="3">
        <f>IFERROR(IF(TS_ATHLETES[[#This Row],[TOTAL]]=0,"",RANK(TS_ATHLETES[[#This Row],[RANK VALUE]],TS_ATHLETES[RANK VALUE])+COUNTIF($H$1:H131,H132)),"")</f>
        <v>231</v>
      </c>
    </row>
    <row r="133" spans="1:9" x14ac:dyDescent="0.25">
      <c r="A133" t="s">
        <v>1203</v>
      </c>
      <c r="B133" s="3" t="s">
        <v>187</v>
      </c>
      <c r="C133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1</v>
      </c>
      <c r="D133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133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133" s="3">
        <f>SUM(TS_ATHLETES[[#This Row],[GOLD MEDALS]:[BRONZE MEDALS]])</f>
        <v>1</v>
      </c>
      <c r="G133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10100000</v>
      </c>
      <c r="H133" s="3">
        <f>IF(TS_ATHLETES[[#This Row],[TOTAL]]=0,"",RANK(TS_ATHLETES[[#This Row],[RANK VALUE]],TS_ATHLETES[RANK VALUE]))</f>
        <v>129</v>
      </c>
      <c r="I133" s="3">
        <f>IFERROR(IF(TS_ATHLETES[[#This Row],[TOTAL]]=0,"",RANK(TS_ATHLETES[[#This Row],[RANK VALUE]],TS_ATHLETES[RANK VALUE])+COUNTIF($H$1:H132,H133)),"")</f>
        <v>232</v>
      </c>
    </row>
    <row r="134" spans="1:9" x14ac:dyDescent="0.25">
      <c r="A134" t="s">
        <v>1204</v>
      </c>
      <c r="B134" s="3" t="s">
        <v>136</v>
      </c>
      <c r="C134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1</v>
      </c>
      <c r="D134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134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134" s="3">
        <f>SUM(TS_ATHLETES[[#This Row],[GOLD MEDALS]:[BRONZE MEDALS]])</f>
        <v>1</v>
      </c>
      <c r="G134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10100000</v>
      </c>
      <c r="H134" s="3">
        <f>IF(TS_ATHLETES[[#This Row],[TOTAL]]=0,"",RANK(TS_ATHLETES[[#This Row],[RANK VALUE]],TS_ATHLETES[RANK VALUE]))</f>
        <v>129</v>
      </c>
      <c r="I134" s="3">
        <f>IFERROR(IF(TS_ATHLETES[[#This Row],[TOTAL]]=0,"",RANK(TS_ATHLETES[[#This Row],[RANK VALUE]],TS_ATHLETES[RANK VALUE])+COUNTIF($H$1:H133,H134)),"")</f>
        <v>233</v>
      </c>
    </row>
    <row r="135" spans="1:9" x14ac:dyDescent="0.25">
      <c r="A135" t="s">
        <v>866</v>
      </c>
      <c r="B135" s="3" t="s">
        <v>373</v>
      </c>
      <c r="C135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1</v>
      </c>
      <c r="D135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1</v>
      </c>
      <c r="E135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135" s="3">
        <f>SUM(TS_ATHLETES[[#This Row],[GOLD MEDALS]:[BRONZE MEDALS]])</f>
        <v>2</v>
      </c>
      <c r="G135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20100100</v>
      </c>
      <c r="H135" s="3">
        <f>IF(TS_ATHLETES[[#This Row],[TOTAL]]=0,"",RANK(TS_ATHLETES[[#This Row],[RANK VALUE]],TS_ATHLETES[RANK VALUE]))</f>
        <v>48</v>
      </c>
      <c r="I135" s="3">
        <f>IFERROR(IF(TS_ATHLETES[[#This Row],[TOTAL]]=0,"",RANK(TS_ATHLETES[[#This Row],[RANK VALUE]],TS_ATHLETES[RANK VALUE])+COUNTIF($H$1:H134,H135)),"")</f>
        <v>53</v>
      </c>
    </row>
    <row r="136" spans="1:9" x14ac:dyDescent="0.25">
      <c r="A136" t="s">
        <v>1205</v>
      </c>
      <c r="B136" s="3" t="s">
        <v>92</v>
      </c>
      <c r="C136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1</v>
      </c>
      <c r="D136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136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136" s="3">
        <f>SUM(TS_ATHLETES[[#This Row],[GOLD MEDALS]:[BRONZE MEDALS]])</f>
        <v>1</v>
      </c>
      <c r="G136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10100000</v>
      </c>
      <c r="H136" s="3">
        <f>IF(TS_ATHLETES[[#This Row],[TOTAL]]=0,"",RANK(TS_ATHLETES[[#This Row],[RANK VALUE]],TS_ATHLETES[RANK VALUE]))</f>
        <v>129</v>
      </c>
      <c r="I136" s="3">
        <f>IFERROR(IF(TS_ATHLETES[[#This Row],[TOTAL]]=0,"",RANK(TS_ATHLETES[[#This Row],[RANK VALUE]],TS_ATHLETES[RANK VALUE])+COUNTIF($H$1:H135,H136)),"")</f>
        <v>234</v>
      </c>
    </row>
    <row r="137" spans="1:9" x14ac:dyDescent="0.25">
      <c r="A137" t="s">
        <v>1206</v>
      </c>
      <c r="B137" s="3" t="s">
        <v>716</v>
      </c>
      <c r="C137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1</v>
      </c>
      <c r="D137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137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137" s="3">
        <f>SUM(TS_ATHLETES[[#This Row],[GOLD MEDALS]:[BRONZE MEDALS]])</f>
        <v>1</v>
      </c>
      <c r="G137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10100000</v>
      </c>
      <c r="H137" s="3">
        <f>IF(TS_ATHLETES[[#This Row],[TOTAL]]=0,"",RANK(TS_ATHLETES[[#This Row],[RANK VALUE]],TS_ATHLETES[RANK VALUE]))</f>
        <v>129</v>
      </c>
      <c r="I137" s="3">
        <f>IFERROR(IF(TS_ATHLETES[[#This Row],[TOTAL]]=0,"",RANK(TS_ATHLETES[[#This Row],[RANK VALUE]],TS_ATHLETES[RANK VALUE])+COUNTIF($H$1:H136,H137)),"")</f>
        <v>235</v>
      </c>
    </row>
    <row r="138" spans="1:9" x14ac:dyDescent="0.25">
      <c r="A138" t="s">
        <v>1207</v>
      </c>
      <c r="B138" s="3" t="s">
        <v>175</v>
      </c>
      <c r="C138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1</v>
      </c>
      <c r="D138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138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138" s="3">
        <f>SUM(TS_ATHLETES[[#This Row],[GOLD MEDALS]:[BRONZE MEDALS]])</f>
        <v>1</v>
      </c>
      <c r="G138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10100000</v>
      </c>
      <c r="H138" s="3">
        <f>IF(TS_ATHLETES[[#This Row],[TOTAL]]=0,"",RANK(TS_ATHLETES[[#This Row],[RANK VALUE]],TS_ATHLETES[RANK VALUE]))</f>
        <v>129</v>
      </c>
      <c r="I138" s="3">
        <f>IFERROR(IF(TS_ATHLETES[[#This Row],[TOTAL]]=0,"",RANK(TS_ATHLETES[[#This Row],[RANK VALUE]],TS_ATHLETES[RANK VALUE])+COUNTIF($H$1:H137,H138)),"")</f>
        <v>236</v>
      </c>
    </row>
    <row r="139" spans="1:9" x14ac:dyDescent="0.25">
      <c r="A139" t="s">
        <v>1208</v>
      </c>
      <c r="B139" s="3" t="s">
        <v>136</v>
      </c>
      <c r="C139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1</v>
      </c>
      <c r="D139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139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139" s="3">
        <f>SUM(TS_ATHLETES[[#This Row],[GOLD MEDALS]:[BRONZE MEDALS]])</f>
        <v>1</v>
      </c>
      <c r="G139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10100000</v>
      </c>
      <c r="H139" s="3">
        <f>IF(TS_ATHLETES[[#This Row],[TOTAL]]=0,"",RANK(TS_ATHLETES[[#This Row],[RANK VALUE]],TS_ATHLETES[RANK VALUE]))</f>
        <v>129</v>
      </c>
      <c r="I139" s="3">
        <f>IFERROR(IF(TS_ATHLETES[[#This Row],[TOTAL]]=0,"",RANK(TS_ATHLETES[[#This Row],[RANK VALUE]],TS_ATHLETES[RANK VALUE])+COUNTIF($H$1:H138,H139)),"")</f>
        <v>237</v>
      </c>
    </row>
    <row r="140" spans="1:9" x14ac:dyDescent="0.25">
      <c r="A140" t="s">
        <v>1209</v>
      </c>
      <c r="B140" s="3" t="s">
        <v>363</v>
      </c>
      <c r="C140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1</v>
      </c>
      <c r="D140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140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140" s="3">
        <f>SUM(TS_ATHLETES[[#This Row],[GOLD MEDALS]:[BRONZE MEDALS]])</f>
        <v>1</v>
      </c>
      <c r="G140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10100000</v>
      </c>
      <c r="H140" s="3">
        <f>IF(TS_ATHLETES[[#This Row],[TOTAL]]=0,"",RANK(TS_ATHLETES[[#This Row],[RANK VALUE]],TS_ATHLETES[RANK VALUE]))</f>
        <v>129</v>
      </c>
      <c r="I140" s="3">
        <f>IFERROR(IF(TS_ATHLETES[[#This Row],[TOTAL]]=0,"",RANK(TS_ATHLETES[[#This Row],[RANK VALUE]],TS_ATHLETES[RANK VALUE])+COUNTIF($H$1:H139,H140)),"")</f>
        <v>238</v>
      </c>
    </row>
    <row r="141" spans="1:9" x14ac:dyDescent="0.25">
      <c r="A141" t="s">
        <v>869</v>
      </c>
      <c r="B141" s="3" t="s">
        <v>140</v>
      </c>
      <c r="C141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1</v>
      </c>
      <c r="D141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141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1</v>
      </c>
      <c r="F141" s="3">
        <f>SUM(TS_ATHLETES[[#This Row],[GOLD MEDALS]:[BRONZE MEDALS]])</f>
        <v>2</v>
      </c>
      <c r="G141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20100010</v>
      </c>
      <c r="H141" s="3">
        <f>IF(TS_ATHLETES[[#This Row],[TOTAL]]=0,"",RANK(TS_ATHLETES[[#This Row],[RANK VALUE]],TS_ATHLETES[RANK VALUE]))</f>
        <v>71</v>
      </c>
      <c r="I141" s="3">
        <f>IFERROR(IF(TS_ATHLETES[[#This Row],[TOTAL]]=0,"",RANK(TS_ATHLETES[[#This Row],[RANK VALUE]],TS_ATHLETES[RANK VALUE])+COUNTIF($H$1:H140,H141)),"")</f>
        <v>76</v>
      </c>
    </row>
    <row r="142" spans="1:9" x14ac:dyDescent="0.25">
      <c r="A142" t="s">
        <v>872</v>
      </c>
      <c r="B142" s="3" t="s">
        <v>77</v>
      </c>
      <c r="C142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1</v>
      </c>
      <c r="D142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142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142" s="3">
        <f>SUM(TS_ATHLETES[[#This Row],[GOLD MEDALS]:[BRONZE MEDALS]])</f>
        <v>1</v>
      </c>
      <c r="G142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10100000</v>
      </c>
      <c r="H142" s="3">
        <f>IF(TS_ATHLETES[[#This Row],[TOTAL]]=0,"",RANK(TS_ATHLETES[[#This Row],[RANK VALUE]],TS_ATHLETES[RANK VALUE]))</f>
        <v>129</v>
      </c>
      <c r="I142" s="3">
        <f>IFERROR(IF(TS_ATHLETES[[#This Row],[TOTAL]]=0,"",RANK(TS_ATHLETES[[#This Row],[RANK VALUE]],TS_ATHLETES[RANK VALUE])+COUNTIF($H$1:H141,H142)),"")</f>
        <v>239</v>
      </c>
    </row>
    <row r="143" spans="1:9" x14ac:dyDescent="0.25">
      <c r="A143" t="s">
        <v>1210</v>
      </c>
      <c r="B143" s="3" t="s">
        <v>21</v>
      </c>
      <c r="C143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1</v>
      </c>
      <c r="D143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143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143" s="3">
        <f>SUM(TS_ATHLETES[[#This Row],[GOLD MEDALS]:[BRONZE MEDALS]])</f>
        <v>1</v>
      </c>
      <c r="G143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10100000</v>
      </c>
      <c r="H143" s="3">
        <f>IF(TS_ATHLETES[[#This Row],[TOTAL]]=0,"",RANK(TS_ATHLETES[[#This Row],[RANK VALUE]],TS_ATHLETES[RANK VALUE]))</f>
        <v>129</v>
      </c>
      <c r="I143" s="3">
        <f>IFERROR(IF(TS_ATHLETES[[#This Row],[TOTAL]]=0,"",RANK(TS_ATHLETES[[#This Row],[RANK VALUE]],TS_ATHLETES[RANK VALUE])+COUNTIF($H$1:H142,H143)),"")</f>
        <v>240</v>
      </c>
    </row>
    <row r="144" spans="1:9" x14ac:dyDescent="0.25">
      <c r="A144" t="s">
        <v>1211</v>
      </c>
      <c r="B144" s="3" t="s">
        <v>175</v>
      </c>
      <c r="C144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1</v>
      </c>
      <c r="D144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144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144" s="3">
        <f>SUM(TS_ATHLETES[[#This Row],[GOLD MEDALS]:[BRONZE MEDALS]])</f>
        <v>1</v>
      </c>
      <c r="G144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10100000</v>
      </c>
      <c r="H144" s="3">
        <f>IF(TS_ATHLETES[[#This Row],[TOTAL]]=0,"",RANK(TS_ATHLETES[[#This Row],[RANK VALUE]],TS_ATHLETES[RANK VALUE]))</f>
        <v>129</v>
      </c>
      <c r="I144" s="3">
        <f>IFERROR(IF(TS_ATHLETES[[#This Row],[TOTAL]]=0,"",RANK(TS_ATHLETES[[#This Row],[RANK VALUE]],TS_ATHLETES[RANK VALUE])+COUNTIF($H$1:H143,H144)),"")</f>
        <v>241</v>
      </c>
    </row>
    <row r="145" spans="1:9" x14ac:dyDescent="0.25">
      <c r="A145" t="s">
        <v>1212</v>
      </c>
      <c r="B145" s="3" t="s">
        <v>100</v>
      </c>
      <c r="C145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1</v>
      </c>
      <c r="D145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145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1</v>
      </c>
      <c r="F145" s="3">
        <f>SUM(TS_ATHLETES[[#This Row],[GOLD MEDALS]:[BRONZE MEDALS]])</f>
        <v>2</v>
      </c>
      <c r="G145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20100010</v>
      </c>
      <c r="H145" s="3">
        <f>IF(TS_ATHLETES[[#This Row],[TOTAL]]=0,"",RANK(TS_ATHLETES[[#This Row],[RANK VALUE]],TS_ATHLETES[RANK VALUE]))</f>
        <v>71</v>
      </c>
      <c r="I145" s="3">
        <f>IFERROR(IF(TS_ATHLETES[[#This Row],[TOTAL]]=0,"",RANK(TS_ATHLETES[[#This Row],[RANK VALUE]],TS_ATHLETES[RANK VALUE])+COUNTIF($H$1:H144,H145)),"")</f>
        <v>77</v>
      </c>
    </row>
    <row r="146" spans="1:9" x14ac:dyDescent="0.25">
      <c r="A146" t="s">
        <v>1213</v>
      </c>
      <c r="B146" s="3" t="s">
        <v>726</v>
      </c>
      <c r="C146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146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146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146" s="3">
        <f>SUM(TS_ATHLETES[[#This Row],[GOLD MEDALS]:[BRONZE MEDALS]])</f>
        <v>0</v>
      </c>
      <c r="G146" s="3" t="str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/>
      </c>
      <c r="H146" s="3" t="str">
        <f>IF(TS_ATHLETES[[#This Row],[TOTAL]]=0,"",RANK(TS_ATHLETES[[#This Row],[RANK VALUE]],TS_ATHLETES[RANK VALUE]))</f>
        <v/>
      </c>
      <c r="I146" s="3" t="str">
        <f>IFERROR(IF(TS_ATHLETES[[#This Row],[TOTAL]]=0,"",RANK(TS_ATHLETES[[#This Row],[RANK VALUE]],TS_ATHLETES[RANK VALUE])+COUNTIF($H$1:H145,H146)),"")</f>
        <v/>
      </c>
    </row>
    <row r="147" spans="1:9" x14ac:dyDescent="0.25">
      <c r="A147" t="s">
        <v>1214</v>
      </c>
      <c r="B147" s="3" t="s">
        <v>363</v>
      </c>
      <c r="C147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4</v>
      </c>
      <c r="D147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1</v>
      </c>
      <c r="E147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147" s="3">
        <f>SUM(TS_ATHLETES[[#This Row],[GOLD MEDALS]:[BRONZE MEDALS]])</f>
        <v>5</v>
      </c>
      <c r="G147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50400100</v>
      </c>
      <c r="H147" s="3">
        <f>IF(TS_ATHLETES[[#This Row],[TOTAL]]=0,"",RANK(TS_ATHLETES[[#This Row],[RANK VALUE]],TS_ATHLETES[RANK VALUE]))</f>
        <v>2</v>
      </c>
      <c r="I147" s="3">
        <f>IFERROR(IF(TS_ATHLETES[[#This Row],[TOTAL]]=0,"",RANK(TS_ATHLETES[[#This Row],[RANK VALUE]],TS_ATHLETES[RANK VALUE])+COUNTIF($H$1:H146,H147)),"")</f>
        <v>2</v>
      </c>
    </row>
    <row r="148" spans="1:9" x14ac:dyDescent="0.25">
      <c r="A148" t="s">
        <v>1215</v>
      </c>
      <c r="B148" s="3" t="s">
        <v>159</v>
      </c>
      <c r="C148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3</v>
      </c>
      <c r="D148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1</v>
      </c>
      <c r="E148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148" s="3">
        <f>SUM(TS_ATHLETES[[#This Row],[GOLD MEDALS]:[BRONZE MEDALS]])</f>
        <v>4</v>
      </c>
      <c r="G148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40300100</v>
      </c>
      <c r="H148" s="3">
        <f>IF(TS_ATHLETES[[#This Row],[TOTAL]]=0,"",RANK(TS_ATHLETES[[#This Row],[RANK VALUE]],TS_ATHLETES[RANK VALUE]))</f>
        <v>4</v>
      </c>
      <c r="I148" s="3">
        <f>IFERROR(IF(TS_ATHLETES[[#This Row],[TOTAL]]=0,"",RANK(TS_ATHLETES[[#This Row],[RANK VALUE]],TS_ATHLETES[RANK VALUE])+COUNTIF($H$1:H147,H148)),"")</f>
        <v>4</v>
      </c>
    </row>
    <row r="149" spans="1:9" x14ac:dyDescent="0.25">
      <c r="A149" t="s">
        <v>1216</v>
      </c>
      <c r="B149" s="3" t="s">
        <v>363</v>
      </c>
      <c r="C149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2</v>
      </c>
      <c r="D149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1</v>
      </c>
      <c r="E149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1</v>
      </c>
      <c r="F149" s="3">
        <f>SUM(TS_ATHLETES[[#This Row],[GOLD MEDALS]:[BRONZE MEDALS]])</f>
        <v>4</v>
      </c>
      <c r="G149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40200110</v>
      </c>
      <c r="H149" s="3">
        <f>IF(TS_ATHLETES[[#This Row],[TOTAL]]=0,"",RANK(TS_ATHLETES[[#This Row],[RANK VALUE]],TS_ATHLETES[RANK VALUE]))</f>
        <v>6</v>
      </c>
      <c r="I149" s="3">
        <f>IFERROR(IF(TS_ATHLETES[[#This Row],[TOTAL]]=0,"",RANK(TS_ATHLETES[[#This Row],[RANK VALUE]],TS_ATHLETES[RANK VALUE])+COUNTIF($H$1:H148,H149)),"")</f>
        <v>6</v>
      </c>
    </row>
    <row r="150" spans="1:9" x14ac:dyDescent="0.25">
      <c r="A150" t="s">
        <v>1217</v>
      </c>
      <c r="B150" s="3" t="s">
        <v>363</v>
      </c>
      <c r="C150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2</v>
      </c>
      <c r="D150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150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150" s="3">
        <f>SUM(TS_ATHLETES[[#This Row],[GOLD MEDALS]:[BRONZE MEDALS]])</f>
        <v>2</v>
      </c>
      <c r="G150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20200000</v>
      </c>
      <c r="H150" s="3">
        <f>IF(TS_ATHLETES[[#This Row],[TOTAL]]=0,"",RANK(TS_ATHLETES[[#This Row],[RANK VALUE]],TS_ATHLETES[RANK VALUE]))</f>
        <v>27</v>
      </c>
      <c r="I150" s="3">
        <f>IFERROR(IF(TS_ATHLETES[[#This Row],[TOTAL]]=0,"",RANK(TS_ATHLETES[[#This Row],[RANK VALUE]],TS_ATHLETES[RANK VALUE])+COUNTIF($H$1:H149,H150)),"")</f>
        <v>38</v>
      </c>
    </row>
    <row r="151" spans="1:9" x14ac:dyDescent="0.25">
      <c r="A151" t="s">
        <v>1218</v>
      </c>
      <c r="B151" s="3" t="s">
        <v>179</v>
      </c>
      <c r="C151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1</v>
      </c>
      <c r="D151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151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151" s="3">
        <f>SUM(TS_ATHLETES[[#This Row],[GOLD MEDALS]:[BRONZE MEDALS]])</f>
        <v>1</v>
      </c>
      <c r="G151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10100000</v>
      </c>
      <c r="H151" s="3">
        <f>IF(TS_ATHLETES[[#This Row],[TOTAL]]=0,"",RANK(TS_ATHLETES[[#This Row],[RANK VALUE]],TS_ATHLETES[RANK VALUE]))</f>
        <v>129</v>
      </c>
      <c r="I151" s="3">
        <f>IFERROR(IF(TS_ATHLETES[[#This Row],[TOTAL]]=0,"",RANK(TS_ATHLETES[[#This Row],[RANK VALUE]],TS_ATHLETES[RANK VALUE])+COUNTIF($H$1:H150,H151)),"")</f>
        <v>242</v>
      </c>
    </row>
    <row r="152" spans="1:9" x14ac:dyDescent="0.25">
      <c r="A152" t="s">
        <v>1219</v>
      </c>
      <c r="B152" s="3" t="s">
        <v>331</v>
      </c>
      <c r="C152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1</v>
      </c>
      <c r="D152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1</v>
      </c>
      <c r="E152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1</v>
      </c>
      <c r="F152" s="3">
        <f>SUM(TS_ATHLETES[[#This Row],[GOLD MEDALS]:[BRONZE MEDALS]])</f>
        <v>3</v>
      </c>
      <c r="G152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30100110</v>
      </c>
      <c r="H152" s="3">
        <f>IF(TS_ATHLETES[[#This Row],[TOTAL]]=0,"",RANK(TS_ATHLETES[[#This Row],[RANK VALUE]],TS_ATHLETES[RANK VALUE]))</f>
        <v>18</v>
      </c>
      <c r="I152" s="3">
        <f>IFERROR(IF(TS_ATHLETES[[#This Row],[TOTAL]]=0,"",RANK(TS_ATHLETES[[#This Row],[RANK VALUE]],TS_ATHLETES[RANK VALUE])+COUNTIF($H$1:H151,H152)),"")</f>
        <v>19</v>
      </c>
    </row>
    <row r="153" spans="1:9" x14ac:dyDescent="0.25">
      <c r="A153" t="s">
        <v>1220</v>
      </c>
      <c r="B153" s="3" t="s">
        <v>321</v>
      </c>
      <c r="C153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1</v>
      </c>
      <c r="D153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153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1</v>
      </c>
      <c r="F153" s="3">
        <f>SUM(TS_ATHLETES[[#This Row],[GOLD MEDALS]:[BRONZE MEDALS]])</f>
        <v>2</v>
      </c>
      <c r="G153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20100010</v>
      </c>
      <c r="H153" s="3">
        <f>IF(TS_ATHLETES[[#This Row],[TOTAL]]=0,"",RANK(TS_ATHLETES[[#This Row],[RANK VALUE]],TS_ATHLETES[RANK VALUE]))</f>
        <v>71</v>
      </c>
      <c r="I153" s="3">
        <f>IFERROR(IF(TS_ATHLETES[[#This Row],[TOTAL]]=0,"",RANK(TS_ATHLETES[[#This Row],[RANK VALUE]],TS_ATHLETES[RANK VALUE])+COUNTIF($H$1:H152,H153)),"")</f>
        <v>78</v>
      </c>
    </row>
    <row r="154" spans="1:9" x14ac:dyDescent="0.25">
      <c r="A154" t="s">
        <v>1221</v>
      </c>
      <c r="B154" s="3" t="s">
        <v>363</v>
      </c>
      <c r="C154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2</v>
      </c>
      <c r="D154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154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154" s="3">
        <f>SUM(TS_ATHLETES[[#This Row],[GOLD MEDALS]:[BRONZE MEDALS]])</f>
        <v>2</v>
      </c>
      <c r="G154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20200000</v>
      </c>
      <c r="H154" s="3">
        <f>IF(TS_ATHLETES[[#This Row],[TOTAL]]=0,"",RANK(TS_ATHLETES[[#This Row],[RANK VALUE]],TS_ATHLETES[RANK VALUE]))</f>
        <v>27</v>
      </c>
      <c r="I154" s="3">
        <f>IFERROR(IF(TS_ATHLETES[[#This Row],[TOTAL]]=0,"",RANK(TS_ATHLETES[[#This Row],[RANK VALUE]],TS_ATHLETES[RANK VALUE])+COUNTIF($H$1:H153,H154)),"")</f>
        <v>39</v>
      </c>
    </row>
    <row r="155" spans="1:9" x14ac:dyDescent="0.25">
      <c r="A155" t="s">
        <v>1222</v>
      </c>
      <c r="B155" s="3" t="s">
        <v>21</v>
      </c>
      <c r="C155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1</v>
      </c>
      <c r="D155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155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2</v>
      </c>
      <c r="F155" s="3">
        <f>SUM(TS_ATHLETES[[#This Row],[GOLD MEDALS]:[BRONZE MEDALS]])</f>
        <v>3</v>
      </c>
      <c r="G155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30100020</v>
      </c>
      <c r="H155" s="3">
        <f>IF(TS_ATHLETES[[#This Row],[TOTAL]]=0,"",RANK(TS_ATHLETES[[#This Row],[RANK VALUE]],TS_ATHLETES[RANK VALUE]))</f>
        <v>23</v>
      </c>
      <c r="I155" s="3">
        <f>IFERROR(IF(TS_ATHLETES[[#This Row],[TOTAL]]=0,"",RANK(TS_ATHLETES[[#This Row],[RANK VALUE]],TS_ATHLETES[RANK VALUE])+COUNTIF($H$1:H154,H155)),"")</f>
        <v>23</v>
      </c>
    </row>
    <row r="156" spans="1:9" x14ac:dyDescent="0.25">
      <c r="A156" t="s">
        <v>1223</v>
      </c>
      <c r="B156" s="3" t="s">
        <v>77</v>
      </c>
      <c r="C156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1</v>
      </c>
      <c r="D156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1</v>
      </c>
      <c r="E156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156" s="3">
        <f>SUM(TS_ATHLETES[[#This Row],[GOLD MEDALS]:[BRONZE MEDALS]])</f>
        <v>2</v>
      </c>
      <c r="G156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20100100</v>
      </c>
      <c r="H156" s="3">
        <f>IF(TS_ATHLETES[[#This Row],[TOTAL]]=0,"",RANK(TS_ATHLETES[[#This Row],[RANK VALUE]],TS_ATHLETES[RANK VALUE]))</f>
        <v>48</v>
      </c>
      <c r="I156" s="3">
        <f>IFERROR(IF(TS_ATHLETES[[#This Row],[TOTAL]]=0,"",RANK(TS_ATHLETES[[#This Row],[RANK VALUE]],TS_ATHLETES[RANK VALUE])+COUNTIF($H$1:H155,H156)),"")</f>
        <v>54</v>
      </c>
    </row>
    <row r="157" spans="1:9" x14ac:dyDescent="0.25">
      <c r="A157" t="s">
        <v>1224</v>
      </c>
      <c r="B157" s="3" t="s">
        <v>21</v>
      </c>
      <c r="C157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1</v>
      </c>
      <c r="D157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157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157" s="3">
        <f>SUM(TS_ATHLETES[[#This Row],[GOLD MEDALS]:[BRONZE MEDALS]])</f>
        <v>1</v>
      </c>
      <c r="G157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10100000</v>
      </c>
      <c r="H157" s="3">
        <f>IF(TS_ATHLETES[[#This Row],[TOTAL]]=0,"",RANK(TS_ATHLETES[[#This Row],[RANK VALUE]],TS_ATHLETES[RANK VALUE]))</f>
        <v>129</v>
      </c>
      <c r="I157" s="3">
        <f>IFERROR(IF(TS_ATHLETES[[#This Row],[TOTAL]]=0,"",RANK(TS_ATHLETES[[#This Row],[RANK VALUE]],TS_ATHLETES[RANK VALUE])+COUNTIF($H$1:H156,H157)),"")</f>
        <v>243</v>
      </c>
    </row>
    <row r="158" spans="1:9" x14ac:dyDescent="0.25">
      <c r="A158" t="s">
        <v>1225</v>
      </c>
      <c r="B158" s="3" t="s">
        <v>175</v>
      </c>
      <c r="C158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1</v>
      </c>
      <c r="D158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158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158" s="3">
        <f>SUM(TS_ATHLETES[[#This Row],[GOLD MEDALS]:[BRONZE MEDALS]])</f>
        <v>1</v>
      </c>
      <c r="G158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10100000</v>
      </c>
      <c r="H158" s="3">
        <f>IF(TS_ATHLETES[[#This Row],[TOTAL]]=0,"",RANK(TS_ATHLETES[[#This Row],[RANK VALUE]],TS_ATHLETES[RANK VALUE]))</f>
        <v>129</v>
      </c>
      <c r="I158" s="3">
        <f>IFERROR(IF(TS_ATHLETES[[#This Row],[TOTAL]]=0,"",RANK(TS_ATHLETES[[#This Row],[RANK VALUE]],TS_ATHLETES[RANK VALUE])+COUNTIF($H$1:H157,H158)),"")</f>
        <v>244</v>
      </c>
    </row>
    <row r="159" spans="1:9" x14ac:dyDescent="0.25">
      <c r="A159" t="s">
        <v>1226</v>
      </c>
      <c r="B159" s="3" t="s">
        <v>363</v>
      </c>
      <c r="C159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3</v>
      </c>
      <c r="D159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159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159" s="3">
        <f>SUM(TS_ATHLETES[[#This Row],[GOLD MEDALS]:[BRONZE MEDALS]])</f>
        <v>3</v>
      </c>
      <c r="G159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30300000</v>
      </c>
      <c r="H159" s="3">
        <f>IF(TS_ATHLETES[[#This Row],[TOTAL]]=0,"",RANK(TS_ATHLETES[[#This Row],[RANK VALUE]],TS_ATHLETES[RANK VALUE]))</f>
        <v>10</v>
      </c>
      <c r="I159" s="3">
        <f>IFERROR(IF(TS_ATHLETES[[#This Row],[TOTAL]]=0,"",RANK(TS_ATHLETES[[#This Row],[RANK VALUE]],TS_ATHLETES[RANK VALUE])+COUNTIF($H$1:H158,H159)),"")</f>
        <v>13</v>
      </c>
    </row>
    <row r="160" spans="1:9" x14ac:dyDescent="0.25">
      <c r="A160" t="s">
        <v>1227</v>
      </c>
      <c r="B160" s="3" t="s">
        <v>361</v>
      </c>
      <c r="C160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1</v>
      </c>
      <c r="D160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1</v>
      </c>
      <c r="E160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160" s="3">
        <f>SUM(TS_ATHLETES[[#This Row],[GOLD MEDALS]:[BRONZE MEDALS]])</f>
        <v>2</v>
      </c>
      <c r="G160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20100100</v>
      </c>
      <c r="H160" s="3">
        <f>IF(TS_ATHLETES[[#This Row],[TOTAL]]=0,"",RANK(TS_ATHLETES[[#This Row],[RANK VALUE]],TS_ATHLETES[RANK VALUE]))</f>
        <v>48</v>
      </c>
      <c r="I160" s="3">
        <f>IFERROR(IF(TS_ATHLETES[[#This Row],[TOTAL]]=0,"",RANK(TS_ATHLETES[[#This Row],[RANK VALUE]],TS_ATHLETES[RANK VALUE])+COUNTIF($H$1:H159,H160)),"")</f>
        <v>55</v>
      </c>
    </row>
    <row r="161" spans="1:9" x14ac:dyDescent="0.25">
      <c r="A161" t="s">
        <v>1228</v>
      </c>
      <c r="B161" s="3" t="s">
        <v>183</v>
      </c>
      <c r="C161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1</v>
      </c>
      <c r="D161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161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161" s="3">
        <f>SUM(TS_ATHLETES[[#This Row],[GOLD MEDALS]:[BRONZE MEDALS]])</f>
        <v>1</v>
      </c>
      <c r="G161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10100000</v>
      </c>
      <c r="H161" s="3">
        <f>IF(TS_ATHLETES[[#This Row],[TOTAL]]=0,"",RANK(TS_ATHLETES[[#This Row],[RANK VALUE]],TS_ATHLETES[RANK VALUE]))</f>
        <v>129</v>
      </c>
      <c r="I161" s="3">
        <f>IFERROR(IF(TS_ATHLETES[[#This Row],[TOTAL]]=0,"",RANK(TS_ATHLETES[[#This Row],[RANK VALUE]],TS_ATHLETES[RANK VALUE])+COUNTIF($H$1:H160,H161)),"")</f>
        <v>245</v>
      </c>
    </row>
    <row r="162" spans="1:9" x14ac:dyDescent="0.25">
      <c r="A162" t="s">
        <v>1229</v>
      </c>
      <c r="B162" s="3" t="s">
        <v>309</v>
      </c>
      <c r="C162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1</v>
      </c>
      <c r="D162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162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162" s="3">
        <f>SUM(TS_ATHLETES[[#This Row],[GOLD MEDALS]:[BRONZE MEDALS]])</f>
        <v>1</v>
      </c>
      <c r="G162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10100000</v>
      </c>
      <c r="H162" s="3">
        <f>IF(TS_ATHLETES[[#This Row],[TOTAL]]=0,"",RANK(TS_ATHLETES[[#This Row],[RANK VALUE]],TS_ATHLETES[RANK VALUE]))</f>
        <v>129</v>
      </c>
      <c r="I162" s="3">
        <f>IFERROR(IF(TS_ATHLETES[[#This Row],[TOTAL]]=0,"",RANK(TS_ATHLETES[[#This Row],[RANK VALUE]],TS_ATHLETES[RANK VALUE])+COUNTIF($H$1:H161,H162)),"")</f>
        <v>246</v>
      </c>
    </row>
    <row r="163" spans="1:9" x14ac:dyDescent="0.25">
      <c r="A163" t="s">
        <v>1230</v>
      </c>
      <c r="B163" s="3" t="s">
        <v>363</v>
      </c>
      <c r="C163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5</v>
      </c>
      <c r="D163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1</v>
      </c>
      <c r="E163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163" s="3">
        <f>SUM(TS_ATHLETES[[#This Row],[GOLD MEDALS]:[BRONZE MEDALS]])</f>
        <v>6</v>
      </c>
      <c r="G163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60500100</v>
      </c>
      <c r="H163" s="3">
        <f>IF(TS_ATHLETES[[#This Row],[TOTAL]]=0,"",RANK(TS_ATHLETES[[#This Row],[RANK VALUE]],TS_ATHLETES[RANK VALUE]))</f>
        <v>1</v>
      </c>
      <c r="I163" s="3">
        <f>IFERROR(IF(TS_ATHLETES[[#This Row],[TOTAL]]=0,"",RANK(TS_ATHLETES[[#This Row],[RANK VALUE]],TS_ATHLETES[RANK VALUE])+COUNTIF($H$1:H162,H163)),"")</f>
        <v>1</v>
      </c>
    </row>
    <row r="164" spans="1:9" x14ac:dyDescent="0.25">
      <c r="A164" t="s">
        <v>1231</v>
      </c>
      <c r="B164" s="3" t="s">
        <v>179</v>
      </c>
      <c r="C164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1</v>
      </c>
      <c r="D164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1</v>
      </c>
      <c r="E164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1</v>
      </c>
      <c r="F164" s="3">
        <f>SUM(TS_ATHLETES[[#This Row],[GOLD MEDALS]:[BRONZE MEDALS]])</f>
        <v>3</v>
      </c>
      <c r="G164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30100110</v>
      </c>
      <c r="H164" s="3">
        <f>IF(TS_ATHLETES[[#This Row],[TOTAL]]=0,"",RANK(TS_ATHLETES[[#This Row],[RANK VALUE]],TS_ATHLETES[RANK VALUE]))</f>
        <v>18</v>
      </c>
      <c r="I164" s="3">
        <f>IFERROR(IF(TS_ATHLETES[[#This Row],[TOTAL]]=0,"",RANK(TS_ATHLETES[[#This Row],[RANK VALUE]],TS_ATHLETES[RANK VALUE])+COUNTIF($H$1:H163,H164)),"")</f>
        <v>20</v>
      </c>
    </row>
    <row r="165" spans="1:9" x14ac:dyDescent="0.25">
      <c r="A165" t="s">
        <v>1232</v>
      </c>
      <c r="B165" s="3" t="s">
        <v>77</v>
      </c>
      <c r="C165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2</v>
      </c>
      <c r="D165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165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165" s="3">
        <f>SUM(TS_ATHLETES[[#This Row],[GOLD MEDALS]:[BRONZE MEDALS]])</f>
        <v>2</v>
      </c>
      <c r="G165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20200000</v>
      </c>
      <c r="H165" s="3">
        <f>IF(TS_ATHLETES[[#This Row],[TOTAL]]=0,"",RANK(TS_ATHLETES[[#This Row],[RANK VALUE]],TS_ATHLETES[RANK VALUE]))</f>
        <v>27</v>
      </c>
      <c r="I165" s="3">
        <f>IFERROR(IF(TS_ATHLETES[[#This Row],[TOTAL]]=0,"",RANK(TS_ATHLETES[[#This Row],[RANK VALUE]],TS_ATHLETES[RANK VALUE])+COUNTIF($H$1:H164,H165)),"")</f>
        <v>40</v>
      </c>
    </row>
    <row r="166" spans="1:9" x14ac:dyDescent="0.25">
      <c r="A166" t="s">
        <v>1233</v>
      </c>
      <c r="B166" s="3" t="s">
        <v>77</v>
      </c>
      <c r="C166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2</v>
      </c>
      <c r="D166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166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166" s="3">
        <f>SUM(TS_ATHLETES[[#This Row],[GOLD MEDALS]:[BRONZE MEDALS]])</f>
        <v>2</v>
      </c>
      <c r="G166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20200000</v>
      </c>
      <c r="H166" s="3">
        <f>IF(TS_ATHLETES[[#This Row],[TOTAL]]=0,"",RANK(TS_ATHLETES[[#This Row],[RANK VALUE]],TS_ATHLETES[RANK VALUE]))</f>
        <v>27</v>
      </c>
      <c r="I166" s="3">
        <f>IFERROR(IF(TS_ATHLETES[[#This Row],[TOTAL]]=0,"",RANK(TS_ATHLETES[[#This Row],[RANK VALUE]],TS_ATHLETES[RANK VALUE])+COUNTIF($H$1:H165,H166)),"")</f>
        <v>41</v>
      </c>
    </row>
    <row r="167" spans="1:9" x14ac:dyDescent="0.25">
      <c r="A167" t="s">
        <v>1234</v>
      </c>
      <c r="B167" s="3" t="s">
        <v>77</v>
      </c>
      <c r="C167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1</v>
      </c>
      <c r="D167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167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167" s="3">
        <f>SUM(TS_ATHLETES[[#This Row],[GOLD MEDALS]:[BRONZE MEDALS]])</f>
        <v>1</v>
      </c>
      <c r="G167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10100000</v>
      </c>
      <c r="H167" s="3">
        <f>IF(TS_ATHLETES[[#This Row],[TOTAL]]=0,"",RANK(TS_ATHLETES[[#This Row],[RANK VALUE]],TS_ATHLETES[RANK VALUE]))</f>
        <v>129</v>
      </c>
      <c r="I167" s="3">
        <f>IFERROR(IF(TS_ATHLETES[[#This Row],[TOTAL]]=0,"",RANK(TS_ATHLETES[[#This Row],[RANK VALUE]],TS_ATHLETES[RANK VALUE])+COUNTIF($H$1:H166,H167)),"")</f>
        <v>247</v>
      </c>
    </row>
    <row r="168" spans="1:9" x14ac:dyDescent="0.25">
      <c r="A168" t="s">
        <v>1235</v>
      </c>
      <c r="B168" s="3" t="s">
        <v>181</v>
      </c>
      <c r="C168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1</v>
      </c>
      <c r="D168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168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168" s="3">
        <f>SUM(TS_ATHLETES[[#This Row],[GOLD MEDALS]:[BRONZE MEDALS]])</f>
        <v>1</v>
      </c>
      <c r="G168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10100000</v>
      </c>
      <c r="H168" s="3">
        <f>IF(TS_ATHLETES[[#This Row],[TOTAL]]=0,"",RANK(TS_ATHLETES[[#This Row],[RANK VALUE]],TS_ATHLETES[RANK VALUE]))</f>
        <v>129</v>
      </c>
      <c r="I168" s="3">
        <f>IFERROR(IF(TS_ATHLETES[[#This Row],[TOTAL]]=0,"",RANK(TS_ATHLETES[[#This Row],[RANK VALUE]],TS_ATHLETES[RANK VALUE])+COUNTIF($H$1:H167,H168)),"")</f>
        <v>248</v>
      </c>
    </row>
    <row r="169" spans="1:9" x14ac:dyDescent="0.25">
      <c r="A169" t="s">
        <v>1236</v>
      </c>
      <c r="B169" s="3" t="s">
        <v>90</v>
      </c>
      <c r="C169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1</v>
      </c>
      <c r="D169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169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169" s="3">
        <f>SUM(TS_ATHLETES[[#This Row],[GOLD MEDALS]:[BRONZE MEDALS]])</f>
        <v>1</v>
      </c>
      <c r="G169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10100000</v>
      </c>
      <c r="H169" s="3">
        <f>IF(TS_ATHLETES[[#This Row],[TOTAL]]=0,"",RANK(TS_ATHLETES[[#This Row],[RANK VALUE]],TS_ATHLETES[RANK VALUE]))</f>
        <v>129</v>
      </c>
      <c r="I169" s="3">
        <f>IFERROR(IF(TS_ATHLETES[[#This Row],[TOTAL]]=0,"",RANK(TS_ATHLETES[[#This Row],[RANK VALUE]],TS_ATHLETES[RANK VALUE])+COUNTIF($H$1:H168,H169)),"")</f>
        <v>249</v>
      </c>
    </row>
    <row r="170" spans="1:9" x14ac:dyDescent="0.25">
      <c r="A170" t="s">
        <v>1237</v>
      </c>
      <c r="B170" s="3" t="s">
        <v>25</v>
      </c>
      <c r="C170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1</v>
      </c>
      <c r="D170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170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170" s="3">
        <f>SUM(TS_ATHLETES[[#This Row],[GOLD MEDALS]:[BRONZE MEDALS]])</f>
        <v>1</v>
      </c>
      <c r="G170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10100000</v>
      </c>
      <c r="H170" s="3">
        <f>IF(TS_ATHLETES[[#This Row],[TOTAL]]=0,"",RANK(TS_ATHLETES[[#This Row],[RANK VALUE]],TS_ATHLETES[RANK VALUE]))</f>
        <v>129</v>
      </c>
      <c r="I170" s="3">
        <f>IFERROR(IF(TS_ATHLETES[[#This Row],[TOTAL]]=0,"",RANK(TS_ATHLETES[[#This Row],[RANK VALUE]],TS_ATHLETES[RANK VALUE])+COUNTIF($H$1:H169,H170)),"")</f>
        <v>250</v>
      </c>
    </row>
    <row r="171" spans="1:9" x14ac:dyDescent="0.25">
      <c r="A171" t="s">
        <v>1238</v>
      </c>
      <c r="B171" s="3" t="s">
        <v>187</v>
      </c>
      <c r="C171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1</v>
      </c>
      <c r="D171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171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171" s="3">
        <f>SUM(TS_ATHLETES[[#This Row],[GOLD MEDALS]:[BRONZE MEDALS]])</f>
        <v>1</v>
      </c>
      <c r="G171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10100000</v>
      </c>
      <c r="H171" s="3">
        <f>IF(TS_ATHLETES[[#This Row],[TOTAL]]=0,"",RANK(TS_ATHLETES[[#This Row],[RANK VALUE]],TS_ATHLETES[RANK VALUE]))</f>
        <v>129</v>
      </c>
      <c r="I171" s="3">
        <f>IFERROR(IF(TS_ATHLETES[[#This Row],[TOTAL]]=0,"",RANK(TS_ATHLETES[[#This Row],[RANK VALUE]],TS_ATHLETES[RANK VALUE])+COUNTIF($H$1:H170,H171)),"")</f>
        <v>251</v>
      </c>
    </row>
    <row r="172" spans="1:9" x14ac:dyDescent="0.25">
      <c r="A172" t="s">
        <v>1239</v>
      </c>
      <c r="B172" s="3" t="s">
        <v>361</v>
      </c>
      <c r="C172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1</v>
      </c>
      <c r="D172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172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172" s="3">
        <f>SUM(TS_ATHLETES[[#This Row],[GOLD MEDALS]:[BRONZE MEDALS]])</f>
        <v>1</v>
      </c>
      <c r="G172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10100000</v>
      </c>
      <c r="H172" s="3">
        <f>IF(TS_ATHLETES[[#This Row],[TOTAL]]=0,"",RANK(TS_ATHLETES[[#This Row],[RANK VALUE]],TS_ATHLETES[RANK VALUE]))</f>
        <v>129</v>
      </c>
      <c r="I172" s="3">
        <f>IFERROR(IF(TS_ATHLETES[[#This Row],[TOTAL]]=0,"",RANK(TS_ATHLETES[[#This Row],[RANK VALUE]],TS_ATHLETES[RANK VALUE])+COUNTIF($H$1:H171,H172)),"")</f>
        <v>252</v>
      </c>
    </row>
    <row r="173" spans="1:9" x14ac:dyDescent="0.25">
      <c r="A173" t="s">
        <v>1240</v>
      </c>
      <c r="B173" s="3" t="s">
        <v>187</v>
      </c>
      <c r="C173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1</v>
      </c>
      <c r="D173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173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173" s="3">
        <f>SUM(TS_ATHLETES[[#This Row],[GOLD MEDALS]:[BRONZE MEDALS]])</f>
        <v>1</v>
      </c>
      <c r="G173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10100000</v>
      </c>
      <c r="H173" s="3">
        <f>IF(TS_ATHLETES[[#This Row],[TOTAL]]=0,"",RANK(TS_ATHLETES[[#This Row],[RANK VALUE]],TS_ATHLETES[RANK VALUE]))</f>
        <v>129</v>
      </c>
      <c r="I173" s="3">
        <f>IFERROR(IF(TS_ATHLETES[[#This Row],[TOTAL]]=0,"",RANK(TS_ATHLETES[[#This Row],[RANK VALUE]],TS_ATHLETES[RANK VALUE])+COUNTIF($H$1:H172,H173)),"")</f>
        <v>253</v>
      </c>
    </row>
    <row r="174" spans="1:9" x14ac:dyDescent="0.25">
      <c r="A174" t="s">
        <v>1241</v>
      </c>
      <c r="B174" s="3" t="s">
        <v>77</v>
      </c>
      <c r="C174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1</v>
      </c>
      <c r="D174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174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174" s="3">
        <f>SUM(TS_ATHLETES[[#This Row],[GOLD MEDALS]:[BRONZE MEDALS]])</f>
        <v>1</v>
      </c>
      <c r="G174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10100000</v>
      </c>
      <c r="H174" s="3">
        <f>IF(TS_ATHLETES[[#This Row],[TOTAL]]=0,"",RANK(TS_ATHLETES[[#This Row],[RANK VALUE]],TS_ATHLETES[RANK VALUE]))</f>
        <v>129</v>
      </c>
      <c r="I174" s="3">
        <f>IFERROR(IF(TS_ATHLETES[[#This Row],[TOTAL]]=0,"",RANK(TS_ATHLETES[[#This Row],[RANK VALUE]],TS_ATHLETES[RANK VALUE])+COUNTIF($H$1:H173,H174)),"")</f>
        <v>254</v>
      </c>
    </row>
    <row r="175" spans="1:9" x14ac:dyDescent="0.25">
      <c r="A175" t="s">
        <v>1242</v>
      </c>
      <c r="B175" s="3" t="s">
        <v>361</v>
      </c>
      <c r="C175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1</v>
      </c>
      <c r="D175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175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175" s="3">
        <f>SUM(TS_ATHLETES[[#This Row],[GOLD MEDALS]:[BRONZE MEDALS]])</f>
        <v>1</v>
      </c>
      <c r="G175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10100000</v>
      </c>
      <c r="H175" s="3">
        <f>IF(TS_ATHLETES[[#This Row],[TOTAL]]=0,"",RANK(TS_ATHLETES[[#This Row],[RANK VALUE]],TS_ATHLETES[RANK VALUE]))</f>
        <v>129</v>
      </c>
      <c r="I175" s="3">
        <f>IFERROR(IF(TS_ATHLETES[[#This Row],[TOTAL]]=0,"",RANK(TS_ATHLETES[[#This Row],[RANK VALUE]],TS_ATHLETES[RANK VALUE])+COUNTIF($H$1:H174,H175)),"")</f>
        <v>255</v>
      </c>
    </row>
    <row r="176" spans="1:9" x14ac:dyDescent="0.25">
      <c r="A176" t="s">
        <v>1243</v>
      </c>
      <c r="B176" s="3" t="s">
        <v>283</v>
      </c>
      <c r="C176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1</v>
      </c>
      <c r="D176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176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176" s="3">
        <f>SUM(TS_ATHLETES[[#This Row],[GOLD MEDALS]:[BRONZE MEDALS]])</f>
        <v>1</v>
      </c>
      <c r="G176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10100000</v>
      </c>
      <c r="H176" s="3">
        <f>IF(TS_ATHLETES[[#This Row],[TOTAL]]=0,"",RANK(TS_ATHLETES[[#This Row],[RANK VALUE]],TS_ATHLETES[RANK VALUE]))</f>
        <v>129</v>
      </c>
      <c r="I176" s="3">
        <f>IFERROR(IF(TS_ATHLETES[[#This Row],[TOTAL]]=0,"",RANK(TS_ATHLETES[[#This Row],[RANK VALUE]],TS_ATHLETES[RANK VALUE])+COUNTIF($H$1:H175,H176)),"")</f>
        <v>256</v>
      </c>
    </row>
    <row r="177" spans="1:9" x14ac:dyDescent="0.25">
      <c r="A177" t="s">
        <v>1244</v>
      </c>
      <c r="B177" s="3" t="s">
        <v>35</v>
      </c>
      <c r="C177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1</v>
      </c>
      <c r="D177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177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177" s="3">
        <f>SUM(TS_ATHLETES[[#This Row],[GOLD MEDALS]:[BRONZE MEDALS]])</f>
        <v>1</v>
      </c>
      <c r="G177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10100000</v>
      </c>
      <c r="H177" s="3">
        <f>IF(TS_ATHLETES[[#This Row],[TOTAL]]=0,"",RANK(TS_ATHLETES[[#This Row],[RANK VALUE]],TS_ATHLETES[RANK VALUE]))</f>
        <v>129</v>
      </c>
      <c r="I177" s="3">
        <f>IFERROR(IF(TS_ATHLETES[[#This Row],[TOTAL]]=0,"",RANK(TS_ATHLETES[[#This Row],[RANK VALUE]],TS_ATHLETES[RANK VALUE])+COUNTIF($H$1:H176,H177)),"")</f>
        <v>257</v>
      </c>
    </row>
    <row r="178" spans="1:9" x14ac:dyDescent="0.25">
      <c r="A178" t="s">
        <v>1245</v>
      </c>
      <c r="B178" s="3" t="s">
        <v>66</v>
      </c>
      <c r="C178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1</v>
      </c>
      <c r="D178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178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178" s="3">
        <f>SUM(TS_ATHLETES[[#This Row],[GOLD MEDALS]:[BRONZE MEDALS]])</f>
        <v>1</v>
      </c>
      <c r="G178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10100000</v>
      </c>
      <c r="H178" s="3">
        <f>IF(TS_ATHLETES[[#This Row],[TOTAL]]=0,"",RANK(TS_ATHLETES[[#This Row],[RANK VALUE]],TS_ATHLETES[RANK VALUE]))</f>
        <v>129</v>
      </c>
      <c r="I178" s="3">
        <f>IFERROR(IF(TS_ATHLETES[[#This Row],[TOTAL]]=0,"",RANK(TS_ATHLETES[[#This Row],[RANK VALUE]],TS_ATHLETES[RANK VALUE])+COUNTIF($H$1:H177,H178)),"")</f>
        <v>258</v>
      </c>
    </row>
    <row r="179" spans="1:9" x14ac:dyDescent="0.25">
      <c r="A179" t="s">
        <v>1246</v>
      </c>
      <c r="B179" s="3" t="s">
        <v>361</v>
      </c>
      <c r="C179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1</v>
      </c>
      <c r="D179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179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179" s="3">
        <f>SUM(TS_ATHLETES[[#This Row],[GOLD MEDALS]:[BRONZE MEDALS]])</f>
        <v>1</v>
      </c>
      <c r="G179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10100000</v>
      </c>
      <c r="H179" s="3">
        <f>IF(TS_ATHLETES[[#This Row],[TOTAL]]=0,"",RANK(TS_ATHLETES[[#This Row],[RANK VALUE]],TS_ATHLETES[RANK VALUE]))</f>
        <v>129</v>
      </c>
      <c r="I179" s="3">
        <f>IFERROR(IF(TS_ATHLETES[[#This Row],[TOTAL]]=0,"",RANK(TS_ATHLETES[[#This Row],[RANK VALUE]],TS_ATHLETES[RANK VALUE])+COUNTIF($H$1:H178,H179)),"")</f>
        <v>259</v>
      </c>
    </row>
    <row r="180" spans="1:9" x14ac:dyDescent="0.25">
      <c r="A180" t="s">
        <v>1247</v>
      </c>
      <c r="B180" s="3" t="s">
        <v>363</v>
      </c>
      <c r="C180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1</v>
      </c>
      <c r="D180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180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180" s="3">
        <f>SUM(TS_ATHLETES[[#This Row],[GOLD MEDALS]:[BRONZE MEDALS]])</f>
        <v>1</v>
      </c>
      <c r="G180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10100000</v>
      </c>
      <c r="H180" s="3">
        <f>IF(TS_ATHLETES[[#This Row],[TOTAL]]=0,"",RANK(TS_ATHLETES[[#This Row],[RANK VALUE]],TS_ATHLETES[RANK VALUE]))</f>
        <v>129</v>
      </c>
      <c r="I180" s="3">
        <f>IFERROR(IF(TS_ATHLETES[[#This Row],[TOTAL]]=0,"",RANK(TS_ATHLETES[[#This Row],[RANK VALUE]],TS_ATHLETES[RANK VALUE])+COUNTIF($H$1:H179,H180)),"")</f>
        <v>260</v>
      </c>
    </row>
    <row r="181" spans="1:9" x14ac:dyDescent="0.25">
      <c r="A181" t="s">
        <v>1248</v>
      </c>
      <c r="B181" s="3" t="s">
        <v>77</v>
      </c>
      <c r="C181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1</v>
      </c>
      <c r="D181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181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181" s="3">
        <f>SUM(TS_ATHLETES[[#This Row],[GOLD MEDALS]:[BRONZE MEDALS]])</f>
        <v>1</v>
      </c>
      <c r="G181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10100000</v>
      </c>
      <c r="H181" s="3">
        <f>IF(TS_ATHLETES[[#This Row],[TOTAL]]=0,"",RANK(TS_ATHLETES[[#This Row],[RANK VALUE]],TS_ATHLETES[RANK VALUE]))</f>
        <v>129</v>
      </c>
      <c r="I181" s="3">
        <f>IFERROR(IF(TS_ATHLETES[[#This Row],[TOTAL]]=0,"",RANK(TS_ATHLETES[[#This Row],[RANK VALUE]],TS_ATHLETES[RANK VALUE])+COUNTIF($H$1:H180,H181)),"")</f>
        <v>261</v>
      </c>
    </row>
    <row r="182" spans="1:9" x14ac:dyDescent="0.25">
      <c r="A182" t="s">
        <v>1249</v>
      </c>
      <c r="B182" s="3" t="s">
        <v>79</v>
      </c>
      <c r="C182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1</v>
      </c>
      <c r="D182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182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182" s="3">
        <f>SUM(TS_ATHLETES[[#This Row],[GOLD MEDALS]:[BRONZE MEDALS]])</f>
        <v>1</v>
      </c>
      <c r="G182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10100000</v>
      </c>
      <c r="H182" s="3">
        <f>IF(TS_ATHLETES[[#This Row],[TOTAL]]=0,"",RANK(TS_ATHLETES[[#This Row],[RANK VALUE]],TS_ATHLETES[RANK VALUE]))</f>
        <v>129</v>
      </c>
      <c r="I182" s="3">
        <f>IFERROR(IF(TS_ATHLETES[[#This Row],[TOTAL]]=0,"",RANK(TS_ATHLETES[[#This Row],[RANK VALUE]],TS_ATHLETES[RANK VALUE])+COUNTIF($H$1:H181,H182)),"")</f>
        <v>262</v>
      </c>
    </row>
    <row r="183" spans="1:9" x14ac:dyDescent="0.25">
      <c r="A183" t="s">
        <v>1250</v>
      </c>
      <c r="B183" s="3" t="s">
        <v>77</v>
      </c>
      <c r="C183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1</v>
      </c>
      <c r="D183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183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183" s="3">
        <f>SUM(TS_ATHLETES[[#This Row],[GOLD MEDALS]:[BRONZE MEDALS]])</f>
        <v>1</v>
      </c>
      <c r="G183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10100000</v>
      </c>
      <c r="H183" s="3">
        <f>IF(TS_ATHLETES[[#This Row],[TOTAL]]=0,"",RANK(TS_ATHLETES[[#This Row],[RANK VALUE]],TS_ATHLETES[RANK VALUE]))</f>
        <v>129</v>
      </c>
      <c r="I183" s="3">
        <f>IFERROR(IF(TS_ATHLETES[[#This Row],[TOTAL]]=0,"",RANK(TS_ATHLETES[[#This Row],[RANK VALUE]],TS_ATHLETES[RANK VALUE])+COUNTIF($H$1:H182,H183)),"")</f>
        <v>263</v>
      </c>
    </row>
    <row r="184" spans="1:9" x14ac:dyDescent="0.25">
      <c r="A184" t="s">
        <v>1251</v>
      </c>
      <c r="B184" s="3" t="s">
        <v>183</v>
      </c>
      <c r="C184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1</v>
      </c>
      <c r="D184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184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184" s="3">
        <f>SUM(TS_ATHLETES[[#This Row],[GOLD MEDALS]:[BRONZE MEDALS]])</f>
        <v>1</v>
      </c>
      <c r="G184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10100000</v>
      </c>
      <c r="H184" s="3">
        <f>IF(TS_ATHLETES[[#This Row],[TOTAL]]=0,"",RANK(TS_ATHLETES[[#This Row],[RANK VALUE]],TS_ATHLETES[RANK VALUE]))</f>
        <v>129</v>
      </c>
      <c r="I184" s="3">
        <f>IFERROR(IF(TS_ATHLETES[[#This Row],[TOTAL]]=0,"",RANK(TS_ATHLETES[[#This Row],[RANK VALUE]],TS_ATHLETES[RANK VALUE])+COUNTIF($H$1:H183,H184)),"")</f>
        <v>264</v>
      </c>
    </row>
    <row r="185" spans="1:9" x14ac:dyDescent="0.25">
      <c r="A185" t="s">
        <v>1252</v>
      </c>
      <c r="B185" s="3" t="s">
        <v>167</v>
      </c>
      <c r="C185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1</v>
      </c>
      <c r="D185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185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185" s="3">
        <f>SUM(TS_ATHLETES[[#This Row],[GOLD MEDALS]:[BRONZE MEDALS]])</f>
        <v>1</v>
      </c>
      <c r="G185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10100000</v>
      </c>
      <c r="H185" s="3">
        <f>IF(TS_ATHLETES[[#This Row],[TOTAL]]=0,"",RANK(TS_ATHLETES[[#This Row],[RANK VALUE]],TS_ATHLETES[RANK VALUE]))</f>
        <v>129</v>
      </c>
      <c r="I185" s="3">
        <f>IFERROR(IF(TS_ATHLETES[[#This Row],[TOTAL]]=0,"",RANK(TS_ATHLETES[[#This Row],[RANK VALUE]],TS_ATHLETES[RANK VALUE])+COUNTIF($H$1:H184,H185)),"")</f>
        <v>265</v>
      </c>
    </row>
    <row r="186" spans="1:9" x14ac:dyDescent="0.25">
      <c r="A186" t="s">
        <v>1253</v>
      </c>
      <c r="B186" s="3" t="s">
        <v>167</v>
      </c>
      <c r="C186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1</v>
      </c>
      <c r="D186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186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186" s="3">
        <f>SUM(TS_ATHLETES[[#This Row],[GOLD MEDALS]:[BRONZE MEDALS]])</f>
        <v>1</v>
      </c>
      <c r="G186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10100000</v>
      </c>
      <c r="H186" s="3">
        <f>IF(TS_ATHLETES[[#This Row],[TOTAL]]=0,"",RANK(TS_ATHLETES[[#This Row],[RANK VALUE]],TS_ATHLETES[RANK VALUE]))</f>
        <v>129</v>
      </c>
      <c r="I186" s="3">
        <f>IFERROR(IF(TS_ATHLETES[[#This Row],[TOTAL]]=0,"",RANK(TS_ATHLETES[[#This Row],[RANK VALUE]],TS_ATHLETES[RANK VALUE])+COUNTIF($H$1:H185,H186)),"")</f>
        <v>266</v>
      </c>
    </row>
    <row r="187" spans="1:9" x14ac:dyDescent="0.25">
      <c r="A187" t="s">
        <v>1254</v>
      </c>
      <c r="B187" s="3" t="s">
        <v>367</v>
      </c>
      <c r="C187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1</v>
      </c>
      <c r="D187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187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187" s="3">
        <f>SUM(TS_ATHLETES[[#This Row],[GOLD MEDALS]:[BRONZE MEDALS]])</f>
        <v>1</v>
      </c>
      <c r="G187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10100000</v>
      </c>
      <c r="H187" s="3">
        <f>IF(TS_ATHLETES[[#This Row],[TOTAL]]=0,"",RANK(TS_ATHLETES[[#This Row],[RANK VALUE]],TS_ATHLETES[RANK VALUE]))</f>
        <v>129</v>
      </c>
      <c r="I187" s="3">
        <f>IFERROR(IF(TS_ATHLETES[[#This Row],[TOTAL]]=0,"",RANK(TS_ATHLETES[[#This Row],[RANK VALUE]],TS_ATHLETES[RANK VALUE])+COUNTIF($H$1:H186,H187)),"")</f>
        <v>267</v>
      </c>
    </row>
    <row r="188" spans="1:9" x14ac:dyDescent="0.25">
      <c r="A188" t="s">
        <v>1255</v>
      </c>
      <c r="B188" s="3" t="s">
        <v>134</v>
      </c>
      <c r="C188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1</v>
      </c>
      <c r="D188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188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188" s="3">
        <f>SUM(TS_ATHLETES[[#This Row],[GOLD MEDALS]:[BRONZE MEDALS]])</f>
        <v>1</v>
      </c>
      <c r="G188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10100000</v>
      </c>
      <c r="H188" s="3">
        <f>IF(TS_ATHLETES[[#This Row],[TOTAL]]=0,"",RANK(TS_ATHLETES[[#This Row],[RANK VALUE]],TS_ATHLETES[RANK VALUE]))</f>
        <v>129</v>
      </c>
      <c r="I188" s="3">
        <f>IFERROR(IF(TS_ATHLETES[[#This Row],[TOTAL]]=0,"",RANK(TS_ATHLETES[[#This Row],[RANK VALUE]],TS_ATHLETES[RANK VALUE])+COUNTIF($H$1:H187,H188)),"")</f>
        <v>268</v>
      </c>
    </row>
    <row r="189" spans="1:9" x14ac:dyDescent="0.25">
      <c r="A189" t="s">
        <v>1256</v>
      </c>
      <c r="B189" s="3" t="s">
        <v>343</v>
      </c>
      <c r="C189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1</v>
      </c>
      <c r="D189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189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189" s="3">
        <f>SUM(TS_ATHLETES[[#This Row],[GOLD MEDALS]:[BRONZE MEDALS]])</f>
        <v>1</v>
      </c>
      <c r="G189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10100000</v>
      </c>
      <c r="H189" s="3">
        <f>IF(TS_ATHLETES[[#This Row],[TOTAL]]=0,"",RANK(TS_ATHLETES[[#This Row],[RANK VALUE]],TS_ATHLETES[RANK VALUE]))</f>
        <v>129</v>
      </c>
      <c r="I189" s="3">
        <f>IFERROR(IF(TS_ATHLETES[[#This Row],[TOTAL]]=0,"",RANK(TS_ATHLETES[[#This Row],[RANK VALUE]],TS_ATHLETES[RANK VALUE])+COUNTIF($H$1:H188,H189)),"")</f>
        <v>269</v>
      </c>
    </row>
    <row r="190" spans="1:9" x14ac:dyDescent="0.25">
      <c r="A190" t="s">
        <v>1257</v>
      </c>
      <c r="B190" s="3" t="s">
        <v>337</v>
      </c>
      <c r="C190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1</v>
      </c>
      <c r="D190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190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190" s="3">
        <f>SUM(TS_ATHLETES[[#This Row],[GOLD MEDALS]:[BRONZE MEDALS]])</f>
        <v>1</v>
      </c>
      <c r="G190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10100000</v>
      </c>
      <c r="H190" s="3">
        <f>IF(TS_ATHLETES[[#This Row],[TOTAL]]=0,"",RANK(TS_ATHLETES[[#This Row],[RANK VALUE]],TS_ATHLETES[RANK VALUE]))</f>
        <v>129</v>
      </c>
      <c r="I190" s="3">
        <f>IFERROR(IF(TS_ATHLETES[[#This Row],[TOTAL]]=0,"",RANK(TS_ATHLETES[[#This Row],[RANK VALUE]],TS_ATHLETES[RANK VALUE])+COUNTIF($H$1:H189,H190)),"")</f>
        <v>270</v>
      </c>
    </row>
    <row r="191" spans="1:9" x14ac:dyDescent="0.25">
      <c r="A191" t="s">
        <v>1258</v>
      </c>
      <c r="B191" s="3" t="s">
        <v>343</v>
      </c>
      <c r="C191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1</v>
      </c>
      <c r="D191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191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191" s="3">
        <f>SUM(TS_ATHLETES[[#This Row],[GOLD MEDALS]:[BRONZE MEDALS]])</f>
        <v>1</v>
      </c>
      <c r="G191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10100000</v>
      </c>
      <c r="H191" s="3">
        <f>IF(TS_ATHLETES[[#This Row],[TOTAL]]=0,"",RANK(TS_ATHLETES[[#This Row],[RANK VALUE]],TS_ATHLETES[RANK VALUE]))</f>
        <v>129</v>
      </c>
      <c r="I191" s="3">
        <f>IFERROR(IF(TS_ATHLETES[[#This Row],[TOTAL]]=0,"",RANK(TS_ATHLETES[[#This Row],[RANK VALUE]],TS_ATHLETES[RANK VALUE])+COUNTIF($H$1:H190,H191)),"")</f>
        <v>271</v>
      </c>
    </row>
    <row r="192" spans="1:9" x14ac:dyDescent="0.25">
      <c r="A192" t="s">
        <v>1259</v>
      </c>
      <c r="B192" s="3" t="s">
        <v>77</v>
      </c>
      <c r="C192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1</v>
      </c>
      <c r="D192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192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192" s="3">
        <f>SUM(TS_ATHLETES[[#This Row],[GOLD MEDALS]:[BRONZE MEDALS]])</f>
        <v>1</v>
      </c>
      <c r="G192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10100000</v>
      </c>
      <c r="H192" s="3">
        <f>IF(TS_ATHLETES[[#This Row],[TOTAL]]=0,"",RANK(TS_ATHLETES[[#This Row],[RANK VALUE]],TS_ATHLETES[RANK VALUE]))</f>
        <v>129</v>
      </c>
      <c r="I192" s="3">
        <f>IFERROR(IF(TS_ATHLETES[[#This Row],[TOTAL]]=0,"",RANK(TS_ATHLETES[[#This Row],[RANK VALUE]],TS_ATHLETES[RANK VALUE])+COUNTIF($H$1:H191,H192)),"")</f>
        <v>272</v>
      </c>
    </row>
    <row r="193" spans="1:9" x14ac:dyDescent="0.25">
      <c r="A193" t="s">
        <v>1260</v>
      </c>
      <c r="B193" s="3" t="s">
        <v>77</v>
      </c>
      <c r="C193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1</v>
      </c>
      <c r="D193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193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193" s="3">
        <f>SUM(TS_ATHLETES[[#This Row],[GOLD MEDALS]:[BRONZE MEDALS]])</f>
        <v>1</v>
      </c>
      <c r="G193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10100000</v>
      </c>
      <c r="H193" s="3">
        <f>IF(TS_ATHLETES[[#This Row],[TOTAL]]=0,"",RANK(TS_ATHLETES[[#This Row],[RANK VALUE]],TS_ATHLETES[RANK VALUE]))</f>
        <v>129</v>
      </c>
      <c r="I193" s="3">
        <f>IFERROR(IF(TS_ATHLETES[[#This Row],[TOTAL]]=0,"",RANK(TS_ATHLETES[[#This Row],[RANK VALUE]],TS_ATHLETES[RANK VALUE])+COUNTIF($H$1:H192,H193)),"")</f>
        <v>273</v>
      </c>
    </row>
    <row r="194" spans="1:9" x14ac:dyDescent="0.25">
      <c r="A194" t="s">
        <v>1261</v>
      </c>
      <c r="B194" s="3" t="s">
        <v>186</v>
      </c>
      <c r="C194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1</v>
      </c>
      <c r="D194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194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194" s="3">
        <f>SUM(TS_ATHLETES[[#This Row],[GOLD MEDALS]:[BRONZE MEDALS]])</f>
        <v>1</v>
      </c>
      <c r="G194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10100000</v>
      </c>
      <c r="H194" s="3">
        <f>IF(TS_ATHLETES[[#This Row],[TOTAL]]=0,"",RANK(TS_ATHLETES[[#This Row],[RANK VALUE]],TS_ATHLETES[RANK VALUE]))</f>
        <v>129</v>
      </c>
      <c r="I194" s="3">
        <f>IFERROR(IF(TS_ATHLETES[[#This Row],[TOTAL]]=0,"",RANK(TS_ATHLETES[[#This Row],[RANK VALUE]],TS_ATHLETES[RANK VALUE])+COUNTIF($H$1:H193,H194)),"")</f>
        <v>274</v>
      </c>
    </row>
    <row r="195" spans="1:9" x14ac:dyDescent="0.25">
      <c r="A195" t="s">
        <v>1262</v>
      </c>
      <c r="B195" s="3" t="s">
        <v>77</v>
      </c>
      <c r="C195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1</v>
      </c>
      <c r="D195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195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195" s="3">
        <f>SUM(TS_ATHLETES[[#This Row],[GOLD MEDALS]:[BRONZE MEDALS]])</f>
        <v>1</v>
      </c>
      <c r="G195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10100000</v>
      </c>
      <c r="H195" s="3">
        <f>IF(TS_ATHLETES[[#This Row],[TOTAL]]=0,"",RANK(TS_ATHLETES[[#This Row],[RANK VALUE]],TS_ATHLETES[RANK VALUE]))</f>
        <v>129</v>
      </c>
      <c r="I195" s="3">
        <f>IFERROR(IF(TS_ATHLETES[[#This Row],[TOTAL]]=0,"",RANK(TS_ATHLETES[[#This Row],[RANK VALUE]],TS_ATHLETES[RANK VALUE])+COUNTIF($H$1:H194,H195)),"")</f>
        <v>275</v>
      </c>
    </row>
    <row r="196" spans="1:9" x14ac:dyDescent="0.25">
      <c r="A196" t="s">
        <v>1263</v>
      </c>
      <c r="B196" s="3" t="s">
        <v>94</v>
      </c>
      <c r="C196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1</v>
      </c>
      <c r="D196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196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196" s="3">
        <f>SUM(TS_ATHLETES[[#This Row],[GOLD MEDALS]:[BRONZE MEDALS]])</f>
        <v>1</v>
      </c>
      <c r="G196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10100000</v>
      </c>
      <c r="H196" s="3">
        <f>IF(TS_ATHLETES[[#This Row],[TOTAL]]=0,"",RANK(TS_ATHLETES[[#This Row],[RANK VALUE]],TS_ATHLETES[RANK VALUE]))</f>
        <v>129</v>
      </c>
      <c r="I196" s="3">
        <f>IFERROR(IF(TS_ATHLETES[[#This Row],[TOTAL]]=0,"",RANK(TS_ATHLETES[[#This Row],[RANK VALUE]],TS_ATHLETES[RANK VALUE])+COUNTIF($H$1:H195,H196)),"")</f>
        <v>276</v>
      </c>
    </row>
    <row r="197" spans="1:9" x14ac:dyDescent="0.25">
      <c r="A197" t="s">
        <v>1264</v>
      </c>
      <c r="B197" s="3" t="s">
        <v>536</v>
      </c>
      <c r="C197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1</v>
      </c>
      <c r="D197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197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197" s="3">
        <f>SUM(TS_ATHLETES[[#This Row],[GOLD MEDALS]:[BRONZE MEDALS]])</f>
        <v>1</v>
      </c>
      <c r="G197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10100000</v>
      </c>
      <c r="H197" s="3">
        <f>IF(TS_ATHLETES[[#This Row],[TOTAL]]=0,"",RANK(TS_ATHLETES[[#This Row],[RANK VALUE]],TS_ATHLETES[RANK VALUE]))</f>
        <v>129</v>
      </c>
      <c r="I197" s="3">
        <f>IFERROR(IF(TS_ATHLETES[[#This Row],[TOTAL]]=0,"",RANK(TS_ATHLETES[[#This Row],[RANK VALUE]],TS_ATHLETES[RANK VALUE])+COUNTIF($H$1:H196,H197)),"")</f>
        <v>277</v>
      </c>
    </row>
    <row r="198" spans="1:9" x14ac:dyDescent="0.25">
      <c r="A198" t="s">
        <v>1265</v>
      </c>
      <c r="B198" s="3" t="s">
        <v>287</v>
      </c>
      <c r="C198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1</v>
      </c>
      <c r="D198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198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198" s="3">
        <f>SUM(TS_ATHLETES[[#This Row],[GOLD MEDALS]:[BRONZE MEDALS]])</f>
        <v>1</v>
      </c>
      <c r="G198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10100000</v>
      </c>
      <c r="H198" s="3">
        <f>IF(TS_ATHLETES[[#This Row],[TOTAL]]=0,"",RANK(TS_ATHLETES[[#This Row],[RANK VALUE]],TS_ATHLETES[RANK VALUE]))</f>
        <v>129</v>
      </c>
      <c r="I198" s="3">
        <f>IFERROR(IF(TS_ATHLETES[[#This Row],[TOTAL]]=0,"",RANK(TS_ATHLETES[[#This Row],[RANK VALUE]],TS_ATHLETES[RANK VALUE])+COUNTIF($H$1:H197,H198)),"")</f>
        <v>278</v>
      </c>
    </row>
    <row r="199" spans="1:9" x14ac:dyDescent="0.25">
      <c r="A199" t="s">
        <v>1266</v>
      </c>
      <c r="B199" s="3" t="s">
        <v>287</v>
      </c>
      <c r="C199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1</v>
      </c>
      <c r="D199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199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199" s="3">
        <f>SUM(TS_ATHLETES[[#This Row],[GOLD MEDALS]:[BRONZE MEDALS]])</f>
        <v>1</v>
      </c>
      <c r="G199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10100000</v>
      </c>
      <c r="H199" s="3">
        <f>IF(TS_ATHLETES[[#This Row],[TOTAL]]=0,"",RANK(TS_ATHLETES[[#This Row],[RANK VALUE]],TS_ATHLETES[RANK VALUE]))</f>
        <v>129</v>
      </c>
      <c r="I199" s="3">
        <f>IFERROR(IF(TS_ATHLETES[[#This Row],[TOTAL]]=0,"",RANK(TS_ATHLETES[[#This Row],[RANK VALUE]],TS_ATHLETES[RANK VALUE])+COUNTIF($H$1:H198,H199)),"")</f>
        <v>279</v>
      </c>
    </row>
    <row r="200" spans="1:9" x14ac:dyDescent="0.25">
      <c r="A200" t="s">
        <v>1267</v>
      </c>
      <c r="B200" s="3" t="s">
        <v>18</v>
      </c>
      <c r="C200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1</v>
      </c>
      <c r="D200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200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200" s="3">
        <f>SUM(TS_ATHLETES[[#This Row],[GOLD MEDALS]:[BRONZE MEDALS]])</f>
        <v>1</v>
      </c>
      <c r="G200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10100000</v>
      </c>
      <c r="H200" s="3">
        <f>IF(TS_ATHLETES[[#This Row],[TOTAL]]=0,"",RANK(TS_ATHLETES[[#This Row],[RANK VALUE]],TS_ATHLETES[RANK VALUE]))</f>
        <v>129</v>
      </c>
      <c r="I200" s="3">
        <f>IFERROR(IF(TS_ATHLETES[[#This Row],[TOTAL]]=0,"",RANK(TS_ATHLETES[[#This Row],[RANK VALUE]],TS_ATHLETES[RANK VALUE])+COUNTIF($H$1:H199,H200)),"")</f>
        <v>280</v>
      </c>
    </row>
    <row r="201" spans="1:9" x14ac:dyDescent="0.25">
      <c r="A201" t="s">
        <v>811</v>
      </c>
      <c r="B201" s="3" t="s">
        <v>94</v>
      </c>
      <c r="C201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1</v>
      </c>
      <c r="D201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201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201" s="3">
        <f>SUM(TS_ATHLETES[[#This Row],[GOLD MEDALS]:[BRONZE MEDALS]])</f>
        <v>1</v>
      </c>
      <c r="G201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10100000</v>
      </c>
      <c r="H201" s="3">
        <f>IF(TS_ATHLETES[[#This Row],[TOTAL]]=0,"",RANK(TS_ATHLETES[[#This Row],[RANK VALUE]],TS_ATHLETES[RANK VALUE]))</f>
        <v>129</v>
      </c>
      <c r="I201" s="3">
        <f>IFERROR(IF(TS_ATHLETES[[#This Row],[TOTAL]]=0,"",RANK(TS_ATHLETES[[#This Row],[RANK VALUE]],TS_ATHLETES[RANK VALUE])+COUNTIF($H$1:H200,H201)),"")</f>
        <v>281</v>
      </c>
    </row>
    <row r="202" spans="1:9" x14ac:dyDescent="0.25">
      <c r="A202" t="s">
        <v>818</v>
      </c>
      <c r="B202" s="3" t="s">
        <v>134</v>
      </c>
      <c r="C202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1</v>
      </c>
      <c r="D202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202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202" s="3">
        <f>SUM(TS_ATHLETES[[#This Row],[GOLD MEDALS]:[BRONZE MEDALS]])</f>
        <v>1</v>
      </c>
      <c r="G202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10100000</v>
      </c>
      <c r="H202" s="3">
        <f>IF(TS_ATHLETES[[#This Row],[TOTAL]]=0,"",RANK(TS_ATHLETES[[#This Row],[RANK VALUE]],TS_ATHLETES[RANK VALUE]))</f>
        <v>129</v>
      </c>
      <c r="I202" s="3">
        <f>IFERROR(IF(TS_ATHLETES[[#This Row],[TOTAL]]=0,"",RANK(TS_ATHLETES[[#This Row],[RANK VALUE]],TS_ATHLETES[RANK VALUE])+COUNTIF($H$1:H201,H202)),"")</f>
        <v>282</v>
      </c>
    </row>
    <row r="203" spans="1:9" x14ac:dyDescent="0.25">
      <c r="A203" t="s">
        <v>959</v>
      </c>
      <c r="B203" s="3" t="s">
        <v>287</v>
      </c>
      <c r="C203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1</v>
      </c>
      <c r="D203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203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203" s="3">
        <f>SUM(TS_ATHLETES[[#This Row],[GOLD MEDALS]:[BRONZE MEDALS]])</f>
        <v>1</v>
      </c>
      <c r="G203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10100000</v>
      </c>
      <c r="H203" s="3">
        <f>IF(TS_ATHLETES[[#This Row],[TOTAL]]=0,"",RANK(TS_ATHLETES[[#This Row],[RANK VALUE]],TS_ATHLETES[RANK VALUE]))</f>
        <v>129</v>
      </c>
      <c r="I203" s="3">
        <f>IFERROR(IF(TS_ATHLETES[[#This Row],[TOTAL]]=0,"",RANK(TS_ATHLETES[[#This Row],[RANK VALUE]],TS_ATHLETES[RANK VALUE])+COUNTIF($H$1:H202,H203)),"")</f>
        <v>283</v>
      </c>
    </row>
    <row r="204" spans="1:9" x14ac:dyDescent="0.25">
      <c r="A204" t="s">
        <v>819</v>
      </c>
      <c r="B204" s="3" t="s">
        <v>167</v>
      </c>
      <c r="C204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1</v>
      </c>
      <c r="D204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204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204" s="3">
        <f>SUM(TS_ATHLETES[[#This Row],[GOLD MEDALS]:[BRONZE MEDALS]])</f>
        <v>1</v>
      </c>
      <c r="G204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10100000</v>
      </c>
      <c r="H204" s="3">
        <f>IF(TS_ATHLETES[[#This Row],[TOTAL]]=0,"",RANK(TS_ATHLETES[[#This Row],[RANK VALUE]],TS_ATHLETES[RANK VALUE]))</f>
        <v>129</v>
      </c>
      <c r="I204" s="3">
        <f>IFERROR(IF(TS_ATHLETES[[#This Row],[TOTAL]]=0,"",RANK(TS_ATHLETES[[#This Row],[RANK VALUE]],TS_ATHLETES[RANK VALUE])+COUNTIF($H$1:H203,H204)),"")</f>
        <v>284</v>
      </c>
    </row>
    <row r="205" spans="1:9" x14ac:dyDescent="0.25">
      <c r="A205" t="s">
        <v>833</v>
      </c>
      <c r="B205" s="3" t="s">
        <v>287</v>
      </c>
      <c r="C205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1</v>
      </c>
      <c r="D205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205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205" s="3">
        <f>SUM(TS_ATHLETES[[#This Row],[GOLD MEDALS]:[BRONZE MEDALS]])</f>
        <v>1</v>
      </c>
      <c r="G205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10100000</v>
      </c>
      <c r="H205" s="3">
        <f>IF(TS_ATHLETES[[#This Row],[TOTAL]]=0,"",RANK(TS_ATHLETES[[#This Row],[RANK VALUE]],TS_ATHLETES[RANK VALUE]))</f>
        <v>129</v>
      </c>
      <c r="I205" s="3">
        <f>IFERROR(IF(TS_ATHLETES[[#This Row],[TOTAL]]=0,"",RANK(TS_ATHLETES[[#This Row],[RANK VALUE]],TS_ATHLETES[RANK VALUE])+COUNTIF($H$1:H204,H205)),"")</f>
        <v>285</v>
      </c>
    </row>
    <row r="206" spans="1:9" x14ac:dyDescent="0.25">
      <c r="A206" t="s">
        <v>963</v>
      </c>
      <c r="B206" s="3" t="s">
        <v>363</v>
      </c>
      <c r="C206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1</v>
      </c>
      <c r="D206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206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206" s="3">
        <f>SUM(TS_ATHLETES[[#This Row],[GOLD MEDALS]:[BRONZE MEDALS]])</f>
        <v>1</v>
      </c>
      <c r="G206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10100000</v>
      </c>
      <c r="H206" s="3">
        <f>IF(TS_ATHLETES[[#This Row],[TOTAL]]=0,"",RANK(TS_ATHLETES[[#This Row],[RANK VALUE]],TS_ATHLETES[RANK VALUE]))</f>
        <v>129</v>
      </c>
      <c r="I206" s="3">
        <f>IFERROR(IF(TS_ATHLETES[[#This Row],[TOTAL]]=0,"",RANK(TS_ATHLETES[[#This Row],[RANK VALUE]],TS_ATHLETES[RANK VALUE])+COUNTIF($H$1:H205,H206)),"")</f>
        <v>286</v>
      </c>
    </row>
    <row r="207" spans="1:9" x14ac:dyDescent="0.25">
      <c r="A207" t="s">
        <v>1268</v>
      </c>
      <c r="B207" s="3" t="s">
        <v>352</v>
      </c>
      <c r="C207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1</v>
      </c>
      <c r="D207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207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207" s="3">
        <f>SUM(TS_ATHLETES[[#This Row],[GOLD MEDALS]:[BRONZE MEDALS]])</f>
        <v>1</v>
      </c>
      <c r="G207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10100000</v>
      </c>
      <c r="H207" s="3">
        <f>IF(TS_ATHLETES[[#This Row],[TOTAL]]=0,"",RANK(TS_ATHLETES[[#This Row],[RANK VALUE]],TS_ATHLETES[RANK VALUE]))</f>
        <v>129</v>
      </c>
      <c r="I207" s="3">
        <f>IFERROR(IF(TS_ATHLETES[[#This Row],[TOTAL]]=0,"",RANK(TS_ATHLETES[[#This Row],[RANK VALUE]],TS_ATHLETES[RANK VALUE])+COUNTIF($H$1:H206,H207)),"")</f>
        <v>287</v>
      </c>
    </row>
    <row r="208" spans="1:9" x14ac:dyDescent="0.25">
      <c r="A208" t="s">
        <v>839</v>
      </c>
      <c r="B208" s="3" t="s">
        <v>179</v>
      </c>
      <c r="C208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1</v>
      </c>
      <c r="D208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208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208" s="3">
        <f>SUM(TS_ATHLETES[[#This Row],[GOLD MEDALS]:[BRONZE MEDALS]])</f>
        <v>1</v>
      </c>
      <c r="G208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10100000</v>
      </c>
      <c r="H208" s="3">
        <f>IF(TS_ATHLETES[[#This Row],[TOTAL]]=0,"",RANK(TS_ATHLETES[[#This Row],[RANK VALUE]],TS_ATHLETES[RANK VALUE]))</f>
        <v>129</v>
      </c>
      <c r="I208" s="3">
        <f>IFERROR(IF(TS_ATHLETES[[#This Row],[TOTAL]]=0,"",RANK(TS_ATHLETES[[#This Row],[RANK VALUE]],TS_ATHLETES[RANK VALUE])+COUNTIF($H$1:H207,H208)),"")</f>
        <v>288</v>
      </c>
    </row>
    <row r="209" spans="1:9" x14ac:dyDescent="0.25">
      <c r="A209" t="s">
        <v>843</v>
      </c>
      <c r="B209" s="3" t="s">
        <v>363</v>
      </c>
      <c r="C209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1</v>
      </c>
      <c r="D209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209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209" s="3">
        <f>SUM(TS_ATHLETES[[#This Row],[GOLD MEDALS]:[BRONZE MEDALS]])</f>
        <v>1</v>
      </c>
      <c r="G209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10100000</v>
      </c>
      <c r="H209" s="3">
        <f>IF(TS_ATHLETES[[#This Row],[TOTAL]]=0,"",RANK(TS_ATHLETES[[#This Row],[RANK VALUE]],TS_ATHLETES[RANK VALUE]))</f>
        <v>129</v>
      </c>
      <c r="I209" s="3">
        <f>IFERROR(IF(TS_ATHLETES[[#This Row],[TOTAL]]=0,"",RANK(TS_ATHLETES[[#This Row],[RANK VALUE]],TS_ATHLETES[RANK VALUE])+COUNTIF($H$1:H208,H209)),"")</f>
        <v>289</v>
      </c>
    </row>
    <row r="210" spans="1:9" x14ac:dyDescent="0.25">
      <c r="A210" t="s">
        <v>847</v>
      </c>
      <c r="B210" s="3" t="s">
        <v>179</v>
      </c>
      <c r="C210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1</v>
      </c>
      <c r="D210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210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210" s="3">
        <f>SUM(TS_ATHLETES[[#This Row],[GOLD MEDALS]:[BRONZE MEDALS]])</f>
        <v>1</v>
      </c>
      <c r="G210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10100000</v>
      </c>
      <c r="H210" s="3">
        <f>IF(TS_ATHLETES[[#This Row],[TOTAL]]=0,"",RANK(TS_ATHLETES[[#This Row],[RANK VALUE]],TS_ATHLETES[RANK VALUE]))</f>
        <v>129</v>
      </c>
      <c r="I210" s="3">
        <f>IFERROR(IF(TS_ATHLETES[[#This Row],[TOTAL]]=0,"",RANK(TS_ATHLETES[[#This Row],[RANK VALUE]],TS_ATHLETES[RANK VALUE])+COUNTIF($H$1:H209,H210)),"")</f>
        <v>290</v>
      </c>
    </row>
    <row r="211" spans="1:9" x14ac:dyDescent="0.25">
      <c r="A211" t="s">
        <v>851</v>
      </c>
      <c r="B211" s="3" t="s">
        <v>179</v>
      </c>
      <c r="C211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1</v>
      </c>
      <c r="D211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211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211" s="3">
        <f>SUM(TS_ATHLETES[[#This Row],[GOLD MEDALS]:[BRONZE MEDALS]])</f>
        <v>1</v>
      </c>
      <c r="G211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10100000</v>
      </c>
      <c r="H211" s="3">
        <f>IF(TS_ATHLETES[[#This Row],[TOTAL]]=0,"",RANK(TS_ATHLETES[[#This Row],[RANK VALUE]],TS_ATHLETES[RANK VALUE]))</f>
        <v>129</v>
      </c>
      <c r="I211" s="3">
        <f>IFERROR(IF(TS_ATHLETES[[#This Row],[TOTAL]]=0,"",RANK(TS_ATHLETES[[#This Row],[RANK VALUE]],TS_ATHLETES[RANK VALUE])+COUNTIF($H$1:H210,H211)),"")</f>
        <v>291</v>
      </c>
    </row>
    <row r="212" spans="1:9" x14ac:dyDescent="0.25">
      <c r="A212" t="s">
        <v>855</v>
      </c>
      <c r="B212" s="3" t="s">
        <v>179</v>
      </c>
      <c r="C212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1</v>
      </c>
      <c r="D212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212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212" s="3">
        <f>SUM(TS_ATHLETES[[#This Row],[GOLD MEDALS]:[BRONZE MEDALS]])</f>
        <v>1</v>
      </c>
      <c r="G212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10100000</v>
      </c>
      <c r="H212" s="3">
        <f>IF(TS_ATHLETES[[#This Row],[TOTAL]]=0,"",RANK(TS_ATHLETES[[#This Row],[RANK VALUE]],TS_ATHLETES[RANK VALUE]))</f>
        <v>129</v>
      </c>
      <c r="I212" s="3">
        <f>IFERROR(IF(TS_ATHLETES[[#This Row],[TOTAL]]=0,"",RANK(TS_ATHLETES[[#This Row],[RANK VALUE]],TS_ATHLETES[RANK VALUE])+COUNTIF($H$1:H211,H212)),"")</f>
        <v>292</v>
      </c>
    </row>
    <row r="213" spans="1:9" x14ac:dyDescent="0.25">
      <c r="A213" t="s">
        <v>859</v>
      </c>
      <c r="B213" s="3" t="s">
        <v>66</v>
      </c>
      <c r="C213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1</v>
      </c>
      <c r="D213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213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213" s="3">
        <f>SUM(TS_ATHLETES[[#This Row],[GOLD MEDALS]:[BRONZE MEDALS]])</f>
        <v>1</v>
      </c>
      <c r="G213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10100000</v>
      </c>
      <c r="H213" s="3">
        <f>IF(TS_ATHLETES[[#This Row],[TOTAL]]=0,"",RANK(TS_ATHLETES[[#This Row],[RANK VALUE]],TS_ATHLETES[RANK VALUE]))</f>
        <v>129</v>
      </c>
      <c r="I213" s="3">
        <f>IFERROR(IF(TS_ATHLETES[[#This Row],[TOTAL]]=0,"",RANK(TS_ATHLETES[[#This Row],[RANK VALUE]],TS_ATHLETES[RANK VALUE])+COUNTIF($H$1:H212,H213)),"")</f>
        <v>293</v>
      </c>
    </row>
    <row r="214" spans="1:9" x14ac:dyDescent="0.25">
      <c r="A214" t="s">
        <v>1269</v>
      </c>
      <c r="B214" s="3" t="s">
        <v>128</v>
      </c>
      <c r="C214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214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1</v>
      </c>
      <c r="E214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214" s="3">
        <f>SUM(TS_ATHLETES[[#This Row],[GOLD MEDALS]:[BRONZE MEDALS]])</f>
        <v>1</v>
      </c>
      <c r="G214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10000100</v>
      </c>
      <c r="H214" s="3">
        <f>IF(TS_ATHLETES[[#This Row],[TOTAL]]=0,"",RANK(TS_ATHLETES[[#This Row],[RANK VALUE]],TS_ATHLETES[RANK VALUE]))</f>
        <v>660</v>
      </c>
      <c r="I214" s="3">
        <f>IFERROR(IF(TS_ATHLETES[[#This Row],[TOTAL]]=0,"",RANK(TS_ATHLETES[[#This Row],[RANK VALUE]],TS_ATHLETES[RANK VALUE])+COUNTIF($H$1:H213,H214)),"")</f>
        <v>660</v>
      </c>
    </row>
    <row r="215" spans="1:9" x14ac:dyDescent="0.25">
      <c r="A215" t="s">
        <v>1270</v>
      </c>
      <c r="B215" s="3" t="s">
        <v>136</v>
      </c>
      <c r="C215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215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1</v>
      </c>
      <c r="E215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215" s="3">
        <f>SUM(TS_ATHLETES[[#This Row],[GOLD MEDALS]:[BRONZE MEDALS]])</f>
        <v>1</v>
      </c>
      <c r="G215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10000100</v>
      </c>
      <c r="H215" s="3">
        <f>IF(TS_ATHLETES[[#This Row],[TOTAL]]=0,"",RANK(TS_ATHLETES[[#This Row],[RANK VALUE]],TS_ATHLETES[RANK VALUE]))</f>
        <v>660</v>
      </c>
      <c r="I215" s="3">
        <f>IFERROR(IF(TS_ATHLETES[[#This Row],[TOTAL]]=0,"",RANK(TS_ATHLETES[[#This Row],[RANK VALUE]],TS_ATHLETES[RANK VALUE])+COUNTIF($H$1:H214,H215)),"")</f>
        <v>661</v>
      </c>
    </row>
    <row r="216" spans="1:9" x14ac:dyDescent="0.25">
      <c r="A216" t="s">
        <v>1271</v>
      </c>
      <c r="B216" s="3" t="s">
        <v>51</v>
      </c>
      <c r="C216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216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1</v>
      </c>
      <c r="E216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216" s="3">
        <f>SUM(TS_ATHLETES[[#This Row],[GOLD MEDALS]:[BRONZE MEDALS]])</f>
        <v>1</v>
      </c>
      <c r="G216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10000100</v>
      </c>
      <c r="H216" s="3">
        <f>IF(TS_ATHLETES[[#This Row],[TOTAL]]=0,"",RANK(TS_ATHLETES[[#This Row],[RANK VALUE]],TS_ATHLETES[RANK VALUE]))</f>
        <v>660</v>
      </c>
      <c r="I216" s="3">
        <f>IFERROR(IF(TS_ATHLETES[[#This Row],[TOTAL]]=0,"",RANK(TS_ATHLETES[[#This Row],[RANK VALUE]],TS_ATHLETES[RANK VALUE])+COUNTIF($H$1:H215,H216)),"")</f>
        <v>662</v>
      </c>
    </row>
    <row r="217" spans="1:9" x14ac:dyDescent="0.25">
      <c r="A217" t="s">
        <v>1272</v>
      </c>
      <c r="B217" s="3" t="s">
        <v>361</v>
      </c>
      <c r="C217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217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1</v>
      </c>
      <c r="E217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217" s="3">
        <f>SUM(TS_ATHLETES[[#This Row],[GOLD MEDALS]:[BRONZE MEDALS]])</f>
        <v>1</v>
      </c>
      <c r="G217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10000100</v>
      </c>
      <c r="H217" s="3">
        <f>IF(TS_ATHLETES[[#This Row],[TOTAL]]=0,"",RANK(TS_ATHLETES[[#This Row],[RANK VALUE]],TS_ATHLETES[RANK VALUE]))</f>
        <v>660</v>
      </c>
      <c r="I217" s="3">
        <f>IFERROR(IF(TS_ATHLETES[[#This Row],[TOTAL]]=0,"",RANK(TS_ATHLETES[[#This Row],[RANK VALUE]],TS_ATHLETES[RANK VALUE])+COUNTIF($H$1:H216,H217)),"")</f>
        <v>663</v>
      </c>
    </row>
    <row r="218" spans="1:9" x14ac:dyDescent="0.25">
      <c r="A218" t="s">
        <v>1273</v>
      </c>
      <c r="B218" s="3" t="s">
        <v>51</v>
      </c>
      <c r="C218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218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1</v>
      </c>
      <c r="E218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218" s="3">
        <f>SUM(TS_ATHLETES[[#This Row],[GOLD MEDALS]:[BRONZE MEDALS]])</f>
        <v>1</v>
      </c>
      <c r="G218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10000100</v>
      </c>
      <c r="H218" s="3">
        <f>IF(TS_ATHLETES[[#This Row],[TOTAL]]=0,"",RANK(TS_ATHLETES[[#This Row],[RANK VALUE]],TS_ATHLETES[RANK VALUE]))</f>
        <v>660</v>
      </c>
      <c r="I218" s="3">
        <f>IFERROR(IF(TS_ATHLETES[[#This Row],[TOTAL]]=0,"",RANK(TS_ATHLETES[[#This Row],[RANK VALUE]],TS_ATHLETES[RANK VALUE])+COUNTIF($H$1:H217,H218)),"")</f>
        <v>664</v>
      </c>
    </row>
    <row r="219" spans="1:9" x14ac:dyDescent="0.25">
      <c r="A219" t="s">
        <v>1274</v>
      </c>
      <c r="B219" s="3" t="s">
        <v>287</v>
      </c>
      <c r="C219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219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2</v>
      </c>
      <c r="E219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1</v>
      </c>
      <c r="F219" s="3">
        <f>SUM(TS_ATHLETES[[#This Row],[GOLD MEDALS]:[BRONZE MEDALS]])</f>
        <v>3</v>
      </c>
      <c r="G219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30000210</v>
      </c>
      <c r="H219" s="3">
        <f>IF(TS_ATHLETES[[#This Row],[TOTAL]]=0,"",RANK(TS_ATHLETES[[#This Row],[RANK VALUE]],TS_ATHLETES[RANK VALUE]))</f>
        <v>24</v>
      </c>
      <c r="I219" s="3">
        <f>IFERROR(IF(TS_ATHLETES[[#This Row],[TOTAL]]=0,"",RANK(TS_ATHLETES[[#This Row],[RANK VALUE]],TS_ATHLETES[RANK VALUE])+COUNTIF($H$1:H218,H219)),"")</f>
        <v>24</v>
      </c>
    </row>
    <row r="220" spans="1:9" x14ac:dyDescent="0.25">
      <c r="A220" t="s">
        <v>1275</v>
      </c>
      <c r="B220" s="3" t="s">
        <v>363</v>
      </c>
      <c r="C220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220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2</v>
      </c>
      <c r="E220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220" s="3">
        <f>SUM(TS_ATHLETES[[#This Row],[GOLD MEDALS]:[BRONZE MEDALS]])</f>
        <v>2</v>
      </c>
      <c r="G220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20000200</v>
      </c>
      <c r="H220" s="3">
        <f>IF(TS_ATHLETES[[#This Row],[TOTAL]]=0,"",RANK(TS_ATHLETES[[#This Row],[RANK VALUE]],TS_ATHLETES[RANK VALUE]))</f>
        <v>92</v>
      </c>
      <c r="I220" s="3">
        <f>IFERROR(IF(TS_ATHLETES[[#This Row],[TOTAL]]=0,"",RANK(TS_ATHLETES[[#This Row],[RANK VALUE]],TS_ATHLETES[RANK VALUE])+COUNTIF($H$1:H219,H220)),"")</f>
        <v>92</v>
      </c>
    </row>
    <row r="221" spans="1:9" x14ac:dyDescent="0.25">
      <c r="A221" t="s">
        <v>1276</v>
      </c>
      <c r="B221" s="3" t="s">
        <v>363</v>
      </c>
      <c r="C221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1</v>
      </c>
      <c r="D221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2</v>
      </c>
      <c r="E221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221" s="3">
        <f>SUM(TS_ATHLETES[[#This Row],[GOLD MEDALS]:[BRONZE MEDALS]])</f>
        <v>3</v>
      </c>
      <c r="G221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30100200</v>
      </c>
      <c r="H221" s="3">
        <f>IF(TS_ATHLETES[[#This Row],[TOTAL]]=0,"",RANK(TS_ATHLETES[[#This Row],[RANK VALUE]],TS_ATHLETES[RANK VALUE]))</f>
        <v>17</v>
      </c>
      <c r="I221" s="3">
        <f>IFERROR(IF(TS_ATHLETES[[#This Row],[TOTAL]]=0,"",RANK(TS_ATHLETES[[#This Row],[RANK VALUE]],TS_ATHLETES[RANK VALUE])+COUNTIF($H$1:H220,H221)),"")</f>
        <v>17</v>
      </c>
    </row>
    <row r="222" spans="1:9" x14ac:dyDescent="0.25">
      <c r="A222" t="s">
        <v>1277</v>
      </c>
      <c r="B222" s="3" t="s">
        <v>287</v>
      </c>
      <c r="C222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222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2</v>
      </c>
      <c r="E222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222" s="3">
        <f>SUM(TS_ATHLETES[[#This Row],[GOLD MEDALS]:[BRONZE MEDALS]])</f>
        <v>2</v>
      </c>
      <c r="G222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20000200</v>
      </c>
      <c r="H222" s="3">
        <f>IF(TS_ATHLETES[[#This Row],[TOTAL]]=0,"",RANK(TS_ATHLETES[[#This Row],[RANK VALUE]],TS_ATHLETES[RANK VALUE]))</f>
        <v>92</v>
      </c>
      <c r="I222" s="3">
        <f>IFERROR(IF(TS_ATHLETES[[#This Row],[TOTAL]]=0,"",RANK(TS_ATHLETES[[#This Row],[RANK VALUE]],TS_ATHLETES[RANK VALUE])+COUNTIF($H$1:H221,H222)),"")</f>
        <v>93</v>
      </c>
    </row>
    <row r="223" spans="1:9" x14ac:dyDescent="0.25">
      <c r="A223" t="s">
        <v>1278</v>
      </c>
      <c r="B223" s="3" t="s">
        <v>363</v>
      </c>
      <c r="C223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1</v>
      </c>
      <c r="D223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1</v>
      </c>
      <c r="E223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223" s="3">
        <f>SUM(TS_ATHLETES[[#This Row],[GOLD MEDALS]:[BRONZE MEDALS]])</f>
        <v>2</v>
      </c>
      <c r="G223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20100100</v>
      </c>
      <c r="H223" s="3">
        <f>IF(TS_ATHLETES[[#This Row],[TOTAL]]=0,"",RANK(TS_ATHLETES[[#This Row],[RANK VALUE]],TS_ATHLETES[RANK VALUE]))</f>
        <v>48</v>
      </c>
      <c r="I223" s="3">
        <f>IFERROR(IF(TS_ATHLETES[[#This Row],[TOTAL]]=0,"",RANK(TS_ATHLETES[[#This Row],[RANK VALUE]],TS_ATHLETES[RANK VALUE])+COUNTIF($H$1:H222,H223)),"")</f>
        <v>56</v>
      </c>
    </row>
    <row r="224" spans="1:9" x14ac:dyDescent="0.25">
      <c r="A224" t="s">
        <v>1279</v>
      </c>
      <c r="B224" s="3" t="s">
        <v>363</v>
      </c>
      <c r="C224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1</v>
      </c>
      <c r="D224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1</v>
      </c>
      <c r="E224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224" s="3">
        <f>SUM(TS_ATHLETES[[#This Row],[GOLD MEDALS]:[BRONZE MEDALS]])</f>
        <v>2</v>
      </c>
      <c r="G224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20100100</v>
      </c>
      <c r="H224" s="3">
        <f>IF(TS_ATHLETES[[#This Row],[TOTAL]]=0,"",RANK(TS_ATHLETES[[#This Row],[RANK VALUE]],TS_ATHLETES[RANK VALUE]))</f>
        <v>48</v>
      </c>
      <c r="I224" s="3">
        <f>IFERROR(IF(TS_ATHLETES[[#This Row],[TOTAL]]=0,"",RANK(TS_ATHLETES[[#This Row],[RANK VALUE]],TS_ATHLETES[RANK VALUE])+COUNTIF($H$1:H223,H224)),"")</f>
        <v>57</v>
      </c>
    </row>
    <row r="225" spans="1:9" x14ac:dyDescent="0.25">
      <c r="A225" t="s">
        <v>1280</v>
      </c>
      <c r="B225" s="3" t="s">
        <v>363</v>
      </c>
      <c r="C225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225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1</v>
      </c>
      <c r="E225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225" s="3">
        <f>SUM(TS_ATHLETES[[#This Row],[GOLD MEDALS]:[BRONZE MEDALS]])</f>
        <v>1</v>
      </c>
      <c r="G225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10000100</v>
      </c>
      <c r="H225" s="3">
        <f>IF(TS_ATHLETES[[#This Row],[TOTAL]]=0,"",RANK(TS_ATHLETES[[#This Row],[RANK VALUE]],TS_ATHLETES[RANK VALUE]))</f>
        <v>660</v>
      </c>
      <c r="I225" s="3">
        <f>IFERROR(IF(TS_ATHLETES[[#This Row],[TOTAL]]=0,"",RANK(TS_ATHLETES[[#This Row],[RANK VALUE]],TS_ATHLETES[RANK VALUE])+COUNTIF($H$1:H224,H225)),"")</f>
        <v>665</v>
      </c>
    </row>
    <row r="226" spans="1:9" x14ac:dyDescent="0.25">
      <c r="A226" t="s">
        <v>1066</v>
      </c>
      <c r="B226" s="3" t="s">
        <v>66</v>
      </c>
      <c r="C226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226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1</v>
      </c>
      <c r="E226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2</v>
      </c>
      <c r="F226" s="3">
        <f>SUM(TS_ATHLETES[[#This Row],[GOLD MEDALS]:[BRONZE MEDALS]])</f>
        <v>3</v>
      </c>
      <c r="G226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30000120</v>
      </c>
      <c r="H226" s="3">
        <f>IF(TS_ATHLETES[[#This Row],[TOTAL]]=0,"",RANK(TS_ATHLETES[[#This Row],[RANK VALUE]],TS_ATHLETES[RANK VALUE]))</f>
        <v>26</v>
      </c>
      <c r="I226" s="3">
        <f>IFERROR(IF(TS_ATHLETES[[#This Row],[TOTAL]]=0,"",RANK(TS_ATHLETES[[#This Row],[RANK VALUE]],TS_ATHLETES[RANK VALUE])+COUNTIF($H$1:H225,H226)),"")</f>
        <v>26</v>
      </c>
    </row>
    <row r="227" spans="1:9" x14ac:dyDescent="0.25">
      <c r="A227" t="s">
        <v>1281</v>
      </c>
      <c r="B227" s="3" t="s">
        <v>142</v>
      </c>
      <c r="C227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227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1</v>
      </c>
      <c r="E227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227" s="3">
        <f>SUM(TS_ATHLETES[[#This Row],[GOLD MEDALS]:[BRONZE MEDALS]])</f>
        <v>1</v>
      </c>
      <c r="G227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10000100</v>
      </c>
      <c r="H227" s="3">
        <f>IF(TS_ATHLETES[[#This Row],[TOTAL]]=0,"",RANK(TS_ATHLETES[[#This Row],[RANK VALUE]],TS_ATHLETES[RANK VALUE]))</f>
        <v>660</v>
      </c>
      <c r="I227" s="3">
        <f>IFERROR(IF(TS_ATHLETES[[#This Row],[TOTAL]]=0,"",RANK(TS_ATHLETES[[#This Row],[RANK VALUE]],TS_ATHLETES[RANK VALUE])+COUNTIF($H$1:H226,H227)),"")</f>
        <v>666</v>
      </c>
    </row>
    <row r="228" spans="1:9" x14ac:dyDescent="0.25">
      <c r="A228" t="s">
        <v>1282</v>
      </c>
      <c r="B228" s="3" t="s">
        <v>7</v>
      </c>
      <c r="C228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228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2</v>
      </c>
      <c r="E228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228" s="3">
        <f>SUM(TS_ATHLETES[[#This Row],[GOLD MEDALS]:[BRONZE MEDALS]])</f>
        <v>2</v>
      </c>
      <c r="G228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20000200</v>
      </c>
      <c r="H228" s="3">
        <f>IF(TS_ATHLETES[[#This Row],[TOTAL]]=0,"",RANK(TS_ATHLETES[[#This Row],[RANK VALUE]],TS_ATHLETES[RANK VALUE]))</f>
        <v>92</v>
      </c>
      <c r="I228" s="3">
        <f>IFERROR(IF(TS_ATHLETES[[#This Row],[TOTAL]]=0,"",RANK(TS_ATHLETES[[#This Row],[RANK VALUE]],TS_ATHLETES[RANK VALUE])+COUNTIF($H$1:H227,H228)),"")</f>
        <v>94</v>
      </c>
    </row>
    <row r="229" spans="1:9" x14ac:dyDescent="0.25">
      <c r="A229" t="s">
        <v>1283</v>
      </c>
      <c r="B229" s="3" t="s">
        <v>363</v>
      </c>
      <c r="C229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229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1</v>
      </c>
      <c r="E229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229" s="3">
        <f>SUM(TS_ATHLETES[[#This Row],[GOLD MEDALS]:[BRONZE MEDALS]])</f>
        <v>1</v>
      </c>
      <c r="G229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10000100</v>
      </c>
      <c r="H229" s="3">
        <f>IF(TS_ATHLETES[[#This Row],[TOTAL]]=0,"",RANK(TS_ATHLETES[[#This Row],[RANK VALUE]],TS_ATHLETES[RANK VALUE]))</f>
        <v>660</v>
      </c>
      <c r="I229" s="3">
        <f>IFERROR(IF(TS_ATHLETES[[#This Row],[TOTAL]]=0,"",RANK(TS_ATHLETES[[#This Row],[RANK VALUE]],TS_ATHLETES[RANK VALUE])+COUNTIF($H$1:H228,H229)),"")</f>
        <v>667</v>
      </c>
    </row>
    <row r="230" spans="1:9" x14ac:dyDescent="0.25">
      <c r="A230" t="s">
        <v>1284</v>
      </c>
      <c r="B230" s="3" t="s">
        <v>185</v>
      </c>
      <c r="C230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230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1</v>
      </c>
      <c r="E230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230" s="3">
        <f>SUM(TS_ATHLETES[[#This Row],[GOLD MEDALS]:[BRONZE MEDALS]])</f>
        <v>1</v>
      </c>
      <c r="G230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10000100</v>
      </c>
      <c r="H230" s="3">
        <f>IF(TS_ATHLETES[[#This Row],[TOTAL]]=0,"",RANK(TS_ATHLETES[[#This Row],[RANK VALUE]],TS_ATHLETES[RANK VALUE]))</f>
        <v>660</v>
      </c>
      <c r="I230" s="3">
        <f>IFERROR(IF(TS_ATHLETES[[#This Row],[TOTAL]]=0,"",RANK(TS_ATHLETES[[#This Row],[RANK VALUE]],TS_ATHLETES[RANK VALUE])+COUNTIF($H$1:H229,H230)),"")</f>
        <v>668</v>
      </c>
    </row>
    <row r="231" spans="1:9" x14ac:dyDescent="0.25">
      <c r="A231" t="s">
        <v>934</v>
      </c>
      <c r="B231" s="3" t="s">
        <v>122</v>
      </c>
      <c r="C231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231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1</v>
      </c>
      <c r="E231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231" s="3">
        <f>SUM(TS_ATHLETES[[#This Row],[GOLD MEDALS]:[BRONZE MEDALS]])</f>
        <v>1</v>
      </c>
      <c r="G231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10000100</v>
      </c>
      <c r="H231" s="3">
        <f>IF(TS_ATHLETES[[#This Row],[TOTAL]]=0,"",RANK(TS_ATHLETES[[#This Row],[RANK VALUE]],TS_ATHLETES[RANK VALUE]))</f>
        <v>660</v>
      </c>
      <c r="I231" s="3">
        <f>IFERROR(IF(TS_ATHLETES[[#This Row],[TOTAL]]=0,"",RANK(TS_ATHLETES[[#This Row],[RANK VALUE]],TS_ATHLETES[RANK VALUE])+COUNTIF($H$1:H230,H231)),"")</f>
        <v>669</v>
      </c>
    </row>
    <row r="232" spans="1:9" x14ac:dyDescent="0.25">
      <c r="A232" t="s">
        <v>1285</v>
      </c>
      <c r="B232" s="3" t="s">
        <v>363</v>
      </c>
      <c r="C232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232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1</v>
      </c>
      <c r="E232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232" s="3">
        <f>SUM(TS_ATHLETES[[#This Row],[GOLD MEDALS]:[BRONZE MEDALS]])</f>
        <v>1</v>
      </c>
      <c r="G232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10000100</v>
      </c>
      <c r="H232" s="3">
        <f>IF(TS_ATHLETES[[#This Row],[TOTAL]]=0,"",RANK(TS_ATHLETES[[#This Row],[RANK VALUE]],TS_ATHLETES[RANK VALUE]))</f>
        <v>660</v>
      </c>
      <c r="I232" s="3">
        <f>IFERROR(IF(TS_ATHLETES[[#This Row],[TOTAL]]=0,"",RANK(TS_ATHLETES[[#This Row],[RANK VALUE]],TS_ATHLETES[RANK VALUE])+COUNTIF($H$1:H231,H232)),"")</f>
        <v>670</v>
      </c>
    </row>
    <row r="233" spans="1:9" x14ac:dyDescent="0.25">
      <c r="A233" t="s">
        <v>1286</v>
      </c>
      <c r="B233" s="3" t="s">
        <v>321</v>
      </c>
      <c r="C233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233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1</v>
      </c>
      <c r="E233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233" s="3">
        <f>SUM(TS_ATHLETES[[#This Row],[GOLD MEDALS]:[BRONZE MEDALS]])</f>
        <v>1</v>
      </c>
      <c r="G233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10000100</v>
      </c>
      <c r="H233" s="3">
        <f>IF(TS_ATHLETES[[#This Row],[TOTAL]]=0,"",RANK(TS_ATHLETES[[#This Row],[RANK VALUE]],TS_ATHLETES[RANK VALUE]))</f>
        <v>660</v>
      </c>
      <c r="I233" s="3">
        <f>IFERROR(IF(TS_ATHLETES[[#This Row],[TOTAL]]=0,"",RANK(TS_ATHLETES[[#This Row],[RANK VALUE]],TS_ATHLETES[RANK VALUE])+COUNTIF($H$1:H232,H233)),"")</f>
        <v>671</v>
      </c>
    </row>
    <row r="234" spans="1:9" x14ac:dyDescent="0.25">
      <c r="A234" t="s">
        <v>1287</v>
      </c>
      <c r="B234" s="3" t="s">
        <v>185</v>
      </c>
      <c r="C234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234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1</v>
      </c>
      <c r="E234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234" s="3">
        <f>SUM(TS_ATHLETES[[#This Row],[GOLD MEDALS]:[BRONZE MEDALS]])</f>
        <v>1</v>
      </c>
      <c r="G234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10000100</v>
      </c>
      <c r="H234" s="3">
        <f>IF(TS_ATHLETES[[#This Row],[TOTAL]]=0,"",RANK(TS_ATHLETES[[#This Row],[RANK VALUE]],TS_ATHLETES[RANK VALUE]))</f>
        <v>660</v>
      </c>
      <c r="I234" s="3">
        <f>IFERROR(IF(TS_ATHLETES[[#This Row],[TOTAL]]=0,"",RANK(TS_ATHLETES[[#This Row],[RANK VALUE]],TS_ATHLETES[RANK VALUE])+COUNTIF($H$1:H233,H234)),"")</f>
        <v>672</v>
      </c>
    </row>
    <row r="235" spans="1:9" x14ac:dyDescent="0.25">
      <c r="A235" t="s">
        <v>1288</v>
      </c>
      <c r="B235" s="3" t="s">
        <v>285</v>
      </c>
      <c r="C235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235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1</v>
      </c>
      <c r="E235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235" s="3">
        <f>SUM(TS_ATHLETES[[#This Row],[GOLD MEDALS]:[BRONZE MEDALS]])</f>
        <v>1</v>
      </c>
      <c r="G235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10000100</v>
      </c>
      <c r="H235" s="3">
        <f>IF(TS_ATHLETES[[#This Row],[TOTAL]]=0,"",RANK(TS_ATHLETES[[#This Row],[RANK VALUE]],TS_ATHLETES[RANK VALUE]))</f>
        <v>660</v>
      </c>
      <c r="I235" s="3">
        <f>IFERROR(IF(TS_ATHLETES[[#This Row],[TOTAL]]=0,"",RANK(TS_ATHLETES[[#This Row],[RANK VALUE]],TS_ATHLETES[RANK VALUE])+COUNTIF($H$1:H234,H235)),"")</f>
        <v>673</v>
      </c>
    </row>
    <row r="236" spans="1:9" x14ac:dyDescent="0.25">
      <c r="A236" t="s">
        <v>1289</v>
      </c>
      <c r="B236" s="3" t="s">
        <v>128</v>
      </c>
      <c r="C236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236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1</v>
      </c>
      <c r="E236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236" s="3">
        <f>SUM(TS_ATHLETES[[#This Row],[GOLD MEDALS]:[BRONZE MEDALS]])</f>
        <v>1</v>
      </c>
      <c r="G236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10000100</v>
      </c>
      <c r="H236" s="3">
        <f>IF(TS_ATHLETES[[#This Row],[TOTAL]]=0,"",RANK(TS_ATHLETES[[#This Row],[RANK VALUE]],TS_ATHLETES[RANK VALUE]))</f>
        <v>660</v>
      </c>
      <c r="I236" s="3">
        <f>IFERROR(IF(TS_ATHLETES[[#This Row],[TOTAL]]=0,"",RANK(TS_ATHLETES[[#This Row],[RANK VALUE]],TS_ATHLETES[RANK VALUE])+COUNTIF($H$1:H235,H236)),"")</f>
        <v>674</v>
      </c>
    </row>
    <row r="237" spans="1:9" x14ac:dyDescent="0.25">
      <c r="A237" t="s">
        <v>1290</v>
      </c>
      <c r="B237" s="3" t="s">
        <v>319</v>
      </c>
      <c r="C237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237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1</v>
      </c>
      <c r="E237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237" s="3">
        <f>SUM(TS_ATHLETES[[#This Row],[GOLD MEDALS]:[BRONZE MEDALS]])</f>
        <v>1</v>
      </c>
      <c r="G237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10000100</v>
      </c>
      <c r="H237" s="3">
        <f>IF(TS_ATHLETES[[#This Row],[TOTAL]]=0,"",RANK(TS_ATHLETES[[#This Row],[RANK VALUE]],TS_ATHLETES[RANK VALUE]))</f>
        <v>660</v>
      </c>
      <c r="I237" s="3">
        <f>IFERROR(IF(TS_ATHLETES[[#This Row],[TOTAL]]=0,"",RANK(TS_ATHLETES[[#This Row],[RANK VALUE]],TS_ATHLETES[RANK VALUE])+COUNTIF($H$1:H236,H237)),"")</f>
        <v>675</v>
      </c>
    </row>
    <row r="238" spans="1:9" x14ac:dyDescent="0.25">
      <c r="A238" t="s">
        <v>1291</v>
      </c>
      <c r="B238" s="3" t="s">
        <v>363</v>
      </c>
      <c r="C238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238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1</v>
      </c>
      <c r="E238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238" s="3">
        <f>SUM(TS_ATHLETES[[#This Row],[GOLD MEDALS]:[BRONZE MEDALS]])</f>
        <v>1</v>
      </c>
      <c r="G238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10000100</v>
      </c>
      <c r="H238" s="3">
        <f>IF(TS_ATHLETES[[#This Row],[TOTAL]]=0,"",RANK(TS_ATHLETES[[#This Row],[RANK VALUE]],TS_ATHLETES[RANK VALUE]))</f>
        <v>660</v>
      </c>
      <c r="I238" s="3">
        <f>IFERROR(IF(TS_ATHLETES[[#This Row],[TOTAL]]=0,"",RANK(TS_ATHLETES[[#This Row],[RANK VALUE]],TS_ATHLETES[RANK VALUE])+COUNTIF($H$1:H237,H238)),"")</f>
        <v>676</v>
      </c>
    </row>
    <row r="239" spans="1:9" x14ac:dyDescent="0.25">
      <c r="A239" t="s">
        <v>1292</v>
      </c>
      <c r="B239" s="3" t="s">
        <v>363</v>
      </c>
      <c r="C239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239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1</v>
      </c>
      <c r="E239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239" s="3">
        <f>SUM(TS_ATHLETES[[#This Row],[GOLD MEDALS]:[BRONZE MEDALS]])</f>
        <v>1</v>
      </c>
      <c r="G239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10000100</v>
      </c>
      <c r="H239" s="3">
        <f>IF(TS_ATHLETES[[#This Row],[TOTAL]]=0,"",RANK(TS_ATHLETES[[#This Row],[RANK VALUE]],TS_ATHLETES[RANK VALUE]))</f>
        <v>660</v>
      </c>
      <c r="I239" s="3">
        <f>IFERROR(IF(TS_ATHLETES[[#This Row],[TOTAL]]=0,"",RANK(TS_ATHLETES[[#This Row],[RANK VALUE]],TS_ATHLETES[RANK VALUE])+COUNTIF($H$1:H238,H239)),"")</f>
        <v>677</v>
      </c>
    </row>
    <row r="240" spans="1:9" x14ac:dyDescent="0.25">
      <c r="A240" t="s">
        <v>1293</v>
      </c>
      <c r="B240" s="3" t="s">
        <v>280</v>
      </c>
      <c r="C240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240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1</v>
      </c>
      <c r="E240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240" s="3">
        <f>SUM(TS_ATHLETES[[#This Row],[GOLD MEDALS]:[BRONZE MEDALS]])</f>
        <v>1</v>
      </c>
      <c r="G240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10000100</v>
      </c>
      <c r="H240" s="3">
        <f>IF(TS_ATHLETES[[#This Row],[TOTAL]]=0,"",RANK(TS_ATHLETES[[#This Row],[RANK VALUE]],TS_ATHLETES[RANK VALUE]))</f>
        <v>660</v>
      </c>
      <c r="I240" s="3">
        <f>IFERROR(IF(TS_ATHLETES[[#This Row],[TOTAL]]=0,"",RANK(TS_ATHLETES[[#This Row],[RANK VALUE]],TS_ATHLETES[RANK VALUE])+COUNTIF($H$1:H239,H240)),"")</f>
        <v>678</v>
      </c>
    </row>
    <row r="241" spans="1:9" x14ac:dyDescent="0.25">
      <c r="A241" t="s">
        <v>1294</v>
      </c>
      <c r="B241" s="3" t="s">
        <v>35</v>
      </c>
      <c r="C241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241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1</v>
      </c>
      <c r="E241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241" s="3">
        <f>SUM(TS_ATHLETES[[#This Row],[GOLD MEDALS]:[BRONZE MEDALS]])</f>
        <v>1</v>
      </c>
      <c r="G241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10000100</v>
      </c>
      <c r="H241" s="3">
        <f>IF(TS_ATHLETES[[#This Row],[TOTAL]]=0,"",RANK(TS_ATHLETES[[#This Row],[RANK VALUE]],TS_ATHLETES[RANK VALUE]))</f>
        <v>660</v>
      </c>
      <c r="I241" s="3">
        <f>IFERROR(IF(TS_ATHLETES[[#This Row],[TOTAL]]=0,"",RANK(TS_ATHLETES[[#This Row],[RANK VALUE]],TS_ATHLETES[RANK VALUE])+COUNTIF($H$1:H240,H241)),"")</f>
        <v>679</v>
      </c>
    </row>
    <row r="242" spans="1:9" x14ac:dyDescent="0.25">
      <c r="A242" t="s">
        <v>1295</v>
      </c>
      <c r="B242" s="3" t="s">
        <v>185</v>
      </c>
      <c r="C242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242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1</v>
      </c>
      <c r="E242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242" s="3">
        <f>SUM(TS_ATHLETES[[#This Row],[GOLD MEDALS]:[BRONZE MEDALS]])</f>
        <v>1</v>
      </c>
      <c r="G242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10000100</v>
      </c>
      <c r="H242" s="3">
        <f>IF(TS_ATHLETES[[#This Row],[TOTAL]]=0,"",RANK(TS_ATHLETES[[#This Row],[RANK VALUE]],TS_ATHLETES[RANK VALUE]))</f>
        <v>660</v>
      </c>
      <c r="I242" s="3">
        <f>IFERROR(IF(TS_ATHLETES[[#This Row],[TOTAL]]=0,"",RANK(TS_ATHLETES[[#This Row],[RANK VALUE]],TS_ATHLETES[RANK VALUE])+COUNTIF($H$1:H241,H242)),"")</f>
        <v>680</v>
      </c>
    </row>
    <row r="243" spans="1:9" x14ac:dyDescent="0.25">
      <c r="A243" t="s">
        <v>552</v>
      </c>
      <c r="B243" s="3" t="s">
        <v>128</v>
      </c>
      <c r="C243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243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1</v>
      </c>
      <c r="E243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243" s="3">
        <f>SUM(TS_ATHLETES[[#This Row],[GOLD MEDALS]:[BRONZE MEDALS]])</f>
        <v>1</v>
      </c>
      <c r="G243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10000100</v>
      </c>
      <c r="H243" s="3">
        <f>IF(TS_ATHLETES[[#This Row],[TOTAL]]=0,"",RANK(TS_ATHLETES[[#This Row],[RANK VALUE]],TS_ATHLETES[RANK VALUE]))</f>
        <v>660</v>
      </c>
      <c r="I243" s="3">
        <f>IFERROR(IF(TS_ATHLETES[[#This Row],[TOTAL]]=0,"",RANK(TS_ATHLETES[[#This Row],[RANK VALUE]],TS_ATHLETES[RANK VALUE])+COUNTIF($H$1:H242,H243)),"")</f>
        <v>681</v>
      </c>
    </row>
    <row r="244" spans="1:9" x14ac:dyDescent="0.25">
      <c r="A244" t="s">
        <v>1296</v>
      </c>
      <c r="B244" s="3" t="s">
        <v>77</v>
      </c>
      <c r="C244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244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1</v>
      </c>
      <c r="E244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244" s="3">
        <f>SUM(TS_ATHLETES[[#This Row],[GOLD MEDALS]:[BRONZE MEDALS]])</f>
        <v>1</v>
      </c>
      <c r="G244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10000100</v>
      </c>
      <c r="H244" s="3">
        <f>IF(TS_ATHLETES[[#This Row],[TOTAL]]=0,"",RANK(TS_ATHLETES[[#This Row],[RANK VALUE]],TS_ATHLETES[RANK VALUE]))</f>
        <v>660</v>
      </c>
      <c r="I244" s="3">
        <f>IFERROR(IF(TS_ATHLETES[[#This Row],[TOTAL]]=0,"",RANK(TS_ATHLETES[[#This Row],[RANK VALUE]],TS_ATHLETES[RANK VALUE])+COUNTIF($H$1:H243,H244)),"")</f>
        <v>682</v>
      </c>
    </row>
    <row r="245" spans="1:9" x14ac:dyDescent="0.25">
      <c r="A245" t="s">
        <v>1297</v>
      </c>
      <c r="B245" s="3" t="s">
        <v>21</v>
      </c>
      <c r="C245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245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1</v>
      </c>
      <c r="E245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245" s="3">
        <f>SUM(TS_ATHLETES[[#This Row],[GOLD MEDALS]:[BRONZE MEDALS]])</f>
        <v>1</v>
      </c>
      <c r="G245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10000100</v>
      </c>
      <c r="H245" s="3">
        <f>IF(TS_ATHLETES[[#This Row],[TOTAL]]=0,"",RANK(TS_ATHLETES[[#This Row],[RANK VALUE]],TS_ATHLETES[RANK VALUE]))</f>
        <v>660</v>
      </c>
      <c r="I245" s="3">
        <f>IFERROR(IF(TS_ATHLETES[[#This Row],[TOTAL]]=0,"",RANK(TS_ATHLETES[[#This Row],[RANK VALUE]],TS_ATHLETES[RANK VALUE])+COUNTIF($H$1:H244,H245)),"")</f>
        <v>683</v>
      </c>
    </row>
    <row r="246" spans="1:9" x14ac:dyDescent="0.25">
      <c r="A246" t="s">
        <v>1298</v>
      </c>
      <c r="B246" s="3" t="s">
        <v>363</v>
      </c>
      <c r="C246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1</v>
      </c>
      <c r="D246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1</v>
      </c>
      <c r="E246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1</v>
      </c>
      <c r="F246" s="3">
        <f>SUM(TS_ATHLETES[[#This Row],[GOLD MEDALS]:[BRONZE MEDALS]])</f>
        <v>3</v>
      </c>
      <c r="G246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30100110</v>
      </c>
      <c r="H246" s="3">
        <f>IF(TS_ATHLETES[[#This Row],[TOTAL]]=0,"",RANK(TS_ATHLETES[[#This Row],[RANK VALUE]],TS_ATHLETES[RANK VALUE]))</f>
        <v>18</v>
      </c>
      <c r="I246" s="3">
        <f>IFERROR(IF(TS_ATHLETES[[#This Row],[TOTAL]]=0,"",RANK(TS_ATHLETES[[#This Row],[RANK VALUE]],TS_ATHLETES[RANK VALUE])+COUNTIF($H$1:H245,H246)),"")</f>
        <v>21</v>
      </c>
    </row>
    <row r="247" spans="1:9" x14ac:dyDescent="0.25">
      <c r="A247" t="s">
        <v>1299</v>
      </c>
      <c r="B247" s="3" t="s">
        <v>250</v>
      </c>
      <c r="C247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247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1</v>
      </c>
      <c r="E247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247" s="3">
        <f>SUM(TS_ATHLETES[[#This Row],[GOLD MEDALS]:[BRONZE MEDALS]])</f>
        <v>1</v>
      </c>
      <c r="G247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10000100</v>
      </c>
      <c r="H247" s="3">
        <f>IF(TS_ATHLETES[[#This Row],[TOTAL]]=0,"",RANK(TS_ATHLETES[[#This Row],[RANK VALUE]],TS_ATHLETES[RANK VALUE]))</f>
        <v>660</v>
      </c>
      <c r="I247" s="3">
        <f>IFERROR(IF(TS_ATHLETES[[#This Row],[TOTAL]]=0,"",RANK(TS_ATHLETES[[#This Row],[RANK VALUE]],TS_ATHLETES[RANK VALUE])+COUNTIF($H$1:H246,H247)),"")</f>
        <v>684</v>
      </c>
    </row>
    <row r="248" spans="1:9" x14ac:dyDescent="0.25">
      <c r="A248" t="s">
        <v>1300</v>
      </c>
      <c r="B248" s="3" t="s">
        <v>363</v>
      </c>
      <c r="C248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2</v>
      </c>
      <c r="D248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1</v>
      </c>
      <c r="E248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248" s="3">
        <f>SUM(TS_ATHLETES[[#This Row],[GOLD MEDALS]:[BRONZE MEDALS]])</f>
        <v>3</v>
      </c>
      <c r="G248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30200100</v>
      </c>
      <c r="H248" s="3">
        <f>IF(TS_ATHLETES[[#This Row],[TOTAL]]=0,"",RANK(TS_ATHLETES[[#This Row],[RANK VALUE]],TS_ATHLETES[RANK VALUE]))</f>
        <v>14</v>
      </c>
      <c r="I248" s="3">
        <f>IFERROR(IF(TS_ATHLETES[[#This Row],[TOTAL]]=0,"",RANK(TS_ATHLETES[[#This Row],[RANK VALUE]],TS_ATHLETES[RANK VALUE])+COUNTIF($H$1:H247,H248)),"")</f>
        <v>15</v>
      </c>
    </row>
    <row r="249" spans="1:9" x14ac:dyDescent="0.25">
      <c r="A249" t="s">
        <v>1301</v>
      </c>
      <c r="B249" s="3" t="s">
        <v>60</v>
      </c>
      <c r="C249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249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1</v>
      </c>
      <c r="E249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249" s="3">
        <f>SUM(TS_ATHLETES[[#This Row],[GOLD MEDALS]:[BRONZE MEDALS]])</f>
        <v>1</v>
      </c>
      <c r="G249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10000100</v>
      </c>
      <c r="H249" s="3">
        <f>IF(TS_ATHLETES[[#This Row],[TOTAL]]=0,"",RANK(TS_ATHLETES[[#This Row],[RANK VALUE]],TS_ATHLETES[RANK VALUE]))</f>
        <v>660</v>
      </c>
      <c r="I249" s="3">
        <f>IFERROR(IF(TS_ATHLETES[[#This Row],[TOTAL]]=0,"",RANK(TS_ATHLETES[[#This Row],[RANK VALUE]],TS_ATHLETES[RANK VALUE])+COUNTIF($H$1:H248,H249)),"")</f>
        <v>685</v>
      </c>
    </row>
    <row r="250" spans="1:9" x14ac:dyDescent="0.25">
      <c r="A250" t="s">
        <v>1302</v>
      </c>
      <c r="B250" s="3" t="s">
        <v>122</v>
      </c>
      <c r="C250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250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1</v>
      </c>
      <c r="E250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250" s="3">
        <f>SUM(TS_ATHLETES[[#This Row],[GOLD MEDALS]:[BRONZE MEDALS]])</f>
        <v>1</v>
      </c>
      <c r="G250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10000100</v>
      </c>
      <c r="H250" s="3">
        <f>IF(TS_ATHLETES[[#This Row],[TOTAL]]=0,"",RANK(TS_ATHLETES[[#This Row],[RANK VALUE]],TS_ATHLETES[RANK VALUE]))</f>
        <v>660</v>
      </c>
      <c r="I250" s="3">
        <f>IFERROR(IF(TS_ATHLETES[[#This Row],[TOTAL]]=0,"",RANK(TS_ATHLETES[[#This Row],[RANK VALUE]],TS_ATHLETES[RANK VALUE])+COUNTIF($H$1:H249,H250)),"")</f>
        <v>686</v>
      </c>
    </row>
    <row r="251" spans="1:9" x14ac:dyDescent="0.25">
      <c r="A251" t="s">
        <v>1303</v>
      </c>
      <c r="B251" s="3" t="s">
        <v>185</v>
      </c>
      <c r="C251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251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1</v>
      </c>
      <c r="E251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251" s="3">
        <f>SUM(TS_ATHLETES[[#This Row],[GOLD MEDALS]:[BRONZE MEDALS]])</f>
        <v>1</v>
      </c>
      <c r="G251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10000100</v>
      </c>
      <c r="H251" s="3">
        <f>IF(TS_ATHLETES[[#This Row],[TOTAL]]=0,"",RANK(TS_ATHLETES[[#This Row],[RANK VALUE]],TS_ATHLETES[RANK VALUE]))</f>
        <v>660</v>
      </c>
      <c r="I251" s="3">
        <f>IFERROR(IF(TS_ATHLETES[[#This Row],[TOTAL]]=0,"",RANK(TS_ATHLETES[[#This Row],[RANK VALUE]],TS_ATHLETES[RANK VALUE])+COUNTIF($H$1:H250,H251)),"")</f>
        <v>687</v>
      </c>
    </row>
    <row r="252" spans="1:9" x14ac:dyDescent="0.25">
      <c r="A252" t="s">
        <v>1304</v>
      </c>
      <c r="B252" s="3" t="s">
        <v>29</v>
      </c>
      <c r="C252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252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1</v>
      </c>
      <c r="E252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252" s="3">
        <f>SUM(TS_ATHLETES[[#This Row],[GOLD MEDALS]:[BRONZE MEDALS]])</f>
        <v>1</v>
      </c>
      <c r="G252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10000100</v>
      </c>
      <c r="H252" s="3">
        <f>IF(TS_ATHLETES[[#This Row],[TOTAL]]=0,"",RANK(TS_ATHLETES[[#This Row],[RANK VALUE]],TS_ATHLETES[RANK VALUE]))</f>
        <v>660</v>
      </c>
      <c r="I252" s="3">
        <f>IFERROR(IF(TS_ATHLETES[[#This Row],[TOTAL]]=0,"",RANK(TS_ATHLETES[[#This Row],[RANK VALUE]],TS_ATHLETES[RANK VALUE])+COUNTIF($H$1:H251,H252)),"")</f>
        <v>688</v>
      </c>
    </row>
    <row r="253" spans="1:9" x14ac:dyDescent="0.25">
      <c r="A253" t="s">
        <v>1305</v>
      </c>
      <c r="B253" s="3" t="s">
        <v>185</v>
      </c>
      <c r="C253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253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1</v>
      </c>
      <c r="E253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253" s="3">
        <f>SUM(TS_ATHLETES[[#This Row],[GOLD MEDALS]:[BRONZE MEDALS]])</f>
        <v>1</v>
      </c>
      <c r="G253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10000100</v>
      </c>
      <c r="H253" s="3">
        <f>IF(TS_ATHLETES[[#This Row],[TOTAL]]=0,"",RANK(TS_ATHLETES[[#This Row],[RANK VALUE]],TS_ATHLETES[RANK VALUE]))</f>
        <v>660</v>
      </c>
      <c r="I253" s="3">
        <f>IFERROR(IF(TS_ATHLETES[[#This Row],[TOTAL]]=0,"",RANK(TS_ATHLETES[[#This Row],[RANK VALUE]],TS_ATHLETES[RANK VALUE])+COUNTIF($H$1:H252,H253)),"")</f>
        <v>689</v>
      </c>
    </row>
    <row r="254" spans="1:9" x14ac:dyDescent="0.25">
      <c r="A254" t="s">
        <v>1306</v>
      </c>
      <c r="B254" s="3" t="s">
        <v>363</v>
      </c>
      <c r="C254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254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1</v>
      </c>
      <c r="E254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254" s="3">
        <f>SUM(TS_ATHLETES[[#This Row],[GOLD MEDALS]:[BRONZE MEDALS]])</f>
        <v>1</v>
      </c>
      <c r="G254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10000100</v>
      </c>
      <c r="H254" s="3">
        <f>IF(TS_ATHLETES[[#This Row],[TOTAL]]=0,"",RANK(TS_ATHLETES[[#This Row],[RANK VALUE]],TS_ATHLETES[RANK VALUE]))</f>
        <v>660</v>
      </c>
      <c r="I254" s="3">
        <f>IFERROR(IF(TS_ATHLETES[[#This Row],[TOTAL]]=0,"",RANK(TS_ATHLETES[[#This Row],[RANK VALUE]],TS_ATHLETES[RANK VALUE])+COUNTIF($H$1:H253,H254)),"")</f>
        <v>690</v>
      </c>
    </row>
    <row r="255" spans="1:9" x14ac:dyDescent="0.25">
      <c r="A255" t="s">
        <v>1307</v>
      </c>
      <c r="B255" s="3" t="s">
        <v>100</v>
      </c>
      <c r="C255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255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1</v>
      </c>
      <c r="E255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255" s="3">
        <f>SUM(TS_ATHLETES[[#This Row],[GOLD MEDALS]:[BRONZE MEDALS]])</f>
        <v>1</v>
      </c>
      <c r="G255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10000100</v>
      </c>
      <c r="H255" s="3">
        <f>IF(TS_ATHLETES[[#This Row],[TOTAL]]=0,"",RANK(TS_ATHLETES[[#This Row],[RANK VALUE]],TS_ATHLETES[RANK VALUE]))</f>
        <v>660</v>
      </c>
      <c r="I255" s="3">
        <f>IFERROR(IF(TS_ATHLETES[[#This Row],[TOTAL]]=0,"",RANK(TS_ATHLETES[[#This Row],[RANK VALUE]],TS_ATHLETES[RANK VALUE])+COUNTIF($H$1:H254,H255)),"")</f>
        <v>691</v>
      </c>
    </row>
    <row r="256" spans="1:9" x14ac:dyDescent="0.25">
      <c r="A256" t="s">
        <v>1308</v>
      </c>
      <c r="B256" s="3" t="s">
        <v>56</v>
      </c>
      <c r="C256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256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1</v>
      </c>
      <c r="E256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256" s="3">
        <f>SUM(TS_ATHLETES[[#This Row],[GOLD MEDALS]:[BRONZE MEDALS]])</f>
        <v>1</v>
      </c>
      <c r="G256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10000100</v>
      </c>
      <c r="H256" s="3">
        <f>IF(TS_ATHLETES[[#This Row],[TOTAL]]=0,"",RANK(TS_ATHLETES[[#This Row],[RANK VALUE]],TS_ATHLETES[RANK VALUE]))</f>
        <v>660</v>
      </c>
      <c r="I256" s="3">
        <f>IFERROR(IF(TS_ATHLETES[[#This Row],[TOTAL]]=0,"",RANK(TS_ATHLETES[[#This Row],[RANK VALUE]],TS_ATHLETES[RANK VALUE])+COUNTIF($H$1:H255,H256)),"")</f>
        <v>692</v>
      </c>
    </row>
    <row r="257" spans="1:9" x14ac:dyDescent="0.25">
      <c r="A257" t="s">
        <v>1309</v>
      </c>
      <c r="B257" s="3" t="s">
        <v>363</v>
      </c>
      <c r="C257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257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1</v>
      </c>
      <c r="E257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257" s="3">
        <f>SUM(TS_ATHLETES[[#This Row],[GOLD MEDALS]:[BRONZE MEDALS]])</f>
        <v>1</v>
      </c>
      <c r="G257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10000100</v>
      </c>
      <c r="H257" s="3">
        <f>IF(TS_ATHLETES[[#This Row],[TOTAL]]=0,"",RANK(TS_ATHLETES[[#This Row],[RANK VALUE]],TS_ATHLETES[RANK VALUE]))</f>
        <v>660</v>
      </c>
      <c r="I257" s="3">
        <f>IFERROR(IF(TS_ATHLETES[[#This Row],[TOTAL]]=0,"",RANK(TS_ATHLETES[[#This Row],[RANK VALUE]],TS_ATHLETES[RANK VALUE])+COUNTIF($H$1:H256,H257)),"")</f>
        <v>693</v>
      </c>
    </row>
    <row r="258" spans="1:9" x14ac:dyDescent="0.25">
      <c r="A258" t="s">
        <v>1310</v>
      </c>
      <c r="B258" s="3" t="s">
        <v>363</v>
      </c>
      <c r="C258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258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1</v>
      </c>
      <c r="E258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258" s="3">
        <f>SUM(TS_ATHLETES[[#This Row],[GOLD MEDALS]:[BRONZE MEDALS]])</f>
        <v>1</v>
      </c>
      <c r="G258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10000100</v>
      </c>
      <c r="H258" s="3">
        <f>IF(TS_ATHLETES[[#This Row],[TOTAL]]=0,"",RANK(TS_ATHLETES[[#This Row],[RANK VALUE]],TS_ATHLETES[RANK VALUE]))</f>
        <v>660</v>
      </c>
      <c r="I258" s="3">
        <f>IFERROR(IF(TS_ATHLETES[[#This Row],[TOTAL]]=0,"",RANK(TS_ATHLETES[[#This Row],[RANK VALUE]],TS_ATHLETES[RANK VALUE])+COUNTIF($H$1:H257,H258)),"")</f>
        <v>694</v>
      </c>
    </row>
    <row r="259" spans="1:9" x14ac:dyDescent="0.25">
      <c r="A259" t="s">
        <v>1311</v>
      </c>
      <c r="B259" s="3" t="s">
        <v>371</v>
      </c>
      <c r="C259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259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1</v>
      </c>
      <c r="E259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259" s="3">
        <f>SUM(TS_ATHLETES[[#This Row],[GOLD MEDALS]:[BRONZE MEDALS]])</f>
        <v>1</v>
      </c>
      <c r="G259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10000100</v>
      </c>
      <c r="H259" s="3">
        <f>IF(TS_ATHLETES[[#This Row],[TOTAL]]=0,"",RANK(TS_ATHLETES[[#This Row],[RANK VALUE]],TS_ATHLETES[RANK VALUE]))</f>
        <v>660</v>
      </c>
      <c r="I259" s="3">
        <f>IFERROR(IF(TS_ATHLETES[[#This Row],[TOTAL]]=0,"",RANK(TS_ATHLETES[[#This Row],[RANK VALUE]],TS_ATHLETES[RANK VALUE])+COUNTIF($H$1:H258,H259)),"")</f>
        <v>695</v>
      </c>
    </row>
    <row r="260" spans="1:9" x14ac:dyDescent="0.25">
      <c r="A260" t="s">
        <v>1312</v>
      </c>
      <c r="B260" s="3" t="s">
        <v>253</v>
      </c>
      <c r="C260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260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1</v>
      </c>
      <c r="E260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260" s="3">
        <f>SUM(TS_ATHLETES[[#This Row],[GOLD MEDALS]:[BRONZE MEDALS]])</f>
        <v>1</v>
      </c>
      <c r="G260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10000100</v>
      </c>
      <c r="H260" s="3">
        <f>IF(TS_ATHLETES[[#This Row],[TOTAL]]=0,"",RANK(TS_ATHLETES[[#This Row],[RANK VALUE]],TS_ATHLETES[RANK VALUE]))</f>
        <v>660</v>
      </c>
      <c r="I260" s="3">
        <f>IFERROR(IF(TS_ATHLETES[[#This Row],[TOTAL]]=0,"",RANK(TS_ATHLETES[[#This Row],[RANK VALUE]],TS_ATHLETES[RANK VALUE])+COUNTIF($H$1:H259,H260)),"")</f>
        <v>696</v>
      </c>
    </row>
    <row r="261" spans="1:9" x14ac:dyDescent="0.25">
      <c r="A261" t="s">
        <v>1313</v>
      </c>
      <c r="B261" s="3" t="s">
        <v>128</v>
      </c>
      <c r="C261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261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1</v>
      </c>
      <c r="E261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261" s="3">
        <f>SUM(TS_ATHLETES[[#This Row],[GOLD MEDALS]:[BRONZE MEDALS]])</f>
        <v>1</v>
      </c>
      <c r="G261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10000100</v>
      </c>
      <c r="H261" s="3">
        <f>IF(TS_ATHLETES[[#This Row],[TOTAL]]=0,"",RANK(TS_ATHLETES[[#This Row],[RANK VALUE]],TS_ATHLETES[RANK VALUE]))</f>
        <v>660</v>
      </c>
      <c r="I261" s="3">
        <f>IFERROR(IF(TS_ATHLETES[[#This Row],[TOTAL]]=0,"",RANK(TS_ATHLETES[[#This Row],[RANK VALUE]],TS_ATHLETES[RANK VALUE])+COUNTIF($H$1:H260,H261)),"")</f>
        <v>697</v>
      </c>
    </row>
    <row r="262" spans="1:9" x14ac:dyDescent="0.25">
      <c r="A262" t="s">
        <v>1314</v>
      </c>
      <c r="B262" s="3" t="s">
        <v>77</v>
      </c>
      <c r="C262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262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1</v>
      </c>
      <c r="E262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262" s="3">
        <f>SUM(TS_ATHLETES[[#This Row],[GOLD MEDALS]:[BRONZE MEDALS]])</f>
        <v>1</v>
      </c>
      <c r="G262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10000100</v>
      </c>
      <c r="H262" s="3">
        <f>IF(TS_ATHLETES[[#This Row],[TOTAL]]=0,"",RANK(TS_ATHLETES[[#This Row],[RANK VALUE]],TS_ATHLETES[RANK VALUE]))</f>
        <v>660</v>
      </c>
      <c r="I262" s="3">
        <f>IFERROR(IF(TS_ATHLETES[[#This Row],[TOTAL]]=0,"",RANK(TS_ATHLETES[[#This Row],[RANK VALUE]],TS_ATHLETES[RANK VALUE])+COUNTIF($H$1:H261,H262)),"")</f>
        <v>698</v>
      </c>
    </row>
    <row r="263" spans="1:9" x14ac:dyDescent="0.25">
      <c r="A263" t="s">
        <v>1315</v>
      </c>
      <c r="B263" s="3" t="s">
        <v>319</v>
      </c>
      <c r="C263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263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1</v>
      </c>
      <c r="E263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263" s="3">
        <f>SUM(TS_ATHLETES[[#This Row],[GOLD MEDALS]:[BRONZE MEDALS]])</f>
        <v>1</v>
      </c>
      <c r="G263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10000100</v>
      </c>
      <c r="H263" s="3">
        <f>IF(TS_ATHLETES[[#This Row],[TOTAL]]=0,"",RANK(TS_ATHLETES[[#This Row],[RANK VALUE]],TS_ATHLETES[RANK VALUE]))</f>
        <v>660</v>
      </c>
      <c r="I263" s="3">
        <f>IFERROR(IF(TS_ATHLETES[[#This Row],[TOTAL]]=0,"",RANK(TS_ATHLETES[[#This Row],[RANK VALUE]],TS_ATHLETES[RANK VALUE])+COUNTIF($H$1:H262,H263)),"")</f>
        <v>699</v>
      </c>
    </row>
    <row r="264" spans="1:9" x14ac:dyDescent="0.25">
      <c r="A264" t="s">
        <v>555</v>
      </c>
      <c r="B264" s="3" t="s">
        <v>361</v>
      </c>
      <c r="C264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264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1</v>
      </c>
      <c r="E264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264" s="3">
        <f>SUM(TS_ATHLETES[[#This Row],[GOLD MEDALS]:[BRONZE MEDALS]])</f>
        <v>1</v>
      </c>
      <c r="G264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10000100</v>
      </c>
      <c r="H264" s="3">
        <f>IF(TS_ATHLETES[[#This Row],[TOTAL]]=0,"",RANK(TS_ATHLETES[[#This Row],[RANK VALUE]],TS_ATHLETES[RANK VALUE]))</f>
        <v>660</v>
      </c>
      <c r="I264" s="3">
        <f>IFERROR(IF(TS_ATHLETES[[#This Row],[TOTAL]]=0,"",RANK(TS_ATHLETES[[#This Row],[RANK VALUE]],TS_ATHLETES[RANK VALUE])+COUNTIF($H$1:H263,H264)),"")</f>
        <v>700</v>
      </c>
    </row>
    <row r="265" spans="1:9" x14ac:dyDescent="0.25">
      <c r="A265" t="s">
        <v>1316</v>
      </c>
      <c r="B265" s="3" t="s">
        <v>229</v>
      </c>
      <c r="C265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265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1</v>
      </c>
      <c r="E265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265" s="3">
        <f>SUM(TS_ATHLETES[[#This Row],[GOLD MEDALS]:[BRONZE MEDALS]])</f>
        <v>1</v>
      </c>
      <c r="G265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10000100</v>
      </c>
      <c r="H265" s="3">
        <f>IF(TS_ATHLETES[[#This Row],[TOTAL]]=0,"",RANK(TS_ATHLETES[[#This Row],[RANK VALUE]],TS_ATHLETES[RANK VALUE]))</f>
        <v>660</v>
      </c>
      <c r="I265" s="3">
        <f>IFERROR(IF(TS_ATHLETES[[#This Row],[TOTAL]]=0,"",RANK(TS_ATHLETES[[#This Row],[RANK VALUE]],TS_ATHLETES[RANK VALUE])+COUNTIF($H$1:H264,H265)),"")</f>
        <v>701</v>
      </c>
    </row>
    <row r="266" spans="1:9" x14ac:dyDescent="0.25">
      <c r="A266" t="s">
        <v>1317</v>
      </c>
      <c r="B266" s="3" t="s">
        <v>217</v>
      </c>
      <c r="C266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266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1</v>
      </c>
      <c r="E266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266" s="3">
        <f>SUM(TS_ATHLETES[[#This Row],[GOLD MEDALS]:[BRONZE MEDALS]])</f>
        <v>1</v>
      </c>
      <c r="G266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10000100</v>
      </c>
      <c r="H266" s="3">
        <f>IF(TS_ATHLETES[[#This Row],[TOTAL]]=0,"",RANK(TS_ATHLETES[[#This Row],[RANK VALUE]],TS_ATHLETES[RANK VALUE]))</f>
        <v>660</v>
      </c>
      <c r="I266" s="3">
        <f>IFERROR(IF(TS_ATHLETES[[#This Row],[TOTAL]]=0,"",RANK(TS_ATHLETES[[#This Row],[RANK VALUE]],TS_ATHLETES[RANK VALUE])+COUNTIF($H$1:H265,H266)),"")</f>
        <v>702</v>
      </c>
    </row>
    <row r="267" spans="1:9" x14ac:dyDescent="0.25">
      <c r="A267" t="s">
        <v>1318</v>
      </c>
      <c r="B267" s="3" t="s">
        <v>163</v>
      </c>
      <c r="C267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267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1</v>
      </c>
      <c r="E267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267" s="3">
        <f>SUM(TS_ATHLETES[[#This Row],[GOLD MEDALS]:[BRONZE MEDALS]])</f>
        <v>1</v>
      </c>
      <c r="G267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10000100</v>
      </c>
      <c r="H267" s="3">
        <f>IF(TS_ATHLETES[[#This Row],[TOTAL]]=0,"",RANK(TS_ATHLETES[[#This Row],[RANK VALUE]],TS_ATHLETES[RANK VALUE]))</f>
        <v>660</v>
      </c>
      <c r="I267" s="3">
        <f>IFERROR(IF(TS_ATHLETES[[#This Row],[TOTAL]]=0,"",RANK(TS_ATHLETES[[#This Row],[RANK VALUE]],TS_ATHLETES[RANK VALUE])+COUNTIF($H$1:H266,H267)),"")</f>
        <v>703</v>
      </c>
    </row>
    <row r="268" spans="1:9" x14ac:dyDescent="0.25">
      <c r="A268" t="s">
        <v>1319</v>
      </c>
      <c r="B268" s="3" t="s">
        <v>79</v>
      </c>
      <c r="C268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268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1</v>
      </c>
      <c r="E268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268" s="3">
        <f>SUM(TS_ATHLETES[[#This Row],[GOLD MEDALS]:[BRONZE MEDALS]])</f>
        <v>1</v>
      </c>
      <c r="G268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10000100</v>
      </c>
      <c r="H268" s="3">
        <f>IF(TS_ATHLETES[[#This Row],[TOTAL]]=0,"",RANK(TS_ATHLETES[[#This Row],[RANK VALUE]],TS_ATHLETES[RANK VALUE]))</f>
        <v>660</v>
      </c>
      <c r="I268" s="3">
        <f>IFERROR(IF(TS_ATHLETES[[#This Row],[TOTAL]]=0,"",RANK(TS_ATHLETES[[#This Row],[RANK VALUE]],TS_ATHLETES[RANK VALUE])+COUNTIF($H$1:H267,H268)),"")</f>
        <v>704</v>
      </c>
    </row>
    <row r="269" spans="1:9" x14ac:dyDescent="0.25">
      <c r="A269" t="s">
        <v>937</v>
      </c>
      <c r="B269" s="3" t="s">
        <v>287</v>
      </c>
      <c r="C269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269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1</v>
      </c>
      <c r="E269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269" s="3">
        <f>SUM(TS_ATHLETES[[#This Row],[GOLD MEDALS]:[BRONZE MEDALS]])</f>
        <v>1</v>
      </c>
      <c r="G269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10000100</v>
      </c>
      <c r="H269" s="3">
        <f>IF(TS_ATHLETES[[#This Row],[TOTAL]]=0,"",RANK(TS_ATHLETES[[#This Row],[RANK VALUE]],TS_ATHLETES[RANK VALUE]))</f>
        <v>660</v>
      </c>
      <c r="I269" s="3">
        <f>IFERROR(IF(TS_ATHLETES[[#This Row],[TOTAL]]=0,"",RANK(TS_ATHLETES[[#This Row],[RANK VALUE]],TS_ATHLETES[RANK VALUE])+COUNTIF($H$1:H268,H269)),"")</f>
        <v>705</v>
      </c>
    </row>
    <row r="270" spans="1:9" x14ac:dyDescent="0.25">
      <c r="A270" t="s">
        <v>1320</v>
      </c>
      <c r="B270" s="3" t="s">
        <v>363</v>
      </c>
      <c r="C270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270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1</v>
      </c>
      <c r="E270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270" s="3">
        <f>SUM(TS_ATHLETES[[#This Row],[GOLD MEDALS]:[BRONZE MEDALS]])</f>
        <v>1</v>
      </c>
      <c r="G270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10000100</v>
      </c>
      <c r="H270" s="3">
        <f>IF(TS_ATHLETES[[#This Row],[TOTAL]]=0,"",RANK(TS_ATHLETES[[#This Row],[RANK VALUE]],TS_ATHLETES[RANK VALUE]))</f>
        <v>660</v>
      </c>
      <c r="I270" s="3">
        <f>IFERROR(IF(TS_ATHLETES[[#This Row],[TOTAL]]=0,"",RANK(TS_ATHLETES[[#This Row],[RANK VALUE]],TS_ATHLETES[RANK VALUE])+COUNTIF($H$1:H269,H270)),"")</f>
        <v>706</v>
      </c>
    </row>
    <row r="271" spans="1:9" x14ac:dyDescent="0.25">
      <c r="A271" t="s">
        <v>1321</v>
      </c>
      <c r="B271" s="3" t="s">
        <v>128</v>
      </c>
      <c r="C271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271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1</v>
      </c>
      <c r="E271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271" s="3">
        <f>SUM(TS_ATHLETES[[#This Row],[GOLD MEDALS]:[BRONZE MEDALS]])</f>
        <v>1</v>
      </c>
      <c r="G271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10000100</v>
      </c>
      <c r="H271" s="3">
        <f>IF(TS_ATHLETES[[#This Row],[TOTAL]]=0,"",RANK(TS_ATHLETES[[#This Row],[RANK VALUE]],TS_ATHLETES[RANK VALUE]))</f>
        <v>660</v>
      </c>
      <c r="I271" s="3">
        <f>IFERROR(IF(TS_ATHLETES[[#This Row],[TOTAL]]=0,"",RANK(TS_ATHLETES[[#This Row],[RANK VALUE]],TS_ATHLETES[RANK VALUE])+COUNTIF($H$1:H270,H271)),"")</f>
        <v>707</v>
      </c>
    </row>
    <row r="272" spans="1:9" x14ac:dyDescent="0.25">
      <c r="A272" t="s">
        <v>939</v>
      </c>
      <c r="B272" s="3" t="s">
        <v>25</v>
      </c>
      <c r="C272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272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1</v>
      </c>
      <c r="E272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272" s="3">
        <f>SUM(TS_ATHLETES[[#This Row],[GOLD MEDALS]:[BRONZE MEDALS]])</f>
        <v>1</v>
      </c>
      <c r="G272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10000100</v>
      </c>
      <c r="H272" s="3">
        <f>IF(TS_ATHLETES[[#This Row],[TOTAL]]=0,"",RANK(TS_ATHLETES[[#This Row],[RANK VALUE]],TS_ATHLETES[RANK VALUE]))</f>
        <v>660</v>
      </c>
      <c r="I272" s="3">
        <f>IFERROR(IF(TS_ATHLETES[[#This Row],[TOTAL]]=0,"",RANK(TS_ATHLETES[[#This Row],[RANK VALUE]],TS_ATHLETES[RANK VALUE])+COUNTIF($H$1:H271,H272)),"")</f>
        <v>708</v>
      </c>
    </row>
    <row r="273" spans="1:9" x14ac:dyDescent="0.25">
      <c r="A273" t="s">
        <v>1322</v>
      </c>
      <c r="B273" s="3" t="s">
        <v>367</v>
      </c>
      <c r="C273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273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1</v>
      </c>
      <c r="E273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273" s="3">
        <f>SUM(TS_ATHLETES[[#This Row],[GOLD MEDALS]:[BRONZE MEDALS]])</f>
        <v>1</v>
      </c>
      <c r="G273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10000100</v>
      </c>
      <c r="H273" s="3">
        <f>IF(TS_ATHLETES[[#This Row],[TOTAL]]=0,"",RANK(TS_ATHLETES[[#This Row],[RANK VALUE]],TS_ATHLETES[RANK VALUE]))</f>
        <v>660</v>
      </c>
      <c r="I273" s="3">
        <f>IFERROR(IF(TS_ATHLETES[[#This Row],[TOTAL]]=0,"",RANK(TS_ATHLETES[[#This Row],[RANK VALUE]],TS_ATHLETES[RANK VALUE])+COUNTIF($H$1:H272,H273)),"")</f>
        <v>709</v>
      </c>
    </row>
    <row r="274" spans="1:9" x14ac:dyDescent="0.25">
      <c r="A274" t="s">
        <v>1323</v>
      </c>
      <c r="B274" s="3" t="s">
        <v>367</v>
      </c>
      <c r="C274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274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1</v>
      </c>
      <c r="E274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274" s="3">
        <f>SUM(TS_ATHLETES[[#This Row],[GOLD MEDALS]:[BRONZE MEDALS]])</f>
        <v>1</v>
      </c>
      <c r="G274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10000100</v>
      </c>
      <c r="H274" s="3">
        <f>IF(TS_ATHLETES[[#This Row],[TOTAL]]=0,"",RANK(TS_ATHLETES[[#This Row],[RANK VALUE]],TS_ATHLETES[RANK VALUE]))</f>
        <v>660</v>
      </c>
      <c r="I274" s="3">
        <f>IFERROR(IF(TS_ATHLETES[[#This Row],[TOTAL]]=0,"",RANK(TS_ATHLETES[[#This Row],[RANK VALUE]],TS_ATHLETES[RANK VALUE])+COUNTIF($H$1:H273,H274)),"")</f>
        <v>710</v>
      </c>
    </row>
    <row r="275" spans="1:9" x14ac:dyDescent="0.25">
      <c r="A275" t="s">
        <v>1324</v>
      </c>
      <c r="B275" s="3" t="s">
        <v>183</v>
      </c>
      <c r="C275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275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1</v>
      </c>
      <c r="E275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275" s="3">
        <f>SUM(TS_ATHLETES[[#This Row],[GOLD MEDALS]:[BRONZE MEDALS]])</f>
        <v>1</v>
      </c>
      <c r="G275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10000100</v>
      </c>
      <c r="H275" s="3">
        <f>IF(TS_ATHLETES[[#This Row],[TOTAL]]=0,"",RANK(TS_ATHLETES[[#This Row],[RANK VALUE]],TS_ATHLETES[RANK VALUE]))</f>
        <v>660</v>
      </c>
      <c r="I275" s="3">
        <f>IFERROR(IF(TS_ATHLETES[[#This Row],[TOTAL]]=0,"",RANK(TS_ATHLETES[[#This Row],[RANK VALUE]],TS_ATHLETES[RANK VALUE])+COUNTIF($H$1:H274,H275)),"")</f>
        <v>711</v>
      </c>
    </row>
    <row r="276" spans="1:9" x14ac:dyDescent="0.25">
      <c r="A276" t="s">
        <v>1325</v>
      </c>
      <c r="B276" s="3" t="s">
        <v>183</v>
      </c>
      <c r="C276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276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1</v>
      </c>
      <c r="E276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276" s="3">
        <f>SUM(TS_ATHLETES[[#This Row],[GOLD MEDALS]:[BRONZE MEDALS]])</f>
        <v>1</v>
      </c>
      <c r="G276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10000100</v>
      </c>
      <c r="H276" s="3">
        <f>IF(TS_ATHLETES[[#This Row],[TOTAL]]=0,"",RANK(TS_ATHLETES[[#This Row],[RANK VALUE]],TS_ATHLETES[RANK VALUE]))</f>
        <v>660</v>
      </c>
      <c r="I276" s="3">
        <f>IFERROR(IF(TS_ATHLETES[[#This Row],[TOTAL]]=0,"",RANK(TS_ATHLETES[[#This Row],[RANK VALUE]],TS_ATHLETES[RANK VALUE])+COUNTIF($H$1:H275,H276)),"")</f>
        <v>712</v>
      </c>
    </row>
    <row r="277" spans="1:9" x14ac:dyDescent="0.25">
      <c r="A277" t="s">
        <v>941</v>
      </c>
      <c r="B277" s="3" t="s">
        <v>361</v>
      </c>
      <c r="C277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277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1</v>
      </c>
      <c r="E277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277" s="3">
        <f>SUM(TS_ATHLETES[[#This Row],[GOLD MEDALS]:[BRONZE MEDALS]])</f>
        <v>1</v>
      </c>
      <c r="G277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10000100</v>
      </c>
      <c r="H277" s="3">
        <f>IF(TS_ATHLETES[[#This Row],[TOTAL]]=0,"",RANK(TS_ATHLETES[[#This Row],[RANK VALUE]],TS_ATHLETES[RANK VALUE]))</f>
        <v>660</v>
      </c>
      <c r="I277" s="3">
        <f>IFERROR(IF(TS_ATHLETES[[#This Row],[TOTAL]]=0,"",RANK(TS_ATHLETES[[#This Row],[RANK VALUE]],TS_ATHLETES[RANK VALUE])+COUNTIF($H$1:H276,H277)),"")</f>
        <v>713</v>
      </c>
    </row>
    <row r="278" spans="1:9" x14ac:dyDescent="0.25">
      <c r="A278" t="s">
        <v>1326</v>
      </c>
      <c r="B278" s="3" t="s">
        <v>128</v>
      </c>
      <c r="C278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278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1</v>
      </c>
      <c r="E278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278" s="3">
        <f>SUM(TS_ATHLETES[[#This Row],[GOLD MEDALS]:[BRONZE MEDALS]])</f>
        <v>1</v>
      </c>
      <c r="G278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10000100</v>
      </c>
      <c r="H278" s="3">
        <f>IF(TS_ATHLETES[[#This Row],[TOTAL]]=0,"",RANK(TS_ATHLETES[[#This Row],[RANK VALUE]],TS_ATHLETES[RANK VALUE]))</f>
        <v>660</v>
      </c>
      <c r="I278" s="3">
        <f>IFERROR(IF(TS_ATHLETES[[#This Row],[TOTAL]]=0,"",RANK(TS_ATHLETES[[#This Row],[RANK VALUE]],TS_ATHLETES[RANK VALUE])+COUNTIF($H$1:H277,H278)),"")</f>
        <v>714</v>
      </c>
    </row>
    <row r="279" spans="1:9" x14ac:dyDescent="0.25">
      <c r="A279" t="s">
        <v>1327</v>
      </c>
      <c r="B279" s="3" t="s">
        <v>77</v>
      </c>
      <c r="C279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279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1</v>
      </c>
      <c r="E279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279" s="3">
        <f>SUM(TS_ATHLETES[[#This Row],[GOLD MEDALS]:[BRONZE MEDALS]])</f>
        <v>1</v>
      </c>
      <c r="G279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10000100</v>
      </c>
      <c r="H279" s="3">
        <f>IF(TS_ATHLETES[[#This Row],[TOTAL]]=0,"",RANK(TS_ATHLETES[[#This Row],[RANK VALUE]],TS_ATHLETES[RANK VALUE]))</f>
        <v>660</v>
      </c>
      <c r="I279" s="3">
        <f>IFERROR(IF(TS_ATHLETES[[#This Row],[TOTAL]]=0,"",RANK(TS_ATHLETES[[#This Row],[RANK VALUE]],TS_ATHLETES[RANK VALUE])+COUNTIF($H$1:H278,H279)),"")</f>
        <v>715</v>
      </c>
    </row>
    <row r="280" spans="1:9" x14ac:dyDescent="0.25">
      <c r="A280" t="s">
        <v>943</v>
      </c>
      <c r="B280" s="3" t="s">
        <v>250</v>
      </c>
      <c r="C280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280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1</v>
      </c>
      <c r="E280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280" s="3">
        <f>SUM(TS_ATHLETES[[#This Row],[GOLD MEDALS]:[BRONZE MEDALS]])</f>
        <v>1</v>
      </c>
      <c r="G280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10000100</v>
      </c>
      <c r="H280" s="3">
        <f>IF(TS_ATHLETES[[#This Row],[TOTAL]]=0,"",RANK(TS_ATHLETES[[#This Row],[RANK VALUE]],TS_ATHLETES[RANK VALUE]))</f>
        <v>660</v>
      </c>
      <c r="I280" s="3">
        <f>IFERROR(IF(TS_ATHLETES[[#This Row],[TOTAL]]=0,"",RANK(TS_ATHLETES[[#This Row],[RANK VALUE]],TS_ATHLETES[RANK VALUE])+COUNTIF($H$1:H279,H280)),"")</f>
        <v>716</v>
      </c>
    </row>
    <row r="281" spans="1:9" x14ac:dyDescent="0.25">
      <c r="A281" t="s">
        <v>599</v>
      </c>
      <c r="B281" s="3" t="s">
        <v>311</v>
      </c>
      <c r="C281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281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1</v>
      </c>
      <c r="E281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281" s="3">
        <f>SUM(TS_ATHLETES[[#This Row],[GOLD MEDALS]:[BRONZE MEDALS]])</f>
        <v>1</v>
      </c>
      <c r="G281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10000100</v>
      </c>
      <c r="H281" s="3">
        <f>IF(TS_ATHLETES[[#This Row],[TOTAL]]=0,"",RANK(TS_ATHLETES[[#This Row],[RANK VALUE]],TS_ATHLETES[RANK VALUE]))</f>
        <v>660</v>
      </c>
      <c r="I281" s="3">
        <f>IFERROR(IF(TS_ATHLETES[[#This Row],[TOTAL]]=0,"",RANK(TS_ATHLETES[[#This Row],[RANK VALUE]],TS_ATHLETES[RANK VALUE])+COUNTIF($H$1:H280,H281)),"")</f>
        <v>717</v>
      </c>
    </row>
    <row r="282" spans="1:9" x14ac:dyDescent="0.25">
      <c r="A282" t="s">
        <v>1328</v>
      </c>
      <c r="B282" s="3" t="s">
        <v>253</v>
      </c>
      <c r="C282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282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1</v>
      </c>
      <c r="E282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282" s="3">
        <f>SUM(TS_ATHLETES[[#This Row],[GOLD MEDALS]:[BRONZE MEDALS]])</f>
        <v>1</v>
      </c>
      <c r="G282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10000100</v>
      </c>
      <c r="H282" s="3">
        <f>IF(TS_ATHLETES[[#This Row],[TOTAL]]=0,"",RANK(TS_ATHLETES[[#This Row],[RANK VALUE]],TS_ATHLETES[RANK VALUE]))</f>
        <v>660</v>
      </c>
      <c r="I282" s="3">
        <f>IFERROR(IF(TS_ATHLETES[[#This Row],[TOTAL]]=0,"",RANK(TS_ATHLETES[[#This Row],[RANK VALUE]],TS_ATHLETES[RANK VALUE])+COUNTIF($H$1:H281,H282)),"")</f>
        <v>718</v>
      </c>
    </row>
    <row r="283" spans="1:9" x14ac:dyDescent="0.25">
      <c r="A283" t="s">
        <v>1329</v>
      </c>
      <c r="B283" s="3" t="s">
        <v>313</v>
      </c>
      <c r="C283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283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1</v>
      </c>
      <c r="E283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283" s="3">
        <f>SUM(TS_ATHLETES[[#This Row],[GOLD MEDALS]:[BRONZE MEDALS]])</f>
        <v>1</v>
      </c>
      <c r="G283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10000100</v>
      </c>
      <c r="H283" s="3">
        <f>IF(TS_ATHLETES[[#This Row],[TOTAL]]=0,"",RANK(TS_ATHLETES[[#This Row],[RANK VALUE]],TS_ATHLETES[RANK VALUE]))</f>
        <v>660</v>
      </c>
      <c r="I283" s="3">
        <f>IFERROR(IF(TS_ATHLETES[[#This Row],[TOTAL]]=0,"",RANK(TS_ATHLETES[[#This Row],[RANK VALUE]],TS_ATHLETES[RANK VALUE])+COUNTIF($H$1:H282,H283)),"")</f>
        <v>719</v>
      </c>
    </row>
    <row r="284" spans="1:9" x14ac:dyDescent="0.25">
      <c r="A284" t="s">
        <v>1330</v>
      </c>
      <c r="B284" s="3" t="s">
        <v>128</v>
      </c>
      <c r="C284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284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1</v>
      </c>
      <c r="E284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284" s="3">
        <f>SUM(TS_ATHLETES[[#This Row],[GOLD MEDALS]:[BRONZE MEDALS]])</f>
        <v>1</v>
      </c>
      <c r="G284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10000100</v>
      </c>
      <c r="H284" s="3">
        <f>IF(TS_ATHLETES[[#This Row],[TOTAL]]=0,"",RANK(TS_ATHLETES[[#This Row],[RANK VALUE]],TS_ATHLETES[RANK VALUE]))</f>
        <v>660</v>
      </c>
      <c r="I284" s="3">
        <f>IFERROR(IF(TS_ATHLETES[[#This Row],[TOTAL]]=0,"",RANK(TS_ATHLETES[[#This Row],[RANK VALUE]],TS_ATHLETES[RANK VALUE])+COUNTIF($H$1:H283,H284)),"")</f>
        <v>720</v>
      </c>
    </row>
    <row r="285" spans="1:9" x14ac:dyDescent="0.25">
      <c r="A285" t="s">
        <v>1331</v>
      </c>
      <c r="B285" s="3" t="s">
        <v>98</v>
      </c>
      <c r="C285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285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1</v>
      </c>
      <c r="E285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1</v>
      </c>
      <c r="F285" s="3">
        <f>SUM(TS_ATHLETES[[#This Row],[GOLD MEDALS]:[BRONZE MEDALS]])</f>
        <v>2</v>
      </c>
      <c r="G285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20000110</v>
      </c>
      <c r="H285" s="3">
        <f>IF(TS_ATHLETES[[#This Row],[TOTAL]]=0,"",RANK(TS_ATHLETES[[#This Row],[RANK VALUE]],TS_ATHLETES[RANK VALUE]))</f>
        <v>108</v>
      </c>
      <c r="I285" s="3">
        <f>IFERROR(IF(TS_ATHLETES[[#This Row],[TOTAL]]=0,"",RANK(TS_ATHLETES[[#This Row],[RANK VALUE]],TS_ATHLETES[RANK VALUE])+COUNTIF($H$1:H284,H285)),"")</f>
        <v>108</v>
      </c>
    </row>
    <row r="286" spans="1:9" x14ac:dyDescent="0.25">
      <c r="A286" t="s">
        <v>1332</v>
      </c>
      <c r="B286" s="3" t="s">
        <v>25</v>
      </c>
      <c r="C286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286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1</v>
      </c>
      <c r="E286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286" s="3">
        <f>SUM(TS_ATHLETES[[#This Row],[GOLD MEDALS]:[BRONZE MEDALS]])</f>
        <v>1</v>
      </c>
      <c r="G286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10000100</v>
      </c>
      <c r="H286" s="3">
        <f>IF(TS_ATHLETES[[#This Row],[TOTAL]]=0,"",RANK(TS_ATHLETES[[#This Row],[RANK VALUE]],TS_ATHLETES[RANK VALUE]))</f>
        <v>660</v>
      </c>
      <c r="I286" s="3">
        <f>IFERROR(IF(TS_ATHLETES[[#This Row],[TOTAL]]=0,"",RANK(TS_ATHLETES[[#This Row],[RANK VALUE]],TS_ATHLETES[RANK VALUE])+COUNTIF($H$1:H285,H286)),"")</f>
        <v>721</v>
      </c>
    </row>
    <row r="287" spans="1:9" x14ac:dyDescent="0.25">
      <c r="A287" t="s">
        <v>1333</v>
      </c>
      <c r="B287" s="3" t="s">
        <v>51</v>
      </c>
      <c r="C287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287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2</v>
      </c>
      <c r="E287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1</v>
      </c>
      <c r="F287" s="3">
        <f>SUM(TS_ATHLETES[[#This Row],[GOLD MEDALS]:[BRONZE MEDALS]])</f>
        <v>3</v>
      </c>
      <c r="G287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30000210</v>
      </c>
      <c r="H287" s="3">
        <f>IF(TS_ATHLETES[[#This Row],[TOTAL]]=0,"",RANK(TS_ATHLETES[[#This Row],[RANK VALUE]],TS_ATHLETES[RANK VALUE]))</f>
        <v>24</v>
      </c>
      <c r="I287" s="3">
        <f>IFERROR(IF(TS_ATHLETES[[#This Row],[TOTAL]]=0,"",RANK(TS_ATHLETES[[#This Row],[RANK VALUE]],TS_ATHLETES[RANK VALUE])+COUNTIF($H$1:H286,H287)),"")</f>
        <v>25</v>
      </c>
    </row>
    <row r="288" spans="1:9" x14ac:dyDescent="0.25">
      <c r="A288" t="s">
        <v>1334</v>
      </c>
      <c r="B288" s="3" t="s">
        <v>280</v>
      </c>
      <c r="C288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288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1</v>
      </c>
      <c r="E288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288" s="3">
        <f>SUM(TS_ATHLETES[[#This Row],[GOLD MEDALS]:[BRONZE MEDALS]])</f>
        <v>1</v>
      </c>
      <c r="G288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10000100</v>
      </c>
      <c r="H288" s="3">
        <f>IF(TS_ATHLETES[[#This Row],[TOTAL]]=0,"",RANK(TS_ATHLETES[[#This Row],[RANK VALUE]],TS_ATHLETES[RANK VALUE]))</f>
        <v>660</v>
      </c>
      <c r="I288" s="3">
        <f>IFERROR(IF(TS_ATHLETES[[#This Row],[TOTAL]]=0,"",RANK(TS_ATHLETES[[#This Row],[RANK VALUE]],TS_ATHLETES[RANK VALUE])+COUNTIF($H$1:H287,H288)),"")</f>
        <v>722</v>
      </c>
    </row>
    <row r="289" spans="1:9" x14ac:dyDescent="0.25">
      <c r="A289" t="s">
        <v>1335</v>
      </c>
      <c r="B289" s="3" t="s">
        <v>100</v>
      </c>
      <c r="C289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289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1</v>
      </c>
      <c r="E289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289" s="3">
        <f>SUM(TS_ATHLETES[[#This Row],[GOLD MEDALS]:[BRONZE MEDALS]])</f>
        <v>1</v>
      </c>
      <c r="G289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10000100</v>
      </c>
      <c r="H289" s="3">
        <f>IF(TS_ATHLETES[[#This Row],[TOTAL]]=0,"",RANK(TS_ATHLETES[[#This Row],[RANK VALUE]],TS_ATHLETES[RANK VALUE]))</f>
        <v>660</v>
      </c>
      <c r="I289" s="3">
        <f>IFERROR(IF(TS_ATHLETES[[#This Row],[TOTAL]]=0,"",RANK(TS_ATHLETES[[#This Row],[RANK VALUE]],TS_ATHLETES[RANK VALUE])+COUNTIF($H$1:H288,H289)),"")</f>
        <v>723</v>
      </c>
    </row>
    <row r="290" spans="1:9" x14ac:dyDescent="0.25">
      <c r="A290" t="s">
        <v>1336</v>
      </c>
      <c r="B290" s="3" t="s">
        <v>250</v>
      </c>
      <c r="C290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290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1</v>
      </c>
      <c r="E290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290" s="3">
        <f>SUM(TS_ATHLETES[[#This Row],[GOLD MEDALS]:[BRONZE MEDALS]])</f>
        <v>1</v>
      </c>
      <c r="G290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10000100</v>
      </c>
      <c r="H290" s="3">
        <f>IF(TS_ATHLETES[[#This Row],[TOTAL]]=0,"",RANK(TS_ATHLETES[[#This Row],[RANK VALUE]],TS_ATHLETES[RANK VALUE]))</f>
        <v>660</v>
      </c>
      <c r="I290" s="3">
        <f>IFERROR(IF(TS_ATHLETES[[#This Row],[TOTAL]]=0,"",RANK(TS_ATHLETES[[#This Row],[RANK VALUE]],TS_ATHLETES[RANK VALUE])+COUNTIF($H$1:H289,H290)),"")</f>
        <v>724</v>
      </c>
    </row>
    <row r="291" spans="1:9" x14ac:dyDescent="0.25">
      <c r="A291" t="s">
        <v>1337</v>
      </c>
      <c r="B291" s="3" t="s">
        <v>363</v>
      </c>
      <c r="C291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291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1</v>
      </c>
      <c r="E291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291" s="3">
        <f>SUM(TS_ATHLETES[[#This Row],[GOLD MEDALS]:[BRONZE MEDALS]])</f>
        <v>1</v>
      </c>
      <c r="G291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10000100</v>
      </c>
      <c r="H291" s="3">
        <f>IF(TS_ATHLETES[[#This Row],[TOTAL]]=0,"",RANK(TS_ATHLETES[[#This Row],[RANK VALUE]],TS_ATHLETES[RANK VALUE]))</f>
        <v>660</v>
      </c>
      <c r="I291" s="3">
        <f>IFERROR(IF(TS_ATHLETES[[#This Row],[TOTAL]]=0,"",RANK(TS_ATHLETES[[#This Row],[RANK VALUE]],TS_ATHLETES[RANK VALUE])+COUNTIF($H$1:H290,H291)),"")</f>
        <v>725</v>
      </c>
    </row>
    <row r="292" spans="1:9" x14ac:dyDescent="0.25">
      <c r="A292" t="s">
        <v>945</v>
      </c>
      <c r="B292" s="3" t="s">
        <v>98</v>
      </c>
      <c r="C292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292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1</v>
      </c>
      <c r="E292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292" s="3">
        <f>SUM(TS_ATHLETES[[#This Row],[GOLD MEDALS]:[BRONZE MEDALS]])</f>
        <v>1</v>
      </c>
      <c r="G292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10000100</v>
      </c>
      <c r="H292" s="3">
        <f>IF(TS_ATHLETES[[#This Row],[TOTAL]]=0,"",RANK(TS_ATHLETES[[#This Row],[RANK VALUE]],TS_ATHLETES[RANK VALUE]))</f>
        <v>660</v>
      </c>
      <c r="I292" s="3">
        <f>IFERROR(IF(TS_ATHLETES[[#This Row],[TOTAL]]=0,"",RANK(TS_ATHLETES[[#This Row],[RANK VALUE]],TS_ATHLETES[RANK VALUE])+COUNTIF($H$1:H291,H292)),"")</f>
        <v>726</v>
      </c>
    </row>
    <row r="293" spans="1:9" x14ac:dyDescent="0.25">
      <c r="A293" t="s">
        <v>1338</v>
      </c>
      <c r="B293" s="3" t="s">
        <v>280</v>
      </c>
      <c r="C293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293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1</v>
      </c>
      <c r="E293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293" s="3">
        <f>SUM(TS_ATHLETES[[#This Row],[GOLD MEDALS]:[BRONZE MEDALS]])</f>
        <v>1</v>
      </c>
      <c r="G293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10000100</v>
      </c>
      <c r="H293" s="3">
        <f>IF(TS_ATHLETES[[#This Row],[TOTAL]]=0,"",RANK(TS_ATHLETES[[#This Row],[RANK VALUE]],TS_ATHLETES[RANK VALUE]))</f>
        <v>660</v>
      </c>
      <c r="I293" s="3">
        <f>IFERROR(IF(TS_ATHLETES[[#This Row],[TOTAL]]=0,"",RANK(TS_ATHLETES[[#This Row],[RANK VALUE]],TS_ATHLETES[RANK VALUE])+COUNTIF($H$1:H292,H293)),"")</f>
        <v>727</v>
      </c>
    </row>
    <row r="294" spans="1:9" x14ac:dyDescent="0.25">
      <c r="A294" t="s">
        <v>1339</v>
      </c>
      <c r="B294" s="3" t="s">
        <v>100</v>
      </c>
      <c r="C294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294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1</v>
      </c>
      <c r="E294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294" s="3">
        <f>SUM(TS_ATHLETES[[#This Row],[GOLD MEDALS]:[BRONZE MEDALS]])</f>
        <v>1</v>
      </c>
      <c r="G294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10000100</v>
      </c>
      <c r="H294" s="3">
        <f>IF(TS_ATHLETES[[#This Row],[TOTAL]]=0,"",RANK(TS_ATHLETES[[#This Row],[RANK VALUE]],TS_ATHLETES[RANK VALUE]))</f>
        <v>660</v>
      </c>
      <c r="I294" s="3">
        <f>IFERROR(IF(TS_ATHLETES[[#This Row],[TOTAL]]=0,"",RANK(TS_ATHLETES[[#This Row],[RANK VALUE]],TS_ATHLETES[RANK VALUE])+COUNTIF($H$1:H293,H294)),"")</f>
        <v>728</v>
      </c>
    </row>
    <row r="295" spans="1:9" x14ac:dyDescent="0.25">
      <c r="A295" t="s">
        <v>1340</v>
      </c>
      <c r="B295" s="3" t="s">
        <v>250</v>
      </c>
      <c r="C295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295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1</v>
      </c>
      <c r="E295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295" s="3">
        <f>SUM(TS_ATHLETES[[#This Row],[GOLD MEDALS]:[BRONZE MEDALS]])</f>
        <v>1</v>
      </c>
      <c r="G295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10000100</v>
      </c>
      <c r="H295" s="3">
        <f>IF(TS_ATHLETES[[#This Row],[TOTAL]]=0,"",RANK(TS_ATHLETES[[#This Row],[RANK VALUE]],TS_ATHLETES[RANK VALUE]))</f>
        <v>660</v>
      </c>
      <c r="I295" s="3">
        <f>IFERROR(IF(TS_ATHLETES[[#This Row],[TOTAL]]=0,"",RANK(TS_ATHLETES[[#This Row],[RANK VALUE]],TS_ATHLETES[RANK VALUE])+COUNTIF($H$1:H294,H295)),"")</f>
        <v>729</v>
      </c>
    </row>
    <row r="296" spans="1:9" x14ac:dyDescent="0.25">
      <c r="A296" t="s">
        <v>1341</v>
      </c>
      <c r="B296" s="3" t="s">
        <v>331</v>
      </c>
      <c r="C296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296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1</v>
      </c>
      <c r="E296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296" s="3">
        <f>SUM(TS_ATHLETES[[#This Row],[GOLD MEDALS]:[BRONZE MEDALS]])</f>
        <v>1</v>
      </c>
      <c r="G296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10000100</v>
      </c>
      <c r="H296" s="3">
        <f>IF(TS_ATHLETES[[#This Row],[TOTAL]]=0,"",RANK(TS_ATHLETES[[#This Row],[RANK VALUE]],TS_ATHLETES[RANK VALUE]))</f>
        <v>660</v>
      </c>
      <c r="I296" s="3">
        <f>IFERROR(IF(TS_ATHLETES[[#This Row],[TOTAL]]=0,"",RANK(TS_ATHLETES[[#This Row],[RANK VALUE]],TS_ATHLETES[RANK VALUE])+COUNTIF($H$1:H295,H296)),"")</f>
        <v>730</v>
      </c>
    </row>
    <row r="297" spans="1:9" x14ac:dyDescent="0.25">
      <c r="A297" t="s">
        <v>1342</v>
      </c>
      <c r="B297" s="3" t="s">
        <v>287</v>
      </c>
      <c r="C297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297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1</v>
      </c>
      <c r="E297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297" s="3">
        <f>SUM(TS_ATHLETES[[#This Row],[GOLD MEDALS]:[BRONZE MEDALS]])</f>
        <v>1</v>
      </c>
      <c r="G297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10000100</v>
      </c>
      <c r="H297" s="3">
        <f>IF(TS_ATHLETES[[#This Row],[TOTAL]]=0,"",RANK(TS_ATHLETES[[#This Row],[RANK VALUE]],TS_ATHLETES[RANK VALUE]))</f>
        <v>660</v>
      </c>
      <c r="I297" s="3">
        <f>IFERROR(IF(TS_ATHLETES[[#This Row],[TOTAL]]=0,"",RANK(TS_ATHLETES[[#This Row],[RANK VALUE]],TS_ATHLETES[RANK VALUE])+COUNTIF($H$1:H296,H297)),"")</f>
        <v>731</v>
      </c>
    </row>
    <row r="298" spans="1:9" x14ac:dyDescent="0.25">
      <c r="A298" t="s">
        <v>1343</v>
      </c>
      <c r="B298" s="3" t="s">
        <v>361</v>
      </c>
      <c r="C298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1</v>
      </c>
      <c r="D298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1</v>
      </c>
      <c r="E298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298" s="3">
        <f>SUM(TS_ATHLETES[[#This Row],[GOLD MEDALS]:[BRONZE MEDALS]])</f>
        <v>2</v>
      </c>
      <c r="G298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20100100</v>
      </c>
      <c r="H298" s="3">
        <f>IF(TS_ATHLETES[[#This Row],[TOTAL]]=0,"",RANK(TS_ATHLETES[[#This Row],[RANK VALUE]],TS_ATHLETES[RANK VALUE]))</f>
        <v>48</v>
      </c>
      <c r="I298" s="3">
        <f>IFERROR(IF(TS_ATHLETES[[#This Row],[TOTAL]]=0,"",RANK(TS_ATHLETES[[#This Row],[RANK VALUE]],TS_ATHLETES[RANK VALUE])+COUNTIF($H$1:H297,H298)),"")</f>
        <v>58</v>
      </c>
    </row>
    <row r="299" spans="1:9" x14ac:dyDescent="0.25">
      <c r="A299" t="s">
        <v>1344</v>
      </c>
      <c r="B299" s="3" t="s">
        <v>361</v>
      </c>
      <c r="C299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299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2</v>
      </c>
      <c r="E299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299" s="3">
        <f>SUM(TS_ATHLETES[[#This Row],[GOLD MEDALS]:[BRONZE MEDALS]])</f>
        <v>2</v>
      </c>
      <c r="G299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20000200</v>
      </c>
      <c r="H299" s="3">
        <f>IF(TS_ATHLETES[[#This Row],[TOTAL]]=0,"",RANK(TS_ATHLETES[[#This Row],[RANK VALUE]],TS_ATHLETES[RANK VALUE]))</f>
        <v>92</v>
      </c>
      <c r="I299" s="3">
        <f>IFERROR(IF(TS_ATHLETES[[#This Row],[TOTAL]]=0,"",RANK(TS_ATHLETES[[#This Row],[RANK VALUE]],TS_ATHLETES[RANK VALUE])+COUNTIF($H$1:H298,H299)),"")</f>
        <v>95</v>
      </c>
    </row>
    <row r="300" spans="1:9" x14ac:dyDescent="0.25">
      <c r="A300" t="s">
        <v>1345</v>
      </c>
      <c r="B300" s="3" t="s">
        <v>250</v>
      </c>
      <c r="C300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300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1</v>
      </c>
      <c r="E300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300" s="3">
        <f>SUM(TS_ATHLETES[[#This Row],[GOLD MEDALS]:[BRONZE MEDALS]])</f>
        <v>1</v>
      </c>
      <c r="G300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10000100</v>
      </c>
      <c r="H300" s="3">
        <f>IF(TS_ATHLETES[[#This Row],[TOTAL]]=0,"",RANK(TS_ATHLETES[[#This Row],[RANK VALUE]],TS_ATHLETES[RANK VALUE]))</f>
        <v>660</v>
      </c>
      <c r="I300" s="3">
        <f>IFERROR(IF(TS_ATHLETES[[#This Row],[TOTAL]]=0,"",RANK(TS_ATHLETES[[#This Row],[RANK VALUE]],TS_ATHLETES[RANK VALUE])+COUNTIF($H$1:H299,H300)),"")</f>
        <v>732</v>
      </c>
    </row>
    <row r="301" spans="1:9" x14ac:dyDescent="0.25">
      <c r="A301" t="s">
        <v>1346</v>
      </c>
      <c r="B301" s="3" t="s">
        <v>361</v>
      </c>
      <c r="C301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301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1</v>
      </c>
      <c r="E301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301" s="3">
        <f>SUM(TS_ATHLETES[[#This Row],[GOLD MEDALS]:[BRONZE MEDALS]])</f>
        <v>1</v>
      </c>
      <c r="G301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10000100</v>
      </c>
      <c r="H301" s="3">
        <f>IF(TS_ATHLETES[[#This Row],[TOTAL]]=0,"",RANK(TS_ATHLETES[[#This Row],[RANK VALUE]],TS_ATHLETES[RANK VALUE]))</f>
        <v>660</v>
      </c>
      <c r="I301" s="3">
        <f>IFERROR(IF(TS_ATHLETES[[#This Row],[TOTAL]]=0,"",RANK(TS_ATHLETES[[#This Row],[RANK VALUE]],TS_ATHLETES[RANK VALUE])+COUNTIF($H$1:H300,H301)),"")</f>
        <v>733</v>
      </c>
    </row>
    <row r="302" spans="1:9" x14ac:dyDescent="0.25">
      <c r="A302" t="s">
        <v>1347</v>
      </c>
      <c r="B302" s="3" t="s">
        <v>363</v>
      </c>
      <c r="C302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302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2</v>
      </c>
      <c r="E302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302" s="3">
        <f>SUM(TS_ATHLETES[[#This Row],[GOLD MEDALS]:[BRONZE MEDALS]])</f>
        <v>2</v>
      </c>
      <c r="G302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20000200</v>
      </c>
      <c r="H302" s="3">
        <f>IF(TS_ATHLETES[[#This Row],[TOTAL]]=0,"",RANK(TS_ATHLETES[[#This Row],[RANK VALUE]],TS_ATHLETES[RANK VALUE]))</f>
        <v>92</v>
      </c>
      <c r="I302" s="3">
        <f>IFERROR(IF(TS_ATHLETES[[#This Row],[TOTAL]]=0,"",RANK(TS_ATHLETES[[#This Row],[RANK VALUE]],TS_ATHLETES[RANK VALUE])+COUNTIF($H$1:H301,H302)),"")</f>
        <v>96</v>
      </c>
    </row>
    <row r="303" spans="1:9" x14ac:dyDescent="0.25">
      <c r="A303" t="s">
        <v>1348</v>
      </c>
      <c r="B303" s="3" t="s">
        <v>361</v>
      </c>
      <c r="C303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1</v>
      </c>
      <c r="D303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1</v>
      </c>
      <c r="E303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303" s="3">
        <f>SUM(TS_ATHLETES[[#This Row],[GOLD MEDALS]:[BRONZE MEDALS]])</f>
        <v>2</v>
      </c>
      <c r="G303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20100100</v>
      </c>
      <c r="H303" s="3">
        <f>IF(TS_ATHLETES[[#This Row],[TOTAL]]=0,"",RANK(TS_ATHLETES[[#This Row],[RANK VALUE]],TS_ATHLETES[RANK VALUE]))</f>
        <v>48</v>
      </c>
      <c r="I303" s="3">
        <f>IFERROR(IF(TS_ATHLETES[[#This Row],[TOTAL]]=0,"",RANK(TS_ATHLETES[[#This Row],[RANK VALUE]],TS_ATHLETES[RANK VALUE])+COUNTIF($H$1:H302,H303)),"")</f>
        <v>59</v>
      </c>
    </row>
    <row r="304" spans="1:9" x14ac:dyDescent="0.25">
      <c r="A304" t="s">
        <v>1349</v>
      </c>
      <c r="B304" s="3" t="s">
        <v>77</v>
      </c>
      <c r="C304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304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1</v>
      </c>
      <c r="E304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304" s="3">
        <f>SUM(TS_ATHLETES[[#This Row],[GOLD MEDALS]:[BRONZE MEDALS]])</f>
        <v>1</v>
      </c>
      <c r="G304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10000100</v>
      </c>
      <c r="H304" s="3">
        <f>IF(TS_ATHLETES[[#This Row],[TOTAL]]=0,"",RANK(TS_ATHLETES[[#This Row],[RANK VALUE]],TS_ATHLETES[RANK VALUE]))</f>
        <v>660</v>
      </c>
      <c r="I304" s="3">
        <f>IFERROR(IF(TS_ATHLETES[[#This Row],[TOTAL]]=0,"",RANK(TS_ATHLETES[[#This Row],[RANK VALUE]],TS_ATHLETES[RANK VALUE])+COUNTIF($H$1:H303,H304)),"")</f>
        <v>734</v>
      </c>
    </row>
    <row r="305" spans="1:9" x14ac:dyDescent="0.25">
      <c r="A305" t="s">
        <v>1350</v>
      </c>
      <c r="B305" s="3" t="s">
        <v>229</v>
      </c>
      <c r="C305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305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1</v>
      </c>
      <c r="E305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305" s="3">
        <f>SUM(TS_ATHLETES[[#This Row],[GOLD MEDALS]:[BRONZE MEDALS]])</f>
        <v>1</v>
      </c>
      <c r="G305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10000100</v>
      </c>
      <c r="H305" s="3">
        <f>IF(TS_ATHLETES[[#This Row],[TOTAL]]=0,"",RANK(TS_ATHLETES[[#This Row],[RANK VALUE]],TS_ATHLETES[RANK VALUE]))</f>
        <v>660</v>
      </c>
      <c r="I305" s="3">
        <f>IFERROR(IF(TS_ATHLETES[[#This Row],[TOTAL]]=0,"",RANK(TS_ATHLETES[[#This Row],[RANK VALUE]],TS_ATHLETES[RANK VALUE])+COUNTIF($H$1:H304,H305)),"")</f>
        <v>735</v>
      </c>
    </row>
    <row r="306" spans="1:9" x14ac:dyDescent="0.25">
      <c r="A306" t="s">
        <v>1351</v>
      </c>
      <c r="B306" s="3" t="s">
        <v>77</v>
      </c>
      <c r="C306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306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1</v>
      </c>
      <c r="E306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306" s="3">
        <f>SUM(TS_ATHLETES[[#This Row],[GOLD MEDALS]:[BRONZE MEDALS]])</f>
        <v>1</v>
      </c>
      <c r="G306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10000100</v>
      </c>
      <c r="H306" s="3">
        <f>IF(TS_ATHLETES[[#This Row],[TOTAL]]=0,"",RANK(TS_ATHLETES[[#This Row],[RANK VALUE]],TS_ATHLETES[RANK VALUE]))</f>
        <v>660</v>
      </c>
      <c r="I306" s="3">
        <f>IFERROR(IF(TS_ATHLETES[[#This Row],[TOTAL]]=0,"",RANK(TS_ATHLETES[[#This Row],[RANK VALUE]],TS_ATHLETES[RANK VALUE])+COUNTIF($H$1:H305,H306)),"")</f>
        <v>736</v>
      </c>
    </row>
    <row r="307" spans="1:9" x14ac:dyDescent="0.25">
      <c r="A307" t="s">
        <v>1352</v>
      </c>
      <c r="B307" s="3" t="s">
        <v>128</v>
      </c>
      <c r="C307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1</v>
      </c>
      <c r="D307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1</v>
      </c>
      <c r="E307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307" s="3">
        <f>SUM(TS_ATHLETES[[#This Row],[GOLD MEDALS]:[BRONZE MEDALS]])</f>
        <v>2</v>
      </c>
      <c r="G307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20100100</v>
      </c>
      <c r="H307" s="3">
        <f>IF(TS_ATHLETES[[#This Row],[TOTAL]]=0,"",RANK(TS_ATHLETES[[#This Row],[RANK VALUE]],TS_ATHLETES[RANK VALUE]))</f>
        <v>48</v>
      </c>
      <c r="I307" s="3">
        <f>IFERROR(IF(TS_ATHLETES[[#This Row],[TOTAL]]=0,"",RANK(TS_ATHLETES[[#This Row],[RANK VALUE]],TS_ATHLETES[RANK VALUE])+COUNTIF($H$1:H306,H307)),"")</f>
        <v>60</v>
      </c>
    </row>
    <row r="308" spans="1:9" x14ac:dyDescent="0.25">
      <c r="A308" t="s">
        <v>1353</v>
      </c>
      <c r="B308" s="3" t="s">
        <v>136</v>
      </c>
      <c r="C308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1</v>
      </c>
      <c r="D308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1</v>
      </c>
      <c r="E308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308" s="3">
        <f>SUM(TS_ATHLETES[[#This Row],[GOLD MEDALS]:[BRONZE MEDALS]])</f>
        <v>2</v>
      </c>
      <c r="G308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20100100</v>
      </c>
      <c r="H308" s="3">
        <f>IF(TS_ATHLETES[[#This Row],[TOTAL]]=0,"",RANK(TS_ATHLETES[[#This Row],[RANK VALUE]],TS_ATHLETES[RANK VALUE]))</f>
        <v>48</v>
      </c>
      <c r="I308" s="3">
        <f>IFERROR(IF(TS_ATHLETES[[#This Row],[TOTAL]]=0,"",RANK(TS_ATHLETES[[#This Row],[RANK VALUE]],TS_ATHLETES[RANK VALUE])+COUNTIF($H$1:H307,H308)),"")</f>
        <v>61</v>
      </c>
    </row>
    <row r="309" spans="1:9" x14ac:dyDescent="0.25">
      <c r="A309" t="s">
        <v>1354</v>
      </c>
      <c r="B309" s="3" t="s">
        <v>331</v>
      </c>
      <c r="C309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309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1</v>
      </c>
      <c r="E309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309" s="3">
        <f>SUM(TS_ATHLETES[[#This Row],[GOLD MEDALS]:[BRONZE MEDALS]])</f>
        <v>1</v>
      </c>
      <c r="G309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10000100</v>
      </c>
      <c r="H309" s="3">
        <f>IF(TS_ATHLETES[[#This Row],[TOTAL]]=0,"",RANK(TS_ATHLETES[[#This Row],[RANK VALUE]],TS_ATHLETES[RANK VALUE]))</f>
        <v>660</v>
      </c>
      <c r="I309" s="3">
        <f>IFERROR(IF(TS_ATHLETES[[#This Row],[TOTAL]]=0,"",RANK(TS_ATHLETES[[#This Row],[RANK VALUE]],TS_ATHLETES[RANK VALUE])+COUNTIF($H$1:H308,H309)),"")</f>
        <v>737</v>
      </c>
    </row>
    <row r="310" spans="1:9" x14ac:dyDescent="0.25">
      <c r="A310" t="s">
        <v>1355</v>
      </c>
      <c r="B310" s="3" t="s">
        <v>363</v>
      </c>
      <c r="C310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310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1</v>
      </c>
      <c r="E310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1</v>
      </c>
      <c r="F310" s="3">
        <f>SUM(TS_ATHLETES[[#This Row],[GOLD MEDALS]:[BRONZE MEDALS]])</f>
        <v>2</v>
      </c>
      <c r="G310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20000110</v>
      </c>
      <c r="H310" s="3">
        <f>IF(TS_ATHLETES[[#This Row],[TOTAL]]=0,"",RANK(TS_ATHLETES[[#This Row],[RANK VALUE]],TS_ATHLETES[RANK VALUE]))</f>
        <v>108</v>
      </c>
      <c r="I310" s="3">
        <f>IFERROR(IF(TS_ATHLETES[[#This Row],[TOTAL]]=0,"",RANK(TS_ATHLETES[[#This Row],[RANK VALUE]],TS_ATHLETES[RANK VALUE])+COUNTIF($H$1:H309,H310)),"")</f>
        <v>109</v>
      </c>
    </row>
    <row r="311" spans="1:9" x14ac:dyDescent="0.25">
      <c r="A311" t="s">
        <v>1356</v>
      </c>
      <c r="B311" s="3" t="s">
        <v>175</v>
      </c>
      <c r="C311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311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1</v>
      </c>
      <c r="E311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311" s="3">
        <f>SUM(TS_ATHLETES[[#This Row],[GOLD MEDALS]:[BRONZE MEDALS]])</f>
        <v>1</v>
      </c>
      <c r="G311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10000100</v>
      </c>
      <c r="H311" s="3">
        <f>IF(TS_ATHLETES[[#This Row],[TOTAL]]=0,"",RANK(TS_ATHLETES[[#This Row],[RANK VALUE]],TS_ATHLETES[RANK VALUE]))</f>
        <v>660</v>
      </c>
      <c r="I311" s="3">
        <f>IFERROR(IF(TS_ATHLETES[[#This Row],[TOTAL]]=0,"",RANK(TS_ATHLETES[[#This Row],[RANK VALUE]],TS_ATHLETES[RANK VALUE])+COUNTIF($H$1:H310,H311)),"")</f>
        <v>738</v>
      </c>
    </row>
    <row r="312" spans="1:9" x14ac:dyDescent="0.25">
      <c r="A312" t="s">
        <v>1357</v>
      </c>
      <c r="B312" s="3" t="s">
        <v>159</v>
      </c>
      <c r="C312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312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1</v>
      </c>
      <c r="E312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1</v>
      </c>
      <c r="F312" s="3">
        <f>SUM(TS_ATHLETES[[#This Row],[GOLD MEDALS]:[BRONZE MEDALS]])</f>
        <v>2</v>
      </c>
      <c r="G312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20000110</v>
      </c>
      <c r="H312" s="3">
        <f>IF(TS_ATHLETES[[#This Row],[TOTAL]]=0,"",RANK(TS_ATHLETES[[#This Row],[RANK VALUE]],TS_ATHLETES[RANK VALUE]))</f>
        <v>108</v>
      </c>
      <c r="I312" s="3">
        <f>IFERROR(IF(TS_ATHLETES[[#This Row],[TOTAL]]=0,"",RANK(TS_ATHLETES[[#This Row],[RANK VALUE]],TS_ATHLETES[RANK VALUE])+COUNTIF($H$1:H311,H312)),"")</f>
        <v>110</v>
      </c>
    </row>
    <row r="313" spans="1:9" x14ac:dyDescent="0.25">
      <c r="A313" t="s">
        <v>1358</v>
      </c>
      <c r="B313" s="3" t="s">
        <v>175</v>
      </c>
      <c r="C313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313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1</v>
      </c>
      <c r="E313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313" s="3">
        <f>SUM(TS_ATHLETES[[#This Row],[GOLD MEDALS]:[BRONZE MEDALS]])</f>
        <v>1</v>
      </c>
      <c r="G313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10000100</v>
      </c>
      <c r="H313" s="3">
        <f>IF(TS_ATHLETES[[#This Row],[TOTAL]]=0,"",RANK(TS_ATHLETES[[#This Row],[RANK VALUE]],TS_ATHLETES[RANK VALUE]))</f>
        <v>660</v>
      </c>
      <c r="I313" s="3">
        <f>IFERROR(IF(TS_ATHLETES[[#This Row],[TOTAL]]=0,"",RANK(TS_ATHLETES[[#This Row],[RANK VALUE]],TS_ATHLETES[RANK VALUE])+COUNTIF($H$1:H312,H313)),"")</f>
        <v>739</v>
      </c>
    </row>
    <row r="314" spans="1:9" x14ac:dyDescent="0.25">
      <c r="A314" t="s">
        <v>1359</v>
      </c>
      <c r="B314" s="3" t="s">
        <v>363</v>
      </c>
      <c r="C314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314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1</v>
      </c>
      <c r="E314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314" s="3">
        <f>SUM(TS_ATHLETES[[#This Row],[GOLD MEDALS]:[BRONZE MEDALS]])</f>
        <v>1</v>
      </c>
      <c r="G314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10000100</v>
      </c>
      <c r="H314" s="3">
        <f>IF(TS_ATHLETES[[#This Row],[TOTAL]]=0,"",RANK(TS_ATHLETES[[#This Row],[RANK VALUE]],TS_ATHLETES[RANK VALUE]))</f>
        <v>660</v>
      </c>
      <c r="I314" s="3">
        <f>IFERROR(IF(TS_ATHLETES[[#This Row],[TOTAL]]=0,"",RANK(TS_ATHLETES[[#This Row],[RANK VALUE]],TS_ATHLETES[RANK VALUE])+COUNTIF($H$1:H313,H314)),"")</f>
        <v>740</v>
      </c>
    </row>
    <row r="315" spans="1:9" x14ac:dyDescent="0.25">
      <c r="A315" t="s">
        <v>1360</v>
      </c>
      <c r="B315" s="3" t="s">
        <v>287</v>
      </c>
      <c r="C315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1</v>
      </c>
      <c r="D315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1</v>
      </c>
      <c r="E315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315" s="3">
        <f>SUM(TS_ATHLETES[[#This Row],[GOLD MEDALS]:[BRONZE MEDALS]])</f>
        <v>2</v>
      </c>
      <c r="G315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20100100</v>
      </c>
      <c r="H315" s="3">
        <f>IF(TS_ATHLETES[[#This Row],[TOTAL]]=0,"",RANK(TS_ATHLETES[[#This Row],[RANK VALUE]],TS_ATHLETES[RANK VALUE]))</f>
        <v>48</v>
      </c>
      <c r="I315" s="3">
        <f>IFERROR(IF(TS_ATHLETES[[#This Row],[TOTAL]]=0,"",RANK(TS_ATHLETES[[#This Row],[RANK VALUE]],TS_ATHLETES[RANK VALUE])+COUNTIF($H$1:H314,H315)),"")</f>
        <v>62</v>
      </c>
    </row>
    <row r="316" spans="1:9" x14ac:dyDescent="0.25">
      <c r="A316" t="s">
        <v>1361</v>
      </c>
      <c r="B316" s="3" t="s">
        <v>331</v>
      </c>
      <c r="C316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316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1</v>
      </c>
      <c r="E316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316" s="3">
        <f>SUM(TS_ATHLETES[[#This Row],[GOLD MEDALS]:[BRONZE MEDALS]])</f>
        <v>1</v>
      </c>
      <c r="G316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10000100</v>
      </c>
      <c r="H316" s="3">
        <f>IF(TS_ATHLETES[[#This Row],[TOTAL]]=0,"",RANK(TS_ATHLETES[[#This Row],[RANK VALUE]],TS_ATHLETES[RANK VALUE]))</f>
        <v>660</v>
      </c>
      <c r="I316" s="3">
        <f>IFERROR(IF(TS_ATHLETES[[#This Row],[TOTAL]]=0,"",RANK(TS_ATHLETES[[#This Row],[RANK VALUE]],TS_ATHLETES[RANK VALUE])+COUNTIF($H$1:H315,H316)),"")</f>
        <v>741</v>
      </c>
    </row>
    <row r="317" spans="1:9" x14ac:dyDescent="0.25">
      <c r="A317" t="s">
        <v>1362</v>
      </c>
      <c r="B317" s="3" t="s">
        <v>253</v>
      </c>
      <c r="C317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317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1</v>
      </c>
      <c r="E317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317" s="3">
        <f>SUM(TS_ATHLETES[[#This Row],[GOLD MEDALS]:[BRONZE MEDALS]])</f>
        <v>1</v>
      </c>
      <c r="G317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10000100</v>
      </c>
      <c r="H317" s="3">
        <f>IF(TS_ATHLETES[[#This Row],[TOTAL]]=0,"",RANK(TS_ATHLETES[[#This Row],[RANK VALUE]],TS_ATHLETES[RANK VALUE]))</f>
        <v>660</v>
      </c>
      <c r="I317" s="3">
        <f>IFERROR(IF(TS_ATHLETES[[#This Row],[TOTAL]]=0,"",RANK(TS_ATHLETES[[#This Row],[RANK VALUE]],TS_ATHLETES[RANK VALUE])+COUNTIF($H$1:H316,H317)),"")</f>
        <v>742</v>
      </c>
    </row>
    <row r="318" spans="1:9" x14ac:dyDescent="0.25">
      <c r="A318" t="s">
        <v>1363</v>
      </c>
      <c r="B318" s="3" t="s">
        <v>187</v>
      </c>
      <c r="C318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318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1</v>
      </c>
      <c r="E318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318" s="3">
        <f>SUM(TS_ATHLETES[[#This Row],[GOLD MEDALS]:[BRONZE MEDALS]])</f>
        <v>1</v>
      </c>
      <c r="G318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10000100</v>
      </c>
      <c r="H318" s="3">
        <f>IF(TS_ATHLETES[[#This Row],[TOTAL]]=0,"",RANK(TS_ATHLETES[[#This Row],[RANK VALUE]],TS_ATHLETES[RANK VALUE]))</f>
        <v>660</v>
      </c>
      <c r="I318" s="3">
        <f>IFERROR(IF(TS_ATHLETES[[#This Row],[TOTAL]]=0,"",RANK(TS_ATHLETES[[#This Row],[RANK VALUE]],TS_ATHLETES[RANK VALUE])+COUNTIF($H$1:H317,H318)),"")</f>
        <v>743</v>
      </c>
    </row>
    <row r="319" spans="1:9" x14ac:dyDescent="0.25">
      <c r="A319" t="s">
        <v>1364</v>
      </c>
      <c r="B319" s="3" t="s">
        <v>175</v>
      </c>
      <c r="C319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319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1</v>
      </c>
      <c r="E319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319" s="3">
        <f>SUM(TS_ATHLETES[[#This Row],[GOLD MEDALS]:[BRONZE MEDALS]])</f>
        <v>1</v>
      </c>
      <c r="G319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10000100</v>
      </c>
      <c r="H319" s="3">
        <f>IF(TS_ATHLETES[[#This Row],[TOTAL]]=0,"",RANK(TS_ATHLETES[[#This Row],[RANK VALUE]],TS_ATHLETES[RANK VALUE]))</f>
        <v>660</v>
      </c>
      <c r="I319" s="3">
        <f>IFERROR(IF(TS_ATHLETES[[#This Row],[TOTAL]]=0,"",RANK(TS_ATHLETES[[#This Row],[RANK VALUE]],TS_ATHLETES[RANK VALUE])+COUNTIF($H$1:H318,H319)),"")</f>
        <v>744</v>
      </c>
    </row>
    <row r="320" spans="1:9" x14ac:dyDescent="0.25">
      <c r="A320" t="s">
        <v>1365</v>
      </c>
      <c r="B320" s="3" t="s">
        <v>237</v>
      </c>
      <c r="C320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320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1</v>
      </c>
      <c r="E320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320" s="3">
        <f>SUM(TS_ATHLETES[[#This Row],[GOLD MEDALS]:[BRONZE MEDALS]])</f>
        <v>1</v>
      </c>
      <c r="G320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10000100</v>
      </c>
      <c r="H320" s="3">
        <f>IF(TS_ATHLETES[[#This Row],[TOTAL]]=0,"",RANK(TS_ATHLETES[[#This Row],[RANK VALUE]],TS_ATHLETES[RANK VALUE]))</f>
        <v>660</v>
      </c>
      <c r="I320" s="3">
        <f>IFERROR(IF(TS_ATHLETES[[#This Row],[TOTAL]]=0,"",RANK(TS_ATHLETES[[#This Row],[RANK VALUE]],TS_ATHLETES[RANK VALUE])+COUNTIF($H$1:H319,H320)),"")</f>
        <v>745</v>
      </c>
    </row>
    <row r="321" spans="1:9" x14ac:dyDescent="0.25">
      <c r="A321" t="s">
        <v>1366</v>
      </c>
      <c r="B321" s="3" t="s">
        <v>128</v>
      </c>
      <c r="C321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321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1</v>
      </c>
      <c r="E321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321" s="3">
        <f>SUM(TS_ATHLETES[[#This Row],[GOLD MEDALS]:[BRONZE MEDALS]])</f>
        <v>1</v>
      </c>
      <c r="G321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10000100</v>
      </c>
      <c r="H321" s="3">
        <f>IF(TS_ATHLETES[[#This Row],[TOTAL]]=0,"",RANK(TS_ATHLETES[[#This Row],[RANK VALUE]],TS_ATHLETES[RANK VALUE]))</f>
        <v>660</v>
      </c>
      <c r="I321" s="3">
        <f>IFERROR(IF(TS_ATHLETES[[#This Row],[TOTAL]]=0,"",RANK(TS_ATHLETES[[#This Row],[RANK VALUE]],TS_ATHLETES[RANK VALUE])+COUNTIF($H$1:H320,H321)),"")</f>
        <v>746</v>
      </c>
    </row>
    <row r="322" spans="1:9" x14ac:dyDescent="0.25">
      <c r="A322" t="s">
        <v>1367</v>
      </c>
      <c r="B322" s="3" t="s">
        <v>79</v>
      </c>
      <c r="C322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322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1</v>
      </c>
      <c r="E322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322" s="3">
        <f>SUM(TS_ATHLETES[[#This Row],[GOLD MEDALS]:[BRONZE MEDALS]])</f>
        <v>1</v>
      </c>
      <c r="G322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10000100</v>
      </c>
      <c r="H322" s="3">
        <f>IF(TS_ATHLETES[[#This Row],[TOTAL]]=0,"",RANK(TS_ATHLETES[[#This Row],[RANK VALUE]],TS_ATHLETES[RANK VALUE]))</f>
        <v>660</v>
      </c>
      <c r="I322" s="3">
        <f>IFERROR(IF(TS_ATHLETES[[#This Row],[TOTAL]]=0,"",RANK(TS_ATHLETES[[#This Row],[RANK VALUE]],TS_ATHLETES[RANK VALUE])+COUNTIF($H$1:H321,H322)),"")</f>
        <v>747</v>
      </c>
    </row>
    <row r="323" spans="1:9" x14ac:dyDescent="0.25">
      <c r="A323" t="s">
        <v>1368</v>
      </c>
      <c r="B323" s="3" t="s">
        <v>128</v>
      </c>
      <c r="C323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323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1</v>
      </c>
      <c r="E323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323" s="3">
        <f>SUM(TS_ATHLETES[[#This Row],[GOLD MEDALS]:[BRONZE MEDALS]])</f>
        <v>1</v>
      </c>
      <c r="G323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10000100</v>
      </c>
      <c r="H323" s="3">
        <f>IF(TS_ATHLETES[[#This Row],[TOTAL]]=0,"",RANK(TS_ATHLETES[[#This Row],[RANK VALUE]],TS_ATHLETES[RANK VALUE]))</f>
        <v>660</v>
      </c>
      <c r="I323" s="3">
        <f>IFERROR(IF(TS_ATHLETES[[#This Row],[TOTAL]]=0,"",RANK(TS_ATHLETES[[#This Row],[RANK VALUE]],TS_ATHLETES[RANK VALUE])+COUNTIF($H$1:H322,H323)),"")</f>
        <v>748</v>
      </c>
    </row>
    <row r="324" spans="1:9" x14ac:dyDescent="0.25">
      <c r="A324" t="s">
        <v>1369</v>
      </c>
      <c r="B324" s="3" t="s">
        <v>94</v>
      </c>
      <c r="C324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324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1</v>
      </c>
      <c r="E324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324" s="3">
        <f>SUM(TS_ATHLETES[[#This Row],[GOLD MEDALS]:[BRONZE MEDALS]])</f>
        <v>1</v>
      </c>
      <c r="G324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10000100</v>
      </c>
      <c r="H324" s="3">
        <f>IF(TS_ATHLETES[[#This Row],[TOTAL]]=0,"",RANK(TS_ATHLETES[[#This Row],[RANK VALUE]],TS_ATHLETES[RANK VALUE]))</f>
        <v>660</v>
      </c>
      <c r="I324" s="3">
        <f>IFERROR(IF(TS_ATHLETES[[#This Row],[TOTAL]]=0,"",RANK(TS_ATHLETES[[#This Row],[RANK VALUE]],TS_ATHLETES[RANK VALUE])+COUNTIF($H$1:H323,H324)),"")</f>
        <v>749</v>
      </c>
    </row>
    <row r="325" spans="1:9" x14ac:dyDescent="0.25">
      <c r="A325" t="s">
        <v>1370</v>
      </c>
      <c r="B325" s="3" t="s">
        <v>183</v>
      </c>
      <c r="C325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325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1</v>
      </c>
      <c r="E325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325" s="3">
        <f>SUM(TS_ATHLETES[[#This Row],[GOLD MEDALS]:[BRONZE MEDALS]])</f>
        <v>1</v>
      </c>
      <c r="G325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10000100</v>
      </c>
      <c r="H325" s="3">
        <f>IF(TS_ATHLETES[[#This Row],[TOTAL]]=0,"",RANK(TS_ATHLETES[[#This Row],[RANK VALUE]],TS_ATHLETES[RANK VALUE]))</f>
        <v>660</v>
      </c>
      <c r="I325" s="3">
        <f>IFERROR(IF(TS_ATHLETES[[#This Row],[TOTAL]]=0,"",RANK(TS_ATHLETES[[#This Row],[RANK VALUE]],TS_ATHLETES[RANK VALUE])+COUNTIF($H$1:H324,H325)),"")</f>
        <v>750</v>
      </c>
    </row>
    <row r="326" spans="1:9" x14ac:dyDescent="0.25">
      <c r="A326" t="s">
        <v>1371</v>
      </c>
      <c r="B326" s="3" t="s">
        <v>187</v>
      </c>
      <c r="C326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326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1</v>
      </c>
      <c r="E326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326" s="3">
        <f>SUM(TS_ATHLETES[[#This Row],[GOLD MEDALS]:[BRONZE MEDALS]])</f>
        <v>1</v>
      </c>
      <c r="G326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10000100</v>
      </c>
      <c r="H326" s="3">
        <f>IF(TS_ATHLETES[[#This Row],[TOTAL]]=0,"",RANK(TS_ATHLETES[[#This Row],[RANK VALUE]],TS_ATHLETES[RANK VALUE]))</f>
        <v>660</v>
      </c>
      <c r="I326" s="3">
        <f>IFERROR(IF(TS_ATHLETES[[#This Row],[TOTAL]]=0,"",RANK(TS_ATHLETES[[#This Row],[RANK VALUE]],TS_ATHLETES[RANK VALUE])+COUNTIF($H$1:H325,H326)),"")</f>
        <v>751</v>
      </c>
    </row>
    <row r="327" spans="1:9" x14ac:dyDescent="0.25">
      <c r="A327" t="s">
        <v>1372</v>
      </c>
      <c r="B327" s="3" t="s">
        <v>25</v>
      </c>
      <c r="C327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327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1</v>
      </c>
      <c r="E327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327" s="3">
        <f>SUM(TS_ATHLETES[[#This Row],[GOLD MEDALS]:[BRONZE MEDALS]])</f>
        <v>1</v>
      </c>
      <c r="G327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10000100</v>
      </c>
      <c r="H327" s="3">
        <f>IF(TS_ATHLETES[[#This Row],[TOTAL]]=0,"",RANK(TS_ATHLETES[[#This Row],[RANK VALUE]],TS_ATHLETES[RANK VALUE]))</f>
        <v>660</v>
      </c>
      <c r="I327" s="3">
        <f>IFERROR(IF(TS_ATHLETES[[#This Row],[TOTAL]]=0,"",RANK(TS_ATHLETES[[#This Row],[RANK VALUE]],TS_ATHLETES[RANK VALUE])+COUNTIF($H$1:H326,H327)),"")</f>
        <v>752</v>
      </c>
    </row>
    <row r="328" spans="1:9" x14ac:dyDescent="0.25">
      <c r="A328" t="s">
        <v>1373</v>
      </c>
      <c r="B328" s="3" t="s">
        <v>363</v>
      </c>
      <c r="C328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328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1</v>
      </c>
      <c r="E328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328" s="3">
        <f>SUM(TS_ATHLETES[[#This Row],[GOLD MEDALS]:[BRONZE MEDALS]])</f>
        <v>1</v>
      </c>
      <c r="G328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10000100</v>
      </c>
      <c r="H328" s="3">
        <f>IF(TS_ATHLETES[[#This Row],[TOTAL]]=0,"",RANK(TS_ATHLETES[[#This Row],[RANK VALUE]],TS_ATHLETES[RANK VALUE]))</f>
        <v>660</v>
      </c>
      <c r="I328" s="3">
        <f>IFERROR(IF(TS_ATHLETES[[#This Row],[TOTAL]]=0,"",RANK(TS_ATHLETES[[#This Row],[RANK VALUE]],TS_ATHLETES[RANK VALUE])+COUNTIF($H$1:H327,H328)),"")</f>
        <v>753</v>
      </c>
    </row>
    <row r="329" spans="1:9" x14ac:dyDescent="0.25">
      <c r="A329" t="s">
        <v>1374</v>
      </c>
      <c r="B329" s="3" t="s">
        <v>134</v>
      </c>
      <c r="C329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329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1</v>
      </c>
      <c r="E329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329" s="3">
        <f>SUM(TS_ATHLETES[[#This Row],[GOLD MEDALS]:[BRONZE MEDALS]])</f>
        <v>1</v>
      </c>
      <c r="G329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10000100</v>
      </c>
      <c r="H329" s="3">
        <f>IF(TS_ATHLETES[[#This Row],[TOTAL]]=0,"",RANK(TS_ATHLETES[[#This Row],[RANK VALUE]],TS_ATHLETES[RANK VALUE]))</f>
        <v>660</v>
      </c>
      <c r="I329" s="3">
        <f>IFERROR(IF(TS_ATHLETES[[#This Row],[TOTAL]]=0,"",RANK(TS_ATHLETES[[#This Row],[RANK VALUE]],TS_ATHLETES[RANK VALUE])+COUNTIF($H$1:H328,H329)),"")</f>
        <v>754</v>
      </c>
    </row>
    <row r="330" spans="1:9" x14ac:dyDescent="0.25">
      <c r="A330" t="s">
        <v>1375</v>
      </c>
      <c r="B330" s="3" t="s">
        <v>25</v>
      </c>
      <c r="C330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330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1</v>
      </c>
      <c r="E330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330" s="3">
        <f>SUM(TS_ATHLETES[[#This Row],[GOLD MEDALS]:[BRONZE MEDALS]])</f>
        <v>1</v>
      </c>
      <c r="G330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10000100</v>
      </c>
      <c r="H330" s="3">
        <f>IF(TS_ATHLETES[[#This Row],[TOTAL]]=0,"",RANK(TS_ATHLETES[[#This Row],[RANK VALUE]],TS_ATHLETES[RANK VALUE]))</f>
        <v>660</v>
      </c>
      <c r="I330" s="3">
        <f>IFERROR(IF(TS_ATHLETES[[#This Row],[TOTAL]]=0,"",RANK(TS_ATHLETES[[#This Row],[RANK VALUE]],TS_ATHLETES[RANK VALUE])+COUNTIF($H$1:H329,H330)),"")</f>
        <v>755</v>
      </c>
    </row>
    <row r="331" spans="1:9" x14ac:dyDescent="0.25">
      <c r="A331" t="s">
        <v>662</v>
      </c>
      <c r="B331" s="3" t="s">
        <v>179</v>
      </c>
      <c r="C331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331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1</v>
      </c>
      <c r="E331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331" s="3">
        <f>SUM(TS_ATHLETES[[#This Row],[GOLD MEDALS]:[BRONZE MEDALS]])</f>
        <v>1</v>
      </c>
      <c r="G331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10000100</v>
      </c>
      <c r="H331" s="3">
        <f>IF(TS_ATHLETES[[#This Row],[TOTAL]]=0,"",RANK(TS_ATHLETES[[#This Row],[RANK VALUE]],TS_ATHLETES[RANK VALUE]))</f>
        <v>660</v>
      </c>
      <c r="I331" s="3">
        <f>IFERROR(IF(TS_ATHLETES[[#This Row],[TOTAL]]=0,"",RANK(TS_ATHLETES[[#This Row],[RANK VALUE]],TS_ATHLETES[RANK VALUE])+COUNTIF($H$1:H330,H331)),"")</f>
        <v>756</v>
      </c>
    </row>
    <row r="332" spans="1:9" x14ac:dyDescent="0.25">
      <c r="A332" t="s">
        <v>1376</v>
      </c>
      <c r="B332" s="3" t="s">
        <v>175</v>
      </c>
      <c r="C332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332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1</v>
      </c>
      <c r="E332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332" s="3">
        <f>SUM(TS_ATHLETES[[#This Row],[GOLD MEDALS]:[BRONZE MEDALS]])</f>
        <v>1</v>
      </c>
      <c r="G332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10000100</v>
      </c>
      <c r="H332" s="3">
        <f>IF(TS_ATHLETES[[#This Row],[TOTAL]]=0,"",RANK(TS_ATHLETES[[#This Row],[RANK VALUE]],TS_ATHLETES[RANK VALUE]))</f>
        <v>660</v>
      </c>
      <c r="I332" s="3">
        <f>IFERROR(IF(TS_ATHLETES[[#This Row],[TOTAL]]=0,"",RANK(TS_ATHLETES[[#This Row],[RANK VALUE]],TS_ATHLETES[RANK VALUE])+COUNTIF($H$1:H331,H332)),"")</f>
        <v>757</v>
      </c>
    </row>
    <row r="333" spans="1:9" x14ac:dyDescent="0.25">
      <c r="A333" t="s">
        <v>1377</v>
      </c>
      <c r="B333" s="3" t="s">
        <v>140</v>
      </c>
      <c r="C333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333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1</v>
      </c>
      <c r="E333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333" s="3">
        <f>SUM(TS_ATHLETES[[#This Row],[GOLD MEDALS]:[BRONZE MEDALS]])</f>
        <v>1</v>
      </c>
      <c r="G333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10000100</v>
      </c>
      <c r="H333" s="3">
        <f>IF(TS_ATHLETES[[#This Row],[TOTAL]]=0,"",RANK(TS_ATHLETES[[#This Row],[RANK VALUE]],TS_ATHLETES[RANK VALUE]))</f>
        <v>660</v>
      </c>
      <c r="I333" s="3">
        <f>IFERROR(IF(TS_ATHLETES[[#This Row],[TOTAL]]=0,"",RANK(TS_ATHLETES[[#This Row],[RANK VALUE]],TS_ATHLETES[RANK VALUE])+COUNTIF($H$1:H332,H333)),"")</f>
        <v>758</v>
      </c>
    </row>
    <row r="334" spans="1:9" x14ac:dyDescent="0.25">
      <c r="A334" t="s">
        <v>1378</v>
      </c>
      <c r="B334" s="3" t="s">
        <v>358</v>
      </c>
      <c r="C334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334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1</v>
      </c>
      <c r="E334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334" s="3">
        <f>SUM(TS_ATHLETES[[#This Row],[GOLD MEDALS]:[BRONZE MEDALS]])</f>
        <v>1</v>
      </c>
      <c r="G334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10000100</v>
      </c>
      <c r="H334" s="3">
        <f>IF(TS_ATHLETES[[#This Row],[TOTAL]]=0,"",RANK(TS_ATHLETES[[#This Row],[RANK VALUE]],TS_ATHLETES[RANK VALUE]))</f>
        <v>660</v>
      </c>
      <c r="I334" s="3">
        <f>IFERROR(IF(TS_ATHLETES[[#This Row],[TOTAL]]=0,"",RANK(TS_ATHLETES[[#This Row],[RANK VALUE]],TS_ATHLETES[RANK VALUE])+COUNTIF($H$1:H333,H334)),"")</f>
        <v>759</v>
      </c>
    </row>
    <row r="335" spans="1:9" x14ac:dyDescent="0.25">
      <c r="A335" t="s">
        <v>1379</v>
      </c>
      <c r="B335" s="3" t="s">
        <v>128</v>
      </c>
      <c r="C335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335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1</v>
      </c>
      <c r="E335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335" s="3">
        <f>SUM(TS_ATHLETES[[#This Row],[GOLD MEDALS]:[BRONZE MEDALS]])</f>
        <v>1</v>
      </c>
      <c r="G335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10000100</v>
      </c>
      <c r="H335" s="3">
        <f>IF(TS_ATHLETES[[#This Row],[TOTAL]]=0,"",RANK(TS_ATHLETES[[#This Row],[RANK VALUE]],TS_ATHLETES[RANK VALUE]))</f>
        <v>660</v>
      </c>
      <c r="I335" s="3">
        <f>IFERROR(IF(TS_ATHLETES[[#This Row],[TOTAL]]=0,"",RANK(TS_ATHLETES[[#This Row],[RANK VALUE]],TS_ATHLETES[RANK VALUE])+COUNTIF($H$1:H334,H335)),"")</f>
        <v>760</v>
      </c>
    </row>
    <row r="336" spans="1:9" x14ac:dyDescent="0.25">
      <c r="A336" t="s">
        <v>1380</v>
      </c>
      <c r="B336" s="3" t="s">
        <v>287</v>
      </c>
      <c r="C336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336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1</v>
      </c>
      <c r="E336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336" s="3">
        <f>SUM(TS_ATHLETES[[#This Row],[GOLD MEDALS]:[BRONZE MEDALS]])</f>
        <v>1</v>
      </c>
      <c r="G336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10000100</v>
      </c>
      <c r="H336" s="3">
        <f>IF(TS_ATHLETES[[#This Row],[TOTAL]]=0,"",RANK(TS_ATHLETES[[#This Row],[RANK VALUE]],TS_ATHLETES[RANK VALUE]))</f>
        <v>660</v>
      </c>
      <c r="I336" s="3">
        <f>IFERROR(IF(TS_ATHLETES[[#This Row],[TOTAL]]=0,"",RANK(TS_ATHLETES[[#This Row],[RANK VALUE]],TS_ATHLETES[RANK VALUE])+COUNTIF($H$1:H335,H336)),"")</f>
        <v>761</v>
      </c>
    </row>
    <row r="337" spans="1:9" x14ac:dyDescent="0.25">
      <c r="A337" t="s">
        <v>1381</v>
      </c>
      <c r="B337" s="3" t="s">
        <v>363</v>
      </c>
      <c r="C337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337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1</v>
      </c>
      <c r="E337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337" s="3">
        <f>SUM(TS_ATHLETES[[#This Row],[GOLD MEDALS]:[BRONZE MEDALS]])</f>
        <v>1</v>
      </c>
      <c r="G337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10000100</v>
      </c>
      <c r="H337" s="3">
        <f>IF(TS_ATHLETES[[#This Row],[TOTAL]]=0,"",RANK(TS_ATHLETES[[#This Row],[RANK VALUE]],TS_ATHLETES[RANK VALUE]))</f>
        <v>660</v>
      </c>
      <c r="I337" s="3">
        <f>IFERROR(IF(TS_ATHLETES[[#This Row],[TOTAL]]=0,"",RANK(TS_ATHLETES[[#This Row],[RANK VALUE]],TS_ATHLETES[RANK VALUE])+COUNTIF($H$1:H336,H337)),"")</f>
        <v>762</v>
      </c>
    </row>
    <row r="338" spans="1:9" x14ac:dyDescent="0.25">
      <c r="A338" t="s">
        <v>1382</v>
      </c>
      <c r="B338" s="3" t="s">
        <v>92</v>
      </c>
      <c r="C338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338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1</v>
      </c>
      <c r="E338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338" s="3">
        <f>SUM(TS_ATHLETES[[#This Row],[GOLD MEDALS]:[BRONZE MEDALS]])</f>
        <v>1</v>
      </c>
      <c r="G338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10000100</v>
      </c>
      <c r="H338" s="3">
        <f>IF(TS_ATHLETES[[#This Row],[TOTAL]]=0,"",RANK(TS_ATHLETES[[#This Row],[RANK VALUE]],TS_ATHLETES[RANK VALUE]))</f>
        <v>660</v>
      </c>
      <c r="I338" s="3">
        <f>IFERROR(IF(TS_ATHLETES[[#This Row],[TOTAL]]=0,"",RANK(TS_ATHLETES[[#This Row],[RANK VALUE]],TS_ATHLETES[RANK VALUE])+COUNTIF($H$1:H337,H338)),"")</f>
        <v>763</v>
      </c>
    </row>
    <row r="339" spans="1:9" x14ac:dyDescent="0.25">
      <c r="A339" t="s">
        <v>1383</v>
      </c>
      <c r="B339" s="3" t="s">
        <v>361</v>
      </c>
      <c r="C339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339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1</v>
      </c>
      <c r="E339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339" s="3">
        <f>SUM(TS_ATHLETES[[#This Row],[GOLD MEDALS]:[BRONZE MEDALS]])</f>
        <v>1</v>
      </c>
      <c r="G339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10000100</v>
      </c>
      <c r="H339" s="3">
        <f>IF(TS_ATHLETES[[#This Row],[TOTAL]]=0,"",RANK(TS_ATHLETES[[#This Row],[RANK VALUE]],TS_ATHLETES[RANK VALUE]))</f>
        <v>660</v>
      </c>
      <c r="I339" s="3">
        <f>IFERROR(IF(TS_ATHLETES[[#This Row],[TOTAL]]=0,"",RANK(TS_ATHLETES[[#This Row],[RANK VALUE]],TS_ATHLETES[RANK VALUE])+COUNTIF($H$1:H338,H339)),"")</f>
        <v>764</v>
      </c>
    </row>
    <row r="340" spans="1:9" x14ac:dyDescent="0.25">
      <c r="A340" t="s">
        <v>1384</v>
      </c>
      <c r="B340" s="3" t="s">
        <v>77</v>
      </c>
      <c r="C340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340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1</v>
      </c>
      <c r="E340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340" s="3">
        <f>SUM(TS_ATHLETES[[#This Row],[GOLD MEDALS]:[BRONZE MEDALS]])</f>
        <v>1</v>
      </c>
      <c r="G340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10000100</v>
      </c>
      <c r="H340" s="3">
        <f>IF(TS_ATHLETES[[#This Row],[TOTAL]]=0,"",RANK(TS_ATHLETES[[#This Row],[RANK VALUE]],TS_ATHLETES[RANK VALUE]))</f>
        <v>660</v>
      </c>
      <c r="I340" s="3">
        <f>IFERROR(IF(TS_ATHLETES[[#This Row],[TOTAL]]=0,"",RANK(TS_ATHLETES[[#This Row],[RANK VALUE]],TS_ATHLETES[RANK VALUE])+COUNTIF($H$1:H339,H340)),"")</f>
        <v>765</v>
      </c>
    </row>
    <row r="341" spans="1:9" x14ac:dyDescent="0.25">
      <c r="A341" t="s">
        <v>1385</v>
      </c>
      <c r="B341" s="3" t="s">
        <v>92</v>
      </c>
      <c r="C341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341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1</v>
      </c>
      <c r="E341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341" s="3">
        <f>SUM(TS_ATHLETES[[#This Row],[GOLD MEDALS]:[BRONZE MEDALS]])</f>
        <v>1</v>
      </c>
      <c r="G341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10000100</v>
      </c>
      <c r="H341" s="3">
        <f>IF(TS_ATHLETES[[#This Row],[TOTAL]]=0,"",RANK(TS_ATHLETES[[#This Row],[RANK VALUE]],TS_ATHLETES[RANK VALUE]))</f>
        <v>660</v>
      </c>
      <c r="I341" s="3">
        <f>IFERROR(IF(TS_ATHLETES[[#This Row],[TOTAL]]=0,"",RANK(TS_ATHLETES[[#This Row],[RANK VALUE]],TS_ATHLETES[RANK VALUE])+COUNTIF($H$1:H340,H341)),"")</f>
        <v>766</v>
      </c>
    </row>
    <row r="342" spans="1:9" x14ac:dyDescent="0.25">
      <c r="A342" t="s">
        <v>1386</v>
      </c>
      <c r="B342" s="3" t="s">
        <v>171</v>
      </c>
      <c r="C342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342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1</v>
      </c>
      <c r="E342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342" s="3">
        <f>SUM(TS_ATHLETES[[#This Row],[GOLD MEDALS]:[BRONZE MEDALS]])</f>
        <v>1</v>
      </c>
      <c r="G342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10000100</v>
      </c>
      <c r="H342" s="3">
        <f>IF(TS_ATHLETES[[#This Row],[TOTAL]]=0,"",RANK(TS_ATHLETES[[#This Row],[RANK VALUE]],TS_ATHLETES[RANK VALUE]))</f>
        <v>660</v>
      </c>
      <c r="I342" s="3">
        <f>IFERROR(IF(TS_ATHLETES[[#This Row],[TOTAL]]=0,"",RANK(TS_ATHLETES[[#This Row],[RANK VALUE]],TS_ATHLETES[RANK VALUE])+COUNTIF($H$1:H341,H342)),"")</f>
        <v>767</v>
      </c>
    </row>
    <row r="343" spans="1:9" x14ac:dyDescent="0.25">
      <c r="A343" t="s">
        <v>1387</v>
      </c>
      <c r="B343" s="3" t="s">
        <v>313</v>
      </c>
      <c r="C343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343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1</v>
      </c>
      <c r="E343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343" s="3">
        <f>SUM(TS_ATHLETES[[#This Row],[GOLD MEDALS]:[BRONZE MEDALS]])</f>
        <v>1</v>
      </c>
      <c r="G343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10000100</v>
      </c>
      <c r="H343" s="3">
        <f>IF(TS_ATHLETES[[#This Row],[TOTAL]]=0,"",RANK(TS_ATHLETES[[#This Row],[RANK VALUE]],TS_ATHLETES[RANK VALUE]))</f>
        <v>660</v>
      </c>
      <c r="I343" s="3">
        <f>IFERROR(IF(TS_ATHLETES[[#This Row],[TOTAL]]=0,"",RANK(TS_ATHLETES[[#This Row],[RANK VALUE]],TS_ATHLETES[RANK VALUE])+COUNTIF($H$1:H342,H343)),"")</f>
        <v>768</v>
      </c>
    </row>
    <row r="344" spans="1:9" x14ac:dyDescent="0.25">
      <c r="A344" t="s">
        <v>1388</v>
      </c>
      <c r="B344" s="3" t="s">
        <v>287</v>
      </c>
      <c r="C344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344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1</v>
      </c>
      <c r="E344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344" s="3">
        <f>SUM(TS_ATHLETES[[#This Row],[GOLD MEDALS]:[BRONZE MEDALS]])</f>
        <v>1</v>
      </c>
      <c r="G344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10000100</v>
      </c>
      <c r="H344" s="3">
        <f>IF(TS_ATHLETES[[#This Row],[TOTAL]]=0,"",RANK(TS_ATHLETES[[#This Row],[RANK VALUE]],TS_ATHLETES[RANK VALUE]))</f>
        <v>660</v>
      </c>
      <c r="I344" s="3">
        <f>IFERROR(IF(TS_ATHLETES[[#This Row],[TOTAL]]=0,"",RANK(TS_ATHLETES[[#This Row],[RANK VALUE]],TS_ATHLETES[RANK VALUE])+COUNTIF($H$1:H343,H344)),"")</f>
        <v>769</v>
      </c>
    </row>
    <row r="345" spans="1:9" x14ac:dyDescent="0.25">
      <c r="A345" t="s">
        <v>1389</v>
      </c>
      <c r="B345" s="3" t="s">
        <v>187</v>
      </c>
      <c r="C345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345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1</v>
      </c>
      <c r="E345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345" s="3">
        <f>SUM(TS_ATHLETES[[#This Row],[GOLD MEDALS]:[BRONZE MEDALS]])</f>
        <v>1</v>
      </c>
      <c r="G345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10000100</v>
      </c>
      <c r="H345" s="3">
        <f>IF(TS_ATHLETES[[#This Row],[TOTAL]]=0,"",RANK(TS_ATHLETES[[#This Row],[RANK VALUE]],TS_ATHLETES[RANK VALUE]))</f>
        <v>660</v>
      </c>
      <c r="I345" s="3">
        <f>IFERROR(IF(TS_ATHLETES[[#This Row],[TOTAL]]=0,"",RANK(TS_ATHLETES[[#This Row],[RANK VALUE]],TS_ATHLETES[RANK VALUE])+COUNTIF($H$1:H344,H345)),"")</f>
        <v>770</v>
      </c>
    </row>
    <row r="346" spans="1:9" x14ac:dyDescent="0.25">
      <c r="A346" t="s">
        <v>1390</v>
      </c>
      <c r="B346" s="3" t="s">
        <v>358</v>
      </c>
      <c r="C346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346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1</v>
      </c>
      <c r="E346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346" s="3">
        <f>SUM(TS_ATHLETES[[#This Row],[GOLD MEDALS]:[BRONZE MEDALS]])</f>
        <v>1</v>
      </c>
      <c r="G346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10000100</v>
      </c>
      <c r="H346" s="3">
        <f>IF(TS_ATHLETES[[#This Row],[TOTAL]]=0,"",RANK(TS_ATHLETES[[#This Row],[RANK VALUE]],TS_ATHLETES[RANK VALUE]))</f>
        <v>660</v>
      </c>
      <c r="I346" s="3">
        <f>IFERROR(IF(TS_ATHLETES[[#This Row],[TOTAL]]=0,"",RANK(TS_ATHLETES[[#This Row],[RANK VALUE]],TS_ATHLETES[RANK VALUE])+COUNTIF($H$1:H345,H346)),"")</f>
        <v>771</v>
      </c>
    </row>
    <row r="347" spans="1:9" x14ac:dyDescent="0.25">
      <c r="A347" t="s">
        <v>1391</v>
      </c>
      <c r="B347" s="3" t="s">
        <v>128</v>
      </c>
      <c r="C347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347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1</v>
      </c>
      <c r="E347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347" s="3">
        <f>SUM(TS_ATHLETES[[#This Row],[GOLD MEDALS]:[BRONZE MEDALS]])</f>
        <v>1</v>
      </c>
      <c r="G347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10000100</v>
      </c>
      <c r="H347" s="3">
        <f>IF(TS_ATHLETES[[#This Row],[TOTAL]]=0,"",RANK(TS_ATHLETES[[#This Row],[RANK VALUE]],TS_ATHLETES[RANK VALUE]))</f>
        <v>660</v>
      </c>
      <c r="I347" s="3">
        <f>IFERROR(IF(TS_ATHLETES[[#This Row],[TOTAL]]=0,"",RANK(TS_ATHLETES[[#This Row],[RANK VALUE]],TS_ATHLETES[RANK VALUE])+COUNTIF($H$1:H346,H347)),"")</f>
        <v>772</v>
      </c>
    </row>
    <row r="348" spans="1:9" x14ac:dyDescent="0.25">
      <c r="A348" t="s">
        <v>867</v>
      </c>
      <c r="B348" s="3" t="s">
        <v>51</v>
      </c>
      <c r="C348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348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1</v>
      </c>
      <c r="E348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348" s="3">
        <f>SUM(TS_ATHLETES[[#This Row],[GOLD MEDALS]:[BRONZE MEDALS]])</f>
        <v>1</v>
      </c>
      <c r="G348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10000100</v>
      </c>
      <c r="H348" s="3">
        <f>IF(TS_ATHLETES[[#This Row],[TOTAL]]=0,"",RANK(TS_ATHLETES[[#This Row],[RANK VALUE]],TS_ATHLETES[RANK VALUE]))</f>
        <v>660</v>
      </c>
      <c r="I348" s="3">
        <f>IFERROR(IF(TS_ATHLETES[[#This Row],[TOTAL]]=0,"",RANK(TS_ATHLETES[[#This Row],[RANK VALUE]],TS_ATHLETES[RANK VALUE])+COUNTIF($H$1:H347,H348)),"")</f>
        <v>773</v>
      </c>
    </row>
    <row r="349" spans="1:9" x14ac:dyDescent="0.25">
      <c r="A349" t="s">
        <v>1392</v>
      </c>
      <c r="B349" s="3" t="s">
        <v>175</v>
      </c>
      <c r="C349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349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1</v>
      </c>
      <c r="E349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349" s="3">
        <f>SUM(TS_ATHLETES[[#This Row],[GOLD MEDALS]:[BRONZE MEDALS]])</f>
        <v>1</v>
      </c>
      <c r="G349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10000100</v>
      </c>
      <c r="H349" s="3">
        <f>IF(TS_ATHLETES[[#This Row],[TOTAL]]=0,"",RANK(TS_ATHLETES[[#This Row],[RANK VALUE]],TS_ATHLETES[RANK VALUE]))</f>
        <v>660</v>
      </c>
      <c r="I349" s="3">
        <f>IFERROR(IF(TS_ATHLETES[[#This Row],[TOTAL]]=0,"",RANK(TS_ATHLETES[[#This Row],[RANK VALUE]],TS_ATHLETES[RANK VALUE])+COUNTIF($H$1:H348,H349)),"")</f>
        <v>774</v>
      </c>
    </row>
    <row r="350" spans="1:9" x14ac:dyDescent="0.25">
      <c r="A350" t="s">
        <v>1393</v>
      </c>
      <c r="B350" s="3" t="s">
        <v>175</v>
      </c>
      <c r="C350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350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1</v>
      </c>
      <c r="E350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350" s="3">
        <f>SUM(TS_ATHLETES[[#This Row],[GOLD MEDALS]:[BRONZE MEDALS]])</f>
        <v>1</v>
      </c>
      <c r="G350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10000100</v>
      </c>
      <c r="H350" s="3">
        <f>IF(TS_ATHLETES[[#This Row],[TOTAL]]=0,"",RANK(TS_ATHLETES[[#This Row],[RANK VALUE]],TS_ATHLETES[RANK VALUE]))</f>
        <v>660</v>
      </c>
      <c r="I350" s="3">
        <f>IFERROR(IF(TS_ATHLETES[[#This Row],[TOTAL]]=0,"",RANK(TS_ATHLETES[[#This Row],[RANK VALUE]],TS_ATHLETES[RANK VALUE])+COUNTIF($H$1:H349,H350)),"")</f>
        <v>775</v>
      </c>
    </row>
    <row r="351" spans="1:9" x14ac:dyDescent="0.25">
      <c r="A351" t="s">
        <v>1394</v>
      </c>
      <c r="B351" s="3" t="s">
        <v>331</v>
      </c>
      <c r="C351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351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1</v>
      </c>
      <c r="E351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351" s="3">
        <f>SUM(TS_ATHLETES[[#This Row],[GOLD MEDALS]:[BRONZE MEDALS]])</f>
        <v>1</v>
      </c>
      <c r="G351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10000100</v>
      </c>
      <c r="H351" s="3">
        <f>IF(TS_ATHLETES[[#This Row],[TOTAL]]=0,"",RANK(TS_ATHLETES[[#This Row],[RANK VALUE]],TS_ATHLETES[RANK VALUE]))</f>
        <v>660</v>
      </c>
      <c r="I351" s="3">
        <f>IFERROR(IF(TS_ATHLETES[[#This Row],[TOTAL]]=0,"",RANK(TS_ATHLETES[[#This Row],[RANK VALUE]],TS_ATHLETES[RANK VALUE])+COUNTIF($H$1:H350,H351)),"")</f>
        <v>776</v>
      </c>
    </row>
    <row r="352" spans="1:9" x14ac:dyDescent="0.25">
      <c r="A352" t="s">
        <v>1395</v>
      </c>
      <c r="B352" s="3" t="s">
        <v>77</v>
      </c>
      <c r="C352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352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1</v>
      </c>
      <c r="E352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352" s="3">
        <f>SUM(TS_ATHLETES[[#This Row],[GOLD MEDALS]:[BRONZE MEDALS]])</f>
        <v>1</v>
      </c>
      <c r="G352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10000100</v>
      </c>
      <c r="H352" s="3">
        <f>IF(TS_ATHLETES[[#This Row],[TOTAL]]=0,"",RANK(TS_ATHLETES[[#This Row],[RANK VALUE]],TS_ATHLETES[RANK VALUE]))</f>
        <v>660</v>
      </c>
      <c r="I352" s="3">
        <f>IFERROR(IF(TS_ATHLETES[[#This Row],[TOTAL]]=0,"",RANK(TS_ATHLETES[[#This Row],[RANK VALUE]],TS_ATHLETES[RANK VALUE])+COUNTIF($H$1:H351,H352)),"")</f>
        <v>777</v>
      </c>
    </row>
    <row r="353" spans="1:9" x14ac:dyDescent="0.25">
      <c r="A353" t="s">
        <v>1396</v>
      </c>
      <c r="B353" s="3" t="s">
        <v>77</v>
      </c>
      <c r="C353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353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1</v>
      </c>
      <c r="E353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1</v>
      </c>
      <c r="F353" s="3">
        <f>SUM(TS_ATHLETES[[#This Row],[GOLD MEDALS]:[BRONZE MEDALS]])</f>
        <v>2</v>
      </c>
      <c r="G353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20000110</v>
      </c>
      <c r="H353" s="3">
        <f>IF(TS_ATHLETES[[#This Row],[TOTAL]]=0,"",RANK(TS_ATHLETES[[#This Row],[RANK VALUE]],TS_ATHLETES[RANK VALUE]))</f>
        <v>108</v>
      </c>
      <c r="I353" s="3">
        <f>IFERROR(IF(TS_ATHLETES[[#This Row],[TOTAL]]=0,"",RANK(TS_ATHLETES[[#This Row],[RANK VALUE]],TS_ATHLETES[RANK VALUE])+COUNTIF($H$1:H352,H353)),"")</f>
        <v>111</v>
      </c>
    </row>
    <row r="354" spans="1:9" x14ac:dyDescent="0.25">
      <c r="A354" t="s">
        <v>870</v>
      </c>
      <c r="B354" s="3" t="s">
        <v>136</v>
      </c>
      <c r="C354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354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1</v>
      </c>
      <c r="E354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354" s="3">
        <f>SUM(TS_ATHLETES[[#This Row],[GOLD MEDALS]:[BRONZE MEDALS]])</f>
        <v>1</v>
      </c>
      <c r="G354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10000100</v>
      </c>
      <c r="H354" s="3">
        <f>IF(TS_ATHLETES[[#This Row],[TOTAL]]=0,"",RANK(TS_ATHLETES[[#This Row],[RANK VALUE]],TS_ATHLETES[RANK VALUE]))</f>
        <v>660</v>
      </c>
      <c r="I354" s="3">
        <f>IFERROR(IF(TS_ATHLETES[[#This Row],[TOTAL]]=0,"",RANK(TS_ATHLETES[[#This Row],[RANK VALUE]],TS_ATHLETES[RANK VALUE])+COUNTIF($H$1:H353,H354)),"")</f>
        <v>778</v>
      </c>
    </row>
    <row r="355" spans="1:9" x14ac:dyDescent="0.25">
      <c r="A355" t="s">
        <v>873</v>
      </c>
      <c r="B355" s="3" t="s">
        <v>287</v>
      </c>
      <c r="C355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355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1</v>
      </c>
      <c r="E355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355" s="3">
        <f>SUM(TS_ATHLETES[[#This Row],[GOLD MEDALS]:[BRONZE MEDALS]])</f>
        <v>1</v>
      </c>
      <c r="G355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10000100</v>
      </c>
      <c r="H355" s="3">
        <f>IF(TS_ATHLETES[[#This Row],[TOTAL]]=0,"",RANK(TS_ATHLETES[[#This Row],[RANK VALUE]],TS_ATHLETES[RANK VALUE]))</f>
        <v>660</v>
      </c>
      <c r="I355" s="3">
        <f>IFERROR(IF(TS_ATHLETES[[#This Row],[TOTAL]]=0,"",RANK(TS_ATHLETES[[#This Row],[RANK VALUE]],TS_ATHLETES[RANK VALUE])+COUNTIF($H$1:H354,H355)),"")</f>
        <v>779</v>
      </c>
    </row>
    <row r="356" spans="1:9" x14ac:dyDescent="0.25">
      <c r="A356" t="s">
        <v>1397</v>
      </c>
      <c r="B356" s="3" t="s">
        <v>253</v>
      </c>
      <c r="C356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356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1</v>
      </c>
      <c r="E356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356" s="3">
        <f>SUM(TS_ATHLETES[[#This Row],[GOLD MEDALS]:[BRONZE MEDALS]])</f>
        <v>1</v>
      </c>
      <c r="G356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10000100</v>
      </c>
      <c r="H356" s="3">
        <f>IF(TS_ATHLETES[[#This Row],[TOTAL]]=0,"",RANK(TS_ATHLETES[[#This Row],[RANK VALUE]],TS_ATHLETES[RANK VALUE]))</f>
        <v>660</v>
      </c>
      <c r="I356" s="3">
        <f>IFERROR(IF(TS_ATHLETES[[#This Row],[TOTAL]]=0,"",RANK(TS_ATHLETES[[#This Row],[RANK VALUE]],TS_ATHLETES[RANK VALUE])+COUNTIF($H$1:H355,H356)),"")</f>
        <v>780</v>
      </c>
    </row>
    <row r="357" spans="1:9" x14ac:dyDescent="0.25">
      <c r="A357" t="s">
        <v>1398</v>
      </c>
      <c r="B357" s="3" t="s">
        <v>175</v>
      </c>
      <c r="C357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357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1</v>
      </c>
      <c r="E357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357" s="3">
        <f>SUM(TS_ATHLETES[[#This Row],[GOLD MEDALS]:[BRONZE MEDALS]])</f>
        <v>1</v>
      </c>
      <c r="G357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10000100</v>
      </c>
      <c r="H357" s="3">
        <f>IF(TS_ATHLETES[[#This Row],[TOTAL]]=0,"",RANK(TS_ATHLETES[[#This Row],[RANK VALUE]],TS_ATHLETES[RANK VALUE]))</f>
        <v>660</v>
      </c>
      <c r="I357" s="3">
        <f>IFERROR(IF(TS_ATHLETES[[#This Row],[TOTAL]]=0,"",RANK(TS_ATHLETES[[#This Row],[RANK VALUE]],TS_ATHLETES[RANK VALUE])+COUNTIF($H$1:H356,H357)),"")</f>
        <v>781</v>
      </c>
    </row>
    <row r="358" spans="1:9" x14ac:dyDescent="0.25">
      <c r="A358" t="s">
        <v>875</v>
      </c>
      <c r="B358" s="3" t="s">
        <v>363</v>
      </c>
      <c r="C358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2</v>
      </c>
      <c r="D358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2</v>
      </c>
      <c r="E358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358" s="3">
        <f>SUM(TS_ATHLETES[[#This Row],[GOLD MEDALS]:[BRONZE MEDALS]])</f>
        <v>4</v>
      </c>
      <c r="G358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40200200</v>
      </c>
      <c r="H358" s="3">
        <f>IF(TS_ATHLETES[[#This Row],[TOTAL]]=0,"",RANK(TS_ATHLETES[[#This Row],[RANK VALUE]],TS_ATHLETES[RANK VALUE]))</f>
        <v>5</v>
      </c>
      <c r="I358" s="3">
        <f>IFERROR(IF(TS_ATHLETES[[#This Row],[TOTAL]]=0,"",RANK(TS_ATHLETES[[#This Row],[RANK VALUE]],TS_ATHLETES[RANK VALUE])+COUNTIF($H$1:H357,H358)),"")</f>
        <v>5</v>
      </c>
    </row>
    <row r="359" spans="1:9" x14ac:dyDescent="0.25">
      <c r="A359" t="s">
        <v>1399</v>
      </c>
      <c r="B359" s="3" t="s">
        <v>361</v>
      </c>
      <c r="C359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359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2</v>
      </c>
      <c r="E359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359" s="3">
        <f>SUM(TS_ATHLETES[[#This Row],[GOLD MEDALS]:[BRONZE MEDALS]])</f>
        <v>2</v>
      </c>
      <c r="G359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20000200</v>
      </c>
      <c r="H359" s="3">
        <f>IF(TS_ATHLETES[[#This Row],[TOTAL]]=0,"",RANK(TS_ATHLETES[[#This Row],[RANK VALUE]],TS_ATHLETES[RANK VALUE]))</f>
        <v>92</v>
      </c>
      <c r="I359" s="3">
        <f>IFERROR(IF(TS_ATHLETES[[#This Row],[TOTAL]]=0,"",RANK(TS_ATHLETES[[#This Row],[RANK VALUE]],TS_ATHLETES[RANK VALUE])+COUNTIF($H$1:H358,H359)),"")</f>
        <v>97</v>
      </c>
    </row>
    <row r="360" spans="1:9" x14ac:dyDescent="0.25">
      <c r="A360" t="s">
        <v>1400</v>
      </c>
      <c r="B360" s="3" t="s">
        <v>363</v>
      </c>
      <c r="C360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1</v>
      </c>
      <c r="D360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1</v>
      </c>
      <c r="E360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360" s="3">
        <f>SUM(TS_ATHLETES[[#This Row],[GOLD MEDALS]:[BRONZE MEDALS]])</f>
        <v>2</v>
      </c>
      <c r="G360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20100100</v>
      </c>
      <c r="H360" s="3">
        <f>IF(TS_ATHLETES[[#This Row],[TOTAL]]=0,"",RANK(TS_ATHLETES[[#This Row],[RANK VALUE]],TS_ATHLETES[RANK VALUE]))</f>
        <v>48</v>
      </c>
      <c r="I360" s="3">
        <f>IFERROR(IF(TS_ATHLETES[[#This Row],[TOTAL]]=0,"",RANK(TS_ATHLETES[[#This Row],[RANK VALUE]],TS_ATHLETES[RANK VALUE])+COUNTIF($H$1:H359,H360)),"")</f>
        <v>63</v>
      </c>
    </row>
    <row r="361" spans="1:9" x14ac:dyDescent="0.25">
      <c r="A361" t="s">
        <v>1401</v>
      </c>
      <c r="B361" s="3" t="s">
        <v>287</v>
      </c>
      <c r="C361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361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2</v>
      </c>
      <c r="E361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361" s="3">
        <f>SUM(TS_ATHLETES[[#This Row],[GOLD MEDALS]:[BRONZE MEDALS]])</f>
        <v>2</v>
      </c>
      <c r="G361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20000200</v>
      </c>
      <c r="H361" s="3">
        <f>IF(TS_ATHLETES[[#This Row],[TOTAL]]=0,"",RANK(TS_ATHLETES[[#This Row],[RANK VALUE]],TS_ATHLETES[RANK VALUE]))</f>
        <v>92</v>
      </c>
      <c r="I361" s="3">
        <f>IFERROR(IF(TS_ATHLETES[[#This Row],[TOTAL]]=0,"",RANK(TS_ATHLETES[[#This Row],[RANK VALUE]],TS_ATHLETES[RANK VALUE])+COUNTIF($H$1:H360,H361)),"")</f>
        <v>98</v>
      </c>
    </row>
    <row r="362" spans="1:9" x14ac:dyDescent="0.25">
      <c r="A362" t="s">
        <v>876</v>
      </c>
      <c r="B362" s="3" t="s">
        <v>66</v>
      </c>
      <c r="C362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1</v>
      </c>
      <c r="D362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1</v>
      </c>
      <c r="E362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2</v>
      </c>
      <c r="F362" s="3">
        <f>SUM(TS_ATHLETES[[#This Row],[GOLD MEDALS]:[BRONZE MEDALS]])</f>
        <v>4</v>
      </c>
      <c r="G362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40100120</v>
      </c>
      <c r="H362" s="3">
        <f>IF(TS_ATHLETES[[#This Row],[TOTAL]]=0,"",RANK(TS_ATHLETES[[#This Row],[RANK VALUE]],TS_ATHLETES[RANK VALUE]))</f>
        <v>9</v>
      </c>
      <c r="I362" s="3">
        <f>IFERROR(IF(TS_ATHLETES[[#This Row],[TOTAL]]=0,"",RANK(TS_ATHLETES[[#This Row],[RANK VALUE]],TS_ATHLETES[RANK VALUE])+COUNTIF($H$1:H361,H362)),"")</f>
        <v>9</v>
      </c>
    </row>
    <row r="363" spans="1:9" x14ac:dyDescent="0.25">
      <c r="A363" t="s">
        <v>1402</v>
      </c>
      <c r="B363" s="3" t="s">
        <v>21</v>
      </c>
      <c r="C363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363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2</v>
      </c>
      <c r="E363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363" s="3">
        <f>SUM(TS_ATHLETES[[#This Row],[GOLD MEDALS]:[BRONZE MEDALS]])</f>
        <v>2</v>
      </c>
      <c r="G363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20000200</v>
      </c>
      <c r="H363" s="3">
        <f>IF(TS_ATHLETES[[#This Row],[TOTAL]]=0,"",RANK(TS_ATHLETES[[#This Row],[RANK VALUE]],TS_ATHLETES[RANK VALUE]))</f>
        <v>92</v>
      </c>
      <c r="I363" s="3">
        <f>IFERROR(IF(TS_ATHLETES[[#This Row],[TOTAL]]=0,"",RANK(TS_ATHLETES[[#This Row],[RANK VALUE]],TS_ATHLETES[RANK VALUE])+COUNTIF($H$1:H362,H363)),"")</f>
        <v>99</v>
      </c>
    </row>
    <row r="364" spans="1:9" x14ac:dyDescent="0.25">
      <c r="A364" t="s">
        <v>1403</v>
      </c>
      <c r="B364" s="3" t="s">
        <v>361</v>
      </c>
      <c r="C364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364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1</v>
      </c>
      <c r="E364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364" s="3">
        <f>SUM(TS_ATHLETES[[#This Row],[GOLD MEDALS]:[BRONZE MEDALS]])</f>
        <v>1</v>
      </c>
      <c r="G364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10000100</v>
      </c>
      <c r="H364" s="3">
        <f>IF(TS_ATHLETES[[#This Row],[TOTAL]]=0,"",RANK(TS_ATHLETES[[#This Row],[RANK VALUE]],TS_ATHLETES[RANK VALUE]))</f>
        <v>660</v>
      </c>
      <c r="I364" s="3">
        <f>IFERROR(IF(TS_ATHLETES[[#This Row],[TOTAL]]=0,"",RANK(TS_ATHLETES[[#This Row],[RANK VALUE]],TS_ATHLETES[RANK VALUE])+COUNTIF($H$1:H363,H364)),"")</f>
        <v>782</v>
      </c>
    </row>
    <row r="365" spans="1:9" x14ac:dyDescent="0.25">
      <c r="A365" t="s">
        <v>1404</v>
      </c>
      <c r="B365" s="3" t="s">
        <v>128</v>
      </c>
      <c r="C365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365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2</v>
      </c>
      <c r="E365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365" s="3">
        <f>SUM(TS_ATHLETES[[#This Row],[GOLD MEDALS]:[BRONZE MEDALS]])</f>
        <v>2</v>
      </c>
      <c r="G365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20000200</v>
      </c>
      <c r="H365" s="3">
        <f>IF(TS_ATHLETES[[#This Row],[TOTAL]]=0,"",RANK(TS_ATHLETES[[#This Row],[RANK VALUE]],TS_ATHLETES[RANK VALUE]))</f>
        <v>92</v>
      </c>
      <c r="I365" s="3">
        <f>IFERROR(IF(TS_ATHLETES[[#This Row],[TOTAL]]=0,"",RANK(TS_ATHLETES[[#This Row],[RANK VALUE]],TS_ATHLETES[RANK VALUE])+COUNTIF($H$1:H364,H365)),"")</f>
        <v>100</v>
      </c>
    </row>
    <row r="366" spans="1:9" x14ac:dyDescent="0.25">
      <c r="A366" t="s">
        <v>1405</v>
      </c>
      <c r="B366" s="3" t="s">
        <v>37</v>
      </c>
      <c r="C366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366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1</v>
      </c>
      <c r="E366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366" s="3">
        <f>SUM(TS_ATHLETES[[#This Row],[GOLD MEDALS]:[BRONZE MEDALS]])</f>
        <v>1</v>
      </c>
      <c r="G366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10000100</v>
      </c>
      <c r="H366" s="3">
        <f>IF(TS_ATHLETES[[#This Row],[TOTAL]]=0,"",RANK(TS_ATHLETES[[#This Row],[RANK VALUE]],TS_ATHLETES[RANK VALUE]))</f>
        <v>660</v>
      </c>
      <c r="I366" s="3">
        <f>IFERROR(IF(TS_ATHLETES[[#This Row],[TOTAL]]=0,"",RANK(TS_ATHLETES[[#This Row],[RANK VALUE]],TS_ATHLETES[RANK VALUE])+COUNTIF($H$1:H365,H366)),"")</f>
        <v>783</v>
      </c>
    </row>
    <row r="367" spans="1:9" x14ac:dyDescent="0.25">
      <c r="A367" t="s">
        <v>1406</v>
      </c>
      <c r="B367" s="3" t="s">
        <v>319</v>
      </c>
      <c r="C367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367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2</v>
      </c>
      <c r="E367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367" s="3">
        <f>SUM(TS_ATHLETES[[#This Row],[GOLD MEDALS]:[BRONZE MEDALS]])</f>
        <v>2</v>
      </c>
      <c r="G367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20000200</v>
      </c>
      <c r="H367" s="3">
        <f>IF(TS_ATHLETES[[#This Row],[TOTAL]]=0,"",RANK(TS_ATHLETES[[#This Row],[RANK VALUE]],TS_ATHLETES[RANK VALUE]))</f>
        <v>92</v>
      </c>
      <c r="I367" s="3">
        <f>IFERROR(IF(TS_ATHLETES[[#This Row],[TOTAL]]=0,"",RANK(TS_ATHLETES[[#This Row],[RANK VALUE]],TS_ATHLETES[RANK VALUE])+COUNTIF($H$1:H366,H367)),"")</f>
        <v>101</v>
      </c>
    </row>
    <row r="368" spans="1:9" x14ac:dyDescent="0.25">
      <c r="A368" t="s">
        <v>1407</v>
      </c>
      <c r="B368" s="3" t="s">
        <v>363</v>
      </c>
      <c r="C368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368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1</v>
      </c>
      <c r="E368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368" s="3">
        <f>SUM(TS_ATHLETES[[#This Row],[GOLD MEDALS]:[BRONZE MEDALS]])</f>
        <v>1</v>
      </c>
      <c r="G368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10000100</v>
      </c>
      <c r="H368" s="3">
        <f>IF(TS_ATHLETES[[#This Row],[TOTAL]]=0,"",RANK(TS_ATHLETES[[#This Row],[RANK VALUE]],TS_ATHLETES[RANK VALUE]))</f>
        <v>660</v>
      </c>
      <c r="I368" s="3">
        <f>IFERROR(IF(TS_ATHLETES[[#This Row],[TOTAL]]=0,"",RANK(TS_ATHLETES[[#This Row],[RANK VALUE]],TS_ATHLETES[RANK VALUE])+COUNTIF($H$1:H367,H368)),"")</f>
        <v>784</v>
      </c>
    </row>
    <row r="369" spans="1:9" x14ac:dyDescent="0.25">
      <c r="A369" t="s">
        <v>1408</v>
      </c>
      <c r="B369" s="3" t="s">
        <v>77</v>
      </c>
      <c r="C369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369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1</v>
      </c>
      <c r="E369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369" s="3">
        <f>SUM(TS_ATHLETES[[#This Row],[GOLD MEDALS]:[BRONZE MEDALS]])</f>
        <v>1</v>
      </c>
      <c r="G369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10000100</v>
      </c>
      <c r="H369" s="3">
        <f>IF(TS_ATHLETES[[#This Row],[TOTAL]]=0,"",RANK(TS_ATHLETES[[#This Row],[RANK VALUE]],TS_ATHLETES[RANK VALUE]))</f>
        <v>660</v>
      </c>
      <c r="I369" s="3">
        <f>IFERROR(IF(TS_ATHLETES[[#This Row],[TOTAL]]=0,"",RANK(TS_ATHLETES[[#This Row],[RANK VALUE]],TS_ATHLETES[RANK VALUE])+COUNTIF($H$1:H368,H369)),"")</f>
        <v>785</v>
      </c>
    </row>
    <row r="370" spans="1:9" x14ac:dyDescent="0.25">
      <c r="A370" t="s">
        <v>1409</v>
      </c>
      <c r="B370" s="3" t="s">
        <v>21</v>
      </c>
      <c r="C370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370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1</v>
      </c>
      <c r="E370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1</v>
      </c>
      <c r="F370" s="3">
        <f>SUM(TS_ATHLETES[[#This Row],[GOLD MEDALS]:[BRONZE MEDALS]])</f>
        <v>2</v>
      </c>
      <c r="G370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20000110</v>
      </c>
      <c r="H370" s="3">
        <f>IF(TS_ATHLETES[[#This Row],[TOTAL]]=0,"",RANK(TS_ATHLETES[[#This Row],[RANK VALUE]],TS_ATHLETES[RANK VALUE]))</f>
        <v>108</v>
      </c>
      <c r="I370" s="3">
        <f>IFERROR(IF(TS_ATHLETES[[#This Row],[TOTAL]]=0,"",RANK(TS_ATHLETES[[#This Row],[RANK VALUE]],TS_ATHLETES[RANK VALUE])+COUNTIF($H$1:H369,H370)),"")</f>
        <v>112</v>
      </c>
    </row>
    <row r="371" spans="1:9" x14ac:dyDescent="0.25">
      <c r="A371" t="s">
        <v>1410</v>
      </c>
      <c r="B371" s="3" t="s">
        <v>319</v>
      </c>
      <c r="C371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371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1</v>
      </c>
      <c r="E371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371" s="3">
        <f>SUM(TS_ATHLETES[[#This Row],[GOLD MEDALS]:[BRONZE MEDALS]])</f>
        <v>1</v>
      </c>
      <c r="G371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10000100</v>
      </c>
      <c r="H371" s="3">
        <f>IF(TS_ATHLETES[[#This Row],[TOTAL]]=0,"",RANK(TS_ATHLETES[[#This Row],[RANK VALUE]],TS_ATHLETES[RANK VALUE]))</f>
        <v>660</v>
      </c>
      <c r="I371" s="3">
        <f>IFERROR(IF(TS_ATHLETES[[#This Row],[TOTAL]]=0,"",RANK(TS_ATHLETES[[#This Row],[RANK VALUE]],TS_ATHLETES[RANK VALUE])+COUNTIF($H$1:H370,H371)),"")</f>
        <v>786</v>
      </c>
    </row>
    <row r="372" spans="1:9" x14ac:dyDescent="0.25">
      <c r="A372" t="s">
        <v>1411</v>
      </c>
      <c r="B372" s="3" t="s">
        <v>363</v>
      </c>
      <c r="C372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372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1</v>
      </c>
      <c r="E372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372" s="3">
        <f>SUM(TS_ATHLETES[[#This Row],[GOLD MEDALS]:[BRONZE MEDALS]])</f>
        <v>1</v>
      </c>
      <c r="G372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10000100</v>
      </c>
      <c r="H372" s="3">
        <f>IF(TS_ATHLETES[[#This Row],[TOTAL]]=0,"",RANK(TS_ATHLETES[[#This Row],[RANK VALUE]],TS_ATHLETES[RANK VALUE]))</f>
        <v>660</v>
      </c>
      <c r="I372" s="3">
        <f>IFERROR(IF(TS_ATHLETES[[#This Row],[TOTAL]]=0,"",RANK(TS_ATHLETES[[#This Row],[RANK VALUE]],TS_ATHLETES[RANK VALUE])+COUNTIF($H$1:H371,H372)),"")</f>
        <v>787</v>
      </c>
    </row>
    <row r="373" spans="1:9" x14ac:dyDescent="0.25">
      <c r="A373" t="s">
        <v>1412</v>
      </c>
      <c r="B373" s="3" t="s">
        <v>752</v>
      </c>
      <c r="C373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373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373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373" s="3">
        <f>SUM(TS_ATHLETES[[#This Row],[GOLD MEDALS]:[BRONZE MEDALS]])</f>
        <v>0</v>
      </c>
      <c r="G373" s="3" t="str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/>
      </c>
      <c r="H373" s="3" t="str">
        <f>IF(TS_ATHLETES[[#This Row],[TOTAL]]=0,"",RANK(TS_ATHLETES[[#This Row],[RANK VALUE]],TS_ATHLETES[RANK VALUE]))</f>
        <v/>
      </c>
      <c r="I373" s="3" t="str">
        <f>IFERROR(IF(TS_ATHLETES[[#This Row],[TOTAL]]=0,"",RANK(TS_ATHLETES[[#This Row],[RANK VALUE]],TS_ATHLETES[RANK VALUE])+COUNTIF($H$1:H372,H373)),"")</f>
        <v/>
      </c>
    </row>
    <row r="374" spans="1:9" x14ac:dyDescent="0.25">
      <c r="A374" t="s">
        <v>1413</v>
      </c>
      <c r="B374" s="3" t="s">
        <v>179</v>
      </c>
      <c r="C374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374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1</v>
      </c>
      <c r="E374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374" s="3">
        <f>SUM(TS_ATHLETES[[#This Row],[GOLD MEDALS]:[BRONZE MEDALS]])</f>
        <v>1</v>
      </c>
      <c r="G374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10000100</v>
      </c>
      <c r="H374" s="3">
        <f>IF(TS_ATHLETES[[#This Row],[TOTAL]]=0,"",RANK(TS_ATHLETES[[#This Row],[RANK VALUE]],TS_ATHLETES[RANK VALUE]))</f>
        <v>660</v>
      </c>
      <c r="I374" s="3">
        <f>IFERROR(IF(TS_ATHLETES[[#This Row],[TOTAL]]=0,"",RANK(TS_ATHLETES[[#This Row],[RANK VALUE]],TS_ATHLETES[RANK VALUE])+COUNTIF($H$1:H373,H374)),"")</f>
        <v>788</v>
      </c>
    </row>
    <row r="375" spans="1:9" x14ac:dyDescent="0.25">
      <c r="A375" t="s">
        <v>1414</v>
      </c>
      <c r="B375" s="3" t="s">
        <v>363</v>
      </c>
      <c r="C375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375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1</v>
      </c>
      <c r="E375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375" s="3">
        <f>SUM(TS_ATHLETES[[#This Row],[GOLD MEDALS]:[BRONZE MEDALS]])</f>
        <v>1</v>
      </c>
      <c r="G375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10000100</v>
      </c>
      <c r="H375" s="3">
        <f>IF(TS_ATHLETES[[#This Row],[TOTAL]]=0,"",RANK(TS_ATHLETES[[#This Row],[RANK VALUE]],TS_ATHLETES[RANK VALUE]))</f>
        <v>660</v>
      </c>
      <c r="I375" s="3">
        <f>IFERROR(IF(TS_ATHLETES[[#This Row],[TOTAL]]=0,"",RANK(TS_ATHLETES[[#This Row],[RANK VALUE]],TS_ATHLETES[RANK VALUE])+COUNTIF($H$1:H374,H375)),"")</f>
        <v>789</v>
      </c>
    </row>
    <row r="376" spans="1:9" x14ac:dyDescent="0.25">
      <c r="A376" t="s">
        <v>1415</v>
      </c>
      <c r="B376" s="3" t="s">
        <v>77</v>
      </c>
      <c r="C376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1</v>
      </c>
      <c r="D376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1</v>
      </c>
      <c r="E376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376" s="3">
        <f>SUM(TS_ATHLETES[[#This Row],[GOLD MEDALS]:[BRONZE MEDALS]])</f>
        <v>2</v>
      </c>
      <c r="G376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20100100</v>
      </c>
      <c r="H376" s="3">
        <f>IF(TS_ATHLETES[[#This Row],[TOTAL]]=0,"",RANK(TS_ATHLETES[[#This Row],[RANK VALUE]],TS_ATHLETES[RANK VALUE]))</f>
        <v>48</v>
      </c>
      <c r="I376" s="3">
        <f>IFERROR(IF(TS_ATHLETES[[#This Row],[TOTAL]]=0,"",RANK(TS_ATHLETES[[#This Row],[RANK VALUE]],TS_ATHLETES[RANK VALUE])+COUNTIF($H$1:H375,H376)),"")</f>
        <v>64</v>
      </c>
    </row>
    <row r="377" spans="1:9" x14ac:dyDescent="0.25">
      <c r="A377" t="s">
        <v>1416</v>
      </c>
      <c r="B377" s="3" t="s">
        <v>77</v>
      </c>
      <c r="C377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1</v>
      </c>
      <c r="D377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1</v>
      </c>
      <c r="E377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377" s="3">
        <f>SUM(TS_ATHLETES[[#This Row],[GOLD MEDALS]:[BRONZE MEDALS]])</f>
        <v>2</v>
      </c>
      <c r="G377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20100100</v>
      </c>
      <c r="H377" s="3">
        <f>IF(TS_ATHLETES[[#This Row],[TOTAL]]=0,"",RANK(TS_ATHLETES[[#This Row],[RANK VALUE]],TS_ATHLETES[RANK VALUE]))</f>
        <v>48</v>
      </c>
      <c r="I377" s="3">
        <f>IFERROR(IF(TS_ATHLETES[[#This Row],[TOTAL]]=0,"",RANK(TS_ATHLETES[[#This Row],[RANK VALUE]],TS_ATHLETES[RANK VALUE])+COUNTIF($H$1:H376,H377)),"")</f>
        <v>65</v>
      </c>
    </row>
    <row r="378" spans="1:9" x14ac:dyDescent="0.25">
      <c r="A378" t="s">
        <v>1417</v>
      </c>
      <c r="B378" s="3" t="s">
        <v>343</v>
      </c>
      <c r="C378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378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1</v>
      </c>
      <c r="E378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378" s="3">
        <f>SUM(TS_ATHLETES[[#This Row],[GOLD MEDALS]:[BRONZE MEDALS]])</f>
        <v>1</v>
      </c>
      <c r="G378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10000100</v>
      </c>
      <c r="H378" s="3">
        <f>IF(TS_ATHLETES[[#This Row],[TOTAL]]=0,"",RANK(TS_ATHLETES[[#This Row],[RANK VALUE]],TS_ATHLETES[RANK VALUE]))</f>
        <v>660</v>
      </c>
      <c r="I378" s="3">
        <f>IFERROR(IF(TS_ATHLETES[[#This Row],[TOTAL]]=0,"",RANK(TS_ATHLETES[[#This Row],[RANK VALUE]],TS_ATHLETES[RANK VALUE])+COUNTIF($H$1:H377,H378)),"")</f>
        <v>790</v>
      </c>
    </row>
    <row r="379" spans="1:9" x14ac:dyDescent="0.25">
      <c r="A379" t="s">
        <v>1418</v>
      </c>
      <c r="B379" s="3" t="s">
        <v>287</v>
      </c>
      <c r="C379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379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1</v>
      </c>
      <c r="E379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379" s="3">
        <f>SUM(TS_ATHLETES[[#This Row],[GOLD MEDALS]:[BRONZE MEDALS]])</f>
        <v>1</v>
      </c>
      <c r="G379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10000100</v>
      </c>
      <c r="H379" s="3">
        <f>IF(TS_ATHLETES[[#This Row],[TOTAL]]=0,"",RANK(TS_ATHLETES[[#This Row],[RANK VALUE]],TS_ATHLETES[RANK VALUE]))</f>
        <v>660</v>
      </c>
      <c r="I379" s="3">
        <f>IFERROR(IF(TS_ATHLETES[[#This Row],[TOTAL]]=0,"",RANK(TS_ATHLETES[[#This Row],[RANK VALUE]],TS_ATHLETES[RANK VALUE])+COUNTIF($H$1:H378,H379)),"")</f>
        <v>791</v>
      </c>
    </row>
    <row r="380" spans="1:9" x14ac:dyDescent="0.25">
      <c r="A380" t="s">
        <v>1419</v>
      </c>
      <c r="B380" s="3" t="s">
        <v>361</v>
      </c>
      <c r="C380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380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1</v>
      </c>
      <c r="E380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380" s="3">
        <f>SUM(TS_ATHLETES[[#This Row],[GOLD MEDALS]:[BRONZE MEDALS]])</f>
        <v>1</v>
      </c>
      <c r="G380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10000100</v>
      </c>
      <c r="H380" s="3">
        <f>IF(TS_ATHLETES[[#This Row],[TOTAL]]=0,"",RANK(TS_ATHLETES[[#This Row],[RANK VALUE]],TS_ATHLETES[RANK VALUE]))</f>
        <v>660</v>
      </c>
      <c r="I380" s="3">
        <f>IFERROR(IF(TS_ATHLETES[[#This Row],[TOTAL]]=0,"",RANK(TS_ATHLETES[[#This Row],[RANK VALUE]],TS_ATHLETES[RANK VALUE])+COUNTIF($H$1:H379,H380)),"")</f>
        <v>792</v>
      </c>
    </row>
    <row r="381" spans="1:9" x14ac:dyDescent="0.25">
      <c r="A381" t="s">
        <v>1420</v>
      </c>
      <c r="B381" s="3" t="s">
        <v>257</v>
      </c>
      <c r="C381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381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1</v>
      </c>
      <c r="E381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381" s="3">
        <f>SUM(TS_ATHLETES[[#This Row],[GOLD MEDALS]:[BRONZE MEDALS]])</f>
        <v>1</v>
      </c>
      <c r="G381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10000100</v>
      </c>
      <c r="H381" s="3">
        <f>IF(TS_ATHLETES[[#This Row],[TOTAL]]=0,"",RANK(TS_ATHLETES[[#This Row],[RANK VALUE]],TS_ATHLETES[RANK VALUE]))</f>
        <v>660</v>
      </c>
      <c r="I381" s="3">
        <f>IFERROR(IF(TS_ATHLETES[[#This Row],[TOTAL]]=0,"",RANK(TS_ATHLETES[[#This Row],[RANK VALUE]],TS_ATHLETES[RANK VALUE])+COUNTIF($H$1:H380,H381)),"")</f>
        <v>793</v>
      </c>
    </row>
    <row r="382" spans="1:9" x14ac:dyDescent="0.25">
      <c r="A382" t="s">
        <v>1421</v>
      </c>
      <c r="B382" s="3" t="s">
        <v>536</v>
      </c>
      <c r="C382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382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1</v>
      </c>
      <c r="E382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382" s="3">
        <f>SUM(TS_ATHLETES[[#This Row],[GOLD MEDALS]:[BRONZE MEDALS]])</f>
        <v>1</v>
      </c>
      <c r="G382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10000100</v>
      </c>
      <c r="H382" s="3">
        <f>IF(TS_ATHLETES[[#This Row],[TOTAL]]=0,"",RANK(TS_ATHLETES[[#This Row],[RANK VALUE]],TS_ATHLETES[RANK VALUE]))</f>
        <v>660</v>
      </c>
      <c r="I382" s="3">
        <f>IFERROR(IF(TS_ATHLETES[[#This Row],[TOTAL]]=0,"",RANK(TS_ATHLETES[[#This Row],[RANK VALUE]],TS_ATHLETES[RANK VALUE])+COUNTIF($H$1:H381,H382)),"")</f>
        <v>794</v>
      </c>
    </row>
    <row r="383" spans="1:9" x14ac:dyDescent="0.25">
      <c r="A383" t="s">
        <v>1422</v>
      </c>
      <c r="B383" s="3" t="s">
        <v>321</v>
      </c>
      <c r="C383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383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1</v>
      </c>
      <c r="E383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383" s="3">
        <f>SUM(TS_ATHLETES[[#This Row],[GOLD MEDALS]:[BRONZE MEDALS]])</f>
        <v>1</v>
      </c>
      <c r="G383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10000100</v>
      </c>
      <c r="H383" s="3">
        <f>IF(TS_ATHLETES[[#This Row],[TOTAL]]=0,"",RANK(TS_ATHLETES[[#This Row],[RANK VALUE]],TS_ATHLETES[RANK VALUE]))</f>
        <v>660</v>
      </c>
      <c r="I383" s="3">
        <f>IFERROR(IF(TS_ATHLETES[[#This Row],[TOTAL]]=0,"",RANK(TS_ATHLETES[[#This Row],[RANK VALUE]],TS_ATHLETES[RANK VALUE])+COUNTIF($H$1:H382,H383)),"")</f>
        <v>795</v>
      </c>
    </row>
    <row r="384" spans="1:9" x14ac:dyDescent="0.25">
      <c r="A384" t="s">
        <v>1423</v>
      </c>
      <c r="B384" s="3" t="s">
        <v>128</v>
      </c>
      <c r="C384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384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1</v>
      </c>
      <c r="E384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384" s="3">
        <f>SUM(TS_ATHLETES[[#This Row],[GOLD MEDALS]:[BRONZE MEDALS]])</f>
        <v>1</v>
      </c>
      <c r="G384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10000100</v>
      </c>
      <c r="H384" s="3">
        <f>IF(TS_ATHLETES[[#This Row],[TOTAL]]=0,"",RANK(TS_ATHLETES[[#This Row],[RANK VALUE]],TS_ATHLETES[RANK VALUE]))</f>
        <v>660</v>
      </c>
      <c r="I384" s="3">
        <f>IFERROR(IF(TS_ATHLETES[[#This Row],[TOTAL]]=0,"",RANK(TS_ATHLETES[[#This Row],[RANK VALUE]],TS_ATHLETES[RANK VALUE])+COUNTIF($H$1:H383,H384)),"")</f>
        <v>796</v>
      </c>
    </row>
    <row r="385" spans="1:9" x14ac:dyDescent="0.25">
      <c r="A385" t="s">
        <v>1424</v>
      </c>
      <c r="B385" s="3" t="s">
        <v>229</v>
      </c>
      <c r="C385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385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1</v>
      </c>
      <c r="E385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385" s="3">
        <f>SUM(TS_ATHLETES[[#This Row],[GOLD MEDALS]:[BRONZE MEDALS]])</f>
        <v>1</v>
      </c>
      <c r="G385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10000100</v>
      </c>
      <c r="H385" s="3">
        <f>IF(TS_ATHLETES[[#This Row],[TOTAL]]=0,"",RANK(TS_ATHLETES[[#This Row],[RANK VALUE]],TS_ATHLETES[RANK VALUE]))</f>
        <v>660</v>
      </c>
      <c r="I385" s="3">
        <f>IFERROR(IF(TS_ATHLETES[[#This Row],[TOTAL]]=0,"",RANK(TS_ATHLETES[[#This Row],[RANK VALUE]],TS_ATHLETES[RANK VALUE])+COUNTIF($H$1:H384,H385)),"")</f>
        <v>797</v>
      </c>
    </row>
    <row r="386" spans="1:9" x14ac:dyDescent="0.25">
      <c r="A386" t="s">
        <v>1425</v>
      </c>
      <c r="B386" s="3" t="s">
        <v>16</v>
      </c>
      <c r="C386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386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1</v>
      </c>
      <c r="E386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386" s="3">
        <f>SUM(TS_ATHLETES[[#This Row],[GOLD MEDALS]:[BRONZE MEDALS]])</f>
        <v>1</v>
      </c>
      <c r="G386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10000100</v>
      </c>
      <c r="H386" s="3">
        <f>IF(TS_ATHLETES[[#This Row],[TOTAL]]=0,"",RANK(TS_ATHLETES[[#This Row],[RANK VALUE]],TS_ATHLETES[RANK VALUE]))</f>
        <v>660</v>
      </c>
      <c r="I386" s="3">
        <f>IFERROR(IF(TS_ATHLETES[[#This Row],[TOTAL]]=0,"",RANK(TS_ATHLETES[[#This Row],[RANK VALUE]],TS_ATHLETES[RANK VALUE])+COUNTIF($H$1:H385,H386)),"")</f>
        <v>798</v>
      </c>
    </row>
    <row r="387" spans="1:9" x14ac:dyDescent="0.25">
      <c r="A387" t="s">
        <v>1426</v>
      </c>
      <c r="B387" s="3" t="s">
        <v>136</v>
      </c>
      <c r="C387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387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1</v>
      </c>
      <c r="E387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387" s="3">
        <f>SUM(TS_ATHLETES[[#This Row],[GOLD MEDALS]:[BRONZE MEDALS]])</f>
        <v>1</v>
      </c>
      <c r="G387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10000100</v>
      </c>
      <c r="H387" s="3">
        <f>IF(TS_ATHLETES[[#This Row],[TOTAL]]=0,"",RANK(TS_ATHLETES[[#This Row],[RANK VALUE]],TS_ATHLETES[RANK VALUE]))</f>
        <v>660</v>
      </c>
      <c r="I387" s="3">
        <f>IFERROR(IF(TS_ATHLETES[[#This Row],[TOTAL]]=0,"",RANK(TS_ATHLETES[[#This Row],[RANK VALUE]],TS_ATHLETES[RANK VALUE])+COUNTIF($H$1:H386,H387)),"")</f>
        <v>799</v>
      </c>
    </row>
    <row r="388" spans="1:9" x14ac:dyDescent="0.25">
      <c r="A388" t="s">
        <v>1427</v>
      </c>
      <c r="B388" s="3" t="s">
        <v>77</v>
      </c>
      <c r="C388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388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1</v>
      </c>
      <c r="E388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388" s="3">
        <f>SUM(TS_ATHLETES[[#This Row],[GOLD MEDALS]:[BRONZE MEDALS]])</f>
        <v>1</v>
      </c>
      <c r="G388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10000100</v>
      </c>
      <c r="H388" s="3">
        <f>IF(TS_ATHLETES[[#This Row],[TOTAL]]=0,"",RANK(TS_ATHLETES[[#This Row],[RANK VALUE]],TS_ATHLETES[RANK VALUE]))</f>
        <v>660</v>
      </c>
      <c r="I388" s="3">
        <f>IFERROR(IF(TS_ATHLETES[[#This Row],[TOTAL]]=0,"",RANK(TS_ATHLETES[[#This Row],[RANK VALUE]],TS_ATHLETES[RANK VALUE])+COUNTIF($H$1:H387,H388)),"")</f>
        <v>800</v>
      </c>
    </row>
    <row r="389" spans="1:9" x14ac:dyDescent="0.25">
      <c r="A389" t="s">
        <v>1428</v>
      </c>
      <c r="B389" s="3" t="s">
        <v>361</v>
      </c>
      <c r="C389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389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1</v>
      </c>
      <c r="E389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389" s="3">
        <f>SUM(TS_ATHLETES[[#This Row],[GOLD MEDALS]:[BRONZE MEDALS]])</f>
        <v>1</v>
      </c>
      <c r="G389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10000100</v>
      </c>
      <c r="H389" s="3">
        <f>IF(TS_ATHLETES[[#This Row],[TOTAL]]=0,"",RANK(TS_ATHLETES[[#This Row],[RANK VALUE]],TS_ATHLETES[RANK VALUE]))</f>
        <v>660</v>
      </c>
      <c r="I389" s="3">
        <f>IFERROR(IF(TS_ATHLETES[[#This Row],[TOTAL]]=0,"",RANK(TS_ATHLETES[[#This Row],[RANK VALUE]],TS_ATHLETES[RANK VALUE])+COUNTIF($H$1:H388,H389)),"")</f>
        <v>801</v>
      </c>
    </row>
    <row r="390" spans="1:9" x14ac:dyDescent="0.25">
      <c r="A390" t="s">
        <v>1429</v>
      </c>
      <c r="B390" s="3" t="s">
        <v>361</v>
      </c>
      <c r="C390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390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1</v>
      </c>
      <c r="E390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390" s="3">
        <f>SUM(TS_ATHLETES[[#This Row],[GOLD MEDALS]:[BRONZE MEDALS]])</f>
        <v>1</v>
      </c>
      <c r="G390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10000100</v>
      </c>
      <c r="H390" s="3">
        <f>IF(TS_ATHLETES[[#This Row],[TOTAL]]=0,"",RANK(TS_ATHLETES[[#This Row],[RANK VALUE]],TS_ATHLETES[RANK VALUE]))</f>
        <v>660</v>
      </c>
      <c r="I390" s="3">
        <f>IFERROR(IF(TS_ATHLETES[[#This Row],[TOTAL]]=0,"",RANK(TS_ATHLETES[[#This Row],[RANK VALUE]],TS_ATHLETES[RANK VALUE])+COUNTIF($H$1:H389,H390)),"")</f>
        <v>802</v>
      </c>
    </row>
    <row r="391" spans="1:9" x14ac:dyDescent="0.25">
      <c r="A391" t="s">
        <v>1430</v>
      </c>
      <c r="B391" s="3" t="s">
        <v>333</v>
      </c>
      <c r="C391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391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1</v>
      </c>
      <c r="E391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391" s="3">
        <f>SUM(TS_ATHLETES[[#This Row],[GOLD MEDALS]:[BRONZE MEDALS]])</f>
        <v>1</v>
      </c>
      <c r="G391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10000100</v>
      </c>
      <c r="H391" s="3">
        <f>IF(TS_ATHLETES[[#This Row],[TOTAL]]=0,"",RANK(TS_ATHLETES[[#This Row],[RANK VALUE]],TS_ATHLETES[RANK VALUE]))</f>
        <v>660</v>
      </c>
      <c r="I391" s="3">
        <f>IFERROR(IF(TS_ATHLETES[[#This Row],[TOTAL]]=0,"",RANK(TS_ATHLETES[[#This Row],[RANK VALUE]],TS_ATHLETES[RANK VALUE])+COUNTIF($H$1:H390,H391)),"")</f>
        <v>803</v>
      </c>
    </row>
    <row r="392" spans="1:9" x14ac:dyDescent="0.25">
      <c r="A392" t="s">
        <v>1431</v>
      </c>
      <c r="B392" s="3" t="s">
        <v>186</v>
      </c>
      <c r="C392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392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1</v>
      </c>
      <c r="E392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392" s="3">
        <f>SUM(TS_ATHLETES[[#This Row],[GOLD MEDALS]:[BRONZE MEDALS]])</f>
        <v>1</v>
      </c>
      <c r="G392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10000100</v>
      </c>
      <c r="H392" s="3">
        <f>IF(TS_ATHLETES[[#This Row],[TOTAL]]=0,"",RANK(TS_ATHLETES[[#This Row],[RANK VALUE]],TS_ATHLETES[RANK VALUE]))</f>
        <v>660</v>
      </c>
      <c r="I392" s="3">
        <f>IFERROR(IF(TS_ATHLETES[[#This Row],[TOTAL]]=0,"",RANK(TS_ATHLETES[[#This Row],[RANK VALUE]],TS_ATHLETES[RANK VALUE])+COUNTIF($H$1:H391,H392)),"")</f>
        <v>804</v>
      </c>
    </row>
    <row r="393" spans="1:9" x14ac:dyDescent="0.25">
      <c r="A393" t="s">
        <v>1432</v>
      </c>
      <c r="B393" s="3" t="s">
        <v>165</v>
      </c>
      <c r="C393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393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1</v>
      </c>
      <c r="E393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393" s="3">
        <f>SUM(TS_ATHLETES[[#This Row],[GOLD MEDALS]:[BRONZE MEDALS]])</f>
        <v>1</v>
      </c>
      <c r="G393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10000100</v>
      </c>
      <c r="H393" s="3">
        <f>IF(TS_ATHLETES[[#This Row],[TOTAL]]=0,"",RANK(TS_ATHLETES[[#This Row],[RANK VALUE]],TS_ATHLETES[RANK VALUE]))</f>
        <v>660</v>
      </c>
      <c r="I393" s="3">
        <f>IFERROR(IF(TS_ATHLETES[[#This Row],[TOTAL]]=0,"",RANK(TS_ATHLETES[[#This Row],[RANK VALUE]],TS_ATHLETES[RANK VALUE])+COUNTIF($H$1:H392,H393)),"")</f>
        <v>805</v>
      </c>
    </row>
    <row r="394" spans="1:9" x14ac:dyDescent="0.25">
      <c r="A394" t="s">
        <v>1433</v>
      </c>
      <c r="B394" s="3" t="s">
        <v>352</v>
      </c>
      <c r="C394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394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1</v>
      </c>
      <c r="E394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394" s="3">
        <f>SUM(TS_ATHLETES[[#This Row],[GOLD MEDALS]:[BRONZE MEDALS]])</f>
        <v>1</v>
      </c>
      <c r="G394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10000100</v>
      </c>
      <c r="H394" s="3">
        <f>IF(TS_ATHLETES[[#This Row],[TOTAL]]=0,"",RANK(TS_ATHLETES[[#This Row],[RANK VALUE]],TS_ATHLETES[RANK VALUE]))</f>
        <v>660</v>
      </c>
      <c r="I394" s="3">
        <f>IFERROR(IF(TS_ATHLETES[[#This Row],[TOTAL]]=0,"",RANK(TS_ATHLETES[[#This Row],[RANK VALUE]],TS_ATHLETES[RANK VALUE])+COUNTIF($H$1:H393,H394)),"")</f>
        <v>806</v>
      </c>
    </row>
    <row r="395" spans="1:9" x14ac:dyDescent="0.25">
      <c r="A395" t="s">
        <v>1434</v>
      </c>
      <c r="B395" s="3" t="s">
        <v>77</v>
      </c>
      <c r="C395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395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1</v>
      </c>
      <c r="E395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395" s="3">
        <f>SUM(TS_ATHLETES[[#This Row],[GOLD MEDALS]:[BRONZE MEDALS]])</f>
        <v>1</v>
      </c>
      <c r="G395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10000100</v>
      </c>
      <c r="H395" s="3">
        <f>IF(TS_ATHLETES[[#This Row],[TOTAL]]=0,"",RANK(TS_ATHLETES[[#This Row],[RANK VALUE]],TS_ATHLETES[RANK VALUE]))</f>
        <v>660</v>
      </c>
      <c r="I395" s="3">
        <f>IFERROR(IF(TS_ATHLETES[[#This Row],[TOTAL]]=0,"",RANK(TS_ATHLETES[[#This Row],[RANK VALUE]],TS_ATHLETES[RANK VALUE])+COUNTIF($H$1:H394,H395)),"")</f>
        <v>807</v>
      </c>
    </row>
    <row r="396" spans="1:9" x14ac:dyDescent="0.25">
      <c r="A396" t="s">
        <v>1435</v>
      </c>
      <c r="B396" s="3" t="s">
        <v>77</v>
      </c>
      <c r="C396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396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1</v>
      </c>
      <c r="E396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396" s="3">
        <f>SUM(TS_ATHLETES[[#This Row],[GOLD MEDALS]:[BRONZE MEDALS]])</f>
        <v>1</v>
      </c>
      <c r="G396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10000100</v>
      </c>
      <c r="H396" s="3">
        <f>IF(TS_ATHLETES[[#This Row],[TOTAL]]=0,"",RANK(TS_ATHLETES[[#This Row],[RANK VALUE]],TS_ATHLETES[RANK VALUE]))</f>
        <v>660</v>
      </c>
      <c r="I396" s="3">
        <f>IFERROR(IF(TS_ATHLETES[[#This Row],[TOTAL]]=0,"",RANK(TS_ATHLETES[[#This Row],[RANK VALUE]],TS_ATHLETES[RANK VALUE])+COUNTIF($H$1:H395,H396)),"")</f>
        <v>808</v>
      </c>
    </row>
    <row r="397" spans="1:9" x14ac:dyDescent="0.25">
      <c r="A397" t="s">
        <v>1436</v>
      </c>
      <c r="B397" s="3" t="s">
        <v>35</v>
      </c>
      <c r="C397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397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1</v>
      </c>
      <c r="E397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397" s="3">
        <f>SUM(TS_ATHLETES[[#This Row],[GOLD MEDALS]:[BRONZE MEDALS]])</f>
        <v>1</v>
      </c>
      <c r="G397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10000100</v>
      </c>
      <c r="H397" s="3">
        <f>IF(TS_ATHLETES[[#This Row],[TOTAL]]=0,"",RANK(TS_ATHLETES[[#This Row],[RANK VALUE]],TS_ATHLETES[RANK VALUE]))</f>
        <v>660</v>
      </c>
      <c r="I397" s="3">
        <f>IFERROR(IF(TS_ATHLETES[[#This Row],[TOTAL]]=0,"",RANK(TS_ATHLETES[[#This Row],[RANK VALUE]],TS_ATHLETES[RANK VALUE])+COUNTIF($H$1:H396,H397)),"")</f>
        <v>809</v>
      </c>
    </row>
    <row r="398" spans="1:9" x14ac:dyDescent="0.25">
      <c r="A398" t="s">
        <v>1437</v>
      </c>
      <c r="B398" s="3" t="s">
        <v>18</v>
      </c>
      <c r="C398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398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1</v>
      </c>
      <c r="E398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398" s="3">
        <f>SUM(TS_ATHLETES[[#This Row],[GOLD MEDALS]:[BRONZE MEDALS]])</f>
        <v>1</v>
      </c>
      <c r="G398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10000100</v>
      </c>
      <c r="H398" s="3">
        <f>IF(TS_ATHLETES[[#This Row],[TOTAL]]=0,"",RANK(TS_ATHLETES[[#This Row],[RANK VALUE]],TS_ATHLETES[RANK VALUE]))</f>
        <v>660</v>
      </c>
      <c r="I398" s="3">
        <f>IFERROR(IF(TS_ATHLETES[[#This Row],[TOTAL]]=0,"",RANK(TS_ATHLETES[[#This Row],[RANK VALUE]],TS_ATHLETES[RANK VALUE])+COUNTIF($H$1:H397,H398)),"")</f>
        <v>810</v>
      </c>
    </row>
    <row r="399" spans="1:9" x14ac:dyDescent="0.25">
      <c r="A399" t="s">
        <v>1438</v>
      </c>
      <c r="B399" s="3" t="s">
        <v>18</v>
      </c>
      <c r="C399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399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1</v>
      </c>
      <c r="E399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399" s="3">
        <f>SUM(TS_ATHLETES[[#This Row],[GOLD MEDALS]:[BRONZE MEDALS]])</f>
        <v>1</v>
      </c>
      <c r="G399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10000100</v>
      </c>
      <c r="H399" s="3">
        <f>IF(TS_ATHLETES[[#This Row],[TOTAL]]=0,"",RANK(TS_ATHLETES[[#This Row],[RANK VALUE]],TS_ATHLETES[RANK VALUE]))</f>
        <v>660</v>
      </c>
      <c r="I399" s="3">
        <f>IFERROR(IF(TS_ATHLETES[[#This Row],[TOTAL]]=0,"",RANK(TS_ATHLETES[[#This Row],[RANK VALUE]],TS_ATHLETES[RANK VALUE])+COUNTIF($H$1:H398,H399)),"")</f>
        <v>811</v>
      </c>
    </row>
    <row r="400" spans="1:9" x14ac:dyDescent="0.25">
      <c r="A400" t="s">
        <v>1439</v>
      </c>
      <c r="B400" s="3" t="s">
        <v>165</v>
      </c>
      <c r="C400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400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1</v>
      </c>
      <c r="E400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400" s="3">
        <f>SUM(TS_ATHLETES[[#This Row],[GOLD MEDALS]:[BRONZE MEDALS]])</f>
        <v>1</v>
      </c>
      <c r="G400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10000100</v>
      </c>
      <c r="H400" s="3">
        <f>IF(TS_ATHLETES[[#This Row],[TOTAL]]=0,"",RANK(TS_ATHLETES[[#This Row],[RANK VALUE]],TS_ATHLETES[RANK VALUE]))</f>
        <v>660</v>
      </c>
      <c r="I400" s="3">
        <f>IFERROR(IF(TS_ATHLETES[[#This Row],[TOTAL]]=0,"",RANK(TS_ATHLETES[[#This Row],[RANK VALUE]],TS_ATHLETES[RANK VALUE])+COUNTIF($H$1:H399,H400)),"")</f>
        <v>812</v>
      </c>
    </row>
    <row r="401" spans="1:9" x14ac:dyDescent="0.25">
      <c r="A401" t="s">
        <v>1440</v>
      </c>
      <c r="B401" s="3" t="s">
        <v>278</v>
      </c>
      <c r="C401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401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1</v>
      </c>
      <c r="E401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401" s="3">
        <f>SUM(TS_ATHLETES[[#This Row],[GOLD MEDALS]:[BRONZE MEDALS]])</f>
        <v>1</v>
      </c>
      <c r="G401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10000100</v>
      </c>
      <c r="H401" s="3">
        <f>IF(TS_ATHLETES[[#This Row],[TOTAL]]=0,"",RANK(TS_ATHLETES[[#This Row],[RANK VALUE]],TS_ATHLETES[RANK VALUE]))</f>
        <v>660</v>
      </c>
      <c r="I401" s="3">
        <f>IFERROR(IF(TS_ATHLETES[[#This Row],[TOTAL]]=0,"",RANK(TS_ATHLETES[[#This Row],[RANK VALUE]],TS_ATHLETES[RANK VALUE])+COUNTIF($H$1:H400,H401)),"")</f>
        <v>813</v>
      </c>
    </row>
    <row r="402" spans="1:9" x14ac:dyDescent="0.25">
      <c r="A402" t="s">
        <v>1441</v>
      </c>
      <c r="B402" s="3" t="s">
        <v>343</v>
      </c>
      <c r="C402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402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1</v>
      </c>
      <c r="E402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402" s="3">
        <f>SUM(TS_ATHLETES[[#This Row],[GOLD MEDALS]:[BRONZE MEDALS]])</f>
        <v>1</v>
      </c>
      <c r="G402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10000100</v>
      </c>
      <c r="H402" s="3">
        <f>IF(TS_ATHLETES[[#This Row],[TOTAL]]=0,"",RANK(TS_ATHLETES[[#This Row],[RANK VALUE]],TS_ATHLETES[RANK VALUE]))</f>
        <v>660</v>
      </c>
      <c r="I402" s="3">
        <f>IFERROR(IF(TS_ATHLETES[[#This Row],[TOTAL]]=0,"",RANK(TS_ATHLETES[[#This Row],[RANK VALUE]],TS_ATHLETES[RANK VALUE])+COUNTIF($H$1:H401,H402)),"")</f>
        <v>814</v>
      </c>
    </row>
    <row r="403" spans="1:9" x14ac:dyDescent="0.25">
      <c r="A403" t="s">
        <v>1442</v>
      </c>
      <c r="B403" s="3" t="s">
        <v>186</v>
      </c>
      <c r="C403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403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1</v>
      </c>
      <c r="E403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403" s="3">
        <f>SUM(TS_ATHLETES[[#This Row],[GOLD MEDALS]:[BRONZE MEDALS]])</f>
        <v>1</v>
      </c>
      <c r="G403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10000100</v>
      </c>
      <c r="H403" s="3">
        <f>IF(TS_ATHLETES[[#This Row],[TOTAL]]=0,"",RANK(TS_ATHLETES[[#This Row],[RANK VALUE]],TS_ATHLETES[RANK VALUE]))</f>
        <v>660</v>
      </c>
      <c r="I403" s="3">
        <f>IFERROR(IF(TS_ATHLETES[[#This Row],[TOTAL]]=0,"",RANK(TS_ATHLETES[[#This Row],[RANK VALUE]],TS_ATHLETES[RANK VALUE])+COUNTIF($H$1:H402,H403)),"")</f>
        <v>815</v>
      </c>
    </row>
    <row r="404" spans="1:9" x14ac:dyDescent="0.25">
      <c r="A404" t="s">
        <v>1443</v>
      </c>
      <c r="B404" s="3" t="s">
        <v>183</v>
      </c>
      <c r="C404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404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1</v>
      </c>
      <c r="E404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404" s="3">
        <f>SUM(TS_ATHLETES[[#This Row],[GOLD MEDALS]:[BRONZE MEDALS]])</f>
        <v>1</v>
      </c>
      <c r="G404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10000100</v>
      </c>
      <c r="H404" s="3">
        <f>IF(TS_ATHLETES[[#This Row],[TOTAL]]=0,"",RANK(TS_ATHLETES[[#This Row],[RANK VALUE]],TS_ATHLETES[RANK VALUE]))</f>
        <v>660</v>
      </c>
      <c r="I404" s="3">
        <f>IFERROR(IF(TS_ATHLETES[[#This Row],[TOTAL]]=0,"",RANK(TS_ATHLETES[[#This Row],[RANK VALUE]],TS_ATHLETES[RANK VALUE])+COUNTIF($H$1:H403,H404)),"")</f>
        <v>816</v>
      </c>
    </row>
    <row r="405" spans="1:9" x14ac:dyDescent="0.25">
      <c r="A405" t="s">
        <v>1444</v>
      </c>
      <c r="B405" s="3" t="s">
        <v>35</v>
      </c>
      <c r="C405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405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1</v>
      </c>
      <c r="E405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405" s="3">
        <f>SUM(TS_ATHLETES[[#This Row],[GOLD MEDALS]:[BRONZE MEDALS]])</f>
        <v>1</v>
      </c>
      <c r="G405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10000100</v>
      </c>
      <c r="H405" s="3">
        <f>IF(TS_ATHLETES[[#This Row],[TOTAL]]=0,"",RANK(TS_ATHLETES[[#This Row],[RANK VALUE]],TS_ATHLETES[RANK VALUE]))</f>
        <v>660</v>
      </c>
      <c r="I405" s="3">
        <f>IFERROR(IF(TS_ATHLETES[[#This Row],[TOTAL]]=0,"",RANK(TS_ATHLETES[[#This Row],[RANK VALUE]],TS_ATHLETES[RANK VALUE])+COUNTIF($H$1:H404,H405)),"")</f>
        <v>817</v>
      </c>
    </row>
    <row r="406" spans="1:9" x14ac:dyDescent="0.25">
      <c r="A406" t="s">
        <v>1445</v>
      </c>
      <c r="B406" s="3" t="s">
        <v>186</v>
      </c>
      <c r="C406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406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1</v>
      </c>
      <c r="E406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406" s="3">
        <f>SUM(TS_ATHLETES[[#This Row],[GOLD MEDALS]:[BRONZE MEDALS]])</f>
        <v>1</v>
      </c>
      <c r="G406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10000100</v>
      </c>
      <c r="H406" s="3">
        <f>IF(TS_ATHLETES[[#This Row],[TOTAL]]=0,"",RANK(TS_ATHLETES[[#This Row],[RANK VALUE]],TS_ATHLETES[RANK VALUE]))</f>
        <v>660</v>
      </c>
      <c r="I406" s="3">
        <f>IFERROR(IF(TS_ATHLETES[[#This Row],[TOTAL]]=0,"",RANK(TS_ATHLETES[[#This Row],[RANK VALUE]],TS_ATHLETES[RANK VALUE])+COUNTIF($H$1:H405,H406)),"")</f>
        <v>818</v>
      </c>
    </row>
    <row r="407" spans="1:9" x14ac:dyDescent="0.25">
      <c r="A407" t="s">
        <v>1446</v>
      </c>
      <c r="B407" s="3" t="s">
        <v>179</v>
      </c>
      <c r="C407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407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1</v>
      </c>
      <c r="E407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407" s="3">
        <f>SUM(TS_ATHLETES[[#This Row],[GOLD MEDALS]:[BRONZE MEDALS]])</f>
        <v>1</v>
      </c>
      <c r="G407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10000100</v>
      </c>
      <c r="H407" s="3">
        <f>IF(TS_ATHLETES[[#This Row],[TOTAL]]=0,"",RANK(TS_ATHLETES[[#This Row],[RANK VALUE]],TS_ATHLETES[RANK VALUE]))</f>
        <v>660</v>
      </c>
      <c r="I407" s="3">
        <f>IFERROR(IF(TS_ATHLETES[[#This Row],[TOTAL]]=0,"",RANK(TS_ATHLETES[[#This Row],[RANK VALUE]],TS_ATHLETES[RANK VALUE])+COUNTIF($H$1:H406,H407)),"")</f>
        <v>819</v>
      </c>
    </row>
    <row r="408" spans="1:9" x14ac:dyDescent="0.25">
      <c r="A408" t="s">
        <v>1447</v>
      </c>
      <c r="B408" s="3" t="s">
        <v>18</v>
      </c>
      <c r="C408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408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1</v>
      </c>
      <c r="E408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408" s="3">
        <f>SUM(TS_ATHLETES[[#This Row],[GOLD MEDALS]:[BRONZE MEDALS]])</f>
        <v>1</v>
      </c>
      <c r="G408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10000100</v>
      </c>
      <c r="H408" s="3">
        <f>IF(TS_ATHLETES[[#This Row],[TOTAL]]=0,"",RANK(TS_ATHLETES[[#This Row],[RANK VALUE]],TS_ATHLETES[RANK VALUE]))</f>
        <v>660</v>
      </c>
      <c r="I408" s="3">
        <f>IFERROR(IF(TS_ATHLETES[[#This Row],[TOTAL]]=0,"",RANK(TS_ATHLETES[[#This Row],[RANK VALUE]],TS_ATHLETES[RANK VALUE])+COUNTIF($H$1:H407,H408)),"")</f>
        <v>820</v>
      </c>
    </row>
    <row r="409" spans="1:9" x14ac:dyDescent="0.25">
      <c r="A409" t="s">
        <v>1448</v>
      </c>
      <c r="B409" s="3" t="s">
        <v>100</v>
      </c>
      <c r="C409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409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1</v>
      </c>
      <c r="E409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409" s="3">
        <f>SUM(TS_ATHLETES[[#This Row],[GOLD MEDALS]:[BRONZE MEDALS]])</f>
        <v>1</v>
      </c>
      <c r="G409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10000100</v>
      </c>
      <c r="H409" s="3">
        <f>IF(TS_ATHLETES[[#This Row],[TOTAL]]=0,"",RANK(TS_ATHLETES[[#This Row],[RANK VALUE]],TS_ATHLETES[RANK VALUE]))</f>
        <v>660</v>
      </c>
      <c r="I409" s="3">
        <f>IFERROR(IF(TS_ATHLETES[[#This Row],[TOTAL]]=0,"",RANK(TS_ATHLETES[[#This Row],[RANK VALUE]],TS_ATHLETES[RANK VALUE])+COUNTIF($H$1:H408,H409)),"")</f>
        <v>821</v>
      </c>
    </row>
    <row r="410" spans="1:9" x14ac:dyDescent="0.25">
      <c r="A410" t="s">
        <v>1449</v>
      </c>
      <c r="B410" s="3" t="s">
        <v>358</v>
      </c>
      <c r="C410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410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1</v>
      </c>
      <c r="E410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410" s="3">
        <f>SUM(TS_ATHLETES[[#This Row],[GOLD MEDALS]:[BRONZE MEDALS]])</f>
        <v>1</v>
      </c>
      <c r="G410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10000100</v>
      </c>
      <c r="H410" s="3">
        <f>IF(TS_ATHLETES[[#This Row],[TOTAL]]=0,"",RANK(TS_ATHLETES[[#This Row],[RANK VALUE]],TS_ATHLETES[RANK VALUE]))</f>
        <v>660</v>
      </c>
      <c r="I410" s="3">
        <f>IFERROR(IF(TS_ATHLETES[[#This Row],[TOTAL]]=0,"",RANK(TS_ATHLETES[[#This Row],[RANK VALUE]],TS_ATHLETES[RANK VALUE])+COUNTIF($H$1:H409,H410)),"")</f>
        <v>822</v>
      </c>
    </row>
    <row r="411" spans="1:9" x14ac:dyDescent="0.25">
      <c r="A411" t="s">
        <v>1450</v>
      </c>
      <c r="B411" s="3" t="s">
        <v>94</v>
      </c>
      <c r="C411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411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1</v>
      </c>
      <c r="E411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411" s="3">
        <f>SUM(TS_ATHLETES[[#This Row],[GOLD MEDALS]:[BRONZE MEDALS]])</f>
        <v>1</v>
      </c>
      <c r="G411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10000100</v>
      </c>
      <c r="H411" s="3">
        <f>IF(TS_ATHLETES[[#This Row],[TOTAL]]=0,"",RANK(TS_ATHLETES[[#This Row],[RANK VALUE]],TS_ATHLETES[RANK VALUE]))</f>
        <v>660</v>
      </c>
      <c r="I411" s="3">
        <f>IFERROR(IF(TS_ATHLETES[[#This Row],[TOTAL]]=0,"",RANK(TS_ATHLETES[[#This Row],[RANK VALUE]],TS_ATHLETES[RANK VALUE])+COUNTIF($H$1:H410,H411)),"")</f>
        <v>823</v>
      </c>
    </row>
    <row r="412" spans="1:9" x14ac:dyDescent="0.25">
      <c r="A412" t="s">
        <v>812</v>
      </c>
      <c r="B412" s="3" t="s">
        <v>352</v>
      </c>
      <c r="C412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412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1</v>
      </c>
      <c r="E412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412" s="3">
        <f>SUM(TS_ATHLETES[[#This Row],[GOLD MEDALS]:[BRONZE MEDALS]])</f>
        <v>1</v>
      </c>
      <c r="G412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10000100</v>
      </c>
      <c r="H412" s="3">
        <f>IF(TS_ATHLETES[[#This Row],[TOTAL]]=0,"",RANK(TS_ATHLETES[[#This Row],[RANK VALUE]],TS_ATHLETES[RANK VALUE]))</f>
        <v>660</v>
      </c>
      <c r="I412" s="3">
        <f>IFERROR(IF(TS_ATHLETES[[#This Row],[TOTAL]]=0,"",RANK(TS_ATHLETES[[#This Row],[RANK VALUE]],TS_ATHLETES[RANK VALUE])+COUNTIF($H$1:H411,H412)),"")</f>
        <v>824</v>
      </c>
    </row>
    <row r="413" spans="1:9" x14ac:dyDescent="0.25">
      <c r="A413" t="s">
        <v>815</v>
      </c>
      <c r="B413" s="3" t="s">
        <v>179</v>
      </c>
      <c r="C413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413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1</v>
      </c>
      <c r="E413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413" s="3">
        <f>SUM(TS_ATHLETES[[#This Row],[GOLD MEDALS]:[BRONZE MEDALS]])</f>
        <v>1</v>
      </c>
      <c r="G413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10000100</v>
      </c>
      <c r="H413" s="3">
        <f>IF(TS_ATHLETES[[#This Row],[TOTAL]]=0,"",RANK(TS_ATHLETES[[#This Row],[RANK VALUE]],TS_ATHLETES[RANK VALUE]))</f>
        <v>660</v>
      </c>
      <c r="I413" s="3">
        <f>IFERROR(IF(TS_ATHLETES[[#This Row],[TOTAL]]=0,"",RANK(TS_ATHLETES[[#This Row],[RANK VALUE]],TS_ATHLETES[RANK VALUE])+COUNTIF($H$1:H412,H413)),"")</f>
        <v>825</v>
      </c>
    </row>
    <row r="414" spans="1:9" x14ac:dyDescent="0.25">
      <c r="A414" t="s">
        <v>960</v>
      </c>
      <c r="B414" s="3" t="s">
        <v>25</v>
      </c>
      <c r="C414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414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1</v>
      </c>
      <c r="E414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414" s="3">
        <f>SUM(TS_ATHLETES[[#This Row],[GOLD MEDALS]:[BRONZE MEDALS]])</f>
        <v>1</v>
      </c>
      <c r="G414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10000100</v>
      </c>
      <c r="H414" s="3">
        <f>IF(TS_ATHLETES[[#This Row],[TOTAL]]=0,"",RANK(TS_ATHLETES[[#This Row],[RANK VALUE]],TS_ATHLETES[RANK VALUE]))</f>
        <v>660</v>
      </c>
      <c r="I414" s="3">
        <f>IFERROR(IF(TS_ATHLETES[[#This Row],[TOTAL]]=0,"",RANK(TS_ATHLETES[[#This Row],[RANK VALUE]],TS_ATHLETES[RANK VALUE])+COUNTIF($H$1:H413,H414)),"")</f>
        <v>826</v>
      </c>
    </row>
    <row r="415" spans="1:9" x14ac:dyDescent="0.25">
      <c r="A415" t="s">
        <v>820</v>
      </c>
      <c r="B415" s="3" t="s">
        <v>287</v>
      </c>
      <c r="C415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415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1</v>
      </c>
      <c r="E415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415" s="3">
        <f>SUM(TS_ATHLETES[[#This Row],[GOLD MEDALS]:[BRONZE MEDALS]])</f>
        <v>1</v>
      </c>
      <c r="G415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10000100</v>
      </c>
      <c r="H415" s="3">
        <f>IF(TS_ATHLETES[[#This Row],[TOTAL]]=0,"",RANK(TS_ATHLETES[[#This Row],[RANK VALUE]],TS_ATHLETES[RANK VALUE]))</f>
        <v>660</v>
      </c>
      <c r="I415" s="3">
        <f>IFERROR(IF(TS_ATHLETES[[#This Row],[TOTAL]]=0,"",RANK(TS_ATHLETES[[#This Row],[RANK VALUE]],TS_ATHLETES[RANK VALUE])+COUNTIF($H$1:H414,H415)),"")</f>
        <v>827</v>
      </c>
    </row>
    <row r="416" spans="1:9" x14ac:dyDescent="0.25">
      <c r="A416" t="s">
        <v>834</v>
      </c>
      <c r="B416" s="3" t="s">
        <v>352</v>
      </c>
      <c r="C416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416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1</v>
      </c>
      <c r="E416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416" s="3">
        <f>SUM(TS_ATHLETES[[#This Row],[GOLD MEDALS]:[BRONZE MEDALS]])</f>
        <v>1</v>
      </c>
      <c r="G416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10000100</v>
      </c>
      <c r="H416" s="3">
        <f>IF(TS_ATHLETES[[#This Row],[TOTAL]]=0,"",RANK(TS_ATHLETES[[#This Row],[RANK VALUE]],TS_ATHLETES[RANK VALUE]))</f>
        <v>660</v>
      </c>
      <c r="I416" s="3">
        <f>IFERROR(IF(TS_ATHLETES[[#This Row],[TOTAL]]=0,"",RANK(TS_ATHLETES[[#This Row],[RANK VALUE]],TS_ATHLETES[RANK VALUE])+COUNTIF($H$1:H415,H416)),"")</f>
        <v>828</v>
      </c>
    </row>
    <row r="417" spans="1:9" x14ac:dyDescent="0.25">
      <c r="A417" t="s">
        <v>964</v>
      </c>
      <c r="B417" s="3" t="s">
        <v>25</v>
      </c>
      <c r="C417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417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1</v>
      </c>
      <c r="E417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417" s="3">
        <f>SUM(TS_ATHLETES[[#This Row],[GOLD MEDALS]:[BRONZE MEDALS]])</f>
        <v>1</v>
      </c>
      <c r="G417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10000100</v>
      </c>
      <c r="H417" s="3">
        <f>IF(TS_ATHLETES[[#This Row],[TOTAL]]=0,"",RANK(TS_ATHLETES[[#This Row],[RANK VALUE]],TS_ATHLETES[RANK VALUE]))</f>
        <v>660</v>
      </c>
      <c r="I417" s="3">
        <f>IFERROR(IF(TS_ATHLETES[[#This Row],[TOTAL]]=0,"",RANK(TS_ATHLETES[[#This Row],[RANK VALUE]],TS_ATHLETES[RANK VALUE])+COUNTIF($H$1:H416,H417)),"")</f>
        <v>829</v>
      </c>
    </row>
    <row r="418" spans="1:9" x14ac:dyDescent="0.25">
      <c r="A418" t="s">
        <v>1451</v>
      </c>
      <c r="B418" s="3" t="s">
        <v>167</v>
      </c>
      <c r="C418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418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1</v>
      </c>
      <c r="E418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418" s="3">
        <f>SUM(TS_ATHLETES[[#This Row],[GOLD MEDALS]:[BRONZE MEDALS]])</f>
        <v>1</v>
      </c>
      <c r="G418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10000100</v>
      </c>
      <c r="H418" s="3">
        <f>IF(TS_ATHLETES[[#This Row],[TOTAL]]=0,"",RANK(TS_ATHLETES[[#This Row],[RANK VALUE]],TS_ATHLETES[RANK VALUE]))</f>
        <v>660</v>
      </c>
      <c r="I418" s="3">
        <f>IFERROR(IF(TS_ATHLETES[[#This Row],[TOTAL]]=0,"",RANK(TS_ATHLETES[[#This Row],[RANK VALUE]],TS_ATHLETES[RANK VALUE])+COUNTIF($H$1:H417,H418)),"")</f>
        <v>830</v>
      </c>
    </row>
    <row r="419" spans="1:9" x14ac:dyDescent="0.25">
      <c r="A419" t="s">
        <v>840</v>
      </c>
      <c r="B419" s="3" t="s">
        <v>25</v>
      </c>
      <c r="C419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419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1</v>
      </c>
      <c r="E419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419" s="3">
        <f>SUM(TS_ATHLETES[[#This Row],[GOLD MEDALS]:[BRONZE MEDALS]])</f>
        <v>1</v>
      </c>
      <c r="G419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10000100</v>
      </c>
      <c r="H419" s="3">
        <f>IF(TS_ATHLETES[[#This Row],[TOTAL]]=0,"",RANK(TS_ATHLETES[[#This Row],[RANK VALUE]],TS_ATHLETES[RANK VALUE]))</f>
        <v>660</v>
      </c>
      <c r="I419" s="3">
        <f>IFERROR(IF(TS_ATHLETES[[#This Row],[TOTAL]]=0,"",RANK(TS_ATHLETES[[#This Row],[RANK VALUE]],TS_ATHLETES[RANK VALUE])+COUNTIF($H$1:H418,H419)),"")</f>
        <v>831</v>
      </c>
    </row>
    <row r="420" spans="1:9" x14ac:dyDescent="0.25">
      <c r="A420" t="s">
        <v>844</v>
      </c>
      <c r="B420" s="3" t="s">
        <v>179</v>
      </c>
      <c r="C420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420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1</v>
      </c>
      <c r="E420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420" s="3">
        <f>SUM(TS_ATHLETES[[#This Row],[GOLD MEDALS]:[BRONZE MEDALS]])</f>
        <v>1</v>
      </c>
      <c r="G420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10000100</v>
      </c>
      <c r="H420" s="3">
        <f>IF(TS_ATHLETES[[#This Row],[TOTAL]]=0,"",RANK(TS_ATHLETES[[#This Row],[RANK VALUE]],TS_ATHLETES[RANK VALUE]))</f>
        <v>660</v>
      </c>
      <c r="I420" s="3">
        <f>IFERROR(IF(TS_ATHLETES[[#This Row],[TOTAL]]=0,"",RANK(TS_ATHLETES[[#This Row],[RANK VALUE]],TS_ATHLETES[RANK VALUE])+COUNTIF($H$1:H419,H420)),"")</f>
        <v>832</v>
      </c>
    </row>
    <row r="421" spans="1:9" x14ac:dyDescent="0.25">
      <c r="A421" t="s">
        <v>848</v>
      </c>
      <c r="B421" s="3" t="s">
        <v>287</v>
      </c>
      <c r="C421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421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1</v>
      </c>
      <c r="E421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421" s="3">
        <f>SUM(TS_ATHLETES[[#This Row],[GOLD MEDALS]:[BRONZE MEDALS]])</f>
        <v>1</v>
      </c>
      <c r="G421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10000100</v>
      </c>
      <c r="H421" s="3">
        <f>IF(TS_ATHLETES[[#This Row],[TOTAL]]=0,"",RANK(TS_ATHLETES[[#This Row],[RANK VALUE]],TS_ATHLETES[RANK VALUE]))</f>
        <v>660</v>
      </c>
      <c r="I421" s="3">
        <f>IFERROR(IF(TS_ATHLETES[[#This Row],[TOTAL]]=0,"",RANK(TS_ATHLETES[[#This Row],[RANK VALUE]],TS_ATHLETES[RANK VALUE])+COUNTIF($H$1:H420,H421)),"")</f>
        <v>833</v>
      </c>
    </row>
    <row r="422" spans="1:9" x14ac:dyDescent="0.25">
      <c r="A422" t="s">
        <v>852</v>
      </c>
      <c r="B422" s="3" t="s">
        <v>35</v>
      </c>
      <c r="C422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422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1</v>
      </c>
      <c r="E422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422" s="3">
        <f>SUM(TS_ATHLETES[[#This Row],[GOLD MEDALS]:[BRONZE MEDALS]])</f>
        <v>1</v>
      </c>
      <c r="G422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10000100</v>
      </c>
      <c r="H422" s="3">
        <f>IF(TS_ATHLETES[[#This Row],[TOTAL]]=0,"",RANK(TS_ATHLETES[[#This Row],[RANK VALUE]],TS_ATHLETES[RANK VALUE]))</f>
        <v>660</v>
      </c>
      <c r="I422" s="3">
        <f>IFERROR(IF(TS_ATHLETES[[#This Row],[TOTAL]]=0,"",RANK(TS_ATHLETES[[#This Row],[RANK VALUE]],TS_ATHLETES[RANK VALUE])+COUNTIF($H$1:H421,H422)),"")</f>
        <v>834</v>
      </c>
    </row>
    <row r="423" spans="1:9" x14ac:dyDescent="0.25">
      <c r="A423" t="s">
        <v>856</v>
      </c>
      <c r="B423" s="3" t="s">
        <v>287</v>
      </c>
      <c r="C423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423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1</v>
      </c>
      <c r="E423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423" s="3">
        <f>SUM(TS_ATHLETES[[#This Row],[GOLD MEDALS]:[BRONZE MEDALS]])</f>
        <v>1</v>
      </c>
      <c r="G423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10000100</v>
      </c>
      <c r="H423" s="3">
        <f>IF(TS_ATHLETES[[#This Row],[TOTAL]]=0,"",RANK(TS_ATHLETES[[#This Row],[RANK VALUE]],TS_ATHLETES[RANK VALUE]))</f>
        <v>660</v>
      </c>
      <c r="I423" s="3">
        <f>IFERROR(IF(TS_ATHLETES[[#This Row],[TOTAL]]=0,"",RANK(TS_ATHLETES[[#This Row],[RANK VALUE]],TS_ATHLETES[RANK VALUE])+COUNTIF($H$1:H422,H423)),"")</f>
        <v>835</v>
      </c>
    </row>
    <row r="424" spans="1:9" x14ac:dyDescent="0.25">
      <c r="A424" t="s">
        <v>860</v>
      </c>
      <c r="B424" s="3" t="s">
        <v>183</v>
      </c>
      <c r="C424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424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1</v>
      </c>
      <c r="E424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424" s="3">
        <f>SUM(TS_ATHLETES[[#This Row],[GOLD MEDALS]:[BRONZE MEDALS]])</f>
        <v>1</v>
      </c>
      <c r="G424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10000100</v>
      </c>
      <c r="H424" s="3">
        <f>IF(TS_ATHLETES[[#This Row],[TOTAL]]=0,"",RANK(TS_ATHLETES[[#This Row],[RANK VALUE]],TS_ATHLETES[RANK VALUE]))</f>
        <v>660</v>
      </c>
      <c r="I424" s="3">
        <f>IFERROR(IF(TS_ATHLETES[[#This Row],[TOTAL]]=0,"",RANK(TS_ATHLETES[[#This Row],[RANK VALUE]],TS_ATHLETES[RANK VALUE])+COUNTIF($H$1:H423,H424)),"")</f>
        <v>836</v>
      </c>
    </row>
    <row r="425" spans="1:9" x14ac:dyDescent="0.25">
      <c r="A425" t="s">
        <v>1452</v>
      </c>
      <c r="B425" s="3" t="s">
        <v>363</v>
      </c>
      <c r="C425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425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1</v>
      </c>
      <c r="E425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1</v>
      </c>
      <c r="F425" s="3">
        <f>SUM(TS_ATHLETES[[#This Row],[GOLD MEDALS]:[BRONZE MEDALS]])</f>
        <v>2</v>
      </c>
      <c r="G425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20000110</v>
      </c>
      <c r="H425" s="3">
        <f>IF(TS_ATHLETES[[#This Row],[TOTAL]]=0,"",RANK(TS_ATHLETES[[#This Row],[RANK VALUE]],TS_ATHLETES[RANK VALUE]))</f>
        <v>108</v>
      </c>
      <c r="I425" s="3">
        <f>IFERROR(IF(TS_ATHLETES[[#This Row],[TOTAL]]=0,"",RANK(TS_ATHLETES[[#This Row],[RANK VALUE]],TS_ATHLETES[RANK VALUE])+COUNTIF($H$1:H424,H425)),"")</f>
        <v>113</v>
      </c>
    </row>
    <row r="426" spans="1:9" x14ac:dyDescent="0.25">
      <c r="A426" t="s">
        <v>1453</v>
      </c>
      <c r="B426" s="3" t="s">
        <v>187</v>
      </c>
      <c r="C426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1</v>
      </c>
      <c r="D426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426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1</v>
      </c>
      <c r="F426" s="3">
        <f>SUM(TS_ATHLETES[[#This Row],[GOLD MEDALS]:[BRONZE MEDALS]])</f>
        <v>2</v>
      </c>
      <c r="G426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20100010</v>
      </c>
      <c r="H426" s="3">
        <f>IF(TS_ATHLETES[[#This Row],[TOTAL]]=0,"",RANK(TS_ATHLETES[[#This Row],[RANK VALUE]],TS_ATHLETES[RANK VALUE]))</f>
        <v>71</v>
      </c>
      <c r="I426" s="3">
        <f>IFERROR(IF(TS_ATHLETES[[#This Row],[TOTAL]]=0,"",RANK(TS_ATHLETES[[#This Row],[RANK VALUE]],TS_ATHLETES[RANK VALUE])+COUNTIF($H$1:H425,H426)),"")</f>
        <v>79</v>
      </c>
    </row>
    <row r="427" spans="1:9" x14ac:dyDescent="0.25">
      <c r="A427" t="s">
        <v>1454</v>
      </c>
      <c r="B427" s="3" t="s">
        <v>51</v>
      </c>
      <c r="C427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427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427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1</v>
      </c>
      <c r="F427" s="3">
        <f>SUM(TS_ATHLETES[[#This Row],[GOLD MEDALS]:[BRONZE MEDALS]])</f>
        <v>1</v>
      </c>
      <c r="G427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10000010</v>
      </c>
      <c r="H427" s="3">
        <f>IF(TS_ATHLETES[[#This Row],[TOTAL]]=0,"",RANK(TS_ATHLETES[[#This Row],[RANK VALUE]],TS_ATHLETES[RANK VALUE]))</f>
        <v>1224</v>
      </c>
      <c r="I427" s="3">
        <f>IFERROR(IF(TS_ATHLETES[[#This Row],[TOTAL]]=0,"",RANK(TS_ATHLETES[[#This Row],[RANK VALUE]],TS_ATHLETES[RANK VALUE])+COUNTIF($H$1:H426,H427)),"")</f>
        <v>1224</v>
      </c>
    </row>
    <row r="428" spans="1:9" x14ac:dyDescent="0.25">
      <c r="A428" t="s">
        <v>1455</v>
      </c>
      <c r="B428" s="3" t="s">
        <v>363</v>
      </c>
      <c r="C428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428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428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1</v>
      </c>
      <c r="F428" s="3">
        <f>SUM(TS_ATHLETES[[#This Row],[GOLD MEDALS]:[BRONZE MEDALS]])</f>
        <v>1</v>
      </c>
      <c r="G428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10000010</v>
      </c>
      <c r="H428" s="3">
        <f>IF(TS_ATHLETES[[#This Row],[TOTAL]]=0,"",RANK(TS_ATHLETES[[#This Row],[RANK VALUE]],TS_ATHLETES[RANK VALUE]))</f>
        <v>1224</v>
      </c>
      <c r="I428" s="3">
        <f>IFERROR(IF(TS_ATHLETES[[#This Row],[TOTAL]]=0,"",RANK(TS_ATHLETES[[#This Row],[RANK VALUE]],TS_ATHLETES[RANK VALUE])+COUNTIF($H$1:H427,H428)),"")</f>
        <v>1225</v>
      </c>
    </row>
    <row r="429" spans="1:9" x14ac:dyDescent="0.25">
      <c r="A429" t="s">
        <v>1456</v>
      </c>
      <c r="B429" s="3" t="s">
        <v>179</v>
      </c>
      <c r="C429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1</v>
      </c>
      <c r="D429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429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1</v>
      </c>
      <c r="F429" s="3">
        <f>SUM(TS_ATHLETES[[#This Row],[GOLD MEDALS]:[BRONZE MEDALS]])</f>
        <v>2</v>
      </c>
      <c r="G429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20100010</v>
      </c>
      <c r="H429" s="3">
        <f>IF(TS_ATHLETES[[#This Row],[TOTAL]]=0,"",RANK(TS_ATHLETES[[#This Row],[RANK VALUE]],TS_ATHLETES[RANK VALUE]))</f>
        <v>71</v>
      </c>
      <c r="I429" s="3">
        <f>IFERROR(IF(TS_ATHLETES[[#This Row],[TOTAL]]=0,"",RANK(TS_ATHLETES[[#This Row],[RANK VALUE]],TS_ATHLETES[RANK VALUE])+COUNTIF($H$1:H428,H429)),"")</f>
        <v>80</v>
      </c>
    </row>
    <row r="430" spans="1:9" x14ac:dyDescent="0.25">
      <c r="A430" t="s">
        <v>1457</v>
      </c>
      <c r="B430" s="3" t="s">
        <v>287</v>
      </c>
      <c r="C430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430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1</v>
      </c>
      <c r="E430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1</v>
      </c>
      <c r="F430" s="3">
        <f>SUM(TS_ATHLETES[[#This Row],[GOLD MEDALS]:[BRONZE MEDALS]])</f>
        <v>2</v>
      </c>
      <c r="G430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20000110</v>
      </c>
      <c r="H430" s="3">
        <f>IF(TS_ATHLETES[[#This Row],[TOTAL]]=0,"",RANK(TS_ATHLETES[[#This Row],[RANK VALUE]],TS_ATHLETES[RANK VALUE]))</f>
        <v>108</v>
      </c>
      <c r="I430" s="3">
        <f>IFERROR(IF(TS_ATHLETES[[#This Row],[TOTAL]]=0,"",RANK(TS_ATHLETES[[#This Row],[RANK VALUE]],TS_ATHLETES[RANK VALUE])+COUNTIF($H$1:H429,H430)),"")</f>
        <v>114</v>
      </c>
    </row>
    <row r="431" spans="1:9" x14ac:dyDescent="0.25">
      <c r="A431" t="s">
        <v>1458</v>
      </c>
      <c r="B431" s="3" t="s">
        <v>361</v>
      </c>
      <c r="C431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431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431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1</v>
      </c>
      <c r="F431" s="3">
        <f>SUM(TS_ATHLETES[[#This Row],[GOLD MEDALS]:[BRONZE MEDALS]])</f>
        <v>1</v>
      </c>
      <c r="G431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10000010</v>
      </c>
      <c r="H431" s="3">
        <f>IF(TS_ATHLETES[[#This Row],[TOTAL]]=0,"",RANK(TS_ATHLETES[[#This Row],[RANK VALUE]],TS_ATHLETES[RANK VALUE]))</f>
        <v>1224</v>
      </c>
      <c r="I431" s="3">
        <f>IFERROR(IF(TS_ATHLETES[[#This Row],[TOTAL]]=0,"",RANK(TS_ATHLETES[[#This Row],[RANK VALUE]],TS_ATHLETES[RANK VALUE])+COUNTIF($H$1:H430,H431)),"")</f>
        <v>1226</v>
      </c>
    </row>
    <row r="432" spans="1:9" x14ac:dyDescent="0.25">
      <c r="A432" t="s">
        <v>1459</v>
      </c>
      <c r="B432" s="3" t="s">
        <v>333</v>
      </c>
      <c r="C432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432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432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1</v>
      </c>
      <c r="F432" s="3">
        <f>SUM(TS_ATHLETES[[#This Row],[GOLD MEDALS]:[BRONZE MEDALS]])</f>
        <v>1</v>
      </c>
      <c r="G432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10000010</v>
      </c>
      <c r="H432" s="3">
        <f>IF(TS_ATHLETES[[#This Row],[TOTAL]]=0,"",RANK(TS_ATHLETES[[#This Row],[RANK VALUE]],TS_ATHLETES[RANK VALUE]))</f>
        <v>1224</v>
      </c>
      <c r="I432" s="3">
        <f>IFERROR(IF(TS_ATHLETES[[#This Row],[TOTAL]]=0,"",RANK(TS_ATHLETES[[#This Row],[RANK VALUE]],TS_ATHLETES[RANK VALUE])+COUNTIF($H$1:H431,H432)),"")</f>
        <v>1227</v>
      </c>
    </row>
    <row r="433" spans="1:9" x14ac:dyDescent="0.25">
      <c r="A433" t="s">
        <v>1460</v>
      </c>
      <c r="B433" s="3" t="s">
        <v>136</v>
      </c>
      <c r="C433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433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433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1</v>
      </c>
      <c r="F433" s="3">
        <f>SUM(TS_ATHLETES[[#This Row],[GOLD MEDALS]:[BRONZE MEDALS]])</f>
        <v>1</v>
      </c>
      <c r="G433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10000010</v>
      </c>
      <c r="H433" s="3">
        <f>IF(TS_ATHLETES[[#This Row],[TOTAL]]=0,"",RANK(TS_ATHLETES[[#This Row],[RANK VALUE]],TS_ATHLETES[RANK VALUE]))</f>
        <v>1224</v>
      </c>
      <c r="I433" s="3">
        <f>IFERROR(IF(TS_ATHLETES[[#This Row],[TOTAL]]=0,"",RANK(TS_ATHLETES[[#This Row],[RANK VALUE]],TS_ATHLETES[RANK VALUE])+COUNTIF($H$1:H432,H433)),"")</f>
        <v>1228</v>
      </c>
    </row>
    <row r="434" spans="1:9" x14ac:dyDescent="0.25">
      <c r="A434" t="s">
        <v>1461</v>
      </c>
      <c r="B434" s="3" t="s">
        <v>361</v>
      </c>
      <c r="C434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434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434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1</v>
      </c>
      <c r="F434" s="3">
        <f>SUM(TS_ATHLETES[[#This Row],[GOLD MEDALS]:[BRONZE MEDALS]])</f>
        <v>1</v>
      </c>
      <c r="G434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10000010</v>
      </c>
      <c r="H434" s="3">
        <f>IF(TS_ATHLETES[[#This Row],[TOTAL]]=0,"",RANK(TS_ATHLETES[[#This Row],[RANK VALUE]],TS_ATHLETES[RANK VALUE]))</f>
        <v>1224</v>
      </c>
      <c r="I434" s="3">
        <f>IFERROR(IF(TS_ATHLETES[[#This Row],[TOTAL]]=0,"",RANK(TS_ATHLETES[[#This Row],[RANK VALUE]],TS_ATHLETES[RANK VALUE])+COUNTIF($H$1:H433,H434)),"")</f>
        <v>1229</v>
      </c>
    </row>
    <row r="435" spans="1:9" x14ac:dyDescent="0.25">
      <c r="A435" t="s">
        <v>1462</v>
      </c>
      <c r="B435" s="3" t="s">
        <v>128</v>
      </c>
      <c r="C435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435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435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1</v>
      </c>
      <c r="F435" s="3">
        <f>SUM(TS_ATHLETES[[#This Row],[GOLD MEDALS]:[BRONZE MEDALS]])</f>
        <v>1</v>
      </c>
      <c r="G435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10000010</v>
      </c>
      <c r="H435" s="3">
        <f>IF(TS_ATHLETES[[#This Row],[TOTAL]]=0,"",RANK(TS_ATHLETES[[#This Row],[RANK VALUE]],TS_ATHLETES[RANK VALUE]))</f>
        <v>1224</v>
      </c>
      <c r="I435" s="3">
        <f>IFERROR(IF(TS_ATHLETES[[#This Row],[TOTAL]]=0,"",RANK(TS_ATHLETES[[#This Row],[RANK VALUE]],TS_ATHLETES[RANK VALUE])+COUNTIF($H$1:H434,H435)),"")</f>
        <v>1230</v>
      </c>
    </row>
    <row r="436" spans="1:9" x14ac:dyDescent="0.25">
      <c r="A436" t="s">
        <v>1070</v>
      </c>
      <c r="B436" s="3" t="s">
        <v>363</v>
      </c>
      <c r="C436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1</v>
      </c>
      <c r="D436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436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1</v>
      </c>
      <c r="F436" s="3">
        <f>SUM(TS_ATHLETES[[#This Row],[GOLD MEDALS]:[BRONZE MEDALS]])</f>
        <v>2</v>
      </c>
      <c r="G436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20100010</v>
      </c>
      <c r="H436" s="3">
        <f>IF(TS_ATHLETES[[#This Row],[TOTAL]]=0,"",RANK(TS_ATHLETES[[#This Row],[RANK VALUE]],TS_ATHLETES[RANK VALUE]))</f>
        <v>71</v>
      </c>
      <c r="I436" s="3">
        <f>IFERROR(IF(TS_ATHLETES[[#This Row],[TOTAL]]=0,"",RANK(TS_ATHLETES[[#This Row],[RANK VALUE]],TS_ATHLETES[RANK VALUE])+COUNTIF($H$1:H435,H436)),"")</f>
        <v>81</v>
      </c>
    </row>
    <row r="437" spans="1:9" x14ac:dyDescent="0.25">
      <c r="A437" t="s">
        <v>1463</v>
      </c>
      <c r="B437" s="3" t="s">
        <v>363</v>
      </c>
      <c r="C437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437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437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1</v>
      </c>
      <c r="F437" s="3">
        <f>SUM(TS_ATHLETES[[#This Row],[GOLD MEDALS]:[BRONZE MEDALS]])</f>
        <v>1</v>
      </c>
      <c r="G437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10000010</v>
      </c>
      <c r="H437" s="3">
        <f>IF(TS_ATHLETES[[#This Row],[TOTAL]]=0,"",RANK(TS_ATHLETES[[#This Row],[RANK VALUE]],TS_ATHLETES[RANK VALUE]))</f>
        <v>1224</v>
      </c>
      <c r="I437" s="3">
        <f>IFERROR(IF(TS_ATHLETES[[#This Row],[TOTAL]]=0,"",RANK(TS_ATHLETES[[#This Row],[RANK VALUE]],TS_ATHLETES[RANK VALUE])+COUNTIF($H$1:H436,H437)),"")</f>
        <v>1231</v>
      </c>
    </row>
    <row r="438" spans="1:9" x14ac:dyDescent="0.25">
      <c r="A438" t="s">
        <v>1464</v>
      </c>
      <c r="B438" s="3" t="s">
        <v>253</v>
      </c>
      <c r="C438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438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438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1</v>
      </c>
      <c r="F438" s="3">
        <f>SUM(TS_ATHLETES[[#This Row],[GOLD MEDALS]:[BRONZE MEDALS]])</f>
        <v>1</v>
      </c>
      <c r="G438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10000010</v>
      </c>
      <c r="H438" s="3">
        <f>IF(TS_ATHLETES[[#This Row],[TOTAL]]=0,"",RANK(TS_ATHLETES[[#This Row],[RANK VALUE]],TS_ATHLETES[RANK VALUE]))</f>
        <v>1224</v>
      </c>
      <c r="I438" s="3">
        <f>IFERROR(IF(TS_ATHLETES[[#This Row],[TOTAL]]=0,"",RANK(TS_ATHLETES[[#This Row],[RANK VALUE]],TS_ATHLETES[RANK VALUE])+COUNTIF($H$1:H437,H438)),"")</f>
        <v>1232</v>
      </c>
    </row>
    <row r="439" spans="1:9" x14ac:dyDescent="0.25">
      <c r="A439" t="s">
        <v>1465</v>
      </c>
      <c r="B439" s="3" t="s">
        <v>122</v>
      </c>
      <c r="C439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439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439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1</v>
      </c>
      <c r="F439" s="3">
        <f>SUM(TS_ATHLETES[[#This Row],[GOLD MEDALS]:[BRONZE MEDALS]])</f>
        <v>1</v>
      </c>
      <c r="G439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10000010</v>
      </c>
      <c r="H439" s="3">
        <f>IF(TS_ATHLETES[[#This Row],[TOTAL]]=0,"",RANK(TS_ATHLETES[[#This Row],[RANK VALUE]],TS_ATHLETES[RANK VALUE]))</f>
        <v>1224</v>
      </c>
      <c r="I439" s="3">
        <f>IFERROR(IF(TS_ATHLETES[[#This Row],[TOTAL]]=0,"",RANK(TS_ATHLETES[[#This Row],[RANK VALUE]],TS_ATHLETES[RANK VALUE])+COUNTIF($H$1:H438,H439)),"")</f>
        <v>1233</v>
      </c>
    </row>
    <row r="440" spans="1:9" x14ac:dyDescent="0.25">
      <c r="A440" t="s">
        <v>1466</v>
      </c>
      <c r="B440" s="3" t="s">
        <v>122</v>
      </c>
      <c r="C440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440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440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1</v>
      </c>
      <c r="F440" s="3">
        <f>SUM(TS_ATHLETES[[#This Row],[GOLD MEDALS]:[BRONZE MEDALS]])</f>
        <v>1</v>
      </c>
      <c r="G440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10000010</v>
      </c>
      <c r="H440" s="3">
        <f>IF(TS_ATHLETES[[#This Row],[TOTAL]]=0,"",RANK(TS_ATHLETES[[#This Row],[RANK VALUE]],TS_ATHLETES[RANK VALUE]))</f>
        <v>1224</v>
      </c>
      <c r="I440" s="3">
        <f>IFERROR(IF(TS_ATHLETES[[#This Row],[TOTAL]]=0,"",RANK(TS_ATHLETES[[#This Row],[RANK VALUE]],TS_ATHLETES[RANK VALUE])+COUNTIF($H$1:H439,H440)),"")</f>
        <v>1234</v>
      </c>
    </row>
    <row r="441" spans="1:9" x14ac:dyDescent="0.25">
      <c r="A441" t="s">
        <v>935</v>
      </c>
      <c r="B441" s="3" t="s">
        <v>363</v>
      </c>
      <c r="C441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441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441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1</v>
      </c>
      <c r="F441" s="3">
        <f>SUM(TS_ATHLETES[[#This Row],[GOLD MEDALS]:[BRONZE MEDALS]])</f>
        <v>1</v>
      </c>
      <c r="G441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10000010</v>
      </c>
      <c r="H441" s="3">
        <f>IF(TS_ATHLETES[[#This Row],[TOTAL]]=0,"",RANK(TS_ATHLETES[[#This Row],[RANK VALUE]],TS_ATHLETES[RANK VALUE]))</f>
        <v>1224</v>
      </c>
      <c r="I441" s="3">
        <f>IFERROR(IF(TS_ATHLETES[[#This Row],[TOTAL]]=0,"",RANK(TS_ATHLETES[[#This Row],[RANK VALUE]],TS_ATHLETES[RANK VALUE])+COUNTIF($H$1:H440,H441)),"")</f>
        <v>1235</v>
      </c>
    </row>
    <row r="442" spans="1:9" x14ac:dyDescent="0.25">
      <c r="A442" t="s">
        <v>1467</v>
      </c>
      <c r="B442" s="3" t="s">
        <v>128</v>
      </c>
      <c r="C442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442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442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1</v>
      </c>
      <c r="F442" s="3">
        <f>SUM(TS_ATHLETES[[#This Row],[GOLD MEDALS]:[BRONZE MEDALS]])</f>
        <v>1</v>
      </c>
      <c r="G442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10000010</v>
      </c>
      <c r="H442" s="3">
        <f>IF(TS_ATHLETES[[#This Row],[TOTAL]]=0,"",RANK(TS_ATHLETES[[#This Row],[RANK VALUE]],TS_ATHLETES[RANK VALUE]))</f>
        <v>1224</v>
      </c>
      <c r="I442" s="3">
        <f>IFERROR(IF(TS_ATHLETES[[#This Row],[TOTAL]]=0,"",RANK(TS_ATHLETES[[#This Row],[RANK VALUE]],TS_ATHLETES[RANK VALUE])+COUNTIF($H$1:H441,H442)),"")</f>
        <v>1236</v>
      </c>
    </row>
    <row r="443" spans="1:9" x14ac:dyDescent="0.25">
      <c r="A443" t="s">
        <v>1468</v>
      </c>
      <c r="B443" s="3" t="s">
        <v>128</v>
      </c>
      <c r="C443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443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443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1</v>
      </c>
      <c r="F443" s="3">
        <f>SUM(TS_ATHLETES[[#This Row],[GOLD MEDALS]:[BRONZE MEDALS]])</f>
        <v>1</v>
      </c>
      <c r="G443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10000010</v>
      </c>
      <c r="H443" s="3">
        <f>IF(TS_ATHLETES[[#This Row],[TOTAL]]=0,"",RANK(TS_ATHLETES[[#This Row],[RANK VALUE]],TS_ATHLETES[RANK VALUE]))</f>
        <v>1224</v>
      </c>
      <c r="I443" s="3">
        <f>IFERROR(IF(TS_ATHLETES[[#This Row],[TOTAL]]=0,"",RANK(TS_ATHLETES[[#This Row],[RANK VALUE]],TS_ATHLETES[RANK VALUE])+COUNTIF($H$1:H442,H443)),"")</f>
        <v>1237</v>
      </c>
    </row>
    <row r="444" spans="1:9" x14ac:dyDescent="0.25">
      <c r="A444" t="s">
        <v>1469</v>
      </c>
      <c r="B444" s="3" t="s">
        <v>352</v>
      </c>
      <c r="C444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444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444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1</v>
      </c>
      <c r="F444" s="3">
        <f>SUM(TS_ATHLETES[[#This Row],[GOLD MEDALS]:[BRONZE MEDALS]])</f>
        <v>1</v>
      </c>
      <c r="G444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10000010</v>
      </c>
      <c r="H444" s="3">
        <f>IF(TS_ATHLETES[[#This Row],[TOTAL]]=0,"",RANK(TS_ATHLETES[[#This Row],[RANK VALUE]],TS_ATHLETES[RANK VALUE]))</f>
        <v>1224</v>
      </c>
      <c r="I444" s="3">
        <f>IFERROR(IF(TS_ATHLETES[[#This Row],[TOTAL]]=0,"",RANK(TS_ATHLETES[[#This Row],[RANK VALUE]],TS_ATHLETES[RANK VALUE])+COUNTIF($H$1:H443,H444)),"")</f>
        <v>1238</v>
      </c>
    </row>
    <row r="445" spans="1:9" x14ac:dyDescent="0.25">
      <c r="A445" t="s">
        <v>1470</v>
      </c>
      <c r="B445" s="3" t="s">
        <v>358</v>
      </c>
      <c r="C445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445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445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1</v>
      </c>
      <c r="F445" s="3">
        <f>SUM(TS_ATHLETES[[#This Row],[GOLD MEDALS]:[BRONZE MEDALS]])</f>
        <v>1</v>
      </c>
      <c r="G445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10000010</v>
      </c>
      <c r="H445" s="3">
        <f>IF(TS_ATHLETES[[#This Row],[TOTAL]]=0,"",RANK(TS_ATHLETES[[#This Row],[RANK VALUE]],TS_ATHLETES[RANK VALUE]))</f>
        <v>1224</v>
      </c>
      <c r="I445" s="3">
        <f>IFERROR(IF(TS_ATHLETES[[#This Row],[TOTAL]]=0,"",RANK(TS_ATHLETES[[#This Row],[RANK VALUE]],TS_ATHLETES[RANK VALUE])+COUNTIF($H$1:H444,H445)),"")</f>
        <v>1239</v>
      </c>
    </row>
    <row r="446" spans="1:9" x14ac:dyDescent="0.25">
      <c r="A446" t="s">
        <v>1471</v>
      </c>
      <c r="B446" s="3" t="s">
        <v>363</v>
      </c>
      <c r="C446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446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446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1</v>
      </c>
      <c r="F446" s="3">
        <f>SUM(TS_ATHLETES[[#This Row],[GOLD MEDALS]:[BRONZE MEDALS]])</f>
        <v>1</v>
      </c>
      <c r="G446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10000010</v>
      </c>
      <c r="H446" s="3">
        <f>IF(TS_ATHLETES[[#This Row],[TOTAL]]=0,"",RANK(TS_ATHLETES[[#This Row],[RANK VALUE]],TS_ATHLETES[RANK VALUE]))</f>
        <v>1224</v>
      </c>
      <c r="I446" s="3">
        <f>IFERROR(IF(TS_ATHLETES[[#This Row],[TOTAL]]=0,"",RANK(TS_ATHLETES[[#This Row],[RANK VALUE]],TS_ATHLETES[RANK VALUE])+COUNTIF($H$1:H445,H446)),"")</f>
        <v>1240</v>
      </c>
    </row>
    <row r="447" spans="1:9" x14ac:dyDescent="0.25">
      <c r="A447" t="s">
        <v>1472</v>
      </c>
      <c r="B447" s="3" t="s">
        <v>361</v>
      </c>
      <c r="C447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447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447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1</v>
      </c>
      <c r="F447" s="3">
        <f>SUM(TS_ATHLETES[[#This Row],[GOLD MEDALS]:[BRONZE MEDALS]])</f>
        <v>1</v>
      </c>
      <c r="G447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10000010</v>
      </c>
      <c r="H447" s="3">
        <f>IF(TS_ATHLETES[[#This Row],[TOTAL]]=0,"",RANK(TS_ATHLETES[[#This Row],[RANK VALUE]],TS_ATHLETES[RANK VALUE]))</f>
        <v>1224</v>
      </c>
      <c r="I447" s="3">
        <f>IFERROR(IF(TS_ATHLETES[[#This Row],[TOTAL]]=0,"",RANK(TS_ATHLETES[[#This Row],[RANK VALUE]],TS_ATHLETES[RANK VALUE])+COUNTIF($H$1:H446,H447)),"")</f>
        <v>1241</v>
      </c>
    </row>
    <row r="448" spans="1:9" x14ac:dyDescent="0.25">
      <c r="A448" t="s">
        <v>1473</v>
      </c>
      <c r="B448" s="3" t="s">
        <v>77</v>
      </c>
      <c r="C448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448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448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1</v>
      </c>
      <c r="F448" s="3">
        <f>SUM(TS_ATHLETES[[#This Row],[GOLD MEDALS]:[BRONZE MEDALS]])</f>
        <v>1</v>
      </c>
      <c r="G448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10000010</v>
      </c>
      <c r="H448" s="3">
        <f>IF(TS_ATHLETES[[#This Row],[TOTAL]]=0,"",RANK(TS_ATHLETES[[#This Row],[RANK VALUE]],TS_ATHLETES[RANK VALUE]))</f>
        <v>1224</v>
      </c>
      <c r="I448" s="3">
        <f>IFERROR(IF(TS_ATHLETES[[#This Row],[TOTAL]]=0,"",RANK(TS_ATHLETES[[#This Row],[RANK VALUE]],TS_ATHLETES[RANK VALUE])+COUNTIF($H$1:H447,H448)),"")</f>
        <v>1242</v>
      </c>
    </row>
    <row r="449" spans="1:9" x14ac:dyDescent="0.25">
      <c r="A449" t="s">
        <v>1474</v>
      </c>
      <c r="B449" s="3" t="s">
        <v>253</v>
      </c>
      <c r="C449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449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449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1</v>
      </c>
      <c r="F449" s="3">
        <f>SUM(TS_ATHLETES[[#This Row],[GOLD MEDALS]:[BRONZE MEDALS]])</f>
        <v>1</v>
      </c>
      <c r="G449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10000010</v>
      </c>
      <c r="H449" s="3">
        <f>IF(TS_ATHLETES[[#This Row],[TOTAL]]=0,"",RANK(TS_ATHLETES[[#This Row],[RANK VALUE]],TS_ATHLETES[RANK VALUE]))</f>
        <v>1224</v>
      </c>
      <c r="I449" s="3">
        <f>IFERROR(IF(TS_ATHLETES[[#This Row],[TOTAL]]=0,"",RANK(TS_ATHLETES[[#This Row],[RANK VALUE]],TS_ATHLETES[RANK VALUE])+COUNTIF($H$1:H448,H449)),"")</f>
        <v>1243</v>
      </c>
    </row>
    <row r="450" spans="1:9" x14ac:dyDescent="0.25">
      <c r="A450" t="s">
        <v>1475</v>
      </c>
      <c r="B450" s="3" t="s">
        <v>136</v>
      </c>
      <c r="C450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450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450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1</v>
      </c>
      <c r="F450" s="3">
        <f>SUM(TS_ATHLETES[[#This Row],[GOLD MEDALS]:[BRONZE MEDALS]])</f>
        <v>1</v>
      </c>
      <c r="G450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10000010</v>
      </c>
      <c r="H450" s="3">
        <f>IF(TS_ATHLETES[[#This Row],[TOTAL]]=0,"",RANK(TS_ATHLETES[[#This Row],[RANK VALUE]],TS_ATHLETES[RANK VALUE]))</f>
        <v>1224</v>
      </c>
      <c r="I450" s="3">
        <f>IFERROR(IF(TS_ATHLETES[[#This Row],[TOTAL]]=0,"",RANK(TS_ATHLETES[[#This Row],[RANK VALUE]],TS_ATHLETES[RANK VALUE])+COUNTIF($H$1:H449,H450)),"")</f>
        <v>1244</v>
      </c>
    </row>
    <row r="451" spans="1:9" x14ac:dyDescent="0.25">
      <c r="A451" t="s">
        <v>1476</v>
      </c>
      <c r="B451" s="3" t="s">
        <v>280</v>
      </c>
      <c r="C451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451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451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1</v>
      </c>
      <c r="F451" s="3">
        <f>SUM(TS_ATHLETES[[#This Row],[GOLD MEDALS]:[BRONZE MEDALS]])</f>
        <v>1</v>
      </c>
      <c r="G451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10000010</v>
      </c>
      <c r="H451" s="3">
        <f>IF(TS_ATHLETES[[#This Row],[TOTAL]]=0,"",RANK(TS_ATHLETES[[#This Row],[RANK VALUE]],TS_ATHLETES[RANK VALUE]))</f>
        <v>1224</v>
      </c>
      <c r="I451" s="3">
        <f>IFERROR(IF(TS_ATHLETES[[#This Row],[TOTAL]]=0,"",RANK(TS_ATHLETES[[#This Row],[RANK VALUE]],TS_ATHLETES[RANK VALUE])+COUNTIF($H$1:H450,H451)),"")</f>
        <v>1245</v>
      </c>
    </row>
    <row r="452" spans="1:9" x14ac:dyDescent="0.25">
      <c r="A452" t="s">
        <v>1477</v>
      </c>
      <c r="B452" s="3" t="s">
        <v>516</v>
      </c>
      <c r="C452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452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452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1</v>
      </c>
      <c r="F452" s="3">
        <f>SUM(TS_ATHLETES[[#This Row],[GOLD MEDALS]:[BRONZE MEDALS]])</f>
        <v>1</v>
      </c>
      <c r="G452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10000010</v>
      </c>
      <c r="H452" s="3">
        <f>IF(TS_ATHLETES[[#This Row],[TOTAL]]=0,"",RANK(TS_ATHLETES[[#This Row],[RANK VALUE]],TS_ATHLETES[RANK VALUE]))</f>
        <v>1224</v>
      </c>
      <c r="I452" s="3">
        <f>IFERROR(IF(TS_ATHLETES[[#This Row],[TOTAL]]=0,"",RANK(TS_ATHLETES[[#This Row],[RANK VALUE]],TS_ATHLETES[RANK VALUE])+COUNTIF($H$1:H451,H452)),"")</f>
        <v>1246</v>
      </c>
    </row>
    <row r="453" spans="1:9" x14ac:dyDescent="0.25">
      <c r="A453" t="s">
        <v>553</v>
      </c>
      <c r="B453" s="3" t="s">
        <v>66</v>
      </c>
      <c r="C453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453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453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1</v>
      </c>
      <c r="F453" s="3">
        <f>SUM(TS_ATHLETES[[#This Row],[GOLD MEDALS]:[BRONZE MEDALS]])</f>
        <v>1</v>
      </c>
      <c r="G453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10000010</v>
      </c>
      <c r="H453" s="3">
        <f>IF(TS_ATHLETES[[#This Row],[TOTAL]]=0,"",RANK(TS_ATHLETES[[#This Row],[RANK VALUE]],TS_ATHLETES[RANK VALUE]))</f>
        <v>1224</v>
      </c>
      <c r="I453" s="3">
        <f>IFERROR(IF(TS_ATHLETES[[#This Row],[TOTAL]]=0,"",RANK(TS_ATHLETES[[#This Row],[RANK VALUE]],TS_ATHLETES[RANK VALUE])+COUNTIF($H$1:H452,H453)),"")</f>
        <v>1247</v>
      </c>
    </row>
    <row r="454" spans="1:9" x14ac:dyDescent="0.25">
      <c r="A454" t="s">
        <v>1478</v>
      </c>
      <c r="B454" s="3" t="s">
        <v>21</v>
      </c>
      <c r="C454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454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454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1</v>
      </c>
      <c r="F454" s="3">
        <f>SUM(TS_ATHLETES[[#This Row],[GOLD MEDALS]:[BRONZE MEDALS]])</f>
        <v>1</v>
      </c>
      <c r="G454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10000010</v>
      </c>
      <c r="H454" s="3">
        <f>IF(TS_ATHLETES[[#This Row],[TOTAL]]=0,"",RANK(TS_ATHLETES[[#This Row],[RANK VALUE]],TS_ATHLETES[RANK VALUE]))</f>
        <v>1224</v>
      </c>
      <c r="I454" s="3">
        <f>IFERROR(IF(TS_ATHLETES[[#This Row],[TOTAL]]=0,"",RANK(TS_ATHLETES[[#This Row],[RANK VALUE]],TS_ATHLETES[RANK VALUE])+COUNTIF($H$1:H453,H454)),"")</f>
        <v>1248</v>
      </c>
    </row>
    <row r="455" spans="1:9" x14ac:dyDescent="0.25">
      <c r="A455" t="s">
        <v>1479</v>
      </c>
      <c r="B455" s="3" t="s">
        <v>179</v>
      </c>
      <c r="C455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455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455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1</v>
      </c>
      <c r="F455" s="3">
        <f>SUM(TS_ATHLETES[[#This Row],[GOLD MEDALS]:[BRONZE MEDALS]])</f>
        <v>1</v>
      </c>
      <c r="G455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10000010</v>
      </c>
      <c r="H455" s="3">
        <f>IF(TS_ATHLETES[[#This Row],[TOTAL]]=0,"",RANK(TS_ATHLETES[[#This Row],[RANK VALUE]],TS_ATHLETES[RANK VALUE]))</f>
        <v>1224</v>
      </c>
      <c r="I455" s="3">
        <f>IFERROR(IF(TS_ATHLETES[[#This Row],[TOTAL]]=0,"",RANK(TS_ATHLETES[[#This Row],[RANK VALUE]],TS_ATHLETES[RANK VALUE])+COUNTIF($H$1:H454,H455)),"")</f>
        <v>1249</v>
      </c>
    </row>
    <row r="456" spans="1:9" x14ac:dyDescent="0.25">
      <c r="A456" t="s">
        <v>1480</v>
      </c>
      <c r="B456" s="3" t="s">
        <v>177</v>
      </c>
      <c r="C456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456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1</v>
      </c>
      <c r="E456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1</v>
      </c>
      <c r="F456" s="3">
        <f>SUM(TS_ATHLETES[[#This Row],[GOLD MEDALS]:[BRONZE MEDALS]])</f>
        <v>2</v>
      </c>
      <c r="G456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20000110</v>
      </c>
      <c r="H456" s="3">
        <f>IF(TS_ATHLETES[[#This Row],[TOTAL]]=0,"",RANK(TS_ATHLETES[[#This Row],[RANK VALUE]],TS_ATHLETES[RANK VALUE]))</f>
        <v>108</v>
      </c>
      <c r="I456" s="3">
        <f>IFERROR(IF(TS_ATHLETES[[#This Row],[TOTAL]]=0,"",RANK(TS_ATHLETES[[#This Row],[RANK VALUE]],TS_ATHLETES[RANK VALUE])+COUNTIF($H$1:H455,H456)),"")</f>
        <v>115</v>
      </c>
    </row>
    <row r="457" spans="1:9" x14ac:dyDescent="0.25">
      <c r="A457" t="s">
        <v>1481</v>
      </c>
      <c r="B457" s="3" t="s">
        <v>177</v>
      </c>
      <c r="C457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457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1</v>
      </c>
      <c r="E457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1</v>
      </c>
      <c r="F457" s="3">
        <f>SUM(TS_ATHLETES[[#This Row],[GOLD MEDALS]:[BRONZE MEDALS]])</f>
        <v>2</v>
      </c>
      <c r="G457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20000110</v>
      </c>
      <c r="H457" s="3">
        <f>IF(TS_ATHLETES[[#This Row],[TOTAL]]=0,"",RANK(TS_ATHLETES[[#This Row],[RANK VALUE]],TS_ATHLETES[RANK VALUE]))</f>
        <v>108</v>
      </c>
      <c r="I457" s="3">
        <f>IFERROR(IF(TS_ATHLETES[[#This Row],[TOTAL]]=0,"",RANK(TS_ATHLETES[[#This Row],[RANK VALUE]],TS_ATHLETES[RANK VALUE])+COUNTIF($H$1:H456,H457)),"")</f>
        <v>116</v>
      </c>
    </row>
    <row r="458" spans="1:9" x14ac:dyDescent="0.25">
      <c r="A458" t="s">
        <v>1482</v>
      </c>
      <c r="B458" s="3" t="s">
        <v>185</v>
      </c>
      <c r="C458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458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458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1</v>
      </c>
      <c r="F458" s="3">
        <f>SUM(TS_ATHLETES[[#This Row],[GOLD MEDALS]:[BRONZE MEDALS]])</f>
        <v>1</v>
      </c>
      <c r="G458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10000010</v>
      </c>
      <c r="H458" s="3">
        <f>IF(TS_ATHLETES[[#This Row],[TOTAL]]=0,"",RANK(TS_ATHLETES[[#This Row],[RANK VALUE]],TS_ATHLETES[RANK VALUE]))</f>
        <v>1224</v>
      </c>
      <c r="I458" s="3">
        <f>IFERROR(IF(TS_ATHLETES[[#This Row],[TOTAL]]=0,"",RANK(TS_ATHLETES[[#This Row],[RANK VALUE]],TS_ATHLETES[RANK VALUE])+COUNTIF($H$1:H457,H458)),"")</f>
        <v>1250</v>
      </c>
    </row>
    <row r="459" spans="1:9" x14ac:dyDescent="0.25">
      <c r="A459" t="s">
        <v>1483</v>
      </c>
      <c r="B459" s="3" t="s">
        <v>363</v>
      </c>
      <c r="C459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459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459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1</v>
      </c>
      <c r="F459" s="3">
        <f>SUM(TS_ATHLETES[[#This Row],[GOLD MEDALS]:[BRONZE MEDALS]])</f>
        <v>1</v>
      </c>
      <c r="G459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10000010</v>
      </c>
      <c r="H459" s="3">
        <f>IF(TS_ATHLETES[[#This Row],[TOTAL]]=0,"",RANK(TS_ATHLETES[[#This Row],[RANK VALUE]],TS_ATHLETES[RANK VALUE]))</f>
        <v>1224</v>
      </c>
      <c r="I459" s="3">
        <f>IFERROR(IF(TS_ATHLETES[[#This Row],[TOTAL]]=0,"",RANK(TS_ATHLETES[[#This Row],[RANK VALUE]],TS_ATHLETES[RANK VALUE])+COUNTIF($H$1:H458,H459)),"")</f>
        <v>1251</v>
      </c>
    </row>
    <row r="460" spans="1:9" x14ac:dyDescent="0.25">
      <c r="A460" t="s">
        <v>1484</v>
      </c>
      <c r="B460" s="3" t="s">
        <v>122</v>
      </c>
      <c r="C460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460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460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1</v>
      </c>
      <c r="F460" s="3">
        <f>SUM(TS_ATHLETES[[#This Row],[GOLD MEDALS]:[BRONZE MEDALS]])</f>
        <v>1</v>
      </c>
      <c r="G460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10000010</v>
      </c>
      <c r="H460" s="3">
        <f>IF(TS_ATHLETES[[#This Row],[TOTAL]]=0,"",RANK(TS_ATHLETES[[#This Row],[RANK VALUE]],TS_ATHLETES[RANK VALUE]))</f>
        <v>1224</v>
      </c>
      <c r="I460" s="3">
        <f>IFERROR(IF(TS_ATHLETES[[#This Row],[TOTAL]]=0,"",RANK(TS_ATHLETES[[#This Row],[RANK VALUE]],TS_ATHLETES[RANK VALUE])+COUNTIF($H$1:H459,H460)),"")</f>
        <v>1252</v>
      </c>
    </row>
    <row r="461" spans="1:9" x14ac:dyDescent="0.25">
      <c r="A461" t="s">
        <v>1485</v>
      </c>
      <c r="B461" s="3" t="s">
        <v>122</v>
      </c>
      <c r="C461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461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461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1</v>
      </c>
      <c r="F461" s="3">
        <f>SUM(TS_ATHLETES[[#This Row],[GOLD MEDALS]:[BRONZE MEDALS]])</f>
        <v>1</v>
      </c>
      <c r="G461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10000010</v>
      </c>
      <c r="H461" s="3">
        <f>IF(TS_ATHLETES[[#This Row],[TOTAL]]=0,"",RANK(TS_ATHLETES[[#This Row],[RANK VALUE]],TS_ATHLETES[RANK VALUE]))</f>
        <v>1224</v>
      </c>
      <c r="I461" s="3">
        <f>IFERROR(IF(TS_ATHLETES[[#This Row],[TOTAL]]=0,"",RANK(TS_ATHLETES[[#This Row],[RANK VALUE]],TS_ATHLETES[RANK VALUE])+COUNTIF($H$1:H460,H461)),"")</f>
        <v>1253</v>
      </c>
    </row>
    <row r="462" spans="1:9" x14ac:dyDescent="0.25">
      <c r="A462" t="s">
        <v>1486</v>
      </c>
      <c r="B462" s="3" t="s">
        <v>363</v>
      </c>
      <c r="C462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462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462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1</v>
      </c>
      <c r="F462" s="3">
        <f>SUM(TS_ATHLETES[[#This Row],[GOLD MEDALS]:[BRONZE MEDALS]])</f>
        <v>1</v>
      </c>
      <c r="G462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10000010</v>
      </c>
      <c r="H462" s="3">
        <f>IF(TS_ATHLETES[[#This Row],[TOTAL]]=0,"",RANK(TS_ATHLETES[[#This Row],[RANK VALUE]],TS_ATHLETES[RANK VALUE]))</f>
        <v>1224</v>
      </c>
      <c r="I462" s="3">
        <f>IFERROR(IF(TS_ATHLETES[[#This Row],[TOTAL]]=0,"",RANK(TS_ATHLETES[[#This Row],[RANK VALUE]],TS_ATHLETES[RANK VALUE])+COUNTIF($H$1:H461,H462)),"")</f>
        <v>1254</v>
      </c>
    </row>
    <row r="463" spans="1:9" x14ac:dyDescent="0.25">
      <c r="A463" t="s">
        <v>1487</v>
      </c>
      <c r="B463" s="3" t="s">
        <v>363</v>
      </c>
      <c r="C463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463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463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1</v>
      </c>
      <c r="F463" s="3">
        <f>SUM(TS_ATHLETES[[#This Row],[GOLD MEDALS]:[BRONZE MEDALS]])</f>
        <v>1</v>
      </c>
      <c r="G463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10000010</v>
      </c>
      <c r="H463" s="3">
        <f>IF(TS_ATHLETES[[#This Row],[TOTAL]]=0,"",RANK(TS_ATHLETES[[#This Row],[RANK VALUE]],TS_ATHLETES[RANK VALUE]))</f>
        <v>1224</v>
      </c>
      <c r="I463" s="3">
        <f>IFERROR(IF(TS_ATHLETES[[#This Row],[TOTAL]]=0,"",RANK(TS_ATHLETES[[#This Row],[RANK VALUE]],TS_ATHLETES[RANK VALUE])+COUNTIF($H$1:H462,H463)),"")</f>
        <v>1255</v>
      </c>
    </row>
    <row r="464" spans="1:9" x14ac:dyDescent="0.25">
      <c r="A464" t="s">
        <v>1488</v>
      </c>
      <c r="B464" s="3" t="s">
        <v>363</v>
      </c>
      <c r="C464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464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464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1</v>
      </c>
      <c r="F464" s="3">
        <f>SUM(TS_ATHLETES[[#This Row],[GOLD MEDALS]:[BRONZE MEDALS]])</f>
        <v>1</v>
      </c>
      <c r="G464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10000010</v>
      </c>
      <c r="H464" s="3">
        <f>IF(TS_ATHLETES[[#This Row],[TOTAL]]=0,"",RANK(TS_ATHLETES[[#This Row],[RANK VALUE]],TS_ATHLETES[RANK VALUE]))</f>
        <v>1224</v>
      </c>
      <c r="I464" s="3">
        <f>IFERROR(IF(TS_ATHLETES[[#This Row],[TOTAL]]=0,"",RANK(TS_ATHLETES[[#This Row],[RANK VALUE]],TS_ATHLETES[RANK VALUE])+COUNTIF($H$1:H463,H464)),"")</f>
        <v>1256</v>
      </c>
    </row>
    <row r="465" spans="1:9" x14ac:dyDescent="0.25">
      <c r="A465" t="s">
        <v>1489</v>
      </c>
      <c r="B465" s="3" t="s">
        <v>92</v>
      </c>
      <c r="C465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465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465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1</v>
      </c>
      <c r="F465" s="3">
        <f>SUM(TS_ATHLETES[[#This Row],[GOLD MEDALS]:[BRONZE MEDALS]])</f>
        <v>1</v>
      </c>
      <c r="G465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10000010</v>
      </c>
      <c r="H465" s="3">
        <f>IF(TS_ATHLETES[[#This Row],[TOTAL]]=0,"",RANK(TS_ATHLETES[[#This Row],[RANK VALUE]],TS_ATHLETES[RANK VALUE]))</f>
        <v>1224</v>
      </c>
      <c r="I465" s="3">
        <f>IFERROR(IF(TS_ATHLETES[[#This Row],[TOTAL]]=0,"",RANK(TS_ATHLETES[[#This Row],[RANK VALUE]],TS_ATHLETES[RANK VALUE])+COUNTIF($H$1:H464,H465)),"")</f>
        <v>1257</v>
      </c>
    </row>
    <row r="466" spans="1:9" x14ac:dyDescent="0.25">
      <c r="A466" t="s">
        <v>1490</v>
      </c>
      <c r="B466" s="3" t="s">
        <v>253</v>
      </c>
      <c r="C466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466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466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1</v>
      </c>
      <c r="F466" s="3">
        <f>SUM(TS_ATHLETES[[#This Row],[GOLD MEDALS]:[BRONZE MEDALS]])</f>
        <v>1</v>
      </c>
      <c r="G466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10000010</v>
      </c>
      <c r="H466" s="3">
        <f>IF(TS_ATHLETES[[#This Row],[TOTAL]]=0,"",RANK(TS_ATHLETES[[#This Row],[RANK VALUE]],TS_ATHLETES[RANK VALUE]))</f>
        <v>1224</v>
      </c>
      <c r="I466" s="3">
        <f>IFERROR(IF(TS_ATHLETES[[#This Row],[TOTAL]]=0,"",RANK(TS_ATHLETES[[#This Row],[RANK VALUE]],TS_ATHLETES[RANK VALUE])+COUNTIF($H$1:H465,H466)),"")</f>
        <v>1258</v>
      </c>
    </row>
    <row r="467" spans="1:9" x14ac:dyDescent="0.25">
      <c r="A467" t="s">
        <v>1491</v>
      </c>
      <c r="B467" s="3" t="s">
        <v>536</v>
      </c>
      <c r="C467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467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467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1</v>
      </c>
      <c r="F467" s="3">
        <f>SUM(TS_ATHLETES[[#This Row],[GOLD MEDALS]:[BRONZE MEDALS]])</f>
        <v>1</v>
      </c>
      <c r="G467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10000010</v>
      </c>
      <c r="H467" s="3">
        <f>IF(TS_ATHLETES[[#This Row],[TOTAL]]=0,"",RANK(TS_ATHLETES[[#This Row],[RANK VALUE]],TS_ATHLETES[RANK VALUE]))</f>
        <v>1224</v>
      </c>
      <c r="I467" s="3">
        <f>IFERROR(IF(TS_ATHLETES[[#This Row],[TOTAL]]=0,"",RANK(TS_ATHLETES[[#This Row],[RANK VALUE]],TS_ATHLETES[RANK VALUE])+COUNTIF($H$1:H466,H467)),"")</f>
        <v>1259</v>
      </c>
    </row>
    <row r="468" spans="1:9" x14ac:dyDescent="0.25">
      <c r="A468" t="s">
        <v>1492</v>
      </c>
      <c r="B468" s="3" t="s">
        <v>183</v>
      </c>
      <c r="C468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468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468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1</v>
      </c>
      <c r="F468" s="3">
        <f>SUM(TS_ATHLETES[[#This Row],[GOLD MEDALS]:[BRONZE MEDALS]])</f>
        <v>1</v>
      </c>
      <c r="G468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10000010</v>
      </c>
      <c r="H468" s="3">
        <f>IF(TS_ATHLETES[[#This Row],[TOTAL]]=0,"",RANK(TS_ATHLETES[[#This Row],[RANK VALUE]],TS_ATHLETES[RANK VALUE]))</f>
        <v>1224</v>
      </c>
      <c r="I468" s="3">
        <f>IFERROR(IF(TS_ATHLETES[[#This Row],[TOTAL]]=0,"",RANK(TS_ATHLETES[[#This Row],[RANK VALUE]],TS_ATHLETES[RANK VALUE])+COUNTIF($H$1:H467,H468)),"")</f>
        <v>1260</v>
      </c>
    </row>
    <row r="469" spans="1:9" x14ac:dyDescent="0.25">
      <c r="A469" t="s">
        <v>1493</v>
      </c>
      <c r="B469" s="3" t="s">
        <v>159</v>
      </c>
      <c r="C469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469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469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1</v>
      </c>
      <c r="F469" s="3">
        <f>SUM(TS_ATHLETES[[#This Row],[GOLD MEDALS]:[BRONZE MEDALS]])</f>
        <v>1</v>
      </c>
      <c r="G469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10000010</v>
      </c>
      <c r="H469" s="3">
        <f>IF(TS_ATHLETES[[#This Row],[TOTAL]]=0,"",RANK(TS_ATHLETES[[#This Row],[RANK VALUE]],TS_ATHLETES[RANK VALUE]))</f>
        <v>1224</v>
      </c>
      <c r="I469" s="3">
        <f>IFERROR(IF(TS_ATHLETES[[#This Row],[TOTAL]]=0,"",RANK(TS_ATHLETES[[#This Row],[RANK VALUE]],TS_ATHLETES[RANK VALUE])+COUNTIF($H$1:H468,H469)),"")</f>
        <v>1261</v>
      </c>
    </row>
    <row r="470" spans="1:9" x14ac:dyDescent="0.25">
      <c r="A470" t="s">
        <v>1494</v>
      </c>
      <c r="B470" s="3" t="s">
        <v>94</v>
      </c>
      <c r="C470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470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470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1</v>
      </c>
      <c r="F470" s="3">
        <f>SUM(TS_ATHLETES[[#This Row],[GOLD MEDALS]:[BRONZE MEDALS]])</f>
        <v>1</v>
      </c>
      <c r="G470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10000010</v>
      </c>
      <c r="H470" s="3">
        <f>IF(TS_ATHLETES[[#This Row],[TOTAL]]=0,"",RANK(TS_ATHLETES[[#This Row],[RANK VALUE]],TS_ATHLETES[RANK VALUE]))</f>
        <v>1224</v>
      </c>
      <c r="I470" s="3">
        <f>IFERROR(IF(TS_ATHLETES[[#This Row],[TOTAL]]=0,"",RANK(TS_ATHLETES[[#This Row],[RANK VALUE]],TS_ATHLETES[RANK VALUE])+COUNTIF($H$1:H469,H470)),"")</f>
        <v>1262</v>
      </c>
    </row>
    <row r="471" spans="1:9" x14ac:dyDescent="0.25">
      <c r="A471" t="s">
        <v>1495</v>
      </c>
      <c r="B471" s="3" t="s">
        <v>361</v>
      </c>
      <c r="C471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471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471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1</v>
      </c>
      <c r="F471" s="3">
        <f>SUM(TS_ATHLETES[[#This Row],[GOLD MEDALS]:[BRONZE MEDALS]])</f>
        <v>1</v>
      </c>
      <c r="G471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10000010</v>
      </c>
      <c r="H471" s="3">
        <f>IF(TS_ATHLETES[[#This Row],[TOTAL]]=0,"",RANK(TS_ATHLETES[[#This Row],[RANK VALUE]],TS_ATHLETES[RANK VALUE]))</f>
        <v>1224</v>
      </c>
      <c r="I471" s="3">
        <f>IFERROR(IF(TS_ATHLETES[[#This Row],[TOTAL]]=0,"",RANK(TS_ATHLETES[[#This Row],[RANK VALUE]],TS_ATHLETES[RANK VALUE])+COUNTIF($H$1:H470,H471)),"")</f>
        <v>1263</v>
      </c>
    </row>
    <row r="472" spans="1:9" x14ac:dyDescent="0.25">
      <c r="A472" t="s">
        <v>1496</v>
      </c>
      <c r="B472" s="3" t="s">
        <v>98</v>
      </c>
      <c r="C472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472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472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1</v>
      </c>
      <c r="F472" s="3">
        <f>SUM(TS_ATHLETES[[#This Row],[GOLD MEDALS]:[BRONZE MEDALS]])</f>
        <v>1</v>
      </c>
      <c r="G472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10000010</v>
      </c>
      <c r="H472" s="3">
        <f>IF(TS_ATHLETES[[#This Row],[TOTAL]]=0,"",RANK(TS_ATHLETES[[#This Row],[RANK VALUE]],TS_ATHLETES[RANK VALUE]))</f>
        <v>1224</v>
      </c>
      <c r="I472" s="3">
        <f>IFERROR(IF(TS_ATHLETES[[#This Row],[TOTAL]]=0,"",RANK(TS_ATHLETES[[#This Row],[RANK VALUE]],TS_ATHLETES[RANK VALUE])+COUNTIF($H$1:H471,H472)),"")</f>
        <v>1264</v>
      </c>
    </row>
    <row r="473" spans="1:9" x14ac:dyDescent="0.25">
      <c r="A473" t="s">
        <v>556</v>
      </c>
      <c r="B473" s="3" t="s">
        <v>66</v>
      </c>
      <c r="C473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473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473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1</v>
      </c>
      <c r="F473" s="3">
        <f>SUM(TS_ATHLETES[[#This Row],[GOLD MEDALS]:[BRONZE MEDALS]])</f>
        <v>1</v>
      </c>
      <c r="G473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10000010</v>
      </c>
      <c r="H473" s="3">
        <f>IF(TS_ATHLETES[[#This Row],[TOTAL]]=0,"",RANK(TS_ATHLETES[[#This Row],[RANK VALUE]],TS_ATHLETES[RANK VALUE]))</f>
        <v>1224</v>
      </c>
      <c r="I473" s="3">
        <f>IFERROR(IF(TS_ATHLETES[[#This Row],[TOTAL]]=0,"",RANK(TS_ATHLETES[[#This Row],[RANK VALUE]],TS_ATHLETES[RANK VALUE])+COUNTIF($H$1:H472,H473)),"")</f>
        <v>1265</v>
      </c>
    </row>
    <row r="474" spans="1:9" x14ac:dyDescent="0.25">
      <c r="A474" t="s">
        <v>1497</v>
      </c>
      <c r="B474" s="3" t="s">
        <v>77</v>
      </c>
      <c r="C474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474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474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1</v>
      </c>
      <c r="F474" s="3">
        <f>SUM(TS_ATHLETES[[#This Row],[GOLD MEDALS]:[BRONZE MEDALS]])</f>
        <v>1</v>
      </c>
      <c r="G474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10000010</v>
      </c>
      <c r="H474" s="3">
        <f>IF(TS_ATHLETES[[#This Row],[TOTAL]]=0,"",RANK(TS_ATHLETES[[#This Row],[RANK VALUE]],TS_ATHLETES[RANK VALUE]))</f>
        <v>1224</v>
      </c>
      <c r="I474" s="3">
        <f>IFERROR(IF(TS_ATHLETES[[#This Row],[TOTAL]]=0,"",RANK(TS_ATHLETES[[#This Row],[RANK VALUE]],TS_ATHLETES[RANK VALUE])+COUNTIF($H$1:H473,H474)),"")</f>
        <v>1266</v>
      </c>
    </row>
    <row r="475" spans="1:9" x14ac:dyDescent="0.25">
      <c r="A475" t="s">
        <v>1498</v>
      </c>
      <c r="B475" s="3" t="s">
        <v>100</v>
      </c>
      <c r="C475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475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475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1</v>
      </c>
      <c r="F475" s="3">
        <f>SUM(TS_ATHLETES[[#This Row],[GOLD MEDALS]:[BRONZE MEDALS]])</f>
        <v>1</v>
      </c>
      <c r="G475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10000010</v>
      </c>
      <c r="H475" s="3">
        <f>IF(TS_ATHLETES[[#This Row],[TOTAL]]=0,"",RANK(TS_ATHLETES[[#This Row],[RANK VALUE]],TS_ATHLETES[RANK VALUE]))</f>
        <v>1224</v>
      </c>
      <c r="I475" s="3">
        <f>IFERROR(IF(TS_ATHLETES[[#This Row],[TOTAL]]=0,"",RANK(TS_ATHLETES[[#This Row],[RANK VALUE]],TS_ATHLETES[RANK VALUE])+COUNTIF($H$1:H474,H475)),"")</f>
        <v>1267</v>
      </c>
    </row>
    <row r="476" spans="1:9" x14ac:dyDescent="0.25">
      <c r="A476" t="s">
        <v>1499</v>
      </c>
      <c r="B476" s="3" t="s">
        <v>179</v>
      </c>
      <c r="C476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476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476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1</v>
      </c>
      <c r="F476" s="3">
        <f>SUM(TS_ATHLETES[[#This Row],[GOLD MEDALS]:[BRONZE MEDALS]])</f>
        <v>1</v>
      </c>
      <c r="G476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10000010</v>
      </c>
      <c r="H476" s="3">
        <f>IF(TS_ATHLETES[[#This Row],[TOTAL]]=0,"",RANK(TS_ATHLETES[[#This Row],[RANK VALUE]],TS_ATHLETES[RANK VALUE]))</f>
        <v>1224</v>
      </c>
      <c r="I476" s="3">
        <f>IFERROR(IF(TS_ATHLETES[[#This Row],[TOTAL]]=0,"",RANK(TS_ATHLETES[[#This Row],[RANK VALUE]],TS_ATHLETES[RANK VALUE])+COUNTIF($H$1:H475,H476)),"")</f>
        <v>1268</v>
      </c>
    </row>
    <row r="477" spans="1:9" x14ac:dyDescent="0.25">
      <c r="A477" t="s">
        <v>570</v>
      </c>
      <c r="B477" s="3" t="s">
        <v>94</v>
      </c>
      <c r="C477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477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477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1</v>
      </c>
      <c r="F477" s="3">
        <f>SUM(TS_ATHLETES[[#This Row],[GOLD MEDALS]:[BRONZE MEDALS]])</f>
        <v>1</v>
      </c>
      <c r="G477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10000010</v>
      </c>
      <c r="H477" s="3">
        <f>IF(TS_ATHLETES[[#This Row],[TOTAL]]=0,"",RANK(TS_ATHLETES[[#This Row],[RANK VALUE]],TS_ATHLETES[RANK VALUE]))</f>
        <v>1224</v>
      </c>
      <c r="I477" s="3">
        <f>IFERROR(IF(TS_ATHLETES[[#This Row],[TOTAL]]=0,"",RANK(TS_ATHLETES[[#This Row],[RANK VALUE]],TS_ATHLETES[RANK VALUE])+COUNTIF($H$1:H476,H477)),"")</f>
        <v>1269</v>
      </c>
    </row>
    <row r="478" spans="1:9" x14ac:dyDescent="0.25">
      <c r="A478" t="s">
        <v>571</v>
      </c>
      <c r="B478" s="3" t="s">
        <v>371</v>
      </c>
      <c r="C478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478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478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1</v>
      </c>
      <c r="F478" s="3">
        <f>SUM(TS_ATHLETES[[#This Row],[GOLD MEDALS]:[BRONZE MEDALS]])</f>
        <v>1</v>
      </c>
      <c r="G478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10000010</v>
      </c>
      <c r="H478" s="3">
        <f>IF(TS_ATHLETES[[#This Row],[TOTAL]]=0,"",RANK(TS_ATHLETES[[#This Row],[RANK VALUE]],TS_ATHLETES[RANK VALUE]))</f>
        <v>1224</v>
      </c>
      <c r="I478" s="3">
        <f>IFERROR(IF(TS_ATHLETES[[#This Row],[TOTAL]]=0,"",RANK(TS_ATHLETES[[#This Row],[RANK VALUE]],TS_ATHLETES[RANK VALUE])+COUNTIF($H$1:H477,H478)),"")</f>
        <v>1270</v>
      </c>
    </row>
    <row r="479" spans="1:9" x14ac:dyDescent="0.25">
      <c r="A479" t="s">
        <v>572</v>
      </c>
      <c r="B479" s="3" t="s">
        <v>287</v>
      </c>
      <c r="C479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479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479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1</v>
      </c>
      <c r="F479" s="3">
        <f>SUM(TS_ATHLETES[[#This Row],[GOLD MEDALS]:[BRONZE MEDALS]])</f>
        <v>1</v>
      </c>
      <c r="G479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10000010</v>
      </c>
      <c r="H479" s="3">
        <f>IF(TS_ATHLETES[[#This Row],[TOTAL]]=0,"",RANK(TS_ATHLETES[[#This Row],[RANK VALUE]],TS_ATHLETES[RANK VALUE]))</f>
        <v>1224</v>
      </c>
      <c r="I479" s="3">
        <f>IFERROR(IF(TS_ATHLETES[[#This Row],[TOTAL]]=0,"",RANK(TS_ATHLETES[[#This Row],[RANK VALUE]],TS_ATHLETES[RANK VALUE])+COUNTIF($H$1:H478,H479)),"")</f>
        <v>1271</v>
      </c>
    </row>
    <row r="480" spans="1:9" x14ac:dyDescent="0.25">
      <c r="A480" t="s">
        <v>573</v>
      </c>
      <c r="B480" s="3" t="s">
        <v>94</v>
      </c>
      <c r="C480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480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480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1</v>
      </c>
      <c r="F480" s="3">
        <f>SUM(TS_ATHLETES[[#This Row],[GOLD MEDALS]:[BRONZE MEDALS]])</f>
        <v>1</v>
      </c>
      <c r="G480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10000010</v>
      </c>
      <c r="H480" s="3">
        <f>IF(TS_ATHLETES[[#This Row],[TOTAL]]=0,"",RANK(TS_ATHLETES[[#This Row],[RANK VALUE]],TS_ATHLETES[RANK VALUE]))</f>
        <v>1224</v>
      </c>
      <c r="I480" s="3">
        <f>IFERROR(IF(TS_ATHLETES[[#This Row],[TOTAL]]=0,"",RANK(TS_ATHLETES[[#This Row],[RANK VALUE]],TS_ATHLETES[RANK VALUE])+COUNTIF($H$1:H479,H480)),"")</f>
        <v>1272</v>
      </c>
    </row>
    <row r="481" spans="1:9" x14ac:dyDescent="0.25">
      <c r="A481" t="s">
        <v>574</v>
      </c>
      <c r="B481" s="3" t="s">
        <v>287</v>
      </c>
      <c r="C481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481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481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1</v>
      </c>
      <c r="F481" s="3">
        <f>SUM(TS_ATHLETES[[#This Row],[GOLD MEDALS]:[BRONZE MEDALS]])</f>
        <v>1</v>
      </c>
      <c r="G481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10000010</v>
      </c>
      <c r="H481" s="3">
        <f>IF(TS_ATHLETES[[#This Row],[TOTAL]]=0,"",RANK(TS_ATHLETES[[#This Row],[RANK VALUE]],TS_ATHLETES[RANK VALUE]))</f>
        <v>1224</v>
      </c>
      <c r="I481" s="3">
        <f>IFERROR(IF(TS_ATHLETES[[#This Row],[TOTAL]]=0,"",RANK(TS_ATHLETES[[#This Row],[RANK VALUE]],TS_ATHLETES[RANK VALUE])+COUNTIF($H$1:H480,H481)),"")</f>
        <v>1273</v>
      </c>
    </row>
    <row r="482" spans="1:9" x14ac:dyDescent="0.25">
      <c r="A482" t="s">
        <v>1500</v>
      </c>
      <c r="B482" s="3" t="s">
        <v>128</v>
      </c>
      <c r="C482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482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482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1</v>
      </c>
      <c r="F482" s="3">
        <f>SUM(TS_ATHLETES[[#This Row],[GOLD MEDALS]:[BRONZE MEDALS]])</f>
        <v>1</v>
      </c>
      <c r="G482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10000010</v>
      </c>
      <c r="H482" s="3">
        <f>IF(TS_ATHLETES[[#This Row],[TOTAL]]=0,"",RANK(TS_ATHLETES[[#This Row],[RANK VALUE]],TS_ATHLETES[RANK VALUE]))</f>
        <v>1224</v>
      </c>
      <c r="I482" s="3">
        <f>IFERROR(IF(TS_ATHLETES[[#This Row],[TOTAL]]=0,"",RANK(TS_ATHLETES[[#This Row],[RANK VALUE]],TS_ATHLETES[RANK VALUE])+COUNTIF($H$1:H481,H482)),"")</f>
        <v>1274</v>
      </c>
    </row>
    <row r="483" spans="1:9" x14ac:dyDescent="0.25">
      <c r="A483" t="s">
        <v>575</v>
      </c>
      <c r="B483" s="3" t="s">
        <v>229</v>
      </c>
      <c r="C483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483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483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1</v>
      </c>
      <c r="F483" s="3">
        <f>SUM(TS_ATHLETES[[#This Row],[GOLD MEDALS]:[BRONZE MEDALS]])</f>
        <v>1</v>
      </c>
      <c r="G483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10000010</v>
      </c>
      <c r="H483" s="3">
        <f>IF(TS_ATHLETES[[#This Row],[TOTAL]]=0,"",RANK(TS_ATHLETES[[#This Row],[RANK VALUE]],TS_ATHLETES[RANK VALUE]))</f>
        <v>1224</v>
      </c>
      <c r="I483" s="3">
        <f>IFERROR(IF(TS_ATHLETES[[#This Row],[TOTAL]]=0,"",RANK(TS_ATHLETES[[#This Row],[RANK VALUE]],TS_ATHLETES[RANK VALUE])+COUNTIF($H$1:H482,H483)),"")</f>
        <v>1275</v>
      </c>
    </row>
    <row r="484" spans="1:9" x14ac:dyDescent="0.25">
      <c r="A484" t="s">
        <v>576</v>
      </c>
      <c r="B484" s="3" t="s">
        <v>361</v>
      </c>
      <c r="C484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484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484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1</v>
      </c>
      <c r="F484" s="3">
        <f>SUM(TS_ATHLETES[[#This Row],[GOLD MEDALS]:[BRONZE MEDALS]])</f>
        <v>1</v>
      </c>
      <c r="G484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10000010</v>
      </c>
      <c r="H484" s="3">
        <f>IF(TS_ATHLETES[[#This Row],[TOTAL]]=0,"",RANK(TS_ATHLETES[[#This Row],[RANK VALUE]],TS_ATHLETES[RANK VALUE]))</f>
        <v>1224</v>
      </c>
      <c r="I484" s="3">
        <f>IFERROR(IF(TS_ATHLETES[[#This Row],[TOTAL]]=0,"",RANK(TS_ATHLETES[[#This Row],[RANK VALUE]],TS_ATHLETES[RANK VALUE])+COUNTIF($H$1:H483,H484)),"")</f>
        <v>1276</v>
      </c>
    </row>
    <row r="485" spans="1:9" x14ac:dyDescent="0.25">
      <c r="A485" t="s">
        <v>577</v>
      </c>
      <c r="B485" s="3" t="s">
        <v>94</v>
      </c>
      <c r="C485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485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485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1</v>
      </c>
      <c r="F485" s="3">
        <f>SUM(TS_ATHLETES[[#This Row],[GOLD MEDALS]:[BRONZE MEDALS]])</f>
        <v>1</v>
      </c>
      <c r="G485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10000010</v>
      </c>
      <c r="H485" s="3">
        <f>IF(TS_ATHLETES[[#This Row],[TOTAL]]=0,"",RANK(TS_ATHLETES[[#This Row],[RANK VALUE]],TS_ATHLETES[RANK VALUE]))</f>
        <v>1224</v>
      </c>
      <c r="I485" s="3">
        <f>IFERROR(IF(TS_ATHLETES[[#This Row],[TOTAL]]=0,"",RANK(TS_ATHLETES[[#This Row],[RANK VALUE]],TS_ATHLETES[RANK VALUE])+COUNTIF($H$1:H484,H485)),"")</f>
        <v>1277</v>
      </c>
    </row>
    <row r="486" spans="1:9" x14ac:dyDescent="0.25">
      <c r="A486" t="s">
        <v>578</v>
      </c>
      <c r="B486" s="3" t="s">
        <v>92</v>
      </c>
      <c r="C486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486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486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1</v>
      </c>
      <c r="F486" s="3">
        <f>SUM(TS_ATHLETES[[#This Row],[GOLD MEDALS]:[BRONZE MEDALS]])</f>
        <v>1</v>
      </c>
      <c r="G486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10000010</v>
      </c>
      <c r="H486" s="3">
        <f>IF(TS_ATHLETES[[#This Row],[TOTAL]]=0,"",RANK(TS_ATHLETES[[#This Row],[RANK VALUE]],TS_ATHLETES[RANK VALUE]))</f>
        <v>1224</v>
      </c>
      <c r="I486" s="3">
        <f>IFERROR(IF(TS_ATHLETES[[#This Row],[TOTAL]]=0,"",RANK(TS_ATHLETES[[#This Row],[RANK VALUE]],TS_ATHLETES[RANK VALUE])+COUNTIF($H$1:H485,H486)),"")</f>
        <v>1278</v>
      </c>
    </row>
    <row r="487" spans="1:9" x14ac:dyDescent="0.25">
      <c r="A487" t="s">
        <v>579</v>
      </c>
      <c r="B487" s="3" t="s">
        <v>77</v>
      </c>
      <c r="C487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487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487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1</v>
      </c>
      <c r="F487" s="3">
        <f>SUM(TS_ATHLETES[[#This Row],[GOLD MEDALS]:[BRONZE MEDALS]])</f>
        <v>1</v>
      </c>
      <c r="G487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10000010</v>
      </c>
      <c r="H487" s="3">
        <f>IF(TS_ATHLETES[[#This Row],[TOTAL]]=0,"",RANK(TS_ATHLETES[[#This Row],[RANK VALUE]],TS_ATHLETES[RANK VALUE]))</f>
        <v>1224</v>
      </c>
      <c r="I487" s="3">
        <f>IFERROR(IF(TS_ATHLETES[[#This Row],[TOTAL]]=0,"",RANK(TS_ATHLETES[[#This Row],[RANK VALUE]],TS_ATHLETES[RANK VALUE])+COUNTIF($H$1:H486,H487)),"")</f>
        <v>1279</v>
      </c>
    </row>
    <row r="488" spans="1:9" x14ac:dyDescent="0.25">
      <c r="A488" t="s">
        <v>580</v>
      </c>
      <c r="B488" s="3" t="s">
        <v>126</v>
      </c>
      <c r="C488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488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488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1</v>
      </c>
      <c r="F488" s="3">
        <f>SUM(TS_ATHLETES[[#This Row],[GOLD MEDALS]:[BRONZE MEDALS]])</f>
        <v>1</v>
      </c>
      <c r="G488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10000010</v>
      </c>
      <c r="H488" s="3">
        <f>IF(TS_ATHLETES[[#This Row],[TOTAL]]=0,"",RANK(TS_ATHLETES[[#This Row],[RANK VALUE]],TS_ATHLETES[RANK VALUE]))</f>
        <v>1224</v>
      </c>
      <c r="I488" s="3">
        <f>IFERROR(IF(TS_ATHLETES[[#This Row],[TOTAL]]=0,"",RANK(TS_ATHLETES[[#This Row],[RANK VALUE]],TS_ATHLETES[RANK VALUE])+COUNTIF($H$1:H487,H488)),"")</f>
        <v>1280</v>
      </c>
    </row>
    <row r="489" spans="1:9" x14ac:dyDescent="0.25">
      <c r="A489" t="s">
        <v>581</v>
      </c>
      <c r="B489" s="3" t="s">
        <v>77</v>
      </c>
      <c r="C489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489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489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1</v>
      </c>
      <c r="F489" s="3">
        <f>SUM(TS_ATHLETES[[#This Row],[GOLD MEDALS]:[BRONZE MEDALS]])</f>
        <v>1</v>
      </c>
      <c r="G489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10000010</v>
      </c>
      <c r="H489" s="3">
        <f>IF(TS_ATHLETES[[#This Row],[TOTAL]]=0,"",RANK(TS_ATHLETES[[#This Row],[RANK VALUE]],TS_ATHLETES[RANK VALUE]))</f>
        <v>1224</v>
      </c>
      <c r="I489" s="3">
        <f>IFERROR(IF(TS_ATHLETES[[#This Row],[TOTAL]]=0,"",RANK(TS_ATHLETES[[#This Row],[RANK VALUE]],TS_ATHLETES[RANK VALUE])+COUNTIF($H$1:H488,H489)),"")</f>
        <v>1281</v>
      </c>
    </row>
    <row r="490" spans="1:9" x14ac:dyDescent="0.25">
      <c r="A490" t="s">
        <v>600</v>
      </c>
      <c r="B490" s="3" t="s">
        <v>179</v>
      </c>
      <c r="C490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490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490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1</v>
      </c>
      <c r="F490" s="3">
        <f>SUM(TS_ATHLETES[[#This Row],[GOLD MEDALS]:[BRONZE MEDALS]])</f>
        <v>1</v>
      </c>
      <c r="G490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10000010</v>
      </c>
      <c r="H490" s="3">
        <f>IF(TS_ATHLETES[[#This Row],[TOTAL]]=0,"",RANK(TS_ATHLETES[[#This Row],[RANK VALUE]],TS_ATHLETES[RANK VALUE]))</f>
        <v>1224</v>
      </c>
      <c r="I490" s="3">
        <f>IFERROR(IF(TS_ATHLETES[[#This Row],[TOTAL]]=0,"",RANK(TS_ATHLETES[[#This Row],[RANK VALUE]],TS_ATHLETES[RANK VALUE])+COUNTIF($H$1:H489,H490)),"")</f>
        <v>1282</v>
      </c>
    </row>
    <row r="491" spans="1:9" x14ac:dyDescent="0.25">
      <c r="A491" t="s">
        <v>1501</v>
      </c>
      <c r="B491" s="3" t="s">
        <v>21</v>
      </c>
      <c r="C491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491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491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1</v>
      </c>
      <c r="F491" s="3">
        <f>SUM(TS_ATHLETES[[#This Row],[GOLD MEDALS]:[BRONZE MEDALS]])</f>
        <v>1</v>
      </c>
      <c r="G491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10000010</v>
      </c>
      <c r="H491" s="3">
        <f>IF(TS_ATHLETES[[#This Row],[TOTAL]]=0,"",RANK(TS_ATHLETES[[#This Row],[RANK VALUE]],TS_ATHLETES[RANK VALUE]))</f>
        <v>1224</v>
      </c>
      <c r="I491" s="3">
        <f>IFERROR(IF(TS_ATHLETES[[#This Row],[TOTAL]]=0,"",RANK(TS_ATHLETES[[#This Row],[RANK VALUE]],TS_ATHLETES[RANK VALUE])+COUNTIF($H$1:H490,H491)),"")</f>
        <v>1283</v>
      </c>
    </row>
    <row r="492" spans="1:9" x14ac:dyDescent="0.25">
      <c r="A492" t="s">
        <v>1502</v>
      </c>
      <c r="B492" s="3" t="s">
        <v>98</v>
      </c>
      <c r="C492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492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492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1</v>
      </c>
      <c r="F492" s="3">
        <f>SUM(TS_ATHLETES[[#This Row],[GOLD MEDALS]:[BRONZE MEDALS]])</f>
        <v>1</v>
      </c>
      <c r="G492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10000010</v>
      </c>
      <c r="H492" s="3">
        <f>IF(TS_ATHLETES[[#This Row],[TOTAL]]=0,"",RANK(TS_ATHLETES[[#This Row],[RANK VALUE]],TS_ATHLETES[RANK VALUE]))</f>
        <v>1224</v>
      </c>
      <c r="I492" s="3">
        <f>IFERROR(IF(TS_ATHLETES[[#This Row],[TOTAL]]=0,"",RANK(TS_ATHLETES[[#This Row],[RANK VALUE]],TS_ATHLETES[RANK VALUE])+COUNTIF($H$1:H491,H492)),"")</f>
        <v>1284</v>
      </c>
    </row>
    <row r="493" spans="1:9" x14ac:dyDescent="0.25">
      <c r="A493" t="s">
        <v>616</v>
      </c>
      <c r="B493" s="3" t="s">
        <v>136</v>
      </c>
      <c r="C493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493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493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1</v>
      </c>
      <c r="F493" s="3">
        <f>SUM(TS_ATHLETES[[#This Row],[GOLD MEDALS]:[BRONZE MEDALS]])</f>
        <v>1</v>
      </c>
      <c r="G493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10000010</v>
      </c>
      <c r="H493" s="3">
        <f>IF(TS_ATHLETES[[#This Row],[TOTAL]]=0,"",RANK(TS_ATHLETES[[#This Row],[RANK VALUE]],TS_ATHLETES[RANK VALUE]))</f>
        <v>1224</v>
      </c>
      <c r="I493" s="3">
        <f>IFERROR(IF(TS_ATHLETES[[#This Row],[TOTAL]]=0,"",RANK(TS_ATHLETES[[#This Row],[RANK VALUE]],TS_ATHLETES[RANK VALUE])+COUNTIF($H$1:H492,H493)),"")</f>
        <v>1285</v>
      </c>
    </row>
    <row r="494" spans="1:9" x14ac:dyDescent="0.25">
      <c r="A494" t="s">
        <v>1503</v>
      </c>
      <c r="B494" s="3" t="s">
        <v>287</v>
      </c>
      <c r="C494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494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494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1</v>
      </c>
      <c r="F494" s="3">
        <f>SUM(TS_ATHLETES[[#This Row],[GOLD MEDALS]:[BRONZE MEDALS]])</f>
        <v>1</v>
      </c>
      <c r="G494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10000010</v>
      </c>
      <c r="H494" s="3">
        <f>IF(TS_ATHLETES[[#This Row],[TOTAL]]=0,"",RANK(TS_ATHLETES[[#This Row],[RANK VALUE]],TS_ATHLETES[RANK VALUE]))</f>
        <v>1224</v>
      </c>
      <c r="I494" s="3">
        <f>IFERROR(IF(TS_ATHLETES[[#This Row],[TOTAL]]=0,"",RANK(TS_ATHLETES[[#This Row],[RANK VALUE]],TS_ATHLETES[RANK VALUE])+COUNTIF($H$1:H493,H494)),"")</f>
        <v>1286</v>
      </c>
    </row>
    <row r="495" spans="1:9" x14ac:dyDescent="0.25">
      <c r="A495" t="s">
        <v>1504</v>
      </c>
      <c r="B495" s="3" t="s">
        <v>233</v>
      </c>
      <c r="C495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495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495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1</v>
      </c>
      <c r="F495" s="3">
        <f>SUM(TS_ATHLETES[[#This Row],[GOLD MEDALS]:[BRONZE MEDALS]])</f>
        <v>1</v>
      </c>
      <c r="G495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10000010</v>
      </c>
      <c r="H495" s="3">
        <f>IF(TS_ATHLETES[[#This Row],[TOTAL]]=0,"",RANK(TS_ATHLETES[[#This Row],[RANK VALUE]],TS_ATHLETES[RANK VALUE]))</f>
        <v>1224</v>
      </c>
      <c r="I495" s="3">
        <f>IFERROR(IF(TS_ATHLETES[[#This Row],[TOTAL]]=0,"",RANK(TS_ATHLETES[[#This Row],[RANK VALUE]],TS_ATHLETES[RANK VALUE])+COUNTIF($H$1:H494,H495)),"")</f>
        <v>1287</v>
      </c>
    </row>
    <row r="496" spans="1:9" x14ac:dyDescent="0.25">
      <c r="A496" t="s">
        <v>1505</v>
      </c>
      <c r="B496" s="3" t="s">
        <v>25</v>
      </c>
      <c r="C496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496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496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1</v>
      </c>
      <c r="F496" s="3">
        <f>SUM(TS_ATHLETES[[#This Row],[GOLD MEDALS]:[BRONZE MEDALS]])</f>
        <v>1</v>
      </c>
      <c r="G496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10000010</v>
      </c>
      <c r="H496" s="3">
        <f>IF(TS_ATHLETES[[#This Row],[TOTAL]]=0,"",RANK(TS_ATHLETES[[#This Row],[RANK VALUE]],TS_ATHLETES[RANK VALUE]))</f>
        <v>1224</v>
      </c>
      <c r="I496" s="3">
        <f>IFERROR(IF(TS_ATHLETES[[#This Row],[TOTAL]]=0,"",RANK(TS_ATHLETES[[#This Row],[RANK VALUE]],TS_ATHLETES[RANK VALUE])+COUNTIF($H$1:H495,H496)),"")</f>
        <v>1288</v>
      </c>
    </row>
    <row r="497" spans="1:9" x14ac:dyDescent="0.25">
      <c r="A497" t="s">
        <v>1506</v>
      </c>
      <c r="B497" s="3" t="s">
        <v>79</v>
      </c>
      <c r="C497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497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497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1</v>
      </c>
      <c r="F497" s="3">
        <f>SUM(TS_ATHLETES[[#This Row],[GOLD MEDALS]:[BRONZE MEDALS]])</f>
        <v>1</v>
      </c>
      <c r="G497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10000010</v>
      </c>
      <c r="H497" s="3">
        <f>IF(TS_ATHLETES[[#This Row],[TOTAL]]=0,"",RANK(TS_ATHLETES[[#This Row],[RANK VALUE]],TS_ATHLETES[RANK VALUE]))</f>
        <v>1224</v>
      </c>
      <c r="I497" s="3">
        <f>IFERROR(IF(TS_ATHLETES[[#This Row],[TOTAL]]=0,"",RANK(TS_ATHLETES[[#This Row],[RANK VALUE]],TS_ATHLETES[RANK VALUE])+COUNTIF($H$1:H496,H497)),"")</f>
        <v>1289</v>
      </c>
    </row>
    <row r="498" spans="1:9" x14ac:dyDescent="0.25">
      <c r="A498" t="s">
        <v>1507</v>
      </c>
      <c r="B498" s="3" t="s">
        <v>371</v>
      </c>
      <c r="C498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498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498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1</v>
      </c>
      <c r="F498" s="3">
        <f>SUM(TS_ATHLETES[[#This Row],[GOLD MEDALS]:[BRONZE MEDALS]])</f>
        <v>1</v>
      </c>
      <c r="G498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10000010</v>
      </c>
      <c r="H498" s="3">
        <f>IF(TS_ATHLETES[[#This Row],[TOTAL]]=0,"",RANK(TS_ATHLETES[[#This Row],[RANK VALUE]],TS_ATHLETES[RANK VALUE]))</f>
        <v>1224</v>
      </c>
      <c r="I498" s="3">
        <f>IFERROR(IF(TS_ATHLETES[[#This Row],[TOTAL]]=0,"",RANK(TS_ATHLETES[[#This Row],[RANK VALUE]],TS_ATHLETES[RANK VALUE])+COUNTIF($H$1:H497,H498)),"")</f>
        <v>1290</v>
      </c>
    </row>
    <row r="499" spans="1:9" x14ac:dyDescent="0.25">
      <c r="A499" t="s">
        <v>946</v>
      </c>
      <c r="B499" s="3" t="s">
        <v>321</v>
      </c>
      <c r="C499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499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499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1</v>
      </c>
      <c r="F499" s="3">
        <f>SUM(TS_ATHLETES[[#This Row],[GOLD MEDALS]:[BRONZE MEDALS]])</f>
        <v>1</v>
      </c>
      <c r="G499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10000010</v>
      </c>
      <c r="H499" s="3">
        <f>IF(TS_ATHLETES[[#This Row],[TOTAL]]=0,"",RANK(TS_ATHLETES[[#This Row],[RANK VALUE]],TS_ATHLETES[RANK VALUE]))</f>
        <v>1224</v>
      </c>
      <c r="I499" s="3">
        <f>IFERROR(IF(TS_ATHLETES[[#This Row],[TOTAL]]=0,"",RANK(TS_ATHLETES[[#This Row],[RANK VALUE]],TS_ATHLETES[RANK VALUE])+COUNTIF($H$1:H498,H499)),"")</f>
        <v>1291</v>
      </c>
    </row>
    <row r="500" spans="1:9" x14ac:dyDescent="0.25">
      <c r="A500" t="s">
        <v>1508</v>
      </c>
      <c r="B500" s="3" t="s">
        <v>66</v>
      </c>
      <c r="C500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500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500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1</v>
      </c>
      <c r="F500" s="3">
        <f>SUM(TS_ATHLETES[[#This Row],[GOLD MEDALS]:[BRONZE MEDALS]])</f>
        <v>1</v>
      </c>
      <c r="G500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10000010</v>
      </c>
      <c r="H500" s="3">
        <f>IF(TS_ATHLETES[[#This Row],[TOTAL]]=0,"",RANK(TS_ATHLETES[[#This Row],[RANK VALUE]],TS_ATHLETES[RANK VALUE]))</f>
        <v>1224</v>
      </c>
      <c r="I500" s="3">
        <f>IFERROR(IF(TS_ATHLETES[[#This Row],[TOTAL]]=0,"",RANK(TS_ATHLETES[[#This Row],[RANK VALUE]],TS_ATHLETES[RANK VALUE])+COUNTIF($H$1:H499,H500)),"")</f>
        <v>1292</v>
      </c>
    </row>
    <row r="501" spans="1:9" x14ac:dyDescent="0.25">
      <c r="A501" t="s">
        <v>1509</v>
      </c>
      <c r="B501" s="3" t="s">
        <v>280</v>
      </c>
      <c r="C501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501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501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1</v>
      </c>
      <c r="F501" s="3">
        <f>SUM(TS_ATHLETES[[#This Row],[GOLD MEDALS]:[BRONZE MEDALS]])</f>
        <v>1</v>
      </c>
      <c r="G501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10000010</v>
      </c>
      <c r="H501" s="3">
        <f>IF(TS_ATHLETES[[#This Row],[TOTAL]]=0,"",RANK(TS_ATHLETES[[#This Row],[RANK VALUE]],TS_ATHLETES[RANK VALUE]))</f>
        <v>1224</v>
      </c>
      <c r="I501" s="3">
        <f>IFERROR(IF(TS_ATHLETES[[#This Row],[TOTAL]]=0,"",RANK(TS_ATHLETES[[#This Row],[RANK VALUE]],TS_ATHLETES[RANK VALUE])+COUNTIF($H$1:H500,H501)),"")</f>
        <v>1293</v>
      </c>
    </row>
    <row r="502" spans="1:9" x14ac:dyDescent="0.25">
      <c r="A502" t="s">
        <v>1510</v>
      </c>
      <c r="B502" s="3" t="s">
        <v>361</v>
      </c>
      <c r="C502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502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502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1</v>
      </c>
      <c r="F502" s="3">
        <f>SUM(TS_ATHLETES[[#This Row],[GOLD MEDALS]:[BRONZE MEDALS]])</f>
        <v>1</v>
      </c>
      <c r="G502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10000010</v>
      </c>
      <c r="H502" s="3">
        <f>IF(TS_ATHLETES[[#This Row],[TOTAL]]=0,"",RANK(TS_ATHLETES[[#This Row],[RANK VALUE]],TS_ATHLETES[RANK VALUE]))</f>
        <v>1224</v>
      </c>
      <c r="I502" s="3">
        <f>IFERROR(IF(TS_ATHLETES[[#This Row],[TOTAL]]=0,"",RANK(TS_ATHLETES[[#This Row],[RANK VALUE]],TS_ATHLETES[RANK VALUE])+COUNTIF($H$1:H501,H502)),"")</f>
        <v>1294</v>
      </c>
    </row>
    <row r="503" spans="1:9" x14ac:dyDescent="0.25">
      <c r="A503" t="s">
        <v>1511</v>
      </c>
      <c r="B503" s="3" t="s">
        <v>175</v>
      </c>
      <c r="C503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503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503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1</v>
      </c>
      <c r="F503" s="3">
        <f>SUM(TS_ATHLETES[[#This Row],[GOLD MEDALS]:[BRONZE MEDALS]])</f>
        <v>1</v>
      </c>
      <c r="G503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10000010</v>
      </c>
      <c r="H503" s="3">
        <f>IF(TS_ATHLETES[[#This Row],[TOTAL]]=0,"",RANK(TS_ATHLETES[[#This Row],[RANK VALUE]],TS_ATHLETES[RANK VALUE]))</f>
        <v>1224</v>
      </c>
      <c r="I503" s="3">
        <f>IFERROR(IF(TS_ATHLETES[[#This Row],[TOTAL]]=0,"",RANK(TS_ATHLETES[[#This Row],[RANK VALUE]],TS_ATHLETES[RANK VALUE])+COUNTIF($H$1:H502,H503)),"")</f>
        <v>1295</v>
      </c>
    </row>
    <row r="504" spans="1:9" x14ac:dyDescent="0.25">
      <c r="A504" t="s">
        <v>1512</v>
      </c>
      <c r="B504" s="3" t="s">
        <v>287</v>
      </c>
      <c r="C504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504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504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1</v>
      </c>
      <c r="F504" s="3">
        <f>SUM(TS_ATHLETES[[#This Row],[GOLD MEDALS]:[BRONZE MEDALS]])</f>
        <v>1</v>
      </c>
      <c r="G504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10000010</v>
      </c>
      <c r="H504" s="3">
        <f>IF(TS_ATHLETES[[#This Row],[TOTAL]]=0,"",RANK(TS_ATHLETES[[#This Row],[RANK VALUE]],TS_ATHLETES[RANK VALUE]))</f>
        <v>1224</v>
      </c>
      <c r="I504" s="3">
        <f>IFERROR(IF(TS_ATHLETES[[#This Row],[TOTAL]]=0,"",RANK(TS_ATHLETES[[#This Row],[RANK VALUE]],TS_ATHLETES[RANK VALUE])+COUNTIF($H$1:H503,H504)),"")</f>
        <v>1296</v>
      </c>
    </row>
    <row r="505" spans="1:9" x14ac:dyDescent="0.25">
      <c r="A505" t="s">
        <v>1513</v>
      </c>
      <c r="B505" s="3" t="s">
        <v>361</v>
      </c>
      <c r="C505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505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505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1</v>
      </c>
      <c r="F505" s="3">
        <f>SUM(TS_ATHLETES[[#This Row],[GOLD MEDALS]:[BRONZE MEDALS]])</f>
        <v>1</v>
      </c>
      <c r="G505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10000010</v>
      </c>
      <c r="H505" s="3">
        <f>IF(TS_ATHLETES[[#This Row],[TOTAL]]=0,"",RANK(TS_ATHLETES[[#This Row],[RANK VALUE]],TS_ATHLETES[RANK VALUE]))</f>
        <v>1224</v>
      </c>
      <c r="I505" s="3">
        <f>IFERROR(IF(TS_ATHLETES[[#This Row],[TOTAL]]=0,"",RANK(TS_ATHLETES[[#This Row],[RANK VALUE]],TS_ATHLETES[RANK VALUE])+COUNTIF($H$1:H504,H505)),"")</f>
        <v>1297</v>
      </c>
    </row>
    <row r="506" spans="1:9" x14ac:dyDescent="0.25">
      <c r="A506" t="s">
        <v>1514</v>
      </c>
      <c r="B506" s="3" t="s">
        <v>217</v>
      </c>
      <c r="C506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506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506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1</v>
      </c>
      <c r="F506" s="3">
        <f>SUM(TS_ATHLETES[[#This Row],[GOLD MEDALS]:[BRONZE MEDALS]])</f>
        <v>1</v>
      </c>
      <c r="G506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10000010</v>
      </c>
      <c r="H506" s="3">
        <f>IF(TS_ATHLETES[[#This Row],[TOTAL]]=0,"",RANK(TS_ATHLETES[[#This Row],[RANK VALUE]],TS_ATHLETES[RANK VALUE]))</f>
        <v>1224</v>
      </c>
      <c r="I506" s="3">
        <f>IFERROR(IF(TS_ATHLETES[[#This Row],[TOTAL]]=0,"",RANK(TS_ATHLETES[[#This Row],[RANK VALUE]],TS_ATHLETES[RANK VALUE])+COUNTIF($H$1:H505,H506)),"")</f>
        <v>1298</v>
      </c>
    </row>
    <row r="507" spans="1:9" x14ac:dyDescent="0.25">
      <c r="A507" t="s">
        <v>1515</v>
      </c>
      <c r="B507" s="3" t="s">
        <v>21</v>
      </c>
      <c r="C507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507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507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1</v>
      </c>
      <c r="F507" s="3">
        <f>SUM(TS_ATHLETES[[#This Row],[GOLD MEDALS]:[BRONZE MEDALS]])</f>
        <v>1</v>
      </c>
      <c r="G507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10000010</v>
      </c>
      <c r="H507" s="3">
        <f>IF(TS_ATHLETES[[#This Row],[TOTAL]]=0,"",RANK(TS_ATHLETES[[#This Row],[RANK VALUE]],TS_ATHLETES[RANK VALUE]))</f>
        <v>1224</v>
      </c>
      <c r="I507" s="3">
        <f>IFERROR(IF(TS_ATHLETES[[#This Row],[TOTAL]]=0,"",RANK(TS_ATHLETES[[#This Row],[RANK VALUE]],TS_ATHLETES[RANK VALUE])+COUNTIF($H$1:H506,H507)),"")</f>
        <v>1299</v>
      </c>
    </row>
    <row r="508" spans="1:9" x14ac:dyDescent="0.25">
      <c r="A508" t="s">
        <v>1516</v>
      </c>
      <c r="B508" s="3" t="s">
        <v>100</v>
      </c>
      <c r="C508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508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508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2</v>
      </c>
      <c r="F508" s="3">
        <f>SUM(TS_ATHLETES[[#This Row],[GOLD MEDALS]:[BRONZE MEDALS]])</f>
        <v>2</v>
      </c>
      <c r="G508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20000020</v>
      </c>
      <c r="H508" s="3">
        <f>IF(TS_ATHLETES[[#This Row],[TOTAL]]=0,"",RANK(TS_ATHLETES[[#This Row],[RANK VALUE]],TS_ATHLETES[RANK VALUE]))</f>
        <v>122</v>
      </c>
      <c r="I508" s="3">
        <f>IFERROR(IF(TS_ATHLETES[[#This Row],[TOTAL]]=0,"",RANK(TS_ATHLETES[[#This Row],[RANK VALUE]],TS_ATHLETES[RANK VALUE])+COUNTIF($H$1:H507,H508)),"")</f>
        <v>122</v>
      </c>
    </row>
    <row r="509" spans="1:9" x14ac:dyDescent="0.25">
      <c r="A509" t="s">
        <v>1517</v>
      </c>
      <c r="B509" s="3" t="s">
        <v>37</v>
      </c>
      <c r="C509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509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509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1</v>
      </c>
      <c r="F509" s="3">
        <f>SUM(TS_ATHLETES[[#This Row],[GOLD MEDALS]:[BRONZE MEDALS]])</f>
        <v>1</v>
      </c>
      <c r="G509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10000010</v>
      </c>
      <c r="H509" s="3">
        <f>IF(TS_ATHLETES[[#This Row],[TOTAL]]=0,"",RANK(TS_ATHLETES[[#This Row],[RANK VALUE]],TS_ATHLETES[RANK VALUE]))</f>
        <v>1224</v>
      </c>
      <c r="I509" s="3">
        <f>IFERROR(IF(TS_ATHLETES[[#This Row],[TOTAL]]=0,"",RANK(TS_ATHLETES[[#This Row],[RANK VALUE]],TS_ATHLETES[RANK VALUE])+COUNTIF($H$1:H508,H509)),"")</f>
        <v>1300</v>
      </c>
    </row>
    <row r="510" spans="1:9" x14ac:dyDescent="0.25">
      <c r="A510" t="s">
        <v>1518</v>
      </c>
      <c r="B510" s="3" t="s">
        <v>136</v>
      </c>
      <c r="C510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510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510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1</v>
      </c>
      <c r="F510" s="3">
        <f>SUM(TS_ATHLETES[[#This Row],[GOLD MEDALS]:[BRONZE MEDALS]])</f>
        <v>1</v>
      </c>
      <c r="G510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10000010</v>
      </c>
      <c r="H510" s="3">
        <f>IF(TS_ATHLETES[[#This Row],[TOTAL]]=0,"",RANK(TS_ATHLETES[[#This Row],[RANK VALUE]],TS_ATHLETES[RANK VALUE]))</f>
        <v>1224</v>
      </c>
      <c r="I510" s="3">
        <f>IFERROR(IF(TS_ATHLETES[[#This Row],[TOTAL]]=0,"",RANK(TS_ATHLETES[[#This Row],[RANK VALUE]],TS_ATHLETES[RANK VALUE])+COUNTIF($H$1:H509,H510)),"")</f>
        <v>1301</v>
      </c>
    </row>
    <row r="511" spans="1:9" x14ac:dyDescent="0.25">
      <c r="A511" t="s">
        <v>1519</v>
      </c>
      <c r="B511" s="3" t="s">
        <v>175</v>
      </c>
      <c r="C511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511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1</v>
      </c>
      <c r="E511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1</v>
      </c>
      <c r="F511" s="3">
        <f>SUM(TS_ATHLETES[[#This Row],[GOLD MEDALS]:[BRONZE MEDALS]])</f>
        <v>2</v>
      </c>
      <c r="G511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20000110</v>
      </c>
      <c r="H511" s="3">
        <f>IF(TS_ATHLETES[[#This Row],[TOTAL]]=0,"",RANK(TS_ATHLETES[[#This Row],[RANK VALUE]],TS_ATHLETES[RANK VALUE]))</f>
        <v>108</v>
      </c>
      <c r="I511" s="3">
        <f>IFERROR(IF(TS_ATHLETES[[#This Row],[TOTAL]]=0,"",RANK(TS_ATHLETES[[#This Row],[RANK VALUE]],TS_ATHLETES[RANK VALUE])+COUNTIF($H$1:H510,H511)),"")</f>
        <v>117</v>
      </c>
    </row>
    <row r="512" spans="1:9" x14ac:dyDescent="0.25">
      <c r="A512" t="s">
        <v>1520</v>
      </c>
      <c r="B512" s="3" t="s">
        <v>363</v>
      </c>
      <c r="C512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512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1</v>
      </c>
      <c r="E512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1</v>
      </c>
      <c r="F512" s="3">
        <f>SUM(TS_ATHLETES[[#This Row],[GOLD MEDALS]:[BRONZE MEDALS]])</f>
        <v>2</v>
      </c>
      <c r="G512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20000110</v>
      </c>
      <c r="H512" s="3">
        <f>IF(TS_ATHLETES[[#This Row],[TOTAL]]=0,"",RANK(TS_ATHLETES[[#This Row],[RANK VALUE]],TS_ATHLETES[RANK VALUE]))</f>
        <v>108</v>
      </c>
      <c r="I512" s="3">
        <f>IFERROR(IF(TS_ATHLETES[[#This Row],[TOTAL]]=0,"",RANK(TS_ATHLETES[[#This Row],[RANK VALUE]],TS_ATHLETES[RANK VALUE])+COUNTIF($H$1:H511,H512)),"")</f>
        <v>118</v>
      </c>
    </row>
    <row r="513" spans="1:9" x14ac:dyDescent="0.25">
      <c r="A513" t="s">
        <v>1521</v>
      </c>
      <c r="B513" s="3" t="s">
        <v>66</v>
      </c>
      <c r="C513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513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513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2</v>
      </c>
      <c r="F513" s="3">
        <f>SUM(TS_ATHLETES[[#This Row],[GOLD MEDALS]:[BRONZE MEDALS]])</f>
        <v>2</v>
      </c>
      <c r="G513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20000020</v>
      </c>
      <c r="H513" s="3">
        <f>IF(TS_ATHLETES[[#This Row],[TOTAL]]=0,"",RANK(TS_ATHLETES[[#This Row],[RANK VALUE]],TS_ATHLETES[RANK VALUE]))</f>
        <v>122</v>
      </c>
      <c r="I513" s="3">
        <f>IFERROR(IF(TS_ATHLETES[[#This Row],[TOTAL]]=0,"",RANK(TS_ATHLETES[[#This Row],[RANK VALUE]],TS_ATHLETES[RANK VALUE])+COUNTIF($H$1:H512,H513)),"")</f>
        <v>123</v>
      </c>
    </row>
    <row r="514" spans="1:9" x14ac:dyDescent="0.25">
      <c r="A514" t="s">
        <v>1522</v>
      </c>
      <c r="B514" s="3" t="s">
        <v>363</v>
      </c>
      <c r="C514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514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514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1</v>
      </c>
      <c r="F514" s="3">
        <f>SUM(TS_ATHLETES[[#This Row],[GOLD MEDALS]:[BRONZE MEDALS]])</f>
        <v>1</v>
      </c>
      <c r="G514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10000010</v>
      </c>
      <c r="H514" s="3">
        <f>IF(TS_ATHLETES[[#This Row],[TOTAL]]=0,"",RANK(TS_ATHLETES[[#This Row],[RANK VALUE]],TS_ATHLETES[RANK VALUE]))</f>
        <v>1224</v>
      </c>
      <c r="I514" s="3">
        <f>IFERROR(IF(TS_ATHLETES[[#This Row],[TOTAL]]=0,"",RANK(TS_ATHLETES[[#This Row],[RANK VALUE]],TS_ATHLETES[RANK VALUE])+COUNTIF($H$1:H513,H514)),"")</f>
        <v>1302</v>
      </c>
    </row>
    <row r="515" spans="1:9" x14ac:dyDescent="0.25">
      <c r="A515" t="s">
        <v>1523</v>
      </c>
      <c r="B515" s="3" t="s">
        <v>136</v>
      </c>
      <c r="C515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1</v>
      </c>
      <c r="D515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515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1</v>
      </c>
      <c r="F515" s="3">
        <f>SUM(TS_ATHLETES[[#This Row],[GOLD MEDALS]:[BRONZE MEDALS]])</f>
        <v>2</v>
      </c>
      <c r="G515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20100010</v>
      </c>
      <c r="H515" s="3">
        <f>IF(TS_ATHLETES[[#This Row],[TOTAL]]=0,"",RANK(TS_ATHLETES[[#This Row],[RANK VALUE]],TS_ATHLETES[RANK VALUE]))</f>
        <v>71</v>
      </c>
      <c r="I515" s="3">
        <f>IFERROR(IF(TS_ATHLETES[[#This Row],[TOTAL]]=0,"",RANK(TS_ATHLETES[[#This Row],[RANK VALUE]],TS_ATHLETES[RANK VALUE])+COUNTIF($H$1:H514,H515)),"")</f>
        <v>82</v>
      </c>
    </row>
    <row r="516" spans="1:9" x14ac:dyDescent="0.25">
      <c r="A516" t="s">
        <v>1524</v>
      </c>
      <c r="B516" s="3" t="s">
        <v>66</v>
      </c>
      <c r="C516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516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516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1</v>
      </c>
      <c r="F516" s="3">
        <f>SUM(TS_ATHLETES[[#This Row],[GOLD MEDALS]:[BRONZE MEDALS]])</f>
        <v>1</v>
      </c>
      <c r="G516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10000010</v>
      </c>
      <c r="H516" s="3">
        <f>IF(TS_ATHLETES[[#This Row],[TOTAL]]=0,"",RANK(TS_ATHLETES[[#This Row],[RANK VALUE]],TS_ATHLETES[RANK VALUE]))</f>
        <v>1224</v>
      </c>
      <c r="I516" s="3">
        <f>IFERROR(IF(TS_ATHLETES[[#This Row],[TOTAL]]=0,"",RANK(TS_ATHLETES[[#This Row],[RANK VALUE]],TS_ATHLETES[RANK VALUE])+COUNTIF($H$1:H515,H516)),"")</f>
        <v>1303</v>
      </c>
    </row>
    <row r="517" spans="1:9" x14ac:dyDescent="0.25">
      <c r="A517" t="s">
        <v>1525</v>
      </c>
      <c r="B517" s="3" t="s">
        <v>287</v>
      </c>
      <c r="C517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1</v>
      </c>
      <c r="D517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517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1</v>
      </c>
      <c r="F517" s="3">
        <f>SUM(TS_ATHLETES[[#This Row],[GOLD MEDALS]:[BRONZE MEDALS]])</f>
        <v>2</v>
      </c>
      <c r="G517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20100010</v>
      </c>
      <c r="H517" s="3">
        <f>IF(TS_ATHLETES[[#This Row],[TOTAL]]=0,"",RANK(TS_ATHLETES[[#This Row],[RANK VALUE]],TS_ATHLETES[RANK VALUE]))</f>
        <v>71</v>
      </c>
      <c r="I517" s="3">
        <f>IFERROR(IF(TS_ATHLETES[[#This Row],[TOTAL]]=0,"",RANK(TS_ATHLETES[[#This Row],[RANK VALUE]],TS_ATHLETES[RANK VALUE])+COUNTIF($H$1:H516,H517)),"")</f>
        <v>83</v>
      </c>
    </row>
    <row r="518" spans="1:9" x14ac:dyDescent="0.25">
      <c r="A518" t="s">
        <v>1526</v>
      </c>
      <c r="B518" s="3" t="s">
        <v>350</v>
      </c>
      <c r="C518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518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518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1</v>
      </c>
      <c r="F518" s="3">
        <f>SUM(TS_ATHLETES[[#This Row],[GOLD MEDALS]:[BRONZE MEDALS]])</f>
        <v>1</v>
      </c>
      <c r="G518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10000010</v>
      </c>
      <c r="H518" s="3">
        <f>IF(TS_ATHLETES[[#This Row],[TOTAL]]=0,"",RANK(TS_ATHLETES[[#This Row],[RANK VALUE]],TS_ATHLETES[RANK VALUE]))</f>
        <v>1224</v>
      </c>
      <c r="I518" s="3">
        <f>IFERROR(IF(TS_ATHLETES[[#This Row],[TOTAL]]=0,"",RANK(TS_ATHLETES[[#This Row],[RANK VALUE]],TS_ATHLETES[RANK VALUE])+COUNTIF($H$1:H517,H518)),"")</f>
        <v>1304</v>
      </c>
    </row>
    <row r="519" spans="1:9" x14ac:dyDescent="0.25">
      <c r="A519" t="s">
        <v>1527</v>
      </c>
      <c r="B519" s="3" t="s">
        <v>128</v>
      </c>
      <c r="C519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1</v>
      </c>
      <c r="D519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519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1</v>
      </c>
      <c r="F519" s="3">
        <f>SUM(TS_ATHLETES[[#This Row],[GOLD MEDALS]:[BRONZE MEDALS]])</f>
        <v>2</v>
      </c>
      <c r="G519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20100010</v>
      </c>
      <c r="H519" s="3">
        <f>IF(TS_ATHLETES[[#This Row],[TOTAL]]=0,"",RANK(TS_ATHLETES[[#This Row],[RANK VALUE]],TS_ATHLETES[RANK VALUE]))</f>
        <v>71</v>
      </c>
      <c r="I519" s="3">
        <f>IFERROR(IF(TS_ATHLETES[[#This Row],[TOTAL]]=0,"",RANK(TS_ATHLETES[[#This Row],[RANK VALUE]],TS_ATHLETES[RANK VALUE])+COUNTIF($H$1:H518,H519)),"")</f>
        <v>84</v>
      </c>
    </row>
    <row r="520" spans="1:9" x14ac:dyDescent="0.25">
      <c r="A520" t="s">
        <v>1528</v>
      </c>
      <c r="B520" s="3" t="s">
        <v>77</v>
      </c>
      <c r="C520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520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1</v>
      </c>
      <c r="E520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1</v>
      </c>
      <c r="F520" s="3">
        <f>SUM(TS_ATHLETES[[#This Row],[GOLD MEDALS]:[BRONZE MEDALS]])</f>
        <v>2</v>
      </c>
      <c r="G520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20000110</v>
      </c>
      <c r="H520" s="3">
        <f>IF(TS_ATHLETES[[#This Row],[TOTAL]]=0,"",RANK(TS_ATHLETES[[#This Row],[RANK VALUE]],TS_ATHLETES[RANK VALUE]))</f>
        <v>108</v>
      </c>
      <c r="I520" s="3">
        <f>IFERROR(IF(TS_ATHLETES[[#This Row],[TOTAL]]=0,"",RANK(TS_ATHLETES[[#This Row],[RANK VALUE]],TS_ATHLETES[RANK VALUE])+COUNTIF($H$1:H519,H520)),"")</f>
        <v>119</v>
      </c>
    </row>
    <row r="521" spans="1:9" x14ac:dyDescent="0.25">
      <c r="A521" t="s">
        <v>1529</v>
      </c>
      <c r="B521" s="3" t="s">
        <v>187</v>
      </c>
      <c r="C521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521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521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1</v>
      </c>
      <c r="F521" s="3">
        <f>SUM(TS_ATHLETES[[#This Row],[GOLD MEDALS]:[BRONZE MEDALS]])</f>
        <v>1</v>
      </c>
      <c r="G521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10000010</v>
      </c>
      <c r="H521" s="3">
        <f>IF(TS_ATHLETES[[#This Row],[TOTAL]]=0,"",RANK(TS_ATHLETES[[#This Row],[RANK VALUE]],TS_ATHLETES[RANK VALUE]))</f>
        <v>1224</v>
      </c>
      <c r="I521" s="3">
        <f>IFERROR(IF(TS_ATHLETES[[#This Row],[TOTAL]]=0,"",RANK(TS_ATHLETES[[#This Row],[RANK VALUE]],TS_ATHLETES[RANK VALUE])+COUNTIF($H$1:H520,H521)),"")</f>
        <v>1305</v>
      </c>
    </row>
    <row r="522" spans="1:9" x14ac:dyDescent="0.25">
      <c r="A522" t="s">
        <v>1530</v>
      </c>
      <c r="B522" s="3" t="s">
        <v>358</v>
      </c>
      <c r="C522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522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1</v>
      </c>
      <c r="E522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1</v>
      </c>
      <c r="F522" s="3">
        <f>SUM(TS_ATHLETES[[#This Row],[GOLD MEDALS]:[BRONZE MEDALS]])</f>
        <v>2</v>
      </c>
      <c r="G522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20000110</v>
      </c>
      <c r="H522" s="3">
        <f>IF(TS_ATHLETES[[#This Row],[TOTAL]]=0,"",RANK(TS_ATHLETES[[#This Row],[RANK VALUE]],TS_ATHLETES[RANK VALUE]))</f>
        <v>108</v>
      </c>
      <c r="I522" s="3">
        <f>IFERROR(IF(TS_ATHLETES[[#This Row],[TOTAL]]=0,"",RANK(TS_ATHLETES[[#This Row],[RANK VALUE]],TS_ATHLETES[RANK VALUE])+COUNTIF($H$1:H521,H522)),"")</f>
        <v>120</v>
      </c>
    </row>
    <row r="523" spans="1:9" x14ac:dyDescent="0.25">
      <c r="A523" t="s">
        <v>1531</v>
      </c>
      <c r="B523" s="3" t="s">
        <v>363</v>
      </c>
      <c r="C523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523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523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1</v>
      </c>
      <c r="F523" s="3">
        <f>SUM(TS_ATHLETES[[#This Row],[GOLD MEDALS]:[BRONZE MEDALS]])</f>
        <v>1</v>
      </c>
      <c r="G523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10000010</v>
      </c>
      <c r="H523" s="3">
        <f>IF(TS_ATHLETES[[#This Row],[TOTAL]]=0,"",RANK(TS_ATHLETES[[#This Row],[RANK VALUE]],TS_ATHLETES[RANK VALUE]))</f>
        <v>1224</v>
      </c>
      <c r="I523" s="3">
        <f>IFERROR(IF(TS_ATHLETES[[#This Row],[TOTAL]]=0,"",RANK(TS_ATHLETES[[#This Row],[RANK VALUE]],TS_ATHLETES[RANK VALUE])+COUNTIF($H$1:H522,H523)),"")</f>
        <v>1306</v>
      </c>
    </row>
    <row r="524" spans="1:9" x14ac:dyDescent="0.25">
      <c r="A524" t="s">
        <v>1532</v>
      </c>
      <c r="B524" s="3" t="s">
        <v>77</v>
      </c>
      <c r="C524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524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524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1</v>
      </c>
      <c r="F524" s="3">
        <f>SUM(TS_ATHLETES[[#This Row],[GOLD MEDALS]:[BRONZE MEDALS]])</f>
        <v>1</v>
      </c>
      <c r="G524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10000010</v>
      </c>
      <c r="H524" s="3">
        <f>IF(TS_ATHLETES[[#This Row],[TOTAL]]=0,"",RANK(TS_ATHLETES[[#This Row],[RANK VALUE]],TS_ATHLETES[RANK VALUE]))</f>
        <v>1224</v>
      </c>
      <c r="I524" s="3">
        <f>IFERROR(IF(TS_ATHLETES[[#This Row],[TOTAL]]=0,"",RANK(TS_ATHLETES[[#This Row],[RANK VALUE]],TS_ATHLETES[RANK VALUE])+COUNTIF($H$1:H523,H524)),"")</f>
        <v>1307</v>
      </c>
    </row>
    <row r="525" spans="1:9" x14ac:dyDescent="0.25">
      <c r="A525" t="s">
        <v>667</v>
      </c>
      <c r="B525" s="3" t="s">
        <v>179</v>
      </c>
      <c r="C525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525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525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1</v>
      </c>
      <c r="F525" s="3">
        <f>SUM(TS_ATHLETES[[#This Row],[GOLD MEDALS]:[BRONZE MEDALS]])</f>
        <v>1</v>
      </c>
      <c r="G525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10000010</v>
      </c>
      <c r="H525" s="3">
        <f>IF(TS_ATHLETES[[#This Row],[TOTAL]]=0,"",RANK(TS_ATHLETES[[#This Row],[RANK VALUE]],TS_ATHLETES[RANK VALUE]))</f>
        <v>1224</v>
      </c>
      <c r="I525" s="3">
        <f>IFERROR(IF(TS_ATHLETES[[#This Row],[TOTAL]]=0,"",RANK(TS_ATHLETES[[#This Row],[RANK VALUE]],TS_ATHLETES[RANK VALUE])+COUNTIF($H$1:H524,H525)),"")</f>
        <v>1308</v>
      </c>
    </row>
    <row r="526" spans="1:9" x14ac:dyDescent="0.25">
      <c r="A526" t="s">
        <v>668</v>
      </c>
      <c r="B526" s="3" t="s">
        <v>287</v>
      </c>
      <c r="C526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526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526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1</v>
      </c>
      <c r="F526" s="3">
        <f>SUM(TS_ATHLETES[[#This Row],[GOLD MEDALS]:[BRONZE MEDALS]])</f>
        <v>1</v>
      </c>
      <c r="G526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10000010</v>
      </c>
      <c r="H526" s="3">
        <f>IF(TS_ATHLETES[[#This Row],[TOTAL]]=0,"",RANK(TS_ATHLETES[[#This Row],[RANK VALUE]],TS_ATHLETES[RANK VALUE]))</f>
        <v>1224</v>
      </c>
      <c r="I526" s="3">
        <f>IFERROR(IF(TS_ATHLETES[[#This Row],[TOTAL]]=0,"",RANK(TS_ATHLETES[[#This Row],[RANK VALUE]],TS_ATHLETES[RANK VALUE])+COUNTIF($H$1:H525,H526)),"")</f>
        <v>1309</v>
      </c>
    </row>
    <row r="527" spans="1:9" x14ac:dyDescent="0.25">
      <c r="A527" t="s">
        <v>669</v>
      </c>
      <c r="B527" s="3" t="s">
        <v>282</v>
      </c>
      <c r="C527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527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527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1</v>
      </c>
      <c r="F527" s="3">
        <f>SUM(TS_ATHLETES[[#This Row],[GOLD MEDALS]:[BRONZE MEDALS]])</f>
        <v>1</v>
      </c>
      <c r="G527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10000010</v>
      </c>
      <c r="H527" s="3">
        <f>IF(TS_ATHLETES[[#This Row],[TOTAL]]=0,"",RANK(TS_ATHLETES[[#This Row],[RANK VALUE]],TS_ATHLETES[RANK VALUE]))</f>
        <v>1224</v>
      </c>
      <c r="I527" s="3">
        <f>IFERROR(IF(TS_ATHLETES[[#This Row],[TOTAL]]=0,"",RANK(TS_ATHLETES[[#This Row],[RANK VALUE]],TS_ATHLETES[RANK VALUE])+COUNTIF($H$1:H526,H527)),"")</f>
        <v>1310</v>
      </c>
    </row>
    <row r="528" spans="1:9" x14ac:dyDescent="0.25">
      <c r="A528" t="s">
        <v>670</v>
      </c>
      <c r="B528" s="3" t="s">
        <v>250</v>
      </c>
      <c r="C528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528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528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1</v>
      </c>
      <c r="F528" s="3">
        <f>SUM(TS_ATHLETES[[#This Row],[GOLD MEDALS]:[BRONZE MEDALS]])</f>
        <v>1</v>
      </c>
      <c r="G528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10000010</v>
      </c>
      <c r="H528" s="3">
        <f>IF(TS_ATHLETES[[#This Row],[TOTAL]]=0,"",RANK(TS_ATHLETES[[#This Row],[RANK VALUE]],TS_ATHLETES[RANK VALUE]))</f>
        <v>1224</v>
      </c>
      <c r="I528" s="3">
        <f>IFERROR(IF(TS_ATHLETES[[#This Row],[TOTAL]]=0,"",RANK(TS_ATHLETES[[#This Row],[RANK VALUE]],TS_ATHLETES[RANK VALUE])+COUNTIF($H$1:H527,H528)),"")</f>
        <v>1311</v>
      </c>
    </row>
    <row r="529" spans="1:9" x14ac:dyDescent="0.25">
      <c r="A529" t="s">
        <v>671</v>
      </c>
      <c r="B529" s="3" t="s">
        <v>136</v>
      </c>
      <c r="C529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529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529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1</v>
      </c>
      <c r="F529" s="3">
        <f>SUM(TS_ATHLETES[[#This Row],[GOLD MEDALS]:[BRONZE MEDALS]])</f>
        <v>1</v>
      </c>
      <c r="G529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10000010</v>
      </c>
      <c r="H529" s="3">
        <f>IF(TS_ATHLETES[[#This Row],[TOTAL]]=0,"",RANK(TS_ATHLETES[[#This Row],[RANK VALUE]],TS_ATHLETES[RANK VALUE]))</f>
        <v>1224</v>
      </c>
      <c r="I529" s="3">
        <f>IFERROR(IF(TS_ATHLETES[[#This Row],[TOTAL]]=0,"",RANK(TS_ATHLETES[[#This Row],[RANK VALUE]],TS_ATHLETES[RANK VALUE])+COUNTIF($H$1:H528,H529)),"")</f>
        <v>1312</v>
      </c>
    </row>
    <row r="530" spans="1:9" x14ac:dyDescent="0.25">
      <c r="A530" t="s">
        <v>672</v>
      </c>
      <c r="B530" s="3" t="s">
        <v>313</v>
      </c>
      <c r="C530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530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530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1</v>
      </c>
      <c r="F530" s="3">
        <f>SUM(TS_ATHLETES[[#This Row],[GOLD MEDALS]:[BRONZE MEDALS]])</f>
        <v>1</v>
      </c>
      <c r="G530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10000010</v>
      </c>
      <c r="H530" s="3">
        <f>IF(TS_ATHLETES[[#This Row],[TOTAL]]=0,"",RANK(TS_ATHLETES[[#This Row],[RANK VALUE]],TS_ATHLETES[RANK VALUE]))</f>
        <v>1224</v>
      </c>
      <c r="I530" s="3">
        <f>IFERROR(IF(TS_ATHLETES[[#This Row],[TOTAL]]=0,"",RANK(TS_ATHLETES[[#This Row],[RANK VALUE]],TS_ATHLETES[RANK VALUE])+COUNTIF($H$1:H529,H530)),"")</f>
        <v>1313</v>
      </c>
    </row>
    <row r="531" spans="1:9" x14ac:dyDescent="0.25">
      <c r="A531" t="s">
        <v>673</v>
      </c>
      <c r="B531" s="3" t="s">
        <v>179</v>
      </c>
      <c r="C531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531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531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1</v>
      </c>
      <c r="F531" s="3">
        <f>SUM(TS_ATHLETES[[#This Row],[GOLD MEDALS]:[BRONZE MEDALS]])</f>
        <v>1</v>
      </c>
      <c r="G531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10000010</v>
      </c>
      <c r="H531" s="3">
        <f>IF(TS_ATHLETES[[#This Row],[TOTAL]]=0,"",RANK(TS_ATHLETES[[#This Row],[RANK VALUE]],TS_ATHLETES[RANK VALUE]))</f>
        <v>1224</v>
      </c>
      <c r="I531" s="3">
        <f>IFERROR(IF(TS_ATHLETES[[#This Row],[TOTAL]]=0,"",RANK(TS_ATHLETES[[#This Row],[RANK VALUE]],TS_ATHLETES[RANK VALUE])+COUNTIF($H$1:H530,H531)),"")</f>
        <v>1314</v>
      </c>
    </row>
    <row r="532" spans="1:9" x14ac:dyDescent="0.25">
      <c r="A532" t="s">
        <v>674</v>
      </c>
      <c r="B532" s="3" t="s">
        <v>367</v>
      </c>
      <c r="C532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532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532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1</v>
      </c>
      <c r="F532" s="3">
        <f>SUM(TS_ATHLETES[[#This Row],[GOLD MEDALS]:[BRONZE MEDALS]])</f>
        <v>1</v>
      </c>
      <c r="G532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10000010</v>
      </c>
      <c r="H532" s="3">
        <f>IF(TS_ATHLETES[[#This Row],[TOTAL]]=0,"",RANK(TS_ATHLETES[[#This Row],[RANK VALUE]],TS_ATHLETES[RANK VALUE]))</f>
        <v>1224</v>
      </c>
      <c r="I532" s="3">
        <f>IFERROR(IF(TS_ATHLETES[[#This Row],[TOTAL]]=0,"",RANK(TS_ATHLETES[[#This Row],[RANK VALUE]],TS_ATHLETES[RANK VALUE])+COUNTIF($H$1:H531,H532)),"")</f>
        <v>1315</v>
      </c>
    </row>
    <row r="533" spans="1:9" x14ac:dyDescent="0.25">
      <c r="A533" t="s">
        <v>675</v>
      </c>
      <c r="B533" s="3" t="s">
        <v>179</v>
      </c>
      <c r="C533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533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533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1</v>
      </c>
      <c r="F533" s="3">
        <f>SUM(TS_ATHLETES[[#This Row],[GOLD MEDALS]:[BRONZE MEDALS]])</f>
        <v>1</v>
      </c>
      <c r="G533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10000010</v>
      </c>
      <c r="H533" s="3">
        <f>IF(TS_ATHLETES[[#This Row],[TOTAL]]=0,"",RANK(TS_ATHLETES[[#This Row],[RANK VALUE]],TS_ATHLETES[RANK VALUE]))</f>
        <v>1224</v>
      </c>
      <c r="I533" s="3">
        <f>IFERROR(IF(TS_ATHLETES[[#This Row],[TOTAL]]=0,"",RANK(TS_ATHLETES[[#This Row],[RANK VALUE]],TS_ATHLETES[RANK VALUE])+COUNTIF($H$1:H532,H533)),"")</f>
        <v>1316</v>
      </c>
    </row>
    <row r="534" spans="1:9" x14ac:dyDescent="0.25">
      <c r="A534" t="s">
        <v>676</v>
      </c>
      <c r="B534" s="3" t="s">
        <v>134</v>
      </c>
      <c r="C534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534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534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1</v>
      </c>
      <c r="F534" s="3">
        <f>SUM(TS_ATHLETES[[#This Row],[GOLD MEDALS]:[BRONZE MEDALS]])</f>
        <v>1</v>
      </c>
      <c r="G534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10000010</v>
      </c>
      <c r="H534" s="3">
        <f>IF(TS_ATHLETES[[#This Row],[TOTAL]]=0,"",RANK(TS_ATHLETES[[#This Row],[RANK VALUE]],TS_ATHLETES[RANK VALUE]))</f>
        <v>1224</v>
      </c>
      <c r="I534" s="3">
        <f>IFERROR(IF(TS_ATHLETES[[#This Row],[TOTAL]]=0,"",RANK(TS_ATHLETES[[#This Row],[RANK VALUE]],TS_ATHLETES[RANK VALUE])+COUNTIF($H$1:H533,H534)),"")</f>
        <v>1317</v>
      </c>
    </row>
    <row r="535" spans="1:9" x14ac:dyDescent="0.25">
      <c r="A535" t="s">
        <v>677</v>
      </c>
      <c r="B535" s="3" t="s">
        <v>360</v>
      </c>
      <c r="C535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535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535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1</v>
      </c>
      <c r="F535" s="3">
        <f>SUM(TS_ATHLETES[[#This Row],[GOLD MEDALS]:[BRONZE MEDALS]])</f>
        <v>1</v>
      </c>
      <c r="G535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10000010</v>
      </c>
      <c r="H535" s="3">
        <f>IF(TS_ATHLETES[[#This Row],[TOTAL]]=0,"",RANK(TS_ATHLETES[[#This Row],[RANK VALUE]],TS_ATHLETES[RANK VALUE]))</f>
        <v>1224</v>
      </c>
      <c r="I535" s="3">
        <f>IFERROR(IF(TS_ATHLETES[[#This Row],[TOTAL]]=0,"",RANK(TS_ATHLETES[[#This Row],[RANK VALUE]],TS_ATHLETES[RANK VALUE])+COUNTIF($H$1:H534,H535)),"")</f>
        <v>1318</v>
      </c>
    </row>
    <row r="536" spans="1:9" x14ac:dyDescent="0.25">
      <c r="A536" t="s">
        <v>678</v>
      </c>
      <c r="B536" s="3" t="s">
        <v>77</v>
      </c>
      <c r="C536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536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536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1</v>
      </c>
      <c r="F536" s="3">
        <f>SUM(TS_ATHLETES[[#This Row],[GOLD MEDALS]:[BRONZE MEDALS]])</f>
        <v>1</v>
      </c>
      <c r="G536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10000010</v>
      </c>
      <c r="H536" s="3">
        <f>IF(TS_ATHLETES[[#This Row],[TOTAL]]=0,"",RANK(TS_ATHLETES[[#This Row],[RANK VALUE]],TS_ATHLETES[RANK VALUE]))</f>
        <v>1224</v>
      </c>
      <c r="I536" s="3">
        <f>IFERROR(IF(TS_ATHLETES[[#This Row],[TOTAL]]=0,"",RANK(TS_ATHLETES[[#This Row],[RANK VALUE]],TS_ATHLETES[RANK VALUE])+COUNTIF($H$1:H535,H536)),"")</f>
        <v>1319</v>
      </c>
    </row>
    <row r="537" spans="1:9" x14ac:dyDescent="0.25">
      <c r="A537" t="s">
        <v>679</v>
      </c>
      <c r="B537" s="3" t="s">
        <v>128</v>
      </c>
      <c r="C537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537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537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1</v>
      </c>
      <c r="F537" s="3">
        <f>SUM(TS_ATHLETES[[#This Row],[GOLD MEDALS]:[BRONZE MEDALS]])</f>
        <v>1</v>
      </c>
      <c r="G537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10000010</v>
      </c>
      <c r="H537" s="3">
        <f>IF(TS_ATHLETES[[#This Row],[TOTAL]]=0,"",RANK(TS_ATHLETES[[#This Row],[RANK VALUE]],TS_ATHLETES[RANK VALUE]))</f>
        <v>1224</v>
      </c>
      <c r="I537" s="3">
        <f>IFERROR(IF(TS_ATHLETES[[#This Row],[TOTAL]]=0,"",RANK(TS_ATHLETES[[#This Row],[RANK VALUE]],TS_ATHLETES[RANK VALUE])+COUNTIF($H$1:H536,H537)),"")</f>
        <v>1320</v>
      </c>
    </row>
    <row r="538" spans="1:9" x14ac:dyDescent="0.25">
      <c r="A538" t="s">
        <v>663</v>
      </c>
      <c r="B538" s="3" t="s">
        <v>51</v>
      </c>
      <c r="C538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538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538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1</v>
      </c>
      <c r="F538" s="3">
        <f>SUM(TS_ATHLETES[[#This Row],[GOLD MEDALS]:[BRONZE MEDALS]])</f>
        <v>1</v>
      </c>
      <c r="G538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10000010</v>
      </c>
      <c r="H538" s="3">
        <f>IF(TS_ATHLETES[[#This Row],[TOTAL]]=0,"",RANK(TS_ATHLETES[[#This Row],[RANK VALUE]],TS_ATHLETES[RANK VALUE]))</f>
        <v>1224</v>
      </c>
      <c r="I538" s="3">
        <f>IFERROR(IF(TS_ATHLETES[[#This Row],[TOTAL]]=0,"",RANK(TS_ATHLETES[[#This Row],[RANK VALUE]],TS_ATHLETES[RANK VALUE])+COUNTIF($H$1:H537,H538)),"")</f>
        <v>1321</v>
      </c>
    </row>
    <row r="539" spans="1:9" x14ac:dyDescent="0.25">
      <c r="A539" t="s">
        <v>1533</v>
      </c>
      <c r="B539" s="3" t="s">
        <v>51</v>
      </c>
      <c r="C539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539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539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1</v>
      </c>
      <c r="F539" s="3">
        <f>SUM(TS_ATHLETES[[#This Row],[GOLD MEDALS]:[BRONZE MEDALS]])</f>
        <v>1</v>
      </c>
      <c r="G539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10000010</v>
      </c>
      <c r="H539" s="3">
        <f>IF(TS_ATHLETES[[#This Row],[TOTAL]]=0,"",RANK(TS_ATHLETES[[#This Row],[RANK VALUE]],TS_ATHLETES[RANK VALUE]))</f>
        <v>1224</v>
      </c>
      <c r="I539" s="3">
        <f>IFERROR(IF(TS_ATHLETES[[#This Row],[TOTAL]]=0,"",RANK(TS_ATHLETES[[#This Row],[RANK VALUE]],TS_ATHLETES[RANK VALUE])+COUNTIF($H$1:H538,H539)),"")</f>
        <v>1322</v>
      </c>
    </row>
    <row r="540" spans="1:9" x14ac:dyDescent="0.25">
      <c r="A540" t="s">
        <v>1534</v>
      </c>
      <c r="B540" s="3" t="s">
        <v>128</v>
      </c>
      <c r="C540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540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540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1</v>
      </c>
      <c r="F540" s="3">
        <f>SUM(TS_ATHLETES[[#This Row],[GOLD MEDALS]:[BRONZE MEDALS]])</f>
        <v>1</v>
      </c>
      <c r="G540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10000010</v>
      </c>
      <c r="H540" s="3">
        <f>IF(TS_ATHLETES[[#This Row],[TOTAL]]=0,"",RANK(TS_ATHLETES[[#This Row],[RANK VALUE]],TS_ATHLETES[RANK VALUE]))</f>
        <v>1224</v>
      </c>
      <c r="I540" s="3">
        <f>IFERROR(IF(TS_ATHLETES[[#This Row],[TOTAL]]=0,"",RANK(TS_ATHLETES[[#This Row],[RANK VALUE]],TS_ATHLETES[RANK VALUE])+COUNTIF($H$1:H539,H540)),"")</f>
        <v>1323</v>
      </c>
    </row>
    <row r="541" spans="1:9" x14ac:dyDescent="0.25">
      <c r="A541" t="s">
        <v>1535</v>
      </c>
      <c r="B541" s="3" t="s">
        <v>229</v>
      </c>
      <c r="C541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541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541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1</v>
      </c>
      <c r="F541" s="3">
        <f>SUM(TS_ATHLETES[[#This Row],[GOLD MEDALS]:[BRONZE MEDALS]])</f>
        <v>1</v>
      </c>
      <c r="G541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10000010</v>
      </c>
      <c r="H541" s="3">
        <f>IF(TS_ATHLETES[[#This Row],[TOTAL]]=0,"",RANK(TS_ATHLETES[[#This Row],[RANK VALUE]],TS_ATHLETES[RANK VALUE]))</f>
        <v>1224</v>
      </c>
      <c r="I541" s="3">
        <f>IFERROR(IF(TS_ATHLETES[[#This Row],[TOTAL]]=0,"",RANK(TS_ATHLETES[[#This Row],[RANK VALUE]],TS_ATHLETES[RANK VALUE])+COUNTIF($H$1:H540,H541)),"")</f>
        <v>1324</v>
      </c>
    </row>
    <row r="542" spans="1:9" x14ac:dyDescent="0.25">
      <c r="A542" t="s">
        <v>1536</v>
      </c>
      <c r="B542" s="3" t="s">
        <v>280</v>
      </c>
      <c r="C542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542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542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1</v>
      </c>
      <c r="F542" s="3">
        <f>SUM(TS_ATHLETES[[#This Row],[GOLD MEDALS]:[BRONZE MEDALS]])</f>
        <v>1</v>
      </c>
      <c r="G542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10000010</v>
      </c>
      <c r="H542" s="3">
        <f>IF(TS_ATHLETES[[#This Row],[TOTAL]]=0,"",RANK(TS_ATHLETES[[#This Row],[RANK VALUE]],TS_ATHLETES[RANK VALUE]))</f>
        <v>1224</v>
      </c>
      <c r="I542" s="3">
        <f>IFERROR(IF(TS_ATHLETES[[#This Row],[TOTAL]]=0,"",RANK(TS_ATHLETES[[#This Row],[RANK VALUE]],TS_ATHLETES[RANK VALUE])+COUNTIF($H$1:H541,H542)),"")</f>
        <v>1325</v>
      </c>
    </row>
    <row r="543" spans="1:9" x14ac:dyDescent="0.25">
      <c r="A543" t="s">
        <v>1537</v>
      </c>
      <c r="B543" s="3" t="s">
        <v>358</v>
      </c>
      <c r="C543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543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543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1</v>
      </c>
      <c r="F543" s="3">
        <f>SUM(TS_ATHLETES[[#This Row],[GOLD MEDALS]:[BRONZE MEDALS]])</f>
        <v>1</v>
      </c>
      <c r="G543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10000010</v>
      </c>
      <c r="H543" s="3">
        <f>IF(TS_ATHLETES[[#This Row],[TOTAL]]=0,"",RANK(TS_ATHLETES[[#This Row],[RANK VALUE]],TS_ATHLETES[RANK VALUE]))</f>
        <v>1224</v>
      </c>
      <c r="I543" s="3">
        <f>IFERROR(IF(TS_ATHLETES[[#This Row],[TOTAL]]=0,"",RANK(TS_ATHLETES[[#This Row],[RANK VALUE]],TS_ATHLETES[RANK VALUE])+COUNTIF($H$1:H542,H543)),"")</f>
        <v>1326</v>
      </c>
    </row>
    <row r="544" spans="1:9" x14ac:dyDescent="0.25">
      <c r="A544" t="s">
        <v>1538</v>
      </c>
      <c r="B544" s="3" t="s">
        <v>77</v>
      </c>
      <c r="C544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544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544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1</v>
      </c>
      <c r="F544" s="3">
        <f>SUM(TS_ATHLETES[[#This Row],[GOLD MEDALS]:[BRONZE MEDALS]])</f>
        <v>1</v>
      </c>
      <c r="G544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10000010</v>
      </c>
      <c r="H544" s="3">
        <f>IF(TS_ATHLETES[[#This Row],[TOTAL]]=0,"",RANK(TS_ATHLETES[[#This Row],[RANK VALUE]],TS_ATHLETES[RANK VALUE]))</f>
        <v>1224</v>
      </c>
      <c r="I544" s="3">
        <f>IFERROR(IF(TS_ATHLETES[[#This Row],[TOTAL]]=0,"",RANK(TS_ATHLETES[[#This Row],[RANK VALUE]],TS_ATHLETES[RANK VALUE])+COUNTIF($H$1:H543,H544)),"")</f>
        <v>1327</v>
      </c>
    </row>
    <row r="545" spans="1:9" x14ac:dyDescent="0.25">
      <c r="A545" t="s">
        <v>1539</v>
      </c>
      <c r="B545" s="3" t="s">
        <v>98</v>
      </c>
      <c r="C545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545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545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1</v>
      </c>
      <c r="F545" s="3">
        <f>SUM(TS_ATHLETES[[#This Row],[GOLD MEDALS]:[BRONZE MEDALS]])</f>
        <v>1</v>
      </c>
      <c r="G545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10000010</v>
      </c>
      <c r="H545" s="3">
        <f>IF(TS_ATHLETES[[#This Row],[TOTAL]]=0,"",RANK(TS_ATHLETES[[#This Row],[RANK VALUE]],TS_ATHLETES[RANK VALUE]))</f>
        <v>1224</v>
      </c>
      <c r="I545" s="3">
        <f>IFERROR(IF(TS_ATHLETES[[#This Row],[TOTAL]]=0,"",RANK(TS_ATHLETES[[#This Row],[RANK VALUE]],TS_ATHLETES[RANK VALUE])+COUNTIF($H$1:H544,H545)),"")</f>
        <v>1328</v>
      </c>
    </row>
    <row r="546" spans="1:9" x14ac:dyDescent="0.25">
      <c r="A546" t="s">
        <v>1540</v>
      </c>
      <c r="B546" s="3" t="s">
        <v>128</v>
      </c>
      <c r="C546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546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546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1</v>
      </c>
      <c r="F546" s="3">
        <f>SUM(TS_ATHLETES[[#This Row],[GOLD MEDALS]:[BRONZE MEDALS]])</f>
        <v>1</v>
      </c>
      <c r="G546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10000010</v>
      </c>
      <c r="H546" s="3">
        <f>IF(TS_ATHLETES[[#This Row],[TOTAL]]=0,"",RANK(TS_ATHLETES[[#This Row],[RANK VALUE]],TS_ATHLETES[RANK VALUE]))</f>
        <v>1224</v>
      </c>
      <c r="I546" s="3">
        <f>IFERROR(IF(TS_ATHLETES[[#This Row],[TOTAL]]=0,"",RANK(TS_ATHLETES[[#This Row],[RANK VALUE]],TS_ATHLETES[RANK VALUE])+COUNTIF($H$1:H545,H546)),"")</f>
        <v>1329</v>
      </c>
    </row>
    <row r="547" spans="1:9" x14ac:dyDescent="0.25">
      <c r="A547" t="s">
        <v>1541</v>
      </c>
      <c r="B547" s="3" t="s">
        <v>287</v>
      </c>
      <c r="C547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547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547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1</v>
      </c>
      <c r="F547" s="3">
        <f>SUM(TS_ATHLETES[[#This Row],[GOLD MEDALS]:[BRONZE MEDALS]])</f>
        <v>1</v>
      </c>
      <c r="G547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10000010</v>
      </c>
      <c r="H547" s="3">
        <f>IF(TS_ATHLETES[[#This Row],[TOTAL]]=0,"",RANK(TS_ATHLETES[[#This Row],[RANK VALUE]],TS_ATHLETES[RANK VALUE]))</f>
        <v>1224</v>
      </c>
      <c r="I547" s="3">
        <f>IFERROR(IF(TS_ATHLETES[[#This Row],[TOTAL]]=0,"",RANK(TS_ATHLETES[[#This Row],[RANK VALUE]],TS_ATHLETES[RANK VALUE])+COUNTIF($H$1:H546,H547)),"")</f>
        <v>1330</v>
      </c>
    </row>
    <row r="548" spans="1:9" x14ac:dyDescent="0.25">
      <c r="A548" t="s">
        <v>1542</v>
      </c>
      <c r="B548" s="3" t="s">
        <v>253</v>
      </c>
      <c r="C548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548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548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1</v>
      </c>
      <c r="F548" s="3">
        <f>SUM(TS_ATHLETES[[#This Row],[GOLD MEDALS]:[BRONZE MEDALS]])</f>
        <v>1</v>
      </c>
      <c r="G548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10000010</v>
      </c>
      <c r="H548" s="3">
        <f>IF(TS_ATHLETES[[#This Row],[TOTAL]]=0,"",RANK(TS_ATHLETES[[#This Row],[RANK VALUE]],TS_ATHLETES[RANK VALUE]))</f>
        <v>1224</v>
      </c>
      <c r="I548" s="3">
        <f>IFERROR(IF(TS_ATHLETES[[#This Row],[TOTAL]]=0,"",RANK(TS_ATHLETES[[#This Row],[RANK VALUE]],TS_ATHLETES[RANK VALUE])+COUNTIF($H$1:H547,H548)),"")</f>
        <v>1331</v>
      </c>
    </row>
    <row r="549" spans="1:9" x14ac:dyDescent="0.25">
      <c r="A549" t="s">
        <v>1543</v>
      </c>
      <c r="B549" s="3" t="s">
        <v>100</v>
      </c>
      <c r="C549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549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549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1</v>
      </c>
      <c r="F549" s="3">
        <f>SUM(TS_ATHLETES[[#This Row],[GOLD MEDALS]:[BRONZE MEDALS]])</f>
        <v>1</v>
      </c>
      <c r="G549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10000010</v>
      </c>
      <c r="H549" s="3">
        <f>IF(TS_ATHLETES[[#This Row],[TOTAL]]=0,"",RANK(TS_ATHLETES[[#This Row],[RANK VALUE]],TS_ATHLETES[RANK VALUE]))</f>
        <v>1224</v>
      </c>
      <c r="I549" s="3">
        <f>IFERROR(IF(TS_ATHLETES[[#This Row],[TOTAL]]=0,"",RANK(TS_ATHLETES[[#This Row],[RANK VALUE]],TS_ATHLETES[RANK VALUE])+COUNTIF($H$1:H548,H549)),"")</f>
        <v>1332</v>
      </c>
    </row>
    <row r="550" spans="1:9" x14ac:dyDescent="0.25">
      <c r="A550" t="s">
        <v>1544</v>
      </c>
      <c r="B550" s="3" t="s">
        <v>363</v>
      </c>
      <c r="C550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550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550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1</v>
      </c>
      <c r="F550" s="3">
        <f>SUM(TS_ATHLETES[[#This Row],[GOLD MEDALS]:[BRONZE MEDALS]])</f>
        <v>1</v>
      </c>
      <c r="G550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10000010</v>
      </c>
      <c r="H550" s="3">
        <f>IF(TS_ATHLETES[[#This Row],[TOTAL]]=0,"",RANK(TS_ATHLETES[[#This Row],[RANK VALUE]],TS_ATHLETES[RANK VALUE]))</f>
        <v>1224</v>
      </c>
      <c r="I550" s="3">
        <f>IFERROR(IF(TS_ATHLETES[[#This Row],[TOTAL]]=0,"",RANK(TS_ATHLETES[[#This Row],[RANK VALUE]],TS_ATHLETES[RANK VALUE])+COUNTIF($H$1:H549,H550)),"")</f>
        <v>1333</v>
      </c>
    </row>
    <row r="551" spans="1:9" x14ac:dyDescent="0.25">
      <c r="A551" t="s">
        <v>1545</v>
      </c>
      <c r="B551" s="3" t="s">
        <v>128</v>
      </c>
      <c r="C551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551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551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1</v>
      </c>
      <c r="F551" s="3">
        <f>SUM(TS_ATHLETES[[#This Row],[GOLD MEDALS]:[BRONZE MEDALS]])</f>
        <v>1</v>
      </c>
      <c r="G551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10000010</v>
      </c>
      <c r="H551" s="3">
        <f>IF(TS_ATHLETES[[#This Row],[TOTAL]]=0,"",RANK(TS_ATHLETES[[#This Row],[RANK VALUE]],TS_ATHLETES[RANK VALUE]))</f>
        <v>1224</v>
      </c>
      <c r="I551" s="3">
        <f>IFERROR(IF(TS_ATHLETES[[#This Row],[TOTAL]]=0,"",RANK(TS_ATHLETES[[#This Row],[RANK VALUE]],TS_ATHLETES[RANK VALUE])+COUNTIF($H$1:H550,H551)),"")</f>
        <v>1334</v>
      </c>
    </row>
    <row r="552" spans="1:9" x14ac:dyDescent="0.25">
      <c r="A552" t="s">
        <v>1546</v>
      </c>
      <c r="B552" s="3" t="s">
        <v>287</v>
      </c>
      <c r="C552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552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552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1</v>
      </c>
      <c r="F552" s="3">
        <f>SUM(TS_ATHLETES[[#This Row],[GOLD MEDALS]:[BRONZE MEDALS]])</f>
        <v>1</v>
      </c>
      <c r="G552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10000010</v>
      </c>
      <c r="H552" s="3">
        <f>IF(TS_ATHLETES[[#This Row],[TOTAL]]=0,"",RANK(TS_ATHLETES[[#This Row],[RANK VALUE]],TS_ATHLETES[RANK VALUE]))</f>
        <v>1224</v>
      </c>
      <c r="I552" s="3">
        <f>IFERROR(IF(TS_ATHLETES[[#This Row],[TOTAL]]=0,"",RANK(TS_ATHLETES[[#This Row],[RANK VALUE]],TS_ATHLETES[RANK VALUE])+COUNTIF($H$1:H551,H552)),"")</f>
        <v>1335</v>
      </c>
    </row>
    <row r="553" spans="1:9" x14ac:dyDescent="0.25">
      <c r="A553" t="s">
        <v>1547</v>
      </c>
      <c r="B553" s="3" t="s">
        <v>287</v>
      </c>
      <c r="C553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553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553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1</v>
      </c>
      <c r="F553" s="3">
        <f>SUM(TS_ATHLETES[[#This Row],[GOLD MEDALS]:[BRONZE MEDALS]])</f>
        <v>1</v>
      </c>
      <c r="G553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10000010</v>
      </c>
      <c r="H553" s="3">
        <f>IF(TS_ATHLETES[[#This Row],[TOTAL]]=0,"",RANK(TS_ATHLETES[[#This Row],[RANK VALUE]],TS_ATHLETES[RANK VALUE]))</f>
        <v>1224</v>
      </c>
      <c r="I553" s="3">
        <f>IFERROR(IF(TS_ATHLETES[[#This Row],[TOTAL]]=0,"",RANK(TS_ATHLETES[[#This Row],[RANK VALUE]],TS_ATHLETES[RANK VALUE])+COUNTIF($H$1:H552,H553)),"")</f>
        <v>1336</v>
      </c>
    </row>
    <row r="554" spans="1:9" x14ac:dyDescent="0.25">
      <c r="A554" t="s">
        <v>1548</v>
      </c>
      <c r="B554" s="3" t="s">
        <v>186</v>
      </c>
      <c r="C554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554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554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1</v>
      </c>
      <c r="F554" s="3">
        <f>SUM(TS_ATHLETES[[#This Row],[GOLD MEDALS]:[BRONZE MEDALS]])</f>
        <v>1</v>
      </c>
      <c r="G554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10000010</v>
      </c>
      <c r="H554" s="3">
        <f>IF(TS_ATHLETES[[#This Row],[TOTAL]]=0,"",RANK(TS_ATHLETES[[#This Row],[RANK VALUE]],TS_ATHLETES[RANK VALUE]))</f>
        <v>1224</v>
      </c>
      <c r="I554" s="3">
        <f>IFERROR(IF(TS_ATHLETES[[#This Row],[TOTAL]]=0,"",RANK(TS_ATHLETES[[#This Row],[RANK VALUE]],TS_ATHLETES[RANK VALUE])+COUNTIF($H$1:H553,H554)),"")</f>
        <v>1337</v>
      </c>
    </row>
    <row r="555" spans="1:9" x14ac:dyDescent="0.25">
      <c r="A555" t="s">
        <v>1549</v>
      </c>
      <c r="B555" s="3" t="s">
        <v>77</v>
      </c>
      <c r="C555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555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555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1</v>
      </c>
      <c r="F555" s="3">
        <f>SUM(TS_ATHLETES[[#This Row],[GOLD MEDALS]:[BRONZE MEDALS]])</f>
        <v>1</v>
      </c>
      <c r="G555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10000010</v>
      </c>
      <c r="H555" s="3">
        <f>IF(TS_ATHLETES[[#This Row],[TOTAL]]=0,"",RANK(TS_ATHLETES[[#This Row],[RANK VALUE]],TS_ATHLETES[RANK VALUE]))</f>
        <v>1224</v>
      </c>
      <c r="I555" s="3">
        <f>IFERROR(IF(TS_ATHLETES[[#This Row],[TOTAL]]=0,"",RANK(TS_ATHLETES[[#This Row],[RANK VALUE]],TS_ATHLETES[RANK VALUE])+COUNTIF($H$1:H554,H555)),"")</f>
        <v>1338</v>
      </c>
    </row>
    <row r="556" spans="1:9" x14ac:dyDescent="0.25">
      <c r="A556" t="s">
        <v>868</v>
      </c>
      <c r="B556" s="3" t="s">
        <v>77</v>
      </c>
      <c r="C556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556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556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1</v>
      </c>
      <c r="F556" s="3">
        <f>SUM(TS_ATHLETES[[#This Row],[GOLD MEDALS]:[BRONZE MEDALS]])</f>
        <v>1</v>
      </c>
      <c r="G556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10000010</v>
      </c>
      <c r="H556" s="3">
        <f>IF(TS_ATHLETES[[#This Row],[TOTAL]]=0,"",RANK(TS_ATHLETES[[#This Row],[RANK VALUE]],TS_ATHLETES[RANK VALUE]))</f>
        <v>1224</v>
      </c>
      <c r="I556" s="3">
        <f>IFERROR(IF(TS_ATHLETES[[#This Row],[TOTAL]]=0,"",RANK(TS_ATHLETES[[#This Row],[RANK VALUE]],TS_ATHLETES[RANK VALUE])+COUNTIF($H$1:H555,H556)),"")</f>
        <v>1339</v>
      </c>
    </row>
    <row r="557" spans="1:9" x14ac:dyDescent="0.25">
      <c r="A557" t="s">
        <v>1550</v>
      </c>
      <c r="B557" s="3" t="s">
        <v>361</v>
      </c>
      <c r="C557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557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557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1</v>
      </c>
      <c r="F557" s="3">
        <f>SUM(TS_ATHLETES[[#This Row],[GOLD MEDALS]:[BRONZE MEDALS]])</f>
        <v>1</v>
      </c>
      <c r="G557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10000010</v>
      </c>
      <c r="H557" s="3">
        <f>IF(TS_ATHLETES[[#This Row],[TOTAL]]=0,"",RANK(TS_ATHLETES[[#This Row],[RANK VALUE]],TS_ATHLETES[RANK VALUE]))</f>
        <v>1224</v>
      </c>
      <c r="I557" s="3">
        <f>IFERROR(IF(TS_ATHLETES[[#This Row],[TOTAL]]=0,"",RANK(TS_ATHLETES[[#This Row],[RANK VALUE]],TS_ATHLETES[RANK VALUE])+COUNTIF($H$1:H556,H557)),"")</f>
        <v>1340</v>
      </c>
    </row>
    <row r="558" spans="1:9" x14ac:dyDescent="0.25">
      <c r="A558" t="s">
        <v>1551</v>
      </c>
      <c r="B558" s="3" t="s">
        <v>361</v>
      </c>
      <c r="C558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558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558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1</v>
      </c>
      <c r="F558" s="3">
        <f>SUM(TS_ATHLETES[[#This Row],[GOLD MEDALS]:[BRONZE MEDALS]])</f>
        <v>1</v>
      </c>
      <c r="G558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10000010</v>
      </c>
      <c r="H558" s="3">
        <f>IF(TS_ATHLETES[[#This Row],[TOTAL]]=0,"",RANK(TS_ATHLETES[[#This Row],[RANK VALUE]],TS_ATHLETES[RANK VALUE]))</f>
        <v>1224</v>
      </c>
      <c r="I558" s="3">
        <f>IFERROR(IF(TS_ATHLETES[[#This Row],[TOTAL]]=0,"",RANK(TS_ATHLETES[[#This Row],[RANK VALUE]],TS_ATHLETES[RANK VALUE])+COUNTIF($H$1:H557,H558)),"")</f>
        <v>1341</v>
      </c>
    </row>
    <row r="559" spans="1:9" x14ac:dyDescent="0.25">
      <c r="A559" t="s">
        <v>1552</v>
      </c>
      <c r="B559" s="3" t="s">
        <v>716</v>
      </c>
      <c r="C559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559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559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1</v>
      </c>
      <c r="F559" s="3">
        <f>SUM(TS_ATHLETES[[#This Row],[GOLD MEDALS]:[BRONZE MEDALS]])</f>
        <v>1</v>
      </c>
      <c r="G559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10000010</v>
      </c>
      <c r="H559" s="3">
        <f>IF(TS_ATHLETES[[#This Row],[TOTAL]]=0,"",RANK(TS_ATHLETES[[#This Row],[RANK VALUE]],TS_ATHLETES[RANK VALUE]))</f>
        <v>1224</v>
      </c>
      <c r="I559" s="3">
        <f>IFERROR(IF(TS_ATHLETES[[#This Row],[TOTAL]]=0,"",RANK(TS_ATHLETES[[#This Row],[RANK VALUE]],TS_ATHLETES[RANK VALUE])+COUNTIF($H$1:H558,H559)),"")</f>
        <v>1342</v>
      </c>
    </row>
    <row r="560" spans="1:9" x14ac:dyDescent="0.25">
      <c r="A560" t="s">
        <v>1553</v>
      </c>
      <c r="B560" s="3" t="s">
        <v>77</v>
      </c>
      <c r="C560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560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560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1</v>
      </c>
      <c r="F560" s="3">
        <f>SUM(TS_ATHLETES[[#This Row],[GOLD MEDALS]:[BRONZE MEDALS]])</f>
        <v>1</v>
      </c>
      <c r="G560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10000010</v>
      </c>
      <c r="H560" s="3">
        <f>IF(TS_ATHLETES[[#This Row],[TOTAL]]=0,"",RANK(TS_ATHLETES[[#This Row],[RANK VALUE]],TS_ATHLETES[RANK VALUE]))</f>
        <v>1224</v>
      </c>
      <c r="I560" s="3">
        <f>IFERROR(IF(TS_ATHLETES[[#This Row],[TOTAL]]=0,"",RANK(TS_ATHLETES[[#This Row],[RANK VALUE]],TS_ATHLETES[RANK VALUE])+COUNTIF($H$1:H559,H560)),"")</f>
        <v>1343</v>
      </c>
    </row>
    <row r="561" spans="1:9" x14ac:dyDescent="0.25">
      <c r="A561" t="s">
        <v>871</v>
      </c>
      <c r="B561" s="3" t="s">
        <v>333</v>
      </c>
      <c r="C561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561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561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1</v>
      </c>
      <c r="F561" s="3">
        <f>SUM(TS_ATHLETES[[#This Row],[GOLD MEDALS]:[BRONZE MEDALS]])</f>
        <v>1</v>
      </c>
      <c r="G561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10000010</v>
      </c>
      <c r="H561" s="3">
        <f>IF(TS_ATHLETES[[#This Row],[TOTAL]]=0,"",RANK(TS_ATHLETES[[#This Row],[RANK VALUE]],TS_ATHLETES[RANK VALUE]))</f>
        <v>1224</v>
      </c>
      <c r="I561" s="3">
        <f>IFERROR(IF(TS_ATHLETES[[#This Row],[TOTAL]]=0,"",RANK(TS_ATHLETES[[#This Row],[RANK VALUE]],TS_ATHLETES[RANK VALUE])+COUNTIF($H$1:H560,H561)),"")</f>
        <v>1344</v>
      </c>
    </row>
    <row r="562" spans="1:9" x14ac:dyDescent="0.25">
      <c r="A562" t="s">
        <v>1554</v>
      </c>
      <c r="B562" s="3" t="s">
        <v>363</v>
      </c>
      <c r="C562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562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562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1</v>
      </c>
      <c r="F562" s="3">
        <f>SUM(TS_ATHLETES[[#This Row],[GOLD MEDALS]:[BRONZE MEDALS]])</f>
        <v>1</v>
      </c>
      <c r="G562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10000010</v>
      </c>
      <c r="H562" s="3">
        <f>IF(TS_ATHLETES[[#This Row],[TOTAL]]=0,"",RANK(TS_ATHLETES[[#This Row],[RANK VALUE]],TS_ATHLETES[RANK VALUE]))</f>
        <v>1224</v>
      </c>
      <c r="I562" s="3">
        <f>IFERROR(IF(TS_ATHLETES[[#This Row],[TOTAL]]=0,"",RANK(TS_ATHLETES[[#This Row],[RANK VALUE]],TS_ATHLETES[RANK VALUE])+COUNTIF($H$1:H561,H562)),"")</f>
        <v>1345</v>
      </c>
    </row>
    <row r="563" spans="1:9" x14ac:dyDescent="0.25">
      <c r="A563" t="s">
        <v>1555</v>
      </c>
      <c r="B563" s="3" t="s">
        <v>363</v>
      </c>
      <c r="C563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563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563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1</v>
      </c>
      <c r="F563" s="3">
        <f>SUM(TS_ATHLETES[[#This Row],[GOLD MEDALS]:[BRONZE MEDALS]])</f>
        <v>1</v>
      </c>
      <c r="G563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10000010</v>
      </c>
      <c r="H563" s="3">
        <f>IF(TS_ATHLETES[[#This Row],[TOTAL]]=0,"",RANK(TS_ATHLETES[[#This Row],[RANK VALUE]],TS_ATHLETES[RANK VALUE]))</f>
        <v>1224</v>
      </c>
      <c r="I563" s="3">
        <f>IFERROR(IF(TS_ATHLETES[[#This Row],[TOTAL]]=0,"",RANK(TS_ATHLETES[[#This Row],[RANK VALUE]],TS_ATHLETES[RANK VALUE])+COUNTIF($H$1:H562,H563)),"")</f>
        <v>1346</v>
      </c>
    </row>
    <row r="564" spans="1:9" x14ac:dyDescent="0.25">
      <c r="A564" t="s">
        <v>1556</v>
      </c>
      <c r="B564" s="3" t="s">
        <v>35</v>
      </c>
      <c r="C564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564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564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1</v>
      </c>
      <c r="F564" s="3">
        <f>SUM(TS_ATHLETES[[#This Row],[GOLD MEDALS]:[BRONZE MEDALS]])</f>
        <v>1</v>
      </c>
      <c r="G564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10000010</v>
      </c>
      <c r="H564" s="3">
        <f>IF(TS_ATHLETES[[#This Row],[TOTAL]]=0,"",RANK(TS_ATHLETES[[#This Row],[RANK VALUE]],TS_ATHLETES[RANK VALUE]))</f>
        <v>1224</v>
      </c>
      <c r="I564" s="3">
        <f>IFERROR(IF(TS_ATHLETES[[#This Row],[TOTAL]]=0,"",RANK(TS_ATHLETES[[#This Row],[RANK VALUE]],TS_ATHLETES[RANK VALUE])+COUNTIF($H$1:H563,H564)),"")</f>
        <v>1347</v>
      </c>
    </row>
    <row r="565" spans="1:9" x14ac:dyDescent="0.25">
      <c r="A565" t="s">
        <v>1557</v>
      </c>
      <c r="B565" s="3" t="s">
        <v>21</v>
      </c>
      <c r="C565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1</v>
      </c>
      <c r="D565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2</v>
      </c>
      <c r="E565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1</v>
      </c>
      <c r="F565" s="3">
        <f>SUM(TS_ATHLETES[[#This Row],[GOLD MEDALS]:[BRONZE MEDALS]])</f>
        <v>4</v>
      </c>
      <c r="G565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40100210</v>
      </c>
      <c r="H565" s="3">
        <f>IF(TS_ATHLETES[[#This Row],[TOTAL]]=0,"",RANK(TS_ATHLETES[[#This Row],[RANK VALUE]],TS_ATHLETES[RANK VALUE]))</f>
        <v>8</v>
      </c>
      <c r="I565" s="3">
        <f>IFERROR(IF(TS_ATHLETES[[#This Row],[TOTAL]]=0,"",RANK(TS_ATHLETES[[#This Row],[RANK VALUE]],TS_ATHLETES[RANK VALUE])+COUNTIF($H$1:H564,H565)),"")</f>
        <v>8</v>
      </c>
    </row>
    <row r="566" spans="1:9" x14ac:dyDescent="0.25">
      <c r="A566" t="s">
        <v>1558</v>
      </c>
      <c r="B566" s="3" t="s">
        <v>363</v>
      </c>
      <c r="C566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1</v>
      </c>
      <c r="D566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566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1</v>
      </c>
      <c r="F566" s="3">
        <f>SUM(TS_ATHLETES[[#This Row],[GOLD MEDALS]:[BRONZE MEDALS]])</f>
        <v>2</v>
      </c>
      <c r="G566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20100010</v>
      </c>
      <c r="H566" s="3">
        <f>IF(TS_ATHLETES[[#This Row],[TOTAL]]=0,"",RANK(TS_ATHLETES[[#This Row],[RANK VALUE]],TS_ATHLETES[RANK VALUE]))</f>
        <v>71</v>
      </c>
      <c r="I566" s="3">
        <f>IFERROR(IF(TS_ATHLETES[[#This Row],[TOTAL]]=0,"",RANK(TS_ATHLETES[[#This Row],[RANK VALUE]],TS_ATHLETES[RANK VALUE])+COUNTIF($H$1:H565,H566)),"")</f>
        <v>85</v>
      </c>
    </row>
    <row r="567" spans="1:9" x14ac:dyDescent="0.25">
      <c r="A567" t="s">
        <v>1559</v>
      </c>
      <c r="B567" s="3" t="s">
        <v>159</v>
      </c>
      <c r="C567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567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567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1</v>
      </c>
      <c r="F567" s="3">
        <f>SUM(TS_ATHLETES[[#This Row],[GOLD MEDALS]:[BRONZE MEDALS]])</f>
        <v>1</v>
      </c>
      <c r="G567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10000010</v>
      </c>
      <c r="H567" s="3">
        <f>IF(TS_ATHLETES[[#This Row],[TOTAL]]=0,"",RANK(TS_ATHLETES[[#This Row],[RANK VALUE]],TS_ATHLETES[RANK VALUE]))</f>
        <v>1224</v>
      </c>
      <c r="I567" s="3">
        <f>IFERROR(IF(TS_ATHLETES[[#This Row],[TOTAL]]=0,"",RANK(TS_ATHLETES[[#This Row],[RANK VALUE]],TS_ATHLETES[RANK VALUE])+COUNTIF($H$1:H566,H567)),"")</f>
        <v>1348</v>
      </c>
    </row>
    <row r="568" spans="1:9" x14ac:dyDescent="0.25">
      <c r="A568" t="s">
        <v>884</v>
      </c>
      <c r="B568" s="3" t="s">
        <v>731</v>
      </c>
      <c r="C568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568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568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1</v>
      </c>
      <c r="F568" s="3">
        <f>SUM(TS_ATHLETES[[#This Row],[GOLD MEDALS]:[BRONZE MEDALS]])</f>
        <v>1</v>
      </c>
      <c r="G568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10000010</v>
      </c>
      <c r="H568" s="3">
        <f>IF(TS_ATHLETES[[#This Row],[TOTAL]]=0,"",RANK(TS_ATHLETES[[#This Row],[RANK VALUE]],TS_ATHLETES[RANK VALUE]))</f>
        <v>1224</v>
      </c>
      <c r="I568" s="3">
        <f>IFERROR(IF(TS_ATHLETES[[#This Row],[TOTAL]]=0,"",RANK(TS_ATHLETES[[#This Row],[RANK VALUE]],TS_ATHLETES[RANK VALUE])+COUNTIF($H$1:H567,H568)),"")</f>
        <v>1349</v>
      </c>
    </row>
    <row r="569" spans="1:9" x14ac:dyDescent="0.25">
      <c r="A569" t="s">
        <v>1560</v>
      </c>
      <c r="B569" s="3" t="s">
        <v>66</v>
      </c>
      <c r="C569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569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569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1</v>
      </c>
      <c r="F569" s="3">
        <f>SUM(TS_ATHLETES[[#This Row],[GOLD MEDALS]:[BRONZE MEDALS]])</f>
        <v>1</v>
      </c>
      <c r="G569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10000010</v>
      </c>
      <c r="H569" s="3">
        <f>IF(TS_ATHLETES[[#This Row],[TOTAL]]=0,"",RANK(TS_ATHLETES[[#This Row],[RANK VALUE]],TS_ATHLETES[RANK VALUE]))</f>
        <v>1224</v>
      </c>
      <c r="I569" s="3">
        <f>IFERROR(IF(TS_ATHLETES[[#This Row],[TOTAL]]=0,"",RANK(TS_ATHLETES[[#This Row],[RANK VALUE]],TS_ATHLETES[RANK VALUE])+COUNTIF($H$1:H568,H569)),"")</f>
        <v>1350</v>
      </c>
    </row>
    <row r="570" spans="1:9" x14ac:dyDescent="0.25">
      <c r="A570" t="s">
        <v>1561</v>
      </c>
      <c r="B570" s="3" t="s">
        <v>363</v>
      </c>
      <c r="C570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570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570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1</v>
      </c>
      <c r="F570" s="3">
        <f>SUM(TS_ATHLETES[[#This Row],[GOLD MEDALS]:[BRONZE MEDALS]])</f>
        <v>1</v>
      </c>
      <c r="G570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10000010</v>
      </c>
      <c r="H570" s="3">
        <f>IF(TS_ATHLETES[[#This Row],[TOTAL]]=0,"",RANK(TS_ATHLETES[[#This Row],[RANK VALUE]],TS_ATHLETES[RANK VALUE]))</f>
        <v>1224</v>
      </c>
      <c r="I570" s="3">
        <f>IFERROR(IF(TS_ATHLETES[[#This Row],[TOTAL]]=0,"",RANK(TS_ATHLETES[[#This Row],[RANK VALUE]],TS_ATHLETES[RANK VALUE])+COUNTIF($H$1:H569,H570)),"")</f>
        <v>1351</v>
      </c>
    </row>
    <row r="571" spans="1:9" x14ac:dyDescent="0.25">
      <c r="A571" t="s">
        <v>1562</v>
      </c>
      <c r="B571" s="3" t="s">
        <v>77</v>
      </c>
      <c r="C571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571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571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1</v>
      </c>
      <c r="F571" s="3">
        <f>SUM(TS_ATHLETES[[#This Row],[GOLD MEDALS]:[BRONZE MEDALS]])</f>
        <v>1</v>
      </c>
      <c r="G571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10000010</v>
      </c>
      <c r="H571" s="3">
        <f>IF(TS_ATHLETES[[#This Row],[TOTAL]]=0,"",RANK(TS_ATHLETES[[#This Row],[RANK VALUE]],TS_ATHLETES[RANK VALUE]))</f>
        <v>1224</v>
      </c>
      <c r="I571" s="3">
        <f>IFERROR(IF(TS_ATHLETES[[#This Row],[TOTAL]]=0,"",RANK(TS_ATHLETES[[#This Row],[RANK VALUE]],TS_ATHLETES[RANK VALUE])+COUNTIF($H$1:H570,H571)),"")</f>
        <v>1352</v>
      </c>
    </row>
    <row r="572" spans="1:9" x14ac:dyDescent="0.25">
      <c r="A572" t="s">
        <v>1563</v>
      </c>
      <c r="B572" s="3" t="s">
        <v>363</v>
      </c>
      <c r="C572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1</v>
      </c>
      <c r="D572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1</v>
      </c>
      <c r="E572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1</v>
      </c>
      <c r="F572" s="3">
        <f>SUM(TS_ATHLETES[[#This Row],[GOLD MEDALS]:[BRONZE MEDALS]])</f>
        <v>3</v>
      </c>
      <c r="G572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30100110</v>
      </c>
      <c r="H572" s="3">
        <f>IF(TS_ATHLETES[[#This Row],[TOTAL]]=0,"",RANK(TS_ATHLETES[[#This Row],[RANK VALUE]],TS_ATHLETES[RANK VALUE]))</f>
        <v>18</v>
      </c>
      <c r="I572" s="3">
        <f>IFERROR(IF(TS_ATHLETES[[#This Row],[TOTAL]]=0,"",RANK(TS_ATHLETES[[#This Row],[RANK VALUE]],TS_ATHLETES[RANK VALUE])+COUNTIF($H$1:H571,H572)),"")</f>
        <v>22</v>
      </c>
    </row>
    <row r="573" spans="1:9" x14ac:dyDescent="0.25">
      <c r="A573" t="s">
        <v>1564</v>
      </c>
      <c r="B573" s="3" t="s">
        <v>179</v>
      </c>
      <c r="C573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573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573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1</v>
      </c>
      <c r="F573" s="3">
        <f>SUM(TS_ATHLETES[[#This Row],[GOLD MEDALS]:[BRONZE MEDALS]])</f>
        <v>1</v>
      </c>
      <c r="G573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10000010</v>
      </c>
      <c r="H573" s="3">
        <f>IF(TS_ATHLETES[[#This Row],[TOTAL]]=0,"",RANK(TS_ATHLETES[[#This Row],[RANK VALUE]],TS_ATHLETES[RANK VALUE]))</f>
        <v>1224</v>
      </c>
      <c r="I573" s="3">
        <f>IFERROR(IF(TS_ATHLETES[[#This Row],[TOTAL]]=0,"",RANK(TS_ATHLETES[[#This Row],[RANK VALUE]],TS_ATHLETES[RANK VALUE])+COUNTIF($H$1:H572,H573)),"")</f>
        <v>1353</v>
      </c>
    </row>
    <row r="574" spans="1:9" x14ac:dyDescent="0.25">
      <c r="A574" t="s">
        <v>1565</v>
      </c>
      <c r="B574" s="3" t="s">
        <v>363</v>
      </c>
      <c r="C574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2</v>
      </c>
      <c r="D574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574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2</v>
      </c>
      <c r="F574" s="3">
        <f>SUM(TS_ATHLETES[[#This Row],[GOLD MEDALS]:[BRONZE MEDALS]])</f>
        <v>4</v>
      </c>
      <c r="G574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40200020</v>
      </c>
      <c r="H574" s="3">
        <f>IF(TS_ATHLETES[[#This Row],[TOTAL]]=0,"",RANK(TS_ATHLETES[[#This Row],[RANK VALUE]],TS_ATHLETES[RANK VALUE]))</f>
        <v>7</v>
      </c>
      <c r="I574" s="3">
        <f>IFERROR(IF(TS_ATHLETES[[#This Row],[TOTAL]]=0,"",RANK(TS_ATHLETES[[#This Row],[RANK VALUE]],TS_ATHLETES[RANK VALUE])+COUNTIF($H$1:H573,H574)),"")</f>
        <v>7</v>
      </c>
    </row>
    <row r="575" spans="1:9" x14ac:dyDescent="0.25">
      <c r="A575" t="s">
        <v>1566</v>
      </c>
      <c r="B575" s="3" t="s">
        <v>363</v>
      </c>
      <c r="C575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1</v>
      </c>
      <c r="D575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575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1</v>
      </c>
      <c r="F575" s="3">
        <f>SUM(TS_ATHLETES[[#This Row],[GOLD MEDALS]:[BRONZE MEDALS]])</f>
        <v>2</v>
      </c>
      <c r="G575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20100010</v>
      </c>
      <c r="H575" s="3">
        <f>IF(TS_ATHLETES[[#This Row],[TOTAL]]=0,"",RANK(TS_ATHLETES[[#This Row],[RANK VALUE]],TS_ATHLETES[RANK VALUE]))</f>
        <v>71</v>
      </c>
      <c r="I575" s="3">
        <f>IFERROR(IF(TS_ATHLETES[[#This Row],[TOTAL]]=0,"",RANK(TS_ATHLETES[[#This Row],[RANK VALUE]],TS_ATHLETES[RANK VALUE])+COUNTIF($H$1:H574,H575)),"")</f>
        <v>86</v>
      </c>
    </row>
    <row r="576" spans="1:9" x14ac:dyDescent="0.25">
      <c r="A576" t="s">
        <v>1567</v>
      </c>
      <c r="B576" s="3" t="s">
        <v>175</v>
      </c>
      <c r="C576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576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576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2</v>
      </c>
      <c r="F576" s="3">
        <f>SUM(TS_ATHLETES[[#This Row],[GOLD MEDALS]:[BRONZE MEDALS]])</f>
        <v>2</v>
      </c>
      <c r="G576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20000020</v>
      </c>
      <c r="H576" s="3">
        <f>IF(TS_ATHLETES[[#This Row],[TOTAL]]=0,"",RANK(TS_ATHLETES[[#This Row],[RANK VALUE]],TS_ATHLETES[RANK VALUE]))</f>
        <v>122</v>
      </c>
      <c r="I576" s="3">
        <f>IFERROR(IF(TS_ATHLETES[[#This Row],[TOTAL]]=0,"",RANK(TS_ATHLETES[[#This Row],[RANK VALUE]],TS_ATHLETES[RANK VALUE])+COUNTIF($H$1:H575,H576)),"")</f>
        <v>124</v>
      </c>
    </row>
    <row r="577" spans="1:9" x14ac:dyDescent="0.25">
      <c r="A577" t="s">
        <v>1568</v>
      </c>
      <c r="B577" s="3" t="s">
        <v>363</v>
      </c>
      <c r="C577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1</v>
      </c>
      <c r="D577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577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1</v>
      </c>
      <c r="F577" s="3">
        <f>SUM(TS_ATHLETES[[#This Row],[GOLD MEDALS]:[BRONZE MEDALS]])</f>
        <v>2</v>
      </c>
      <c r="G577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20100010</v>
      </c>
      <c r="H577" s="3">
        <f>IF(TS_ATHLETES[[#This Row],[TOTAL]]=0,"",RANK(TS_ATHLETES[[#This Row],[RANK VALUE]],TS_ATHLETES[RANK VALUE]))</f>
        <v>71</v>
      </c>
      <c r="I577" s="3">
        <f>IFERROR(IF(TS_ATHLETES[[#This Row],[TOTAL]]=0,"",RANK(TS_ATHLETES[[#This Row],[RANK VALUE]],TS_ATHLETES[RANK VALUE])+COUNTIF($H$1:H576,H577)),"")</f>
        <v>87</v>
      </c>
    </row>
    <row r="578" spans="1:9" x14ac:dyDescent="0.25">
      <c r="A578" t="s">
        <v>1569</v>
      </c>
      <c r="B578" s="3" t="s">
        <v>287</v>
      </c>
      <c r="C578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578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578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1</v>
      </c>
      <c r="F578" s="3">
        <f>SUM(TS_ATHLETES[[#This Row],[GOLD MEDALS]:[BRONZE MEDALS]])</f>
        <v>1</v>
      </c>
      <c r="G578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10000010</v>
      </c>
      <c r="H578" s="3">
        <f>IF(TS_ATHLETES[[#This Row],[TOTAL]]=0,"",RANK(TS_ATHLETES[[#This Row],[RANK VALUE]],TS_ATHLETES[RANK VALUE]))</f>
        <v>1224</v>
      </c>
      <c r="I578" s="3">
        <f>IFERROR(IF(TS_ATHLETES[[#This Row],[TOTAL]]=0,"",RANK(TS_ATHLETES[[#This Row],[RANK VALUE]],TS_ATHLETES[RANK VALUE])+COUNTIF($H$1:H577,H578)),"")</f>
        <v>1354</v>
      </c>
    </row>
    <row r="579" spans="1:9" x14ac:dyDescent="0.25">
      <c r="A579" t="s">
        <v>1570</v>
      </c>
      <c r="B579" s="3" t="s">
        <v>363</v>
      </c>
      <c r="C579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1</v>
      </c>
      <c r="D579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579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1</v>
      </c>
      <c r="F579" s="3">
        <f>SUM(TS_ATHLETES[[#This Row],[GOLD MEDALS]:[BRONZE MEDALS]])</f>
        <v>2</v>
      </c>
      <c r="G579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20100010</v>
      </c>
      <c r="H579" s="3">
        <f>IF(TS_ATHLETES[[#This Row],[TOTAL]]=0,"",RANK(TS_ATHLETES[[#This Row],[RANK VALUE]],TS_ATHLETES[RANK VALUE]))</f>
        <v>71</v>
      </c>
      <c r="I579" s="3">
        <f>IFERROR(IF(TS_ATHLETES[[#This Row],[TOTAL]]=0,"",RANK(TS_ATHLETES[[#This Row],[RANK VALUE]],TS_ATHLETES[RANK VALUE])+COUNTIF($H$1:H578,H579)),"")</f>
        <v>88</v>
      </c>
    </row>
    <row r="580" spans="1:9" x14ac:dyDescent="0.25">
      <c r="A580" t="s">
        <v>1571</v>
      </c>
      <c r="B580" s="3" t="s">
        <v>287</v>
      </c>
      <c r="C580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580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580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1</v>
      </c>
      <c r="F580" s="3">
        <f>SUM(TS_ATHLETES[[#This Row],[GOLD MEDALS]:[BRONZE MEDALS]])</f>
        <v>1</v>
      </c>
      <c r="G580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10000010</v>
      </c>
      <c r="H580" s="3">
        <f>IF(TS_ATHLETES[[#This Row],[TOTAL]]=0,"",RANK(TS_ATHLETES[[#This Row],[RANK VALUE]],TS_ATHLETES[RANK VALUE]))</f>
        <v>1224</v>
      </c>
      <c r="I580" s="3">
        <f>IFERROR(IF(TS_ATHLETES[[#This Row],[TOTAL]]=0,"",RANK(TS_ATHLETES[[#This Row],[RANK VALUE]],TS_ATHLETES[RANK VALUE])+COUNTIF($H$1:H579,H580)),"")</f>
        <v>1355</v>
      </c>
    </row>
    <row r="581" spans="1:9" x14ac:dyDescent="0.25">
      <c r="A581" t="s">
        <v>1572</v>
      </c>
      <c r="B581" s="3" t="s">
        <v>159</v>
      </c>
      <c r="C581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581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581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1</v>
      </c>
      <c r="F581" s="3">
        <f>SUM(TS_ATHLETES[[#This Row],[GOLD MEDALS]:[BRONZE MEDALS]])</f>
        <v>1</v>
      </c>
      <c r="G581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10000010</v>
      </c>
      <c r="H581" s="3">
        <f>IF(TS_ATHLETES[[#This Row],[TOTAL]]=0,"",RANK(TS_ATHLETES[[#This Row],[RANK VALUE]],TS_ATHLETES[RANK VALUE]))</f>
        <v>1224</v>
      </c>
      <c r="I581" s="3">
        <f>IFERROR(IF(TS_ATHLETES[[#This Row],[TOTAL]]=0,"",RANK(TS_ATHLETES[[#This Row],[RANK VALUE]],TS_ATHLETES[RANK VALUE])+COUNTIF($H$1:H580,H581)),"")</f>
        <v>1356</v>
      </c>
    </row>
    <row r="582" spans="1:9" x14ac:dyDescent="0.25">
      <c r="A582" t="s">
        <v>1573</v>
      </c>
      <c r="B582" s="3" t="s">
        <v>77</v>
      </c>
      <c r="C582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582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582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1</v>
      </c>
      <c r="F582" s="3">
        <f>SUM(TS_ATHLETES[[#This Row],[GOLD MEDALS]:[BRONZE MEDALS]])</f>
        <v>1</v>
      </c>
      <c r="G582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10000010</v>
      </c>
      <c r="H582" s="3">
        <f>IF(TS_ATHLETES[[#This Row],[TOTAL]]=0,"",RANK(TS_ATHLETES[[#This Row],[RANK VALUE]],TS_ATHLETES[RANK VALUE]))</f>
        <v>1224</v>
      </c>
      <c r="I582" s="3">
        <f>IFERROR(IF(TS_ATHLETES[[#This Row],[TOTAL]]=0,"",RANK(TS_ATHLETES[[#This Row],[RANK VALUE]],TS_ATHLETES[RANK VALUE])+COUNTIF($H$1:H581,H582)),"")</f>
        <v>1357</v>
      </c>
    </row>
    <row r="583" spans="1:9" x14ac:dyDescent="0.25">
      <c r="A583" t="s">
        <v>1574</v>
      </c>
      <c r="B583" s="3" t="s">
        <v>179</v>
      </c>
      <c r="C583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583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583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1</v>
      </c>
      <c r="F583" s="3">
        <f>SUM(TS_ATHLETES[[#This Row],[GOLD MEDALS]:[BRONZE MEDALS]])</f>
        <v>1</v>
      </c>
      <c r="G583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10000010</v>
      </c>
      <c r="H583" s="3">
        <f>IF(TS_ATHLETES[[#This Row],[TOTAL]]=0,"",RANK(TS_ATHLETES[[#This Row],[RANK VALUE]],TS_ATHLETES[RANK VALUE]))</f>
        <v>1224</v>
      </c>
      <c r="I583" s="3">
        <f>IFERROR(IF(TS_ATHLETES[[#This Row],[TOTAL]]=0,"",RANK(TS_ATHLETES[[#This Row],[RANK VALUE]],TS_ATHLETES[RANK VALUE])+COUNTIF($H$1:H582,H583)),"")</f>
        <v>1358</v>
      </c>
    </row>
    <row r="584" spans="1:9" x14ac:dyDescent="0.25">
      <c r="A584" t="s">
        <v>1575</v>
      </c>
      <c r="B584" s="3" t="s">
        <v>186</v>
      </c>
      <c r="C584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584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584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1</v>
      </c>
      <c r="F584" s="3">
        <f>SUM(TS_ATHLETES[[#This Row],[GOLD MEDALS]:[BRONZE MEDALS]])</f>
        <v>1</v>
      </c>
      <c r="G584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10000010</v>
      </c>
      <c r="H584" s="3">
        <f>IF(TS_ATHLETES[[#This Row],[TOTAL]]=0,"",RANK(TS_ATHLETES[[#This Row],[RANK VALUE]],TS_ATHLETES[RANK VALUE]))</f>
        <v>1224</v>
      </c>
      <c r="I584" s="3">
        <f>IFERROR(IF(TS_ATHLETES[[#This Row],[TOTAL]]=0,"",RANK(TS_ATHLETES[[#This Row],[RANK VALUE]],TS_ATHLETES[RANK VALUE])+COUNTIF($H$1:H583,H584)),"")</f>
        <v>1359</v>
      </c>
    </row>
    <row r="585" spans="1:9" x14ac:dyDescent="0.25">
      <c r="A585" t="s">
        <v>1576</v>
      </c>
      <c r="B585" s="3" t="s">
        <v>179</v>
      </c>
      <c r="C585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585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1</v>
      </c>
      <c r="E585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1</v>
      </c>
      <c r="F585" s="3">
        <f>SUM(TS_ATHLETES[[#This Row],[GOLD MEDALS]:[BRONZE MEDALS]])</f>
        <v>2</v>
      </c>
      <c r="G585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20000110</v>
      </c>
      <c r="H585" s="3">
        <f>IF(TS_ATHLETES[[#This Row],[TOTAL]]=0,"",RANK(TS_ATHLETES[[#This Row],[RANK VALUE]],TS_ATHLETES[RANK VALUE]))</f>
        <v>108</v>
      </c>
      <c r="I585" s="3">
        <f>IFERROR(IF(TS_ATHLETES[[#This Row],[TOTAL]]=0,"",RANK(TS_ATHLETES[[#This Row],[RANK VALUE]],TS_ATHLETES[RANK VALUE])+COUNTIF($H$1:H584,H585)),"")</f>
        <v>121</v>
      </c>
    </row>
    <row r="586" spans="1:9" x14ac:dyDescent="0.25">
      <c r="A586" t="s">
        <v>770</v>
      </c>
      <c r="B586" s="3" t="s">
        <v>187</v>
      </c>
      <c r="C586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586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586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1</v>
      </c>
      <c r="F586" s="3">
        <f>SUM(TS_ATHLETES[[#This Row],[GOLD MEDALS]:[BRONZE MEDALS]])</f>
        <v>1</v>
      </c>
      <c r="G586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10000010</v>
      </c>
      <c r="H586" s="3">
        <f>IF(TS_ATHLETES[[#This Row],[TOTAL]]=0,"",RANK(TS_ATHLETES[[#This Row],[RANK VALUE]],TS_ATHLETES[RANK VALUE]))</f>
        <v>1224</v>
      </c>
      <c r="I586" s="3">
        <f>IFERROR(IF(TS_ATHLETES[[#This Row],[TOTAL]]=0,"",RANK(TS_ATHLETES[[#This Row],[RANK VALUE]],TS_ATHLETES[RANK VALUE])+COUNTIF($H$1:H585,H586)),"")</f>
        <v>1360</v>
      </c>
    </row>
    <row r="587" spans="1:9" x14ac:dyDescent="0.25">
      <c r="A587" t="s">
        <v>771</v>
      </c>
      <c r="B587" s="3" t="s">
        <v>321</v>
      </c>
      <c r="C587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587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587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1</v>
      </c>
      <c r="F587" s="3">
        <f>SUM(TS_ATHLETES[[#This Row],[GOLD MEDALS]:[BRONZE MEDALS]])</f>
        <v>1</v>
      </c>
      <c r="G587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10000010</v>
      </c>
      <c r="H587" s="3">
        <f>IF(TS_ATHLETES[[#This Row],[TOTAL]]=0,"",RANK(TS_ATHLETES[[#This Row],[RANK VALUE]],TS_ATHLETES[RANK VALUE]))</f>
        <v>1224</v>
      </c>
      <c r="I587" s="3">
        <f>IFERROR(IF(TS_ATHLETES[[#This Row],[TOTAL]]=0,"",RANK(TS_ATHLETES[[#This Row],[RANK VALUE]],TS_ATHLETES[RANK VALUE])+COUNTIF($H$1:H586,H587)),"")</f>
        <v>1361</v>
      </c>
    </row>
    <row r="588" spans="1:9" x14ac:dyDescent="0.25">
      <c r="A588" t="s">
        <v>772</v>
      </c>
      <c r="B588" s="3" t="s">
        <v>25</v>
      </c>
      <c r="C588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588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588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1</v>
      </c>
      <c r="F588" s="3">
        <f>SUM(TS_ATHLETES[[#This Row],[GOLD MEDALS]:[BRONZE MEDALS]])</f>
        <v>1</v>
      </c>
      <c r="G588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10000010</v>
      </c>
      <c r="H588" s="3">
        <f>IF(TS_ATHLETES[[#This Row],[TOTAL]]=0,"",RANK(TS_ATHLETES[[#This Row],[RANK VALUE]],TS_ATHLETES[RANK VALUE]))</f>
        <v>1224</v>
      </c>
      <c r="I588" s="3">
        <f>IFERROR(IF(TS_ATHLETES[[#This Row],[TOTAL]]=0,"",RANK(TS_ATHLETES[[#This Row],[RANK VALUE]],TS_ATHLETES[RANK VALUE])+COUNTIF($H$1:H587,H588)),"")</f>
        <v>1362</v>
      </c>
    </row>
    <row r="589" spans="1:9" x14ac:dyDescent="0.25">
      <c r="A589" t="s">
        <v>773</v>
      </c>
      <c r="B589" s="3" t="s">
        <v>51</v>
      </c>
      <c r="C589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589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589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1</v>
      </c>
      <c r="F589" s="3">
        <f>SUM(TS_ATHLETES[[#This Row],[GOLD MEDALS]:[BRONZE MEDALS]])</f>
        <v>1</v>
      </c>
      <c r="G589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10000010</v>
      </c>
      <c r="H589" s="3">
        <f>IF(TS_ATHLETES[[#This Row],[TOTAL]]=0,"",RANK(TS_ATHLETES[[#This Row],[RANK VALUE]],TS_ATHLETES[RANK VALUE]))</f>
        <v>1224</v>
      </c>
      <c r="I589" s="3">
        <f>IFERROR(IF(TS_ATHLETES[[#This Row],[TOTAL]]=0,"",RANK(TS_ATHLETES[[#This Row],[RANK VALUE]],TS_ATHLETES[RANK VALUE])+COUNTIF($H$1:H588,H589)),"")</f>
        <v>1363</v>
      </c>
    </row>
    <row r="590" spans="1:9" x14ac:dyDescent="0.25">
      <c r="A590" t="s">
        <v>774</v>
      </c>
      <c r="B590" s="3" t="s">
        <v>343</v>
      </c>
      <c r="C590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590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590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1</v>
      </c>
      <c r="F590" s="3">
        <f>SUM(TS_ATHLETES[[#This Row],[GOLD MEDALS]:[BRONZE MEDALS]])</f>
        <v>1</v>
      </c>
      <c r="G590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10000010</v>
      </c>
      <c r="H590" s="3">
        <f>IF(TS_ATHLETES[[#This Row],[TOTAL]]=0,"",RANK(TS_ATHLETES[[#This Row],[RANK VALUE]],TS_ATHLETES[RANK VALUE]))</f>
        <v>1224</v>
      </c>
      <c r="I590" s="3">
        <f>IFERROR(IF(TS_ATHLETES[[#This Row],[TOTAL]]=0,"",RANK(TS_ATHLETES[[#This Row],[RANK VALUE]],TS_ATHLETES[RANK VALUE])+COUNTIF($H$1:H589,H590)),"")</f>
        <v>1364</v>
      </c>
    </row>
    <row r="591" spans="1:9" x14ac:dyDescent="0.25">
      <c r="A591" t="s">
        <v>775</v>
      </c>
      <c r="B591" s="3" t="s">
        <v>112</v>
      </c>
      <c r="C591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591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591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1</v>
      </c>
      <c r="F591" s="3">
        <f>SUM(TS_ATHLETES[[#This Row],[GOLD MEDALS]:[BRONZE MEDALS]])</f>
        <v>1</v>
      </c>
      <c r="G591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10000010</v>
      </c>
      <c r="H591" s="3">
        <f>IF(TS_ATHLETES[[#This Row],[TOTAL]]=0,"",RANK(TS_ATHLETES[[#This Row],[RANK VALUE]],TS_ATHLETES[RANK VALUE]))</f>
        <v>1224</v>
      </c>
      <c r="I591" s="3">
        <f>IFERROR(IF(TS_ATHLETES[[#This Row],[TOTAL]]=0,"",RANK(TS_ATHLETES[[#This Row],[RANK VALUE]],TS_ATHLETES[RANK VALUE])+COUNTIF($H$1:H590,H591)),"")</f>
        <v>1365</v>
      </c>
    </row>
    <row r="592" spans="1:9" x14ac:dyDescent="0.25">
      <c r="A592" t="s">
        <v>776</v>
      </c>
      <c r="B592" s="3" t="s">
        <v>352</v>
      </c>
      <c r="C592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592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592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1</v>
      </c>
      <c r="F592" s="3">
        <f>SUM(TS_ATHLETES[[#This Row],[GOLD MEDALS]:[BRONZE MEDALS]])</f>
        <v>1</v>
      </c>
      <c r="G592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10000010</v>
      </c>
      <c r="H592" s="3">
        <f>IF(TS_ATHLETES[[#This Row],[TOTAL]]=0,"",RANK(TS_ATHLETES[[#This Row],[RANK VALUE]],TS_ATHLETES[RANK VALUE]))</f>
        <v>1224</v>
      </c>
      <c r="I592" s="3">
        <f>IFERROR(IF(TS_ATHLETES[[#This Row],[TOTAL]]=0,"",RANK(TS_ATHLETES[[#This Row],[RANK VALUE]],TS_ATHLETES[RANK VALUE])+COUNTIF($H$1:H591,H592)),"")</f>
        <v>1366</v>
      </c>
    </row>
    <row r="593" spans="1:9" x14ac:dyDescent="0.25">
      <c r="A593" t="s">
        <v>777</v>
      </c>
      <c r="B593" s="3" t="s">
        <v>361</v>
      </c>
      <c r="C593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593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593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1</v>
      </c>
      <c r="F593" s="3">
        <f>SUM(TS_ATHLETES[[#This Row],[GOLD MEDALS]:[BRONZE MEDALS]])</f>
        <v>1</v>
      </c>
      <c r="G593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10000010</v>
      </c>
      <c r="H593" s="3">
        <f>IF(TS_ATHLETES[[#This Row],[TOTAL]]=0,"",RANK(TS_ATHLETES[[#This Row],[RANK VALUE]],TS_ATHLETES[RANK VALUE]))</f>
        <v>1224</v>
      </c>
      <c r="I593" s="3">
        <f>IFERROR(IF(TS_ATHLETES[[#This Row],[TOTAL]]=0,"",RANK(TS_ATHLETES[[#This Row],[RANK VALUE]],TS_ATHLETES[RANK VALUE])+COUNTIF($H$1:H592,H593)),"")</f>
        <v>1367</v>
      </c>
    </row>
    <row r="594" spans="1:9" x14ac:dyDescent="0.25">
      <c r="A594" t="s">
        <v>1577</v>
      </c>
      <c r="B594" s="3" t="s">
        <v>179</v>
      </c>
      <c r="C594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594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594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1</v>
      </c>
      <c r="F594" s="3">
        <f>SUM(TS_ATHLETES[[#This Row],[GOLD MEDALS]:[BRONZE MEDALS]])</f>
        <v>1</v>
      </c>
      <c r="G594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10000010</v>
      </c>
      <c r="H594" s="3">
        <f>IF(TS_ATHLETES[[#This Row],[TOTAL]]=0,"",RANK(TS_ATHLETES[[#This Row],[RANK VALUE]],TS_ATHLETES[RANK VALUE]))</f>
        <v>1224</v>
      </c>
      <c r="I594" s="3">
        <f>IFERROR(IF(TS_ATHLETES[[#This Row],[TOTAL]]=0,"",RANK(TS_ATHLETES[[#This Row],[RANK VALUE]],TS_ATHLETES[RANK VALUE])+COUNTIF($H$1:H593,H594)),"")</f>
        <v>1368</v>
      </c>
    </row>
    <row r="595" spans="1:9" x14ac:dyDescent="0.25">
      <c r="A595" t="s">
        <v>1578</v>
      </c>
      <c r="B595" s="3" t="s">
        <v>98</v>
      </c>
      <c r="C595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595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595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1</v>
      </c>
      <c r="F595" s="3">
        <f>SUM(TS_ATHLETES[[#This Row],[GOLD MEDALS]:[BRONZE MEDALS]])</f>
        <v>1</v>
      </c>
      <c r="G595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10000010</v>
      </c>
      <c r="H595" s="3">
        <f>IF(TS_ATHLETES[[#This Row],[TOTAL]]=0,"",RANK(TS_ATHLETES[[#This Row],[RANK VALUE]],TS_ATHLETES[RANK VALUE]))</f>
        <v>1224</v>
      </c>
      <c r="I595" s="3">
        <f>IFERROR(IF(TS_ATHLETES[[#This Row],[TOTAL]]=0,"",RANK(TS_ATHLETES[[#This Row],[RANK VALUE]],TS_ATHLETES[RANK VALUE])+COUNTIF($H$1:H594,H595)),"")</f>
        <v>1369</v>
      </c>
    </row>
    <row r="596" spans="1:9" x14ac:dyDescent="0.25">
      <c r="A596" t="s">
        <v>1579</v>
      </c>
      <c r="B596" s="3" t="s">
        <v>77</v>
      </c>
      <c r="C596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596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596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1</v>
      </c>
      <c r="F596" s="3">
        <f>SUM(TS_ATHLETES[[#This Row],[GOLD MEDALS]:[BRONZE MEDALS]])</f>
        <v>1</v>
      </c>
      <c r="G596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10000010</v>
      </c>
      <c r="H596" s="3">
        <f>IF(TS_ATHLETES[[#This Row],[TOTAL]]=0,"",RANK(TS_ATHLETES[[#This Row],[RANK VALUE]],TS_ATHLETES[RANK VALUE]))</f>
        <v>1224</v>
      </c>
      <c r="I596" s="3">
        <f>IFERROR(IF(TS_ATHLETES[[#This Row],[TOTAL]]=0,"",RANK(TS_ATHLETES[[#This Row],[RANK VALUE]],TS_ATHLETES[RANK VALUE])+COUNTIF($H$1:H595,H596)),"")</f>
        <v>1370</v>
      </c>
    </row>
    <row r="597" spans="1:9" x14ac:dyDescent="0.25">
      <c r="A597" t="s">
        <v>1580</v>
      </c>
      <c r="B597" s="3" t="s">
        <v>77</v>
      </c>
      <c r="C597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597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597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1</v>
      </c>
      <c r="F597" s="3">
        <f>SUM(TS_ATHLETES[[#This Row],[GOLD MEDALS]:[BRONZE MEDALS]])</f>
        <v>1</v>
      </c>
      <c r="G597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10000010</v>
      </c>
      <c r="H597" s="3">
        <f>IF(TS_ATHLETES[[#This Row],[TOTAL]]=0,"",RANK(TS_ATHLETES[[#This Row],[RANK VALUE]],TS_ATHLETES[RANK VALUE]))</f>
        <v>1224</v>
      </c>
      <c r="I597" s="3">
        <f>IFERROR(IF(TS_ATHLETES[[#This Row],[TOTAL]]=0,"",RANK(TS_ATHLETES[[#This Row],[RANK VALUE]],TS_ATHLETES[RANK VALUE])+COUNTIF($H$1:H596,H597)),"")</f>
        <v>1371</v>
      </c>
    </row>
    <row r="598" spans="1:9" x14ac:dyDescent="0.25">
      <c r="A598" t="s">
        <v>1581</v>
      </c>
      <c r="B598" s="3" t="s">
        <v>319</v>
      </c>
      <c r="C598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598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598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1</v>
      </c>
      <c r="F598" s="3">
        <f>SUM(TS_ATHLETES[[#This Row],[GOLD MEDALS]:[BRONZE MEDALS]])</f>
        <v>1</v>
      </c>
      <c r="G598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10000010</v>
      </c>
      <c r="H598" s="3">
        <f>IF(TS_ATHLETES[[#This Row],[TOTAL]]=0,"",RANK(TS_ATHLETES[[#This Row],[RANK VALUE]],TS_ATHLETES[RANK VALUE]))</f>
        <v>1224</v>
      </c>
      <c r="I598" s="3">
        <f>IFERROR(IF(TS_ATHLETES[[#This Row],[TOTAL]]=0,"",RANK(TS_ATHLETES[[#This Row],[RANK VALUE]],TS_ATHLETES[RANK VALUE])+COUNTIF($H$1:H597,H598)),"")</f>
        <v>1372</v>
      </c>
    </row>
    <row r="599" spans="1:9" x14ac:dyDescent="0.25">
      <c r="A599" t="s">
        <v>1582</v>
      </c>
      <c r="B599" s="3" t="s">
        <v>361</v>
      </c>
      <c r="C599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599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599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1</v>
      </c>
      <c r="F599" s="3">
        <f>SUM(TS_ATHLETES[[#This Row],[GOLD MEDALS]:[BRONZE MEDALS]])</f>
        <v>1</v>
      </c>
      <c r="G599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10000010</v>
      </c>
      <c r="H599" s="3">
        <f>IF(TS_ATHLETES[[#This Row],[TOTAL]]=0,"",RANK(TS_ATHLETES[[#This Row],[RANK VALUE]],TS_ATHLETES[RANK VALUE]))</f>
        <v>1224</v>
      </c>
      <c r="I599" s="3">
        <f>IFERROR(IF(TS_ATHLETES[[#This Row],[TOTAL]]=0,"",RANK(TS_ATHLETES[[#This Row],[RANK VALUE]],TS_ATHLETES[RANK VALUE])+COUNTIF($H$1:H598,H599)),"")</f>
        <v>1373</v>
      </c>
    </row>
    <row r="600" spans="1:9" x14ac:dyDescent="0.25">
      <c r="A600" t="s">
        <v>1583</v>
      </c>
      <c r="B600" s="3" t="s">
        <v>343</v>
      </c>
      <c r="C600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600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600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1</v>
      </c>
      <c r="F600" s="3">
        <f>SUM(TS_ATHLETES[[#This Row],[GOLD MEDALS]:[BRONZE MEDALS]])</f>
        <v>1</v>
      </c>
      <c r="G600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10000010</v>
      </c>
      <c r="H600" s="3">
        <f>IF(TS_ATHLETES[[#This Row],[TOTAL]]=0,"",RANK(TS_ATHLETES[[#This Row],[RANK VALUE]],TS_ATHLETES[RANK VALUE]))</f>
        <v>1224</v>
      </c>
      <c r="I600" s="3">
        <f>IFERROR(IF(TS_ATHLETES[[#This Row],[TOTAL]]=0,"",RANK(TS_ATHLETES[[#This Row],[RANK VALUE]],TS_ATHLETES[RANK VALUE])+COUNTIF($H$1:H599,H600)),"")</f>
        <v>1374</v>
      </c>
    </row>
    <row r="601" spans="1:9" x14ac:dyDescent="0.25">
      <c r="A601" t="s">
        <v>1584</v>
      </c>
      <c r="B601" s="3" t="s">
        <v>183</v>
      </c>
      <c r="C601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601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601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1</v>
      </c>
      <c r="F601" s="3">
        <f>SUM(TS_ATHLETES[[#This Row],[GOLD MEDALS]:[BRONZE MEDALS]])</f>
        <v>1</v>
      </c>
      <c r="G601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10000010</v>
      </c>
      <c r="H601" s="3">
        <f>IF(TS_ATHLETES[[#This Row],[TOTAL]]=0,"",RANK(TS_ATHLETES[[#This Row],[RANK VALUE]],TS_ATHLETES[RANK VALUE]))</f>
        <v>1224</v>
      </c>
      <c r="I601" s="3">
        <f>IFERROR(IF(TS_ATHLETES[[#This Row],[TOTAL]]=0,"",RANK(TS_ATHLETES[[#This Row],[RANK VALUE]],TS_ATHLETES[RANK VALUE])+COUNTIF($H$1:H600,H601)),"")</f>
        <v>1375</v>
      </c>
    </row>
    <row r="602" spans="1:9" x14ac:dyDescent="0.25">
      <c r="A602" t="s">
        <v>1585</v>
      </c>
      <c r="B602" s="3" t="s">
        <v>79</v>
      </c>
      <c r="C602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602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602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1</v>
      </c>
      <c r="F602" s="3">
        <f>SUM(TS_ATHLETES[[#This Row],[GOLD MEDALS]:[BRONZE MEDALS]])</f>
        <v>1</v>
      </c>
      <c r="G602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10000010</v>
      </c>
      <c r="H602" s="3">
        <f>IF(TS_ATHLETES[[#This Row],[TOTAL]]=0,"",RANK(TS_ATHLETES[[#This Row],[RANK VALUE]],TS_ATHLETES[RANK VALUE]))</f>
        <v>1224</v>
      </c>
      <c r="I602" s="3">
        <f>IFERROR(IF(TS_ATHLETES[[#This Row],[TOTAL]]=0,"",RANK(TS_ATHLETES[[#This Row],[RANK VALUE]],TS_ATHLETES[RANK VALUE])+COUNTIF($H$1:H601,H602)),"")</f>
        <v>1376</v>
      </c>
    </row>
    <row r="603" spans="1:9" x14ac:dyDescent="0.25">
      <c r="A603" t="s">
        <v>1586</v>
      </c>
      <c r="B603" s="3" t="s">
        <v>112</v>
      </c>
      <c r="C603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603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603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1</v>
      </c>
      <c r="F603" s="3">
        <f>SUM(TS_ATHLETES[[#This Row],[GOLD MEDALS]:[BRONZE MEDALS]])</f>
        <v>1</v>
      </c>
      <c r="G603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10000010</v>
      </c>
      <c r="H603" s="3">
        <f>IF(TS_ATHLETES[[#This Row],[TOTAL]]=0,"",RANK(TS_ATHLETES[[#This Row],[RANK VALUE]],TS_ATHLETES[RANK VALUE]))</f>
        <v>1224</v>
      </c>
      <c r="I603" s="3">
        <f>IFERROR(IF(TS_ATHLETES[[#This Row],[TOTAL]]=0,"",RANK(TS_ATHLETES[[#This Row],[RANK VALUE]],TS_ATHLETES[RANK VALUE])+COUNTIF($H$1:H602,H603)),"")</f>
        <v>1377</v>
      </c>
    </row>
    <row r="604" spans="1:9" x14ac:dyDescent="0.25">
      <c r="A604" t="s">
        <v>1587</v>
      </c>
      <c r="B604" s="3" t="s">
        <v>641</v>
      </c>
      <c r="C604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604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604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1</v>
      </c>
      <c r="F604" s="3">
        <f>SUM(TS_ATHLETES[[#This Row],[GOLD MEDALS]:[BRONZE MEDALS]])</f>
        <v>1</v>
      </c>
      <c r="G604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10000010</v>
      </c>
      <c r="H604" s="3">
        <f>IF(TS_ATHLETES[[#This Row],[TOTAL]]=0,"",RANK(TS_ATHLETES[[#This Row],[RANK VALUE]],TS_ATHLETES[RANK VALUE]))</f>
        <v>1224</v>
      </c>
      <c r="I604" s="3">
        <f>IFERROR(IF(TS_ATHLETES[[#This Row],[TOTAL]]=0,"",RANK(TS_ATHLETES[[#This Row],[RANK VALUE]],TS_ATHLETES[RANK VALUE])+COUNTIF($H$1:H603,H604)),"")</f>
        <v>1378</v>
      </c>
    </row>
    <row r="605" spans="1:9" x14ac:dyDescent="0.25">
      <c r="A605" t="s">
        <v>1588</v>
      </c>
      <c r="B605" s="3" t="s">
        <v>207</v>
      </c>
      <c r="C605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605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605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1</v>
      </c>
      <c r="F605" s="3">
        <f>SUM(TS_ATHLETES[[#This Row],[GOLD MEDALS]:[BRONZE MEDALS]])</f>
        <v>1</v>
      </c>
      <c r="G605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10000010</v>
      </c>
      <c r="H605" s="3">
        <f>IF(TS_ATHLETES[[#This Row],[TOTAL]]=0,"",RANK(TS_ATHLETES[[#This Row],[RANK VALUE]],TS_ATHLETES[RANK VALUE]))</f>
        <v>1224</v>
      </c>
      <c r="I605" s="3">
        <f>IFERROR(IF(TS_ATHLETES[[#This Row],[TOTAL]]=0,"",RANK(TS_ATHLETES[[#This Row],[RANK VALUE]],TS_ATHLETES[RANK VALUE])+COUNTIF($H$1:H604,H605)),"")</f>
        <v>1379</v>
      </c>
    </row>
    <row r="606" spans="1:9" x14ac:dyDescent="0.25">
      <c r="A606" t="s">
        <v>1589</v>
      </c>
      <c r="B606" s="3" t="s">
        <v>183</v>
      </c>
      <c r="C606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606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606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1</v>
      </c>
      <c r="F606" s="3">
        <f>SUM(TS_ATHLETES[[#This Row],[GOLD MEDALS]:[BRONZE MEDALS]])</f>
        <v>1</v>
      </c>
      <c r="G606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10000010</v>
      </c>
      <c r="H606" s="3">
        <f>IF(TS_ATHLETES[[#This Row],[TOTAL]]=0,"",RANK(TS_ATHLETES[[#This Row],[RANK VALUE]],TS_ATHLETES[RANK VALUE]))</f>
        <v>1224</v>
      </c>
      <c r="I606" s="3">
        <f>IFERROR(IF(TS_ATHLETES[[#This Row],[TOTAL]]=0,"",RANK(TS_ATHLETES[[#This Row],[RANK VALUE]],TS_ATHLETES[RANK VALUE])+COUNTIF($H$1:H605,H606)),"")</f>
        <v>1380</v>
      </c>
    </row>
    <row r="607" spans="1:9" x14ac:dyDescent="0.25">
      <c r="A607" t="s">
        <v>1590</v>
      </c>
      <c r="B607" s="3" t="s">
        <v>134</v>
      </c>
      <c r="C607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607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607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1</v>
      </c>
      <c r="F607" s="3">
        <f>SUM(TS_ATHLETES[[#This Row],[GOLD MEDALS]:[BRONZE MEDALS]])</f>
        <v>1</v>
      </c>
      <c r="G607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10000010</v>
      </c>
      <c r="H607" s="3">
        <f>IF(TS_ATHLETES[[#This Row],[TOTAL]]=0,"",RANK(TS_ATHLETES[[#This Row],[RANK VALUE]],TS_ATHLETES[RANK VALUE]))</f>
        <v>1224</v>
      </c>
      <c r="I607" s="3">
        <f>IFERROR(IF(TS_ATHLETES[[#This Row],[TOTAL]]=0,"",RANK(TS_ATHLETES[[#This Row],[RANK VALUE]],TS_ATHLETES[RANK VALUE])+COUNTIF($H$1:H606,H607)),"")</f>
        <v>1381</v>
      </c>
    </row>
    <row r="608" spans="1:9" x14ac:dyDescent="0.25">
      <c r="A608" t="s">
        <v>1591</v>
      </c>
      <c r="B608" s="3" t="s">
        <v>179</v>
      </c>
      <c r="C608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608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608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1</v>
      </c>
      <c r="F608" s="3">
        <f>SUM(TS_ATHLETES[[#This Row],[GOLD MEDALS]:[BRONZE MEDALS]])</f>
        <v>1</v>
      </c>
      <c r="G608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10000010</v>
      </c>
      <c r="H608" s="3">
        <f>IF(TS_ATHLETES[[#This Row],[TOTAL]]=0,"",RANK(TS_ATHLETES[[#This Row],[RANK VALUE]],TS_ATHLETES[RANK VALUE]))</f>
        <v>1224</v>
      </c>
      <c r="I608" s="3">
        <f>IFERROR(IF(TS_ATHLETES[[#This Row],[TOTAL]]=0,"",RANK(TS_ATHLETES[[#This Row],[RANK VALUE]],TS_ATHLETES[RANK VALUE])+COUNTIF($H$1:H607,H608)),"")</f>
        <v>1382</v>
      </c>
    </row>
    <row r="609" spans="1:9" x14ac:dyDescent="0.25">
      <c r="A609" t="s">
        <v>1592</v>
      </c>
      <c r="B609" s="3" t="s">
        <v>187</v>
      </c>
      <c r="C609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609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609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1</v>
      </c>
      <c r="F609" s="3">
        <f>SUM(TS_ATHLETES[[#This Row],[GOLD MEDALS]:[BRONZE MEDALS]])</f>
        <v>1</v>
      </c>
      <c r="G609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10000010</v>
      </c>
      <c r="H609" s="3">
        <f>IF(TS_ATHLETES[[#This Row],[TOTAL]]=0,"",RANK(TS_ATHLETES[[#This Row],[RANK VALUE]],TS_ATHLETES[RANK VALUE]))</f>
        <v>1224</v>
      </c>
      <c r="I609" s="3">
        <f>IFERROR(IF(TS_ATHLETES[[#This Row],[TOTAL]]=0,"",RANK(TS_ATHLETES[[#This Row],[RANK VALUE]],TS_ATHLETES[RANK VALUE])+COUNTIF($H$1:H608,H609)),"")</f>
        <v>1383</v>
      </c>
    </row>
    <row r="610" spans="1:9" x14ac:dyDescent="0.25">
      <c r="A610" t="s">
        <v>1593</v>
      </c>
      <c r="B610" s="3" t="s">
        <v>337</v>
      </c>
      <c r="C610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610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610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1</v>
      </c>
      <c r="F610" s="3">
        <f>SUM(TS_ATHLETES[[#This Row],[GOLD MEDALS]:[BRONZE MEDALS]])</f>
        <v>1</v>
      </c>
      <c r="G610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10000010</v>
      </c>
      <c r="H610" s="3">
        <f>IF(TS_ATHLETES[[#This Row],[TOTAL]]=0,"",RANK(TS_ATHLETES[[#This Row],[RANK VALUE]],TS_ATHLETES[RANK VALUE]))</f>
        <v>1224</v>
      </c>
      <c r="I610" s="3">
        <f>IFERROR(IF(TS_ATHLETES[[#This Row],[TOTAL]]=0,"",RANK(TS_ATHLETES[[#This Row],[RANK VALUE]],TS_ATHLETES[RANK VALUE])+COUNTIF($H$1:H609,H610)),"")</f>
        <v>1384</v>
      </c>
    </row>
    <row r="611" spans="1:9" x14ac:dyDescent="0.25">
      <c r="A611" t="s">
        <v>1594</v>
      </c>
      <c r="B611" s="3" t="s">
        <v>183</v>
      </c>
      <c r="C611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611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611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1</v>
      </c>
      <c r="F611" s="3">
        <f>SUM(TS_ATHLETES[[#This Row],[GOLD MEDALS]:[BRONZE MEDALS]])</f>
        <v>1</v>
      </c>
      <c r="G611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10000010</v>
      </c>
      <c r="H611" s="3">
        <f>IF(TS_ATHLETES[[#This Row],[TOTAL]]=0,"",RANK(TS_ATHLETES[[#This Row],[RANK VALUE]],TS_ATHLETES[RANK VALUE]))</f>
        <v>1224</v>
      </c>
      <c r="I611" s="3">
        <f>IFERROR(IF(TS_ATHLETES[[#This Row],[TOTAL]]=0,"",RANK(TS_ATHLETES[[#This Row],[RANK VALUE]],TS_ATHLETES[RANK VALUE])+COUNTIF($H$1:H610,H611)),"")</f>
        <v>1385</v>
      </c>
    </row>
    <row r="612" spans="1:9" x14ac:dyDescent="0.25">
      <c r="A612" t="s">
        <v>1595</v>
      </c>
      <c r="B612" s="3" t="s">
        <v>112</v>
      </c>
      <c r="C612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612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612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1</v>
      </c>
      <c r="F612" s="3">
        <f>SUM(TS_ATHLETES[[#This Row],[GOLD MEDALS]:[BRONZE MEDALS]])</f>
        <v>1</v>
      </c>
      <c r="G612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10000010</v>
      </c>
      <c r="H612" s="3">
        <f>IF(TS_ATHLETES[[#This Row],[TOTAL]]=0,"",RANK(TS_ATHLETES[[#This Row],[RANK VALUE]],TS_ATHLETES[RANK VALUE]))</f>
        <v>1224</v>
      </c>
      <c r="I612" s="3">
        <f>IFERROR(IF(TS_ATHLETES[[#This Row],[TOTAL]]=0,"",RANK(TS_ATHLETES[[#This Row],[RANK VALUE]],TS_ATHLETES[RANK VALUE])+COUNTIF($H$1:H611,H612)),"")</f>
        <v>1386</v>
      </c>
    </row>
    <row r="613" spans="1:9" x14ac:dyDescent="0.25">
      <c r="A613" t="s">
        <v>1596</v>
      </c>
      <c r="B613" s="3" t="s">
        <v>321</v>
      </c>
      <c r="C613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613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613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1</v>
      </c>
      <c r="F613" s="3">
        <f>SUM(TS_ATHLETES[[#This Row],[GOLD MEDALS]:[BRONZE MEDALS]])</f>
        <v>1</v>
      </c>
      <c r="G613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10000010</v>
      </c>
      <c r="H613" s="3">
        <f>IF(TS_ATHLETES[[#This Row],[TOTAL]]=0,"",RANK(TS_ATHLETES[[#This Row],[RANK VALUE]],TS_ATHLETES[RANK VALUE]))</f>
        <v>1224</v>
      </c>
      <c r="I613" s="3">
        <f>IFERROR(IF(TS_ATHLETES[[#This Row],[TOTAL]]=0,"",RANK(TS_ATHLETES[[#This Row],[RANK VALUE]],TS_ATHLETES[RANK VALUE])+COUNTIF($H$1:H612,H613)),"")</f>
        <v>1387</v>
      </c>
    </row>
    <row r="614" spans="1:9" x14ac:dyDescent="0.25">
      <c r="A614" t="s">
        <v>1597</v>
      </c>
      <c r="B614" s="3" t="s">
        <v>363</v>
      </c>
      <c r="C614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614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614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1</v>
      </c>
      <c r="F614" s="3">
        <f>SUM(TS_ATHLETES[[#This Row],[GOLD MEDALS]:[BRONZE MEDALS]])</f>
        <v>1</v>
      </c>
      <c r="G614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10000010</v>
      </c>
      <c r="H614" s="3">
        <f>IF(TS_ATHLETES[[#This Row],[TOTAL]]=0,"",RANK(TS_ATHLETES[[#This Row],[RANK VALUE]],TS_ATHLETES[RANK VALUE]))</f>
        <v>1224</v>
      </c>
      <c r="I614" s="3">
        <f>IFERROR(IF(TS_ATHLETES[[#This Row],[TOTAL]]=0,"",RANK(TS_ATHLETES[[#This Row],[RANK VALUE]],TS_ATHLETES[RANK VALUE])+COUNTIF($H$1:H613,H614)),"")</f>
        <v>1388</v>
      </c>
    </row>
    <row r="615" spans="1:9" x14ac:dyDescent="0.25">
      <c r="A615" t="s">
        <v>823</v>
      </c>
      <c r="B615" s="3" t="s">
        <v>261</v>
      </c>
      <c r="C615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615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615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1</v>
      </c>
      <c r="F615" s="3">
        <f>SUM(TS_ATHLETES[[#This Row],[GOLD MEDALS]:[BRONZE MEDALS]])</f>
        <v>1</v>
      </c>
      <c r="G615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10000010</v>
      </c>
      <c r="H615" s="3">
        <f>IF(TS_ATHLETES[[#This Row],[TOTAL]]=0,"",RANK(TS_ATHLETES[[#This Row],[RANK VALUE]],TS_ATHLETES[RANK VALUE]))</f>
        <v>1224</v>
      </c>
      <c r="I615" s="3">
        <f>IFERROR(IF(TS_ATHLETES[[#This Row],[TOTAL]]=0,"",RANK(TS_ATHLETES[[#This Row],[RANK VALUE]],TS_ATHLETES[RANK VALUE])+COUNTIF($H$1:H614,H615)),"")</f>
        <v>1389</v>
      </c>
    </row>
    <row r="616" spans="1:9" x14ac:dyDescent="0.25">
      <c r="A616" t="s">
        <v>825</v>
      </c>
      <c r="B616" s="3" t="s">
        <v>134</v>
      </c>
      <c r="C616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616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616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1</v>
      </c>
      <c r="F616" s="3">
        <f>SUM(TS_ATHLETES[[#This Row],[GOLD MEDALS]:[BRONZE MEDALS]])</f>
        <v>1</v>
      </c>
      <c r="G616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10000010</v>
      </c>
      <c r="H616" s="3">
        <f>IF(TS_ATHLETES[[#This Row],[TOTAL]]=0,"",RANK(TS_ATHLETES[[#This Row],[RANK VALUE]],TS_ATHLETES[RANK VALUE]))</f>
        <v>1224</v>
      </c>
      <c r="I616" s="3">
        <f>IFERROR(IF(TS_ATHLETES[[#This Row],[TOTAL]]=0,"",RANK(TS_ATHLETES[[#This Row],[RANK VALUE]],TS_ATHLETES[RANK VALUE])+COUNTIF($H$1:H615,H616)),"")</f>
        <v>1390</v>
      </c>
    </row>
    <row r="617" spans="1:9" x14ac:dyDescent="0.25">
      <c r="A617" t="s">
        <v>827</v>
      </c>
      <c r="B617" s="3" t="s">
        <v>167</v>
      </c>
      <c r="C617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617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617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1</v>
      </c>
      <c r="F617" s="3">
        <f>SUM(TS_ATHLETES[[#This Row],[GOLD MEDALS]:[BRONZE MEDALS]])</f>
        <v>1</v>
      </c>
      <c r="G617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10000010</v>
      </c>
      <c r="H617" s="3">
        <f>IF(TS_ATHLETES[[#This Row],[TOTAL]]=0,"",RANK(TS_ATHLETES[[#This Row],[RANK VALUE]],TS_ATHLETES[RANK VALUE]))</f>
        <v>1224</v>
      </c>
      <c r="I617" s="3">
        <f>IFERROR(IF(TS_ATHLETES[[#This Row],[TOTAL]]=0,"",RANK(TS_ATHLETES[[#This Row],[RANK VALUE]],TS_ATHLETES[RANK VALUE])+COUNTIF($H$1:H616,H617)),"")</f>
        <v>1391</v>
      </c>
    </row>
    <row r="618" spans="1:9" x14ac:dyDescent="0.25">
      <c r="A618" t="s">
        <v>829</v>
      </c>
      <c r="B618" s="3" t="s">
        <v>136</v>
      </c>
      <c r="C618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618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618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1</v>
      </c>
      <c r="F618" s="3">
        <f>SUM(TS_ATHLETES[[#This Row],[GOLD MEDALS]:[BRONZE MEDALS]])</f>
        <v>1</v>
      </c>
      <c r="G618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10000010</v>
      </c>
      <c r="H618" s="3">
        <f>IF(TS_ATHLETES[[#This Row],[TOTAL]]=0,"",RANK(TS_ATHLETES[[#This Row],[RANK VALUE]],TS_ATHLETES[RANK VALUE]))</f>
        <v>1224</v>
      </c>
      <c r="I618" s="3">
        <f>IFERROR(IF(TS_ATHLETES[[#This Row],[TOTAL]]=0,"",RANK(TS_ATHLETES[[#This Row],[RANK VALUE]],TS_ATHLETES[RANK VALUE])+COUNTIF($H$1:H617,H618)),"")</f>
        <v>1392</v>
      </c>
    </row>
    <row r="619" spans="1:9" x14ac:dyDescent="0.25">
      <c r="A619" t="s">
        <v>831</v>
      </c>
      <c r="B619" s="3" t="s">
        <v>352</v>
      </c>
      <c r="C619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619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619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1</v>
      </c>
      <c r="F619" s="3">
        <f>SUM(TS_ATHLETES[[#This Row],[GOLD MEDALS]:[BRONZE MEDALS]])</f>
        <v>1</v>
      </c>
      <c r="G619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10000010</v>
      </c>
      <c r="H619" s="3">
        <f>IF(TS_ATHLETES[[#This Row],[TOTAL]]=0,"",RANK(TS_ATHLETES[[#This Row],[RANK VALUE]],TS_ATHLETES[RANK VALUE]))</f>
        <v>1224</v>
      </c>
      <c r="I619" s="3">
        <f>IFERROR(IF(TS_ATHLETES[[#This Row],[TOTAL]]=0,"",RANK(TS_ATHLETES[[#This Row],[RANK VALUE]],TS_ATHLETES[RANK VALUE])+COUNTIF($H$1:H618,H619)),"")</f>
        <v>1393</v>
      </c>
    </row>
    <row r="620" spans="1:9" x14ac:dyDescent="0.25">
      <c r="A620" t="s">
        <v>813</v>
      </c>
      <c r="B620" s="3" t="s">
        <v>25</v>
      </c>
      <c r="C620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620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620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1</v>
      </c>
      <c r="F620" s="3">
        <f>SUM(TS_ATHLETES[[#This Row],[GOLD MEDALS]:[BRONZE MEDALS]])</f>
        <v>1</v>
      </c>
      <c r="G620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10000010</v>
      </c>
      <c r="H620" s="3">
        <f>IF(TS_ATHLETES[[#This Row],[TOTAL]]=0,"",RANK(TS_ATHLETES[[#This Row],[RANK VALUE]],TS_ATHLETES[RANK VALUE]))</f>
        <v>1224</v>
      </c>
      <c r="I620" s="3">
        <f>IFERROR(IF(TS_ATHLETES[[#This Row],[TOTAL]]=0,"",RANK(TS_ATHLETES[[#This Row],[RANK VALUE]],TS_ATHLETES[RANK VALUE])+COUNTIF($H$1:H619,H620)),"")</f>
        <v>1394</v>
      </c>
    </row>
    <row r="621" spans="1:9" x14ac:dyDescent="0.25">
      <c r="A621" t="s">
        <v>816</v>
      </c>
      <c r="B621" s="3" t="s">
        <v>25</v>
      </c>
      <c r="C621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621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621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1</v>
      </c>
      <c r="F621" s="3">
        <f>SUM(TS_ATHLETES[[#This Row],[GOLD MEDALS]:[BRONZE MEDALS]])</f>
        <v>1</v>
      </c>
      <c r="G621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10000010</v>
      </c>
      <c r="H621" s="3">
        <f>IF(TS_ATHLETES[[#This Row],[TOTAL]]=0,"",RANK(TS_ATHLETES[[#This Row],[RANK VALUE]],TS_ATHLETES[RANK VALUE]))</f>
        <v>1224</v>
      </c>
      <c r="I621" s="3">
        <f>IFERROR(IF(TS_ATHLETES[[#This Row],[TOTAL]]=0,"",RANK(TS_ATHLETES[[#This Row],[RANK VALUE]],TS_ATHLETES[RANK VALUE])+COUNTIF($H$1:H620,H621)),"")</f>
        <v>1395</v>
      </c>
    </row>
    <row r="622" spans="1:9" x14ac:dyDescent="0.25">
      <c r="A622" t="s">
        <v>961</v>
      </c>
      <c r="B622" s="3" t="s">
        <v>175</v>
      </c>
      <c r="C622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622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622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1</v>
      </c>
      <c r="F622" s="3">
        <f>SUM(TS_ATHLETES[[#This Row],[GOLD MEDALS]:[BRONZE MEDALS]])</f>
        <v>1</v>
      </c>
      <c r="G622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10000010</v>
      </c>
      <c r="H622" s="3">
        <f>IF(TS_ATHLETES[[#This Row],[TOTAL]]=0,"",RANK(TS_ATHLETES[[#This Row],[RANK VALUE]],TS_ATHLETES[RANK VALUE]))</f>
        <v>1224</v>
      </c>
      <c r="I622" s="3">
        <f>IFERROR(IF(TS_ATHLETES[[#This Row],[TOTAL]]=0,"",RANK(TS_ATHLETES[[#This Row],[RANK VALUE]],TS_ATHLETES[RANK VALUE])+COUNTIF($H$1:H621,H622)),"")</f>
        <v>1396</v>
      </c>
    </row>
    <row r="623" spans="1:9" x14ac:dyDescent="0.25">
      <c r="A623" t="s">
        <v>821</v>
      </c>
      <c r="B623" s="3" t="s">
        <v>25</v>
      </c>
      <c r="C623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623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623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1</v>
      </c>
      <c r="F623" s="3">
        <f>SUM(TS_ATHLETES[[#This Row],[GOLD MEDALS]:[BRONZE MEDALS]])</f>
        <v>1</v>
      </c>
      <c r="G623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10000010</v>
      </c>
      <c r="H623" s="3">
        <f>IF(TS_ATHLETES[[#This Row],[TOTAL]]=0,"",RANK(TS_ATHLETES[[#This Row],[RANK VALUE]],TS_ATHLETES[RANK VALUE]))</f>
        <v>1224</v>
      </c>
      <c r="I623" s="3">
        <f>IFERROR(IF(TS_ATHLETES[[#This Row],[TOTAL]]=0,"",RANK(TS_ATHLETES[[#This Row],[RANK VALUE]],TS_ATHLETES[RANK VALUE])+COUNTIF($H$1:H622,H623)),"")</f>
        <v>1397</v>
      </c>
    </row>
    <row r="624" spans="1:9" x14ac:dyDescent="0.25">
      <c r="A624" t="s">
        <v>835</v>
      </c>
      <c r="B624" s="3" t="s">
        <v>25</v>
      </c>
      <c r="C624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624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624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1</v>
      </c>
      <c r="F624" s="3">
        <f>SUM(TS_ATHLETES[[#This Row],[GOLD MEDALS]:[BRONZE MEDALS]])</f>
        <v>1</v>
      </c>
      <c r="G624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10000010</v>
      </c>
      <c r="H624" s="3">
        <f>IF(TS_ATHLETES[[#This Row],[TOTAL]]=0,"",RANK(TS_ATHLETES[[#This Row],[RANK VALUE]],TS_ATHLETES[RANK VALUE]))</f>
        <v>1224</v>
      </c>
      <c r="I624" s="3">
        <f>IFERROR(IF(TS_ATHLETES[[#This Row],[TOTAL]]=0,"",RANK(TS_ATHLETES[[#This Row],[RANK VALUE]],TS_ATHLETES[RANK VALUE])+COUNTIF($H$1:H623,H624)),"")</f>
        <v>1398</v>
      </c>
    </row>
    <row r="625" spans="1:9" x14ac:dyDescent="0.25">
      <c r="A625" t="s">
        <v>965</v>
      </c>
      <c r="B625" s="3" t="s">
        <v>641</v>
      </c>
      <c r="C625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625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625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1</v>
      </c>
      <c r="F625" s="3">
        <f>SUM(TS_ATHLETES[[#This Row],[GOLD MEDALS]:[BRONZE MEDALS]])</f>
        <v>1</v>
      </c>
      <c r="G625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10000010</v>
      </c>
      <c r="H625" s="3">
        <f>IF(TS_ATHLETES[[#This Row],[TOTAL]]=0,"",RANK(TS_ATHLETES[[#This Row],[RANK VALUE]],TS_ATHLETES[RANK VALUE]))</f>
        <v>1224</v>
      </c>
      <c r="I625" s="3">
        <f>IFERROR(IF(TS_ATHLETES[[#This Row],[TOTAL]]=0,"",RANK(TS_ATHLETES[[#This Row],[RANK VALUE]],TS_ATHLETES[RANK VALUE])+COUNTIF($H$1:H624,H625)),"")</f>
        <v>1399</v>
      </c>
    </row>
    <row r="626" spans="1:9" x14ac:dyDescent="0.25">
      <c r="A626" t="s">
        <v>837</v>
      </c>
      <c r="B626" s="3" t="s">
        <v>35</v>
      </c>
      <c r="C626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626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626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1</v>
      </c>
      <c r="F626" s="3">
        <f>SUM(TS_ATHLETES[[#This Row],[GOLD MEDALS]:[BRONZE MEDALS]])</f>
        <v>1</v>
      </c>
      <c r="G626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10000010</v>
      </c>
      <c r="H626" s="3">
        <f>IF(TS_ATHLETES[[#This Row],[TOTAL]]=0,"",RANK(TS_ATHLETES[[#This Row],[RANK VALUE]],TS_ATHLETES[RANK VALUE]))</f>
        <v>1224</v>
      </c>
      <c r="I626" s="3">
        <f>IFERROR(IF(TS_ATHLETES[[#This Row],[TOTAL]]=0,"",RANK(TS_ATHLETES[[#This Row],[RANK VALUE]],TS_ATHLETES[RANK VALUE])+COUNTIF($H$1:H625,H626)),"")</f>
        <v>1400</v>
      </c>
    </row>
    <row r="627" spans="1:9" x14ac:dyDescent="0.25">
      <c r="A627" t="s">
        <v>841</v>
      </c>
      <c r="B627" s="3" t="s">
        <v>77</v>
      </c>
      <c r="C627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627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627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1</v>
      </c>
      <c r="F627" s="3">
        <f>SUM(TS_ATHLETES[[#This Row],[GOLD MEDALS]:[BRONZE MEDALS]])</f>
        <v>1</v>
      </c>
      <c r="G627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10000010</v>
      </c>
      <c r="H627" s="3">
        <f>IF(TS_ATHLETES[[#This Row],[TOTAL]]=0,"",RANK(TS_ATHLETES[[#This Row],[RANK VALUE]],TS_ATHLETES[RANK VALUE]))</f>
        <v>1224</v>
      </c>
      <c r="I627" s="3">
        <f>IFERROR(IF(TS_ATHLETES[[#This Row],[TOTAL]]=0,"",RANK(TS_ATHLETES[[#This Row],[RANK VALUE]],TS_ATHLETES[RANK VALUE])+COUNTIF($H$1:H626,H627)),"")</f>
        <v>1401</v>
      </c>
    </row>
    <row r="628" spans="1:9" x14ac:dyDescent="0.25">
      <c r="A628" t="s">
        <v>845</v>
      </c>
      <c r="B628" s="3" t="s">
        <v>25</v>
      </c>
      <c r="C628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628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628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1</v>
      </c>
      <c r="F628" s="3">
        <f>SUM(TS_ATHLETES[[#This Row],[GOLD MEDALS]:[BRONZE MEDALS]])</f>
        <v>1</v>
      </c>
      <c r="G628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10000010</v>
      </c>
      <c r="H628" s="3">
        <f>IF(TS_ATHLETES[[#This Row],[TOTAL]]=0,"",RANK(TS_ATHLETES[[#This Row],[RANK VALUE]],TS_ATHLETES[RANK VALUE]))</f>
        <v>1224</v>
      </c>
      <c r="I628" s="3">
        <f>IFERROR(IF(TS_ATHLETES[[#This Row],[TOTAL]]=0,"",RANK(TS_ATHLETES[[#This Row],[RANK VALUE]],TS_ATHLETES[RANK VALUE])+COUNTIF($H$1:H627,H628)),"")</f>
        <v>1402</v>
      </c>
    </row>
    <row r="629" spans="1:9" x14ac:dyDescent="0.25">
      <c r="A629" t="s">
        <v>849</v>
      </c>
      <c r="B629" s="3" t="s">
        <v>350</v>
      </c>
      <c r="C629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629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629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1</v>
      </c>
      <c r="F629" s="3">
        <f>SUM(TS_ATHLETES[[#This Row],[GOLD MEDALS]:[BRONZE MEDALS]])</f>
        <v>1</v>
      </c>
      <c r="G629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10000010</v>
      </c>
      <c r="H629" s="3">
        <f>IF(TS_ATHLETES[[#This Row],[TOTAL]]=0,"",RANK(TS_ATHLETES[[#This Row],[RANK VALUE]],TS_ATHLETES[RANK VALUE]))</f>
        <v>1224</v>
      </c>
      <c r="I629" s="3">
        <f>IFERROR(IF(TS_ATHLETES[[#This Row],[TOTAL]]=0,"",RANK(TS_ATHLETES[[#This Row],[RANK VALUE]],TS_ATHLETES[RANK VALUE])+COUNTIF($H$1:H628,H629)),"")</f>
        <v>1403</v>
      </c>
    </row>
    <row r="630" spans="1:9" x14ac:dyDescent="0.25">
      <c r="A630" t="s">
        <v>853</v>
      </c>
      <c r="B630" s="3" t="s">
        <v>183</v>
      </c>
      <c r="C630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630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630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1</v>
      </c>
      <c r="F630" s="3">
        <f>SUM(TS_ATHLETES[[#This Row],[GOLD MEDALS]:[BRONZE MEDALS]])</f>
        <v>1</v>
      </c>
      <c r="G630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10000010</v>
      </c>
      <c r="H630" s="3">
        <f>IF(TS_ATHLETES[[#This Row],[TOTAL]]=0,"",RANK(TS_ATHLETES[[#This Row],[RANK VALUE]],TS_ATHLETES[RANK VALUE]))</f>
        <v>1224</v>
      </c>
      <c r="I630" s="3">
        <f>IFERROR(IF(TS_ATHLETES[[#This Row],[TOTAL]]=0,"",RANK(TS_ATHLETES[[#This Row],[RANK VALUE]],TS_ATHLETES[RANK VALUE])+COUNTIF($H$1:H629,H630)),"")</f>
        <v>1404</v>
      </c>
    </row>
    <row r="631" spans="1:9" x14ac:dyDescent="0.25">
      <c r="A631" t="s">
        <v>857</v>
      </c>
      <c r="B631" s="3" t="s">
        <v>183</v>
      </c>
      <c r="C631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631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631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1</v>
      </c>
      <c r="F631" s="3">
        <f>SUM(TS_ATHLETES[[#This Row],[GOLD MEDALS]:[BRONZE MEDALS]])</f>
        <v>1</v>
      </c>
      <c r="G631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10000010</v>
      </c>
      <c r="H631" s="3">
        <f>IF(TS_ATHLETES[[#This Row],[TOTAL]]=0,"",RANK(TS_ATHLETES[[#This Row],[RANK VALUE]],TS_ATHLETES[RANK VALUE]))</f>
        <v>1224</v>
      </c>
      <c r="I631" s="3">
        <f>IFERROR(IF(TS_ATHLETES[[#This Row],[TOTAL]]=0,"",RANK(TS_ATHLETES[[#This Row],[RANK VALUE]],TS_ATHLETES[RANK VALUE])+COUNTIF($H$1:H630,H631)),"")</f>
        <v>1405</v>
      </c>
    </row>
    <row r="632" spans="1:9" x14ac:dyDescent="0.25">
      <c r="A632" t="s">
        <v>861</v>
      </c>
      <c r="B632" s="3" t="s">
        <v>77</v>
      </c>
      <c r="C632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632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632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1</v>
      </c>
      <c r="F632" s="3">
        <f>SUM(TS_ATHLETES[[#This Row],[GOLD MEDALS]:[BRONZE MEDALS]])</f>
        <v>1</v>
      </c>
      <c r="G632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10000010</v>
      </c>
      <c r="H632" s="3">
        <f>IF(TS_ATHLETES[[#This Row],[TOTAL]]=0,"",RANK(TS_ATHLETES[[#This Row],[RANK VALUE]],TS_ATHLETES[RANK VALUE]))</f>
        <v>1224</v>
      </c>
      <c r="I632" s="3">
        <f>IFERROR(IF(TS_ATHLETES[[#This Row],[TOTAL]]=0,"",RANK(TS_ATHLETES[[#This Row],[RANK VALUE]],TS_ATHLETES[RANK VALUE])+COUNTIF($H$1:H631,H632)),"")</f>
        <v>1406</v>
      </c>
    </row>
    <row r="633" spans="1:9" x14ac:dyDescent="0.25">
      <c r="A633" t="s">
        <v>1598</v>
      </c>
      <c r="B633" s="3" t="s">
        <v>363</v>
      </c>
      <c r="C633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633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633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1</v>
      </c>
      <c r="F633" s="3">
        <f>SUM(TS_ATHLETES[[#This Row],[GOLD MEDALS]:[BRONZE MEDALS]])</f>
        <v>1</v>
      </c>
      <c r="G633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10000010</v>
      </c>
      <c r="H633" s="3">
        <f>IF(TS_ATHLETES[[#This Row],[TOTAL]]=0,"",RANK(TS_ATHLETES[[#This Row],[RANK VALUE]],TS_ATHLETES[RANK VALUE]))</f>
        <v>1224</v>
      </c>
      <c r="I633" s="3">
        <f>IFERROR(IF(TS_ATHLETES[[#This Row],[TOTAL]]=0,"",RANK(TS_ATHLETES[[#This Row],[RANK VALUE]],TS_ATHLETES[RANK VALUE])+COUNTIF($H$1:H632,H633)),"")</f>
        <v>1407</v>
      </c>
    </row>
    <row r="634" spans="1:9" x14ac:dyDescent="0.25">
      <c r="A634" t="s">
        <v>1599</v>
      </c>
      <c r="B634" s="3" t="s">
        <v>77</v>
      </c>
      <c r="C634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634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634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1</v>
      </c>
      <c r="F634" s="3">
        <f>SUM(TS_ATHLETES[[#This Row],[GOLD MEDALS]:[BRONZE MEDALS]])</f>
        <v>1</v>
      </c>
      <c r="G634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10000010</v>
      </c>
      <c r="H634" s="3">
        <f>IF(TS_ATHLETES[[#This Row],[TOTAL]]=0,"",RANK(TS_ATHLETES[[#This Row],[RANK VALUE]],TS_ATHLETES[RANK VALUE]))</f>
        <v>1224</v>
      </c>
      <c r="I634" s="3">
        <f>IFERROR(IF(TS_ATHLETES[[#This Row],[TOTAL]]=0,"",RANK(TS_ATHLETES[[#This Row],[RANK VALUE]],TS_ATHLETES[RANK VALUE])+COUNTIF($H$1:H633,H634)),"")</f>
        <v>1408</v>
      </c>
    </row>
    <row r="635" spans="1:9" x14ac:dyDescent="0.25">
      <c r="A635" t="s">
        <v>1600</v>
      </c>
      <c r="B635" s="3" t="s">
        <v>367</v>
      </c>
      <c r="C635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635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635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1</v>
      </c>
      <c r="F635" s="3">
        <f>SUM(TS_ATHLETES[[#This Row],[GOLD MEDALS]:[BRONZE MEDALS]])</f>
        <v>1</v>
      </c>
      <c r="G635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10000010</v>
      </c>
      <c r="H635" s="3">
        <f>IF(TS_ATHLETES[[#This Row],[TOTAL]]=0,"",RANK(TS_ATHLETES[[#This Row],[RANK VALUE]],TS_ATHLETES[RANK VALUE]))</f>
        <v>1224</v>
      </c>
      <c r="I635" s="3">
        <f>IFERROR(IF(TS_ATHLETES[[#This Row],[TOTAL]]=0,"",RANK(TS_ATHLETES[[#This Row],[RANK VALUE]],TS_ATHLETES[RANK VALUE])+COUNTIF($H$1:H634,H635)),"")</f>
        <v>1409</v>
      </c>
    </row>
    <row r="636" spans="1:9" x14ac:dyDescent="0.25">
      <c r="A636" t="s">
        <v>1601</v>
      </c>
      <c r="B636" s="3" t="s">
        <v>237</v>
      </c>
      <c r="C636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636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636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1</v>
      </c>
      <c r="F636" s="3">
        <f>SUM(TS_ATHLETES[[#This Row],[GOLD MEDALS]:[BRONZE MEDALS]])</f>
        <v>1</v>
      </c>
      <c r="G636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10000010</v>
      </c>
      <c r="H636" s="3">
        <f>IF(TS_ATHLETES[[#This Row],[TOTAL]]=0,"",RANK(TS_ATHLETES[[#This Row],[RANK VALUE]],TS_ATHLETES[RANK VALUE]))</f>
        <v>1224</v>
      </c>
      <c r="I636" s="3">
        <f>IFERROR(IF(TS_ATHLETES[[#This Row],[TOTAL]]=0,"",RANK(TS_ATHLETES[[#This Row],[RANK VALUE]],TS_ATHLETES[RANK VALUE])+COUNTIF($H$1:H635,H636)),"")</f>
        <v>1410</v>
      </c>
    </row>
    <row r="637" spans="1:9" x14ac:dyDescent="0.25">
      <c r="A637" t="s">
        <v>1602</v>
      </c>
      <c r="B637" s="3" t="s">
        <v>136</v>
      </c>
      <c r="C637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637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637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1</v>
      </c>
      <c r="F637" s="3">
        <f>SUM(TS_ATHLETES[[#This Row],[GOLD MEDALS]:[BRONZE MEDALS]])</f>
        <v>1</v>
      </c>
      <c r="G637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10000010</v>
      </c>
      <c r="H637" s="3">
        <f>IF(TS_ATHLETES[[#This Row],[TOTAL]]=0,"",RANK(TS_ATHLETES[[#This Row],[RANK VALUE]],TS_ATHLETES[RANK VALUE]))</f>
        <v>1224</v>
      </c>
      <c r="I637" s="3">
        <f>IFERROR(IF(TS_ATHLETES[[#This Row],[TOTAL]]=0,"",RANK(TS_ATHLETES[[#This Row],[RANK VALUE]],TS_ATHLETES[RANK VALUE])+COUNTIF($H$1:H636,H637)),"")</f>
        <v>1411</v>
      </c>
    </row>
    <row r="638" spans="1:9" x14ac:dyDescent="0.25">
      <c r="A638" t="s">
        <v>1603</v>
      </c>
      <c r="B638" s="3" t="s">
        <v>239</v>
      </c>
      <c r="C638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638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638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1</v>
      </c>
      <c r="F638" s="3">
        <f>SUM(TS_ATHLETES[[#This Row],[GOLD MEDALS]:[BRONZE MEDALS]])</f>
        <v>1</v>
      </c>
      <c r="G638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10000010</v>
      </c>
      <c r="H638" s="3">
        <f>IF(TS_ATHLETES[[#This Row],[TOTAL]]=0,"",RANK(TS_ATHLETES[[#This Row],[RANK VALUE]],TS_ATHLETES[RANK VALUE]))</f>
        <v>1224</v>
      </c>
      <c r="I638" s="3">
        <f>IFERROR(IF(TS_ATHLETES[[#This Row],[TOTAL]]=0,"",RANK(TS_ATHLETES[[#This Row],[RANK VALUE]],TS_ATHLETES[RANK VALUE])+COUNTIF($H$1:H637,H638)),"")</f>
        <v>1412</v>
      </c>
    </row>
    <row r="639" spans="1:9" x14ac:dyDescent="0.25">
      <c r="A639" t="s">
        <v>1604</v>
      </c>
      <c r="B639" s="3" t="s">
        <v>25</v>
      </c>
      <c r="C639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639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639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1</v>
      </c>
      <c r="F639" s="3">
        <f>SUM(TS_ATHLETES[[#This Row],[GOLD MEDALS]:[BRONZE MEDALS]])</f>
        <v>1</v>
      </c>
      <c r="G639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10000010</v>
      </c>
      <c r="H639" s="3">
        <f>IF(TS_ATHLETES[[#This Row],[TOTAL]]=0,"",RANK(TS_ATHLETES[[#This Row],[RANK VALUE]],TS_ATHLETES[RANK VALUE]))</f>
        <v>1224</v>
      </c>
      <c r="I639" s="3">
        <f>IFERROR(IF(TS_ATHLETES[[#This Row],[TOTAL]]=0,"",RANK(TS_ATHLETES[[#This Row],[RANK VALUE]],TS_ATHLETES[RANK VALUE])+COUNTIF($H$1:H638,H639)),"")</f>
        <v>1413</v>
      </c>
    </row>
    <row r="640" spans="1:9" x14ac:dyDescent="0.25">
      <c r="A640" t="s">
        <v>1605</v>
      </c>
      <c r="B640" s="3" t="s">
        <v>128</v>
      </c>
      <c r="C640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640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640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1</v>
      </c>
      <c r="F640" s="3">
        <f>SUM(TS_ATHLETES[[#This Row],[GOLD MEDALS]:[BRONZE MEDALS]])</f>
        <v>1</v>
      </c>
      <c r="G640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10000010</v>
      </c>
      <c r="H640" s="3">
        <f>IF(TS_ATHLETES[[#This Row],[TOTAL]]=0,"",RANK(TS_ATHLETES[[#This Row],[RANK VALUE]],TS_ATHLETES[RANK VALUE]))</f>
        <v>1224</v>
      </c>
      <c r="I640" s="3">
        <f>IFERROR(IF(TS_ATHLETES[[#This Row],[TOTAL]]=0,"",RANK(TS_ATHLETES[[#This Row],[RANK VALUE]],TS_ATHLETES[RANK VALUE])+COUNTIF($H$1:H639,H640)),"")</f>
        <v>1414</v>
      </c>
    </row>
    <row r="641" spans="1:9" x14ac:dyDescent="0.25">
      <c r="A641" t="s">
        <v>1606</v>
      </c>
      <c r="B641" s="3" t="s">
        <v>367</v>
      </c>
      <c r="C641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641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641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1</v>
      </c>
      <c r="F641" s="3">
        <f>SUM(TS_ATHLETES[[#This Row],[GOLD MEDALS]:[BRONZE MEDALS]])</f>
        <v>1</v>
      </c>
      <c r="G641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10000010</v>
      </c>
      <c r="H641" s="3">
        <f>IF(TS_ATHLETES[[#This Row],[TOTAL]]=0,"",RANK(TS_ATHLETES[[#This Row],[RANK VALUE]],TS_ATHLETES[RANK VALUE]))</f>
        <v>1224</v>
      </c>
      <c r="I641" s="3">
        <f>IFERROR(IF(TS_ATHLETES[[#This Row],[TOTAL]]=0,"",RANK(TS_ATHLETES[[#This Row],[RANK VALUE]],TS_ATHLETES[RANK VALUE])+COUNTIF($H$1:H640,H641)),"")</f>
        <v>1415</v>
      </c>
    </row>
    <row r="642" spans="1:9" x14ac:dyDescent="0.25">
      <c r="A642" t="s">
        <v>1607</v>
      </c>
      <c r="B642" s="3" t="s">
        <v>183</v>
      </c>
      <c r="C642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642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642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1</v>
      </c>
      <c r="F642" s="3">
        <f>SUM(TS_ATHLETES[[#This Row],[GOLD MEDALS]:[BRONZE MEDALS]])</f>
        <v>1</v>
      </c>
      <c r="G642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10000010</v>
      </c>
      <c r="H642" s="3">
        <f>IF(TS_ATHLETES[[#This Row],[TOTAL]]=0,"",RANK(TS_ATHLETES[[#This Row],[RANK VALUE]],TS_ATHLETES[RANK VALUE]))</f>
        <v>1224</v>
      </c>
      <c r="I642" s="3">
        <f>IFERROR(IF(TS_ATHLETES[[#This Row],[TOTAL]]=0,"",RANK(TS_ATHLETES[[#This Row],[RANK VALUE]],TS_ATHLETES[RANK VALUE])+COUNTIF($H$1:H641,H642)),"")</f>
        <v>1416</v>
      </c>
    </row>
    <row r="643" spans="1:9" x14ac:dyDescent="0.25">
      <c r="A643" t="s">
        <v>1608</v>
      </c>
      <c r="B643" s="3" t="s">
        <v>79</v>
      </c>
      <c r="C643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643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643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1</v>
      </c>
      <c r="F643" s="3">
        <f>SUM(TS_ATHLETES[[#This Row],[GOLD MEDALS]:[BRONZE MEDALS]])</f>
        <v>1</v>
      </c>
      <c r="G643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10000010</v>
      </c>
      <c r="H643" s="3">
        <f>IF(TS_ATHLETES[[#This Row],[TOTAL]]=0,"",RANK(TS_ATHLETES[[#This Row],[RANK VALUE]],TS_ATHLETES[RANK VALUE]))</f>
        <v>1224</v>
      </c>
      <c r="I643" s="3">
        <f>IFERROR(IF(TS_ATHLETES[[#This Row],[TOTAL]]=0,"",RANK(TS_ATHLETES[[#This Row],[RANK VALUE]],TS_ATHLETES[RANK VALUE])+COUNTIF($H$1:H642,H643)),"")</f>
        <v>1417</v>
      </c>
    </row>
    <row r="644" spans="1:9" x14ac:dyDescent="0.25">
      <c r="A644" t="s">
        <v>1609</v>
      </c>
      <c r="B644" s="3" t="s">
        <v>287</v>
      </c>
      <c r="C644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644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644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1</v>
      </c>
      <c r="F644" s="3">
        <f>SUM(TS_ATHLETES[[#This Row],[GOLD MEDALS]:[BRONZE MEDALS]])</f>
        <v>1</v>
      </c>
      <c r="G644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10000010</v>
      </c>
      <c r="H644" s="3">
        <f>IF(TS_ATHLETES[[#This Row],[TOTAL]]=0,"",RANK(TS_ATHLETES[[#This Row],[RANK VALUE]],TS_ATHLETES[RANK VALUE]))</f>
        <v>1224</v>
      </c>
      <c r="I644" s="3">
        <f>IFERROR(IF(TS_ATHLETES[[#This Row],[TOTAL]]=0,"",RANK(TS_ATHLETES[[#This Row],[RANK VALUE]],TS_ATHLETES[RANK VALUE])+COUNTIF($H$1:H643,H644)),"")</f>
        <v>1418</v>
      </c>
    </row>
    <row r="645" spans="1:9" x14ac:dyDescent="0.25">
      <c r="A645" t="s">
        <v>1610</v>
      </c>
      <c r="B645" s="3" t="s">
        <v>183</v>
      </c>
      <c r="C645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645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645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1</v>
      </c>
      <c r="F645" s="3">
        <f>SUM(TS_ATHLETES[[#This Row],[GOLD MEDALS]:[BRONZE MEDALS]])</f>
        <v>1</v>
      </c>
      <c r="G645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10000010</v>
      </c>
      <c r="H645" s="3">
        <f>IF(TS_ATHLETES[[#This Row],[TOTAL]]=0,"",RANK(TS_ATHLETES[[#This Row],[RANK VALUE]],TS_ATHLETES[RANK VALUE]))</f>
        <v>1224</v>
      </c>
      <c r="I645" s="3">
        <f>IFERROR(IF(TS_ATHLETES[[#This Row],[TOTAL]]=0,"",RANK(TS_ATHLETES[[#This Row],[RANK VALUE]],TS_ATHLETES[RANK VALUE])+COUNTIF($H$1:H644,H645)),"")</f>
        <v>1419</v>
      </c>
    </row>
    <row r="646" spans="1:9" x14ac:dyDescent="0.25">
      <c r="A646" t="s">
        <v>617</v>
      </c>
      <c r="B646" s="3" t="s">
        <v>321</v>
      </c>
      <c r="C646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1</v>
      </c>
      <c r="D646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646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1</v>
      </c>
      <c r="F646" s="3">
        <f>SUM(TS_ATHLETES[[#This Row],[GOLD MEDALS]:[BRONZE MEDALS]])</f>
        <v>2</v>
      </c>
      <c r="G646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20100010</v>
      </c>
      <c r="H646" s="3">
        <f>IF(TS_ATHLETES[[#This Row],[TOTAL]]=0,"",RANK(TS_ATHLETES[[#This Row],[RANK VALUE]],TS_ATHLETES[RANK VALUE]))</f>
        <v>71</v>
      </c>
      <c r="I646" s="3">
        <f>IFERROR(IF(TS_ATHLETES[[#This Row],[TOTAL]]=0,"",RANK(TS_ATHLETES[[#This Row],[RANK VALUE]],TS_ATHLETES[RANK VALUE])+COUNTIF($H$1:H645,H646)),"")</f>
        <v>89</v>
      </c>
    </row>
    <row r="647" spans="1:9" x14ac:dyDescent="0.25">
      <c r="A647" t="s">
        <v>1611</v>
      </c>
      <c r="B647" s="3" t="s">
        <v>183</v>
      </c>
      <c r="C647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647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647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1</v>
      </c>
      <c r="F647" s="3">
        <f>SUM(TS_ATHLETES[[#This Row],[GOLD MEDALS]:[BRONZE MEDALS]])</f>
        <v>1</v>
      </c>
      <c r="G647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10000010</v>
      </c>
      <c r="H647" s="3">
        <f>IF(TS_ATHLETES[[#This Row],[TOTAL]]=0,"",RANK(TS_ATHLETES[[#This Row],[RANK VALUE]],TS_ATHLETES[RANK VALUE]))</f>
        <v>1224</v>
      </c>
      <c r="I647" s="3">
        <f>IFERROR(IF(TS_ATHLETES[[#This Row],[TOTAL]]=0,"",RANK(TS_ATHLETES[[#This Row],[RANK VALUE]],TS_ATHLETES[RANK VALUE])+COUNTIF($H$1:H646,H647)),"")</f>
        <v>1420</v>
      </c>
    </row>
    <row r="648" spans="1:9" x14ac:dyDescent="0.25">
      <c r="A648" t="s">
        <v>1612</v>
      </c>
      <c r="B648" s="3" t="s">
        <v>179</v>
      </c>
      <c r="C648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648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648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1</v>
      </c>
      <c r="F648" s="3">
        <f>SUM(TS_ATHLETES[[#This Row],[GOLD MEDALS]:[BRONZE MEDALS]])</f>
        <v>1</v>
      </c>
      <c r="G648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10000010</v>
      </c>
      <c r="H648" s="3">
        <f>IF(TS_ATHLETES[[#This Row],[TOTAL]]=0,"",RANK(TS_ATHLETES[[#This Row],[RANK VALUE]],TS_ATHLETES[RANK VALUE]))</f>
        <v>1224</v>
      </c>
      <c r="I648" s="3">
        <f>IFERROR(IF(TS_ATHLETES[[#This Row],[TOTAL]]=0,"",RANK(TS_ATHLETES[[#This Row],[RANK VALUE]],TS_ATHLETES[RANK VALUE])+COUNTIF($H$1:H647,H648)),"")</f>
        <v>1421</v>
      </c>
    </row>
    <row r="649" spans="1:9" x14ac:dyDescent="0.25">
      <c r="A649" t="s">
        <v>1613</v>
      </c>
      <c r="B649" s="3" t="s">
        <v>179</v>
      </c>
      <c r="C649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649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649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1</v>
      </c>
      <c r="F649" s="3">
        <f>SUM(TS_ATHLETES[[#This Row],[GOLD MEDALS]:[BRONZE MEDALS]])</f>
        <v>1</v>
      </c>
      <c r="G649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10000010</v>
      </c>
      <c r="H649" s="3">
        <f>IF(TS_ATHLETES[[#This Row],[TOTAL]]=0,"",RANK(TS_ATHLETES[[#This Row],[RANK VALUE]],TS_ATHLETES[RANK VALUE]))</f>
        <v>1224</v>
      </c>
      <c r="I649" s="3">
        <f>IFERROR(IF(TS_ATHLETES[[#This Row],[TOTAL]]=0,"",RANK(TS_ATHLETES[[#This Row],[RANK VALUE]],TS_ATHLETES[RANK VALUE])+COUNTIF($H$1:H648,H649)),"")</f>
        <v>1422</v>
      </c>
    </row>
    <row r="650" spans="1:9" x14ac:dyDescent="0.25">
      <c r="A650" t="s">
        <v>1614</v>
      </c>
      <c r="B650" s="3" t="s">
        <v>173</v>
      </c>
      <c r="C650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650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650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1</v>
      </c>
      <c r="F650" s="3">
        <f>SUM(TS_ATHLETES[[#This Row],[GOLD MEDALS]:[BRONZE MEDALS]])</f>
        <v>1</v>
      </c>
      <c r="G650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10000010</v>
      </c>
      <c r="H650" s="3">
        <f>IF(TS_ATHLETES[[#This Row],[TOTAL]]=0,"",RANK(TS_ATHLETES[[#This Row],[RANK VALUE]],TS_ATHLETES[RANK VALUE]))</f>
        <v>1224</v>
      </c>
      <c r="I650" s="3">
        <f>IFERROR(IF(TS_ATHLETES[[#This Row],[TOTAL]]=0,"",RANK(TS_ATHLETES[[#This Row],[RANK VALUE]],TS_ATHLETES[RANK VALUE])+COUNTIF($H$1:H649,H650)),"")</f>
        <v>1423</v>
      </c>
    </row>
    <row r="651" spans="1:9" x14ac:dyDescent="0.25">
      <c r="A651" t="s">
        <v>1615</v>
      </c>
      <c r="B651" s="3" t="s">
        <v>361</v>
      </c>
      <c r="C651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651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651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1</v>
      </c>
      <c r="F651" s="3">
        <f>SUM(TS_ATHLETES[[#This Row],[GOLD MEDALS]:[BRONZE MEDALS]])</f>
        <v>1</v>
      </c>
      <c r="G651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10000010</v>
      </c>
      <c r="H651" s="3">
        <f>IF(TS_ATHLETES[[#This Row],[TOTAL]]=0,"",RANK(TS_ATHLETES[[#This Row],[RANK VALUE]],TS_ATHLETES[RANK VALUE]))</f>
        <v>1224</v>
      </c>
      <c r="I651" s="3">
        <f>IFERROR(IF(TS_ATHLETES[[#This Row],[TOTAL]]=0,"",RANK(TS_ATHLETES[[#This Row],[RANK VALUE]],TS_ATHLETES[RANK VALUE])+COUNTIF($H$1:H650,H651)),"")</f>
        <v>1424</v>
      </c>
    </row>
    <row r="652" spans="1:9" x14ac:dyDescent="0.25">
      <c r="A652" t="s">
        <v>1616</v>
      </c>
      <c r="B652" s="3" t="s">
        <v>51</v>
      </c>
      <c r="C652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652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652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1</v>
      </c>
      <c r="F652" s="3">
        <f>SUM(TS_ATHLETES[[#This Row],[GOLD MEDALS]:[BRONZE MEDALS]])</f>
        <v>1</v>
      </c>
      <c r="G652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10000010</v>
      </c>
      <c r="H652" s="3">
        <f>IF(TS_ATHLETES[[#This Row],[TOTAL]]=0,"",RANK(TS_ATHLETES[[#This Row],[RANK VALUE]],TS_ATHLETES[RANK VALUE]))</f>
        <v>1224</v>
      </c>
      <c r="I652" s="3">
        <f>IFERROR(IF(TS_ATHLETES[[#This Row],[TOTAL]]=0,"",RANK(TS_ATHLETES[[#This Row],[RANK VALUE]],TS_ATHLETES[RANK VALUE])+COUNTIF($H$1:H651,H652)),"")</f>
        <v>1425</v>
      </c>
    </row>
    <row r="653" spans="1:9" x14ac:dyDescent="0.25">
      <c r="A653" t="s">
        <v>1617</v>
      </c>
      <c r="B653" s="3" t="s">
        <v>77</v>
      </c>
      <c r="C653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653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653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1</v>
      </c>
      <c r="F653" s="3">
        <f>SUM(TS_ATHLETES[[#This Row],[GOLD MEDALS]:[BRONZE MEDALS]])</f>
        <v>1</v>
      </c>
      <c r="G653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10000010</v>
      </c>
      <c r="H653" s="3">
        <f>IF(TS_ATHLETES[[#This Row],[TOTAL]]=0,"",RANK(TS_ATHLETES[[#This Row],[RANK VALUE]],TS_ATHLETES[RANK VALUE]))</f>
        <v>1224</v>
      </c>
      <c r="I653" s="3">
        <f>IFERROR(IF(TS_ATHLETES[[#This Row],[TOTAL]]=0,"",RANK(TS_ATHLETES[[#This Row],[RANK VALUE]],TS_ATHLETES[RANK VALUE])+COUNTIF($H$1:H652,H653)),"")</f>
        <v>1426</v>
      </c>
    </row>
    <row r="654" spans="1:9" x14ac:dyDescent="0.25">
      <c r="A654" t="s">
        <v>1618</v>
      </c>
      <c r="B654" s="3" t="s">
        <v>179</v>
      </c>
      <c r="C654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654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654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1</v>
      </c>
      <c r="F654" s="3">
        <f>SUM(TS_ATHLETES[[#This Row],[GOLD MEDALS]:[BRONZE MEDALS]])</f>
        <v>1</v>
      </c>
      <c r="G654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10000010</v>
      </c>
      <c r="H654" s="3">
        <f>IF(TS_ATHLETES[[#This Row],[TOTAL]]=0,"",RANK(TS_ATHLETES[[#This Row],[RANK VALUE]],TS_ATHLETES[RANK VALUE]))</f>
        <v>1224</v>
      </c>
      <c r="I654" s="3">
        <f>IFERROR(IF(TS_ATHLETES[[#This Row],[TOTAL]]=0,"",RANK(TS_ATHLETES[[#This Row],[RANK VALUE]],TS_ATHLETES[RANK VALUE])+COUNTIF($H$1:H653,H654)),"")</f>
        <v>1427</v>
      </c>
    </row>
    <row r="655" spans="1:9" x14ac:dyDescent="0.25">
      <c r="A655" t="s">
        <v>1619</v>
      </c>
      <c r="B655" s="3" t="s">
        <v>367</v>
      </c>
      <c r="C655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655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655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1</v>
      </c>
      <c r="F655" s="3">
        <f>SUM(TS_ATHLETES[[#This Row],[GOLD MEDALS]:[BRONZE MEDALS]])</f>
        <v>1</v>
      </c>
      <c r="G655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10000010</v>
      </c>
      <c r="H655" s="3">
        <f>IF(TS_ATHLETES[[#This Row],[TOTAL]]=0,"",RANK(TS_ATHLETES[[#This Row],[RANK VALUE]],TS_ATHLETES[RANK VALUE]))</f>
        <v>1224</v>
      </c>
      <c r="I655" s="3">
        <f>IFERROR(IF(TS_ATHLETES[[#This Row],[TOTAL]]=0,"",RANK(TS_ATHLETES[[#This Row],[RANK VALUE]],TS_ATHLETES[RANK VALUE])+COUNTIF($H$1:H654,H655)),"")</f>
        <v>1428</v>
      </c>
    </row>
    <row r="656" spans="1:9" x14ac:dyDescent="0.25">
      <c r="A656" t="s">
        <v>1620</v>
      </c>
      <c r="B656" s="3" t="s">
        <v>37</v>
      </c>
      <c r="C656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656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656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1</v>
      </c>
      <c r="F656" s="3">
        <f>SUM(TS_ATHLETES[[#This Row],[GOLD MEDALS]:[BRONZE MEDALS]])</f>
        <v>1</v>
      </c>
      <c r="G656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10000010</v>
      </c>
      <c r="H656" s="3">
        <f>IF(TS_ATHLETES[[#This Row],[TOTAL]]=0,"",RANK(TS_ATHLETES[[#This Row],[RANK VALUE]],TS_ATHLETES[RANK VALUE]))</f>
        <v>1224</v>
      </c>
      <c r="I656" s="3">
        <f>IFERROR(IF(TS_ATHLETES[[#This Row],[TOTAL]]=0,"",RANK(TS_ATHLETES[[#This Row],[RANK VALUE]],TS_ATHLETES[RANK VALUE])+COUNTIF($H$1:H655,H656)),"")</f>
        <v>1429</v>
      </c>
    </row>
    <row r="657" spans="1:9" x14ac:dyDescent="0.25">
      <c r="A657" t="s">
        <v>1621</v>
      </c>
      <c r="B657" s="3" t="s">
        <v>179</v>
      </c>
      <c r="C657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657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657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1</v>
      </c>
      <c r="F657" s="3">
        <f>SUM(TS_ATHLETES[[#This Row],[GOLD MEDALS]:[BRONZE MEDALS]])</f>
        <v>1</v>
      </c>
      <c r="G657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10000010</v>
      </c>
      <c r="H657" s="3">
        <f>IF(TS_ATHLETES[[#This Row],[TOTAL]]=0,"",RANK(TS_ATHLETES[[#This Row],[RANK VALUE]],TS_ATHLETES[RANK VALUE]))</f>
        <v>1224</v>
      </c>
      <c r="I657" s="3">
        <f>IFERROR(IF(TS_ATHLETES[[#This Row],[TOTAL]]=0,"",RANK(TS_ATHLETES[[#This Row],[RANK VALUE]],TS_ATHLETES[RANK VALUE])+COUNTIF($H$1:H656,H657)),"")</f>
        <v>1430</v>
      </c>
    </row>
    <row r="658" spans="1:9" x14ac:dyDescent="0.25">
      <c r="A658" t="s">
        <v>1622</v>
      </c>
      <c r="B658" s="3" t="s">
        <v>187</v>
      </c>
      <c r="C658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658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658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1</v>
      </c>
      <c r="F658" s="3">
        <f>SUM(TS_ATHLETES[[#This Row],[GOLD MEDALS]:[BRONZE MEDALS]])</f>
        <v>1</v>
      </c>
      <c r="G658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10000010</v>
      </c>
      <c r="H658" s="3">
        <f>IF(TS_ATHLETES[[#This Row],[TOTAL]]=0,"",RANK(TS_ATHLETES[[#This Row],[RANK VALUE]],TS_ATHLETES[RANK VALUE]))</f>
        <v>1224</v>
      </c>
      <c r="I658" s="3">
        <f>IFERROR(IF(TS_ATHLETES[[#This Row],[TOTAL]]=0,"",RANK(TS_ATHLETES[[#This Row],[RANK VALUE]],TS_ATHLETES[RANK VALUE])+COUNTIF($H$1:H657,H658)),"")</f>
        <v>1431</v>
      </c>
    </row>
    <row r="659" spans="1:9" x14ac:dyDescent="0.25">
      <c r="A659" t="s">
        <v>1623</v>
      </c>
      <c r="B659" s="3" t="s">
        <v>179</v>
      </c>
      <c r="C659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659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659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1</v>
      </c>
      <c r="F659" s="3">
        <f>SUM(TS_ATHLETES[[#This Row],[GOLD MEDALS]:[BRONZE MEDALS]])</f>
        <v>1</v>
      </c>
      <c r="G659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10000010</v>
      </c>
      <c r="H659" s="3">
        <f>IF(TS_ATHLETES[[#This Row],[TOTAL]]=0,"",RANK(TS_ATHLETES[[#This Row],[RANK VALUE]],TS_ATHLETES[RANK VALUE]))</f>
        <v>1224</v>
      </c>
      <c r="I659" s="3">
        <f>IFERROR(IF(TS_ATHLETES[[#This Row],[TOTAL]]=0,"",RANK(TS_ATHLETES[[#This Row],[RANK VALUE]],TS_ATHLETES[RANK VALUE])+COUNTIF($H$1:H658,H659)),"")</f>
        <v>1432</v>
      </c>
    </row>
    <row r="660" spans="1:9" x14ac:dyDescent="0.25">
      <c r="A660" t="s">
        <v>664</v>
      </c>
      <c r="B660" s="3" t="s">
        <v>173</v>
      </c>
      <c r="C660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660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660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1</v>
      </c>
      <c r="F660" s="3">
        <f>SUM(TS_ATHLETES[[#This Row],[GOLD MEDALS]:[BRONZE MEDALS]])</f>
        <v>1</v>
      </c>
      <c r="G660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10000010</v>
      </c>
      <c r="H660" s="3">
        <f>IF(TS_ATHLETES[[#This Row],[TOTAL]]=0,"",RANK(TS_ATHLETES[[#This Row],[RANK VALUE]],TS_ATHLETES[RANK VALUE]))</f>
        <v>1224</v>
      </c>
      <c r="I660" s="3">
        <f>IFERROR(IF(TS_ATHLETES[[#This Row],[TOTAL]]=0,"",RANK(TS_ATHLETES[[#This Row],[RANK VALUE]],TS_ATHLETES[RANK VALUE])+COUNTIF($H$1:H659,H660)),"")</f>
        <v>1433</v>
      </c>
    </row>
    <row r="661" spans="1:9" x14ac:dyDescent="0.25">
      <c r="A661" t="s">
        <v>883</v>
      </c>
      <c r="B661" s="3" t="s">
        <v>77</v>
      </c>
      <c r="C661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661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661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1</v>
      </c>
      <c r="F661" s="3">
        <f>SUM(TS_ATHLETES[[#This Row],[GOLD MEDALS]:[BRONZE MEDALS]])</f>
        <v>1</v>
      </c>
      <c r="G661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10000010</v>
      </c>
      <c r="H661" s="3">
        <f>IF(TS_ATHLETES[[#This Row],[TOTAL]]=0,"",RANK(TS_ATHLETES[[#This Row],[RANK VALUE]],TS_ATHLETES[RANK VALUE]))</f>
        <v>1224</v>
      </c>
      <c r="I661" s="3">
        <f>IFERROR(IF(TS_ATHLETES[[#This Row],[TOTAL]]=0,"",RANK(TS_ATHLETES[[#This Row],[RANK VALUE]],TS_ATHLETES[RANK VALUE])+COUNTIF($H$1:H660,H661)),"")</f>
        <v>1434</v>
      </c>
    </row>
    <row r="662" spans="1:9" x14ac:dyDescent="0.25">
      <c r="A662" t="s">
        <v>1624</v>
      </c>
      <c r="B662" s="3" t="s">
        <v>106</v>
      </c>
      <c r="C662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662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662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1</v>
      </c>
      <c r="F662" s="3">
        <f>SUM(TS_ATHLETES[[#This Row],[GOLD MEDALS]:[BRONZE MEDALS]])</f>
        <v>1</v>
      </c>
      <c r="G662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10000010</v>
      </c>
      <c r="H662" s="3">
        <f>IF(TS_ATHLETES[[#This Row],[TOTAL]]=0,"",RANK(TS_ATHLETES[[#This Row],[RANK VALUE]],TS_ATHLETES[RANK VALUE]))</f>
        <v>1224</v>
      </c>
      <c r="I662" s="3">
        <f>IFERROR(IF(TS_ATHLETES[[#This Row],[TOTAL]]=0,"",RANK(TS_ATHLETES[[#This Row],[RANK VALUE]],TS_ATHLETES[RANK VALUE])+COUNTIF($H$1:H661,H662)),"")</f>
        <v>1435</v>
      </c>
    </row>
    <row r="663" spans="1:9" x14ac:dyDescent="0.25">
      <c r="A663" t="s">
        <v>1625</v>
      </c>
      <c r="B663" s="3" t="s">
        <v>187</v>
      </c>
      <c r="C663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663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663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1</v>
      </c>
      <c r="F663" s="3">
        <f>SUM(TS_ATHLETES[[#This Row],[GOLD MEDALS]:[BRONZE MEDALS]])</f>
        <v>1</v>
      </c>
      <c r="G663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10000010</v>
      </c>
      <c r="H663" s="3">
        <f>IF(TS_ATHLETES[[#This Row],[TOTAL]]=0,"",RANK(TS_ATHLETES[[#This Row],[RANK VALUE]],TS_ATHLETES[RANK VALUE]))</f>
        <v>1224</v>
      </c>
      <c r="I663" s="3">
        <f>IFERROR(IF(TS_ATHLETES[[#This Row],[TOTAL]]=0,"",RANK(TS_ATHLETES[[#This Row],[RANK VALUE]],TS_ATHLETES[RANK VALUE])+COUNTIF($H$1:H662,H663)),"")</f>
        <v>1436</v>
      </c>
    </row>
    <row r="664" spans="1:9" x14ac:dyDescent="0.25">
      <c r="A664" t="s">
        <v>1626</v>
      </c>
      <c r="B664" s="3" t="s">
        <v>350</v>
      </c>
      <c r="C664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664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664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1</v>
      </c>
      <c r="F664" s="3">
        <f>SUM(TS_ATHLETES[[#This Row],[GOLD MEDALS]:[BRONZE MEDALS]])</f>
        <v>1</v>
      </c>
      <c r="G664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10000010</v>
      </c>
      <c r="H664" s="3">
        <f>IF(TS_ATHLETES[[#This Row],[TOTAL]]=0,"",RANK(TS_ATHLETES[[#This Row],[RANK VALUE]],TS_ATHLETES[RANK VALUE]))</f>
        <v>1224</v>
      </c>
      <c r="I664" s="3">
        <f>IFERROR(IF(TS_ATHLETES[[#This Row],[TOTAL]]=0,"",RANK(TS_ATHLETES[[#This Row],[RANK VALUE]],TS_ATHLETES[RANK VALUE])+COUNTIF($H$1:H663,H664)),"")</f>
        <v>1437</v>
      </c>
    </row>
    <row r="665" spans="1:9" x14ac:dyDescent="0.25">
      <c r="A665" t="s">
        <v>1627</v>
      </c>
      <c r="B665" s="3" t="s">
        <v>187</v>
      </c>
      <c r="C665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665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665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1</v>
      </c>
      <c r="F665" s="3">
        <f>SUM(TS_ATHLETES[[#This Row],[GOLD MEDALS]:[BRONZE MEDALS]])</f>
        <v>1</v>
      </c>
      <c r="G665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10000010</v>
      </c>
      <c r="H665" s="3">
        <f>IF(TS_ATHLETES[[#This Row],[TOTAL]]=0,"",RANK(TS_ATHLETES[[#This Row],[RANK VALUE]],TS_ATHLETES[RANK VALUE]))</f>
        <v>1224</v>
      </c>
      <c r="I665" s="3">
        <f>IFERROR(IF(TS_ATHLETES[[#This Row],[TOTAL]]=0,"",RANK(TS_ATHLETES[[#This Row],[RANK VALUE]],TS_ATHLETES[RANK VALUE])+COUNTIF($H$1:H664,H665)),"")</f>
        <v>1438</v>
      </c>
    </row>
    <row r="666" spans="1:9" x14ac:dyDescent="0.25">
      <c r="A666" t="s">
        <v>1628</v>
      </c>
      <c r="B666" s="3" t="s">
        <v>25</v>
      </c>
      <c r="C666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666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666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1</v>
      </c>
      <c r="F666" s="3">
        <f>SUM(TS_ATHLETES[[#This Row],[GOLD MEDALS]:[BRONZE MEDALS]])</f>
        <v>1</v>
      </c>
      <c r="G666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10000010</v>
      </c>
      <c r="H666" s="3">
        <f>IF(TS_ATHLETES[[#This Row],[TOTAL]]=0,"",RANK(TS_ATHLETES[[#This Row],[RANK VALUE]],TS_ATHLETES[RANK VALUE]))</f>
        <v>1224</v>
      </c>
      <c r="I666" s="3">
        <f>IFERROR(IF(TS_ATHLETES[[#This Row],[TOTAL]]=0,"",RANK(TS_ATHLETES[[#This Row],[RANK VALUE]],TS_ATHLETES[RANK VALUE])+COUNTIF($H$1:H665,H666)),"")</f>
        <v>1439</v>
      </c>
    </row>
    <row r="667" spans="1:9" x14ac:dyDescent="0.25">
      <c r="A667" t="s">
        <v>1629</v>
      </c>
      <c r="B667" s="3" t="s">
        <v>167</v>
      </c>
      <c r="C667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667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667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1</v>
      </c>
      <c r="F667" s="3">
        <f>SUM(TS_ATHLETES[[#This Row],[GOLD MEDALS]:[BRONZE MEDALS]])</f>
        <v>1</v>
      </c>
      <c r="G667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10000010</v>
      </c>
      <c r="H667" s="3">
        <f>IF(TS_ATHLETES[[#This Row],[TOTAL]]=0,"",RANK(TS_ATHLETES[[#This Row],[RANK VALUE]],TS_ATHLETES[RANK VALUE]))</f>
        <v>1224</v>
      </c>
      <c r="I667" s="3">
        <f>IFERROR(IF(TS_ATHLETES[[#This Row],[TOTAL]]=0,"",RANK(TS_ATHLETES[[#This Row],[RANK VALUE]],TS_ATHLETES[RANK VALUE])+COUNTIF($H$1:H666,H667)),"")</f>
        <v>1440</v>
      </c>
    </row>
    <row r="668" spans="1:9" x14ac:dyDescent="0.25">
      <c r="A668" t="s">
        <v>1630</v>
      </c>
      <c r="B668" s="3" t="s">
        <v>90</v>
      </c>
      <c r="C668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668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668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1</v>
      </c>
      <c r="F668" s="3">
        <f>SUM(TS_ATHLETES[[#This Row],[GOLD MEDALS]:[BRONZE MEDALS]])</f>
        <v>1</v>
      </c>
      <c r="G668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10000010</v>
      </c>
      <c r="H668" s="3">
        <f>IF(TS_ATHLETES[[#This Row],[TOTAL]]=0,"",RANK(TS_ATHLETES[[#This Row],[RANK VALUE]],TS_ATHLETES[RANK VALUE]))</f>
        <v>1224</v>
      </c>
      <c r="I668" s="3">
        <f>IFERROR(IF(TS_ATHLETES[[#This Row],[TOTAL]]=0,"",RANK(TS_ATHLETES[[#This Row],[RANK VALUE]],TS_ATHLETES[RANK VALUE])+COUNTIF($H$1:H667,H668)),"")</f>
        <v>1441</v>
      </c>
    </row>
    <row r="669" spans="1:9" x14ac:dyDescent="0.25">
      <c r="A669" t="s">
        <v>1631</v>
      </c>
      <c r="B669" s="3" t="s">
        <v>363</v>
      </c>
      <c r="C669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669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669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1</v>
      </c>
      <c r="F669" s="3">
        <f>SUM(TS_ATHLETES[[#This Row],[GOLD MEDALS]:[BRONZE MEDALS]])</f>
        <v>1</v>
      </c>
      <c r="G669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10000010</v>
      </c>
      <c r="H669" s="3">
        <f>IF(TS_ATHLETES[[#This Row],[TOTAL]]=0,"",RANK(TS_ATHLETES[[#This Row],[RANK VALUE]],TS_ATHLETES[RANK VALUE]))</f>
        <v>1224</v>
      </c>
      <c r="I669" s="3">
        <f>IFERROR(IF(TS_ATHLETES[[#This Row],[TOTAL]]=0,"",RANK(TS_ATHLETES[[#This Row],[RANK VALUE]],TS_ATHLETES[RANK VALUE])+COUNTIF($H$1:H668,H669)),"")</f>
        <v>1442</v>
      </c>
    </row>
    <row r="670" spans="1:9" x14ac:dyDescent="0.25">
      <c r="A670" t="s">
        <v>824</v>
      </c>
      <c r="B670" s="3" t="s">
        <v>367</v>
      </c>
      <c r="C670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670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670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1</v>
      </c>
      <c r="F670" s="3">
        <f>SUM(TS_ATHLETES[[#This Row],[GOLD MEDALS]:[BRONZE MEDALS]])</f>
        <v>1</v>
      </c>
      <c r="G670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10000010</v>
      </c>
      <c r="H670" s="3">
        <f>IF(TS_ATHLETES[[#This Row],[TOTAL]]=0,"",RANK(TS_ATHLETES[[#This Row],[RANK VALUE]],TS_ATHLETES[RANK VALUE]))</f>
        <v>1224</v>
      </c>
      <c r="I670" s="3">
        <f>IFERROR(IF(TS_ATHLETES[[#This Row],[TOTAL]]=0,"",RANK(TS_ATHLETES[[#This Row],[RANK VALUE]],TS_ATHLETES[RANK VALUE])+COUNTIF($H$1:H669,H670)),"")</f>
        <v>1443</v>
      </c>
    </row>
    <row r="671" spans="1:9" x14ac:dyDescent="0.25">
      <c r="A671" t="s">
        <v>826</v>
      </c>
      <c r="B671" s="3" t="s">
        <v>25</v>
      </c>
      <c r="C671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671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671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1</v>
      </c>
      <c r="F671" s="3">
        <f>SUM(TS_ATHLETES[[#This Row],[GOLD MEDALS]:[BRONZE MEDALS]])</f>
        <v>1</v>
      </c>
      <c r="G671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10000010</v>
      </c>
      <c r="H671" s="3">
        <f>IF(TS_ATHLETES[[#This Row],[TOTAL]]=0,"",RANK(TS_ATHLETES[[#This Row],[RANK VALUE]],TS_ATHLETES[RANK VALUE]))</f>
        <v>1224</v>
      </c>
      <c r="I671" s="3">
        <f>IFERROR(IF(TS_ATHLETES[[#This Row],[TOTAL]]=0,"",RANK(TS_ATHLETES[[#This Row],[RANK VALUE]],TS_ATHLETES[RANK VALUE])+COUNTIF($H$1:H670,H671)),"")</f>
        <v>1444</v>
      </c>
    </row>
    <row r="672" spans="1:9" x14ac:dyDescent="0.25">
      <c r="A672" t="s">
        <v>828</v>
      </c>
      <c r="B672" s="3" t="s">
        <v>187</v>
      </c>
      <c r="C672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672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672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1</v>
      </c>
      <c r="F672" s="3">
        <f>SUM(TS_ATHLETES[[#This Row],[GOLD MEDALS]:[BRONZE MEDALS]])</f>
        <v>1</v>
      </c>
      <c r="G672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10000010</v>
      </c>
      <c r="H672" s="3">
        <f>IF(TS_ATHLETES[[#This Row],[TOTAL]]=0,"",RANK(TS_ATHLETES[[#This Row],[RANK VALUE]],TS_ATHLETES[RANK VALUE]))</f>
        <v>1224</v>
      </c>
      <c r="I672" s="3">
        <f>IFERROR(IF(TS_ATHLETES[[#This Row],[TOTAL]]=0,"",RANK(TS_ATHLETES[[#This Row],[RANK VALUE]],TS_ATHLETES[RANK VALUE])+COUNTIF($H$1:H671,H672)),"")</f>
        <v>1445</v>
      </c>
    </row>
    <row r="673" spans="1:9" x14ac:dyDescent="0.25">
      <c r="A673" t="s">
        <v>830</v>
      </c>
      <c r="B673" s="3" t="s">
        <v>35</v>
      </c>
      <c r="C673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673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673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1</v>
      </c>
      <c r="F673" s="3">
        <f>SUM(TS_ATHLETES[[#This Row],[GOLD MEDALS]:[BRONZE MEDALS]])</f>
        <v>1</v>
      </c>
      <c r="G673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10000010</v>
      </c>
      <c r="H673" s="3">
        <f>IF(TS_ATHLETES[[#This Row],[TOTAL]]=0,"",RANK(TS_ATHLETES[[#This Row],[RANK VALUE]],TS_ATHLETES[RANK VALUE]))</f>
        <v>1224</v>
      </c>
      <c r="I673" s="3">
        <f>IFERROR(IF(TS_ATHLETES[[#This Row],[TOTAL]]=0,"",RANK(TS_ATHLETES[[#This Row],[RANK VALUE]],TS_ATHLETES[RANK VALUE])+COUNTIF($H$1:H672,H673)),"")</f>
        <v>1446</v>
      </c>
    </row>
    <row r="674" spans="1:9" x14ac:dyDescent="0.25">
      <c r="A674" t="s">
        <v>832</v>
      </c>
      <c r="B674" s="3" t="s">
        <v>167</v>
      </c>
      <c r="C674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674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674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1</v>
      </c>
      <c r="F674" s="3">
        <f>SUM(TS_ATHLETES[[#This Row],[GOLD MEDALS]:[BRONZE MEDALS]])</f>
        <v>1</v>
      </c>
      <c r="G674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10000010</v>
      </c>
      <c r="H674" s="3">
        <f>IF(TS_ATHLETES[[#This Row],[TOTAL]]=0,"",RANK(TS_ATHLETES[[#This Row],[RANK VALUE]],TS_ATHLETES[RANK VALUE]))</f>
        <v>1224</v>
      </c>
      <c r="I674" s="3">
        <f>IFERROR(IF(TS_ATHLETES[[#This Row],[TOTAL]]=0,"",RANK(TS_ATHLETES[[#This Row],[RANK VALUE]],TS_ATHLETES[RANK VALUE])+COUNTIF($H$1:H673,H674)),"")</f>
        <v>1447</v>
      </c>
    </row>
    <row r="675" spans="1:9" x14ac:dyDescent="0.25">
      <c r="A675" t="s">
        <v>814</v>
      </c>
      <c r="B675" s="3" t="s">
        <v>287</v>
      </c>
      <c r="C675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675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675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1</v>
      </c>
      <c r="F675" s="3">
        <f>SUM(TS_ATHLETES[[#This Row],[GOLD MEDALS]:[BRONZE MEDALS]])</f>
        <v>1</v>
      </c>
      <c r="G675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10000010</v>
      </c>
      <c r="H675" s="3">
        <f>IF(TS_ATHLETES[[#This Row],[TOTAL]]=0,"",RANK(TS_ATHLETES[[#This Row],[RANK VALUE]],TS_ATHLETES[RANK VALUE]))</f>
        <v>1224</v>
      </c>
      <c r="I675" s="3">
        <f>IFERROR(IF(TS_ATHLETES[[#This Row],[TOTAL]]=0,"",RANK(TS_ATHLETES[[#This Row],[RANK VALUE]],TS_ATHLETES[RANK VALUE])+COUNTIF($H$1:H674,H675)),"")</f>
        <v>1448</v>
      </c>
    </row>
    <row r="676" spans="1:9" x14ac:dyDescent="0.25">
      <c r="A676" t="s">
        <v>817</v>
      </c>
      <c r="B676" s="3" t="s">
        <v>167</v>
      </c>
      <c r="C676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676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676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1</v>
      </c>
      <c r="F676" s="3">
        <f>SUM(TS_ATHLETES[[#This Row],[GOLD MEDALS]:[BRONZE MEDALS]])</f>
        <v>1</v>
      </c>
      <c r="G676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10000010</v>
      </c>
      <c r="H676" s="3">
        <f>IF(TS_ATHLETES[[#This Row],[TOTAL]]=0,"",RANK(TS_ATHLETES[[#This Row],[RANK VALUE]],TS_ATHLETES[RANK VALUE]))</f>
        <v>1224</v>
      </c>
      <c r="I676" s="3">
        <f>IFERROR(IF(TS_ATHLETES[[#This Row],[TOTAL]]=0,"",RANK(TS_ATHLETES[[#This Row],[RANK VALUE]],TS_ATHLETES[RANK VALUE])+COUNTIF($H$1:H675,H676)),"")</f>
        <v>1449</v>
      </c>
    </row>
    <row r="677" spans="1:9" x14ac:dyDescent="0.25">
      <c r="A677" t="s">
        <v>962</v>
      </c>
      <c r="B677" s="3" t="s">
        <v>367</v>
      </c>
      <c r="C677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677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677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1</v>
      </c>
      <c r="F677" s="3">
        <f>SUM(TS_ATHLETES[[#This Row],[GOLD MEDALS]:[BRONZE MEDALS]])</f>
        <v>1</v>
      </c>
      <c r="G677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10000010</v>
      </c>
      <c r="H677" s="3">
        <f>IF(TS_ATHLETES[[#This Row],[TOTAL]]=0,"",RANK(TS_ATHLETES[[#This Row],[RANK VALUE]],TS_ATHLETES[RANK VALUE]))</f>
        <v>1224</v>
      </c>
      <c r="I677" s="3">
        <f>IFERROR(IF(TS_ATHLETES[[#This Row],[TOTAL]]=0,"",RANK(TS_ATHLETES[[#This Row],[RANK VALUE]],TS_ATHLETES[RANK VALUE])+COUNTIF($H$1:H676,H677)),"")</f>
        <v>1450</v>
      </c>
    </row>
    <row r="678" spans="1:9" x14ac:dyDescent="0.25">
      <c r="A678" t="s">
        <v>822</v>
      </c>
      <c r="B678" s="3" t="s">
        <v>352</v>
      </c>
      <c r="C678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678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678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1</v>
      </c>
      <c r="F678" s="3">
        <f>SUM(TS_ATHLETES[[#This Row],[GOLD MEDALS]:[BRONZE MEDALS]])</f>
        <v>1</v>
      </c>
      <c r="G678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10000010</v>
      </c>
      <c r="H678" s="3">
        <f>IF(TS_ATHLETES[[#This Row],[TOTAL]]=0,"",RANK(TS_ATHLETES[[#This Row],[RANK VALUE]],TS_ATHLETES[RANK VALUE]))</f>
        <v>1224</v>
      </c>
      <c r="I678" s="3">
        <f>IFERROR(IF(TS_ATHLETES[[#This Row],[TOTAL]]=0,"",RANK(TS_ATHLETES[[#This Row],[RANK VALUE]],TS_ATHLETES[RANK VALUE])+COUNTIF($H$1:H677,H678)),"")</f>
        <v>1451</v>
      </c>
    </row>
    <row r="679" spans="1:9" x14ac:dyDescent="0.25">
      <c r="A679" t="s">
        <v>836</v>
      </c>
      <c r="B679" s="3" t="s">
        <v>363</v>
      </c>
      <c r="C679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679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679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1</v>
      </c>
      <c r="F679" s="3">
        <f>SUM(TS_ATHLETES[[#This Row],[GOLD MEDALS]:[BRONZE MEDALS]])</f>
        <v>1</v>
      </c>
      <c r="G679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10000010</v>
      </c>
      <c r="H679" s="3">
        <f>IF(TS_ATHLETES[[#This Row],[TOTAL]]=0,"",RANK(TS_ATHLETES[[#This Row],[RANK VALUE]],TS_ATHLETES[RANK VALUE]))</f>
        <v>1224</v>
      </c>
      <c r="I679" s="3">
        <f>IFERROR(IF(TS_ATHLETES[[#This Row],[TOTAL]]=0,"",RANK(TS_ATHLETES[[#This Row],[RANK VALUE]],TS_ATHLETES[RANK VALUE])+COUNTIF($H$1:H678,H679)),"")</f>
        <v>1452</v>
      </c>
    </row>
    <row r="680" spans="1:9" x14ac:dyDescent="0.25">
      <c r="A680" t="s">
        <v>966</v>
      </c>
      <c r="B680" s="3" t="s">
        <v>367</v>
      </c>
      <c r="C680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680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680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1</v>
      </c>
      <c r="F680" s="3">
        <f>SUM(TS_ATHLETES[[#This Row],[GOLD MEDALS]:[BRONZE MEDALS]])</f>
        <v>1</v>
      </c>
      <c r="G680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10000010</v>
      </c>
      <c r="H680" s="3">
        <f>IF(TS_ATHLETES[[#This Row],[TOTAL]]=0,"",RANK(TS_ATHLETES[[#This Row],[RANK VALUE]],TS_ATHLETES[RANK VALUE]))</f>
        <v>1224</v>
      </c>
      <c r="I680" s="3">
        <f>IFERROR(IF(TS_ATHLETES[[#This Row],[TOTAL]]=0,"",RANK(TS_ATHLETES[[#This Row],[RANK VALUE]],TS_ATHLETES[RANK VALUE])+COUNTIF($H$1:H679,H680)),"")</f>
        <v>1453</v>
      </c>
    </row>
    <row r="681" spans="1:9" x14ac:dyDescent="0.25">
      <c r="A681" t="s">
        <v>838</v>
      </c>
      <c r="B681" s="3" t="s">
        <v>134</v>
      </c>
      <c r="C681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681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681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1</v>
      </c>
      <c r="F681" s="3">
        <f>SUM(TS_ATHLETES[[#This Row],[GOLD MEDALS]:[BRONZE MEDALS]])</f>
        <v>1</v>
      </c>
      <c r="G681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10000010</v>
      </c>
      <c r="H681" s="3">
        <f>IF(TS_ATHLETES[[#This Row],[TOTAL]]=0,"",RANK(TS_ATHLETES[[#This Row],[RANK VALUE]],TS_ATHLETES[RANK VALUE]))</f>
        <v>1224</v>
      </c>
      <c r="I681" s="3">
        <f>IFERROR(IF(TS_ATHLETES[[#This Row],[TOTAL]]=0,"",RANK(TS_ATHLETES[[#This Row],[RANK VALUE]],TS_ATHLETES[RANK VALUE])+COUNTIF($H$1:H680,H681)),"")</f>
        <v>1454</v>
      </c>
    </row>
    <row r="682" spans="1:9" x14ac:dyDescent="0.25">
      <c r="A682" t="s">
        <v>842</v>
      </c>
      <c r="B682" s="3" t="s">
        <v>56</v>
      </c>
      <c r="C682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682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682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1</v>
      </c>
      <c r="F682" s="3">
        <f>SUM(TS_ATHLETES[[#This Row],[GOLD MEDALS]:[BRONZE MEDALS]])</f>
        <v>1</v>
      </c>
      <c r="G682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10000010</v>
      </c>
      <c r="H682" s="3">
        <f>IF(TS_ATHLETES[[#This Row],[TOTAL]]=0,"",RANK(TS_ATHLETES[[#This Row],[RANK VALUE]],TS_ATHLETES[RANK VALUE]))</f>
        <v>1224</v>
      </c>
      <c r="I682" s="3">
        <f>IFERROR(IF(TS_ATHLETES[[#This Row],[TOTAL]]=0,"",RANK(TS_ATHLETES[[#This Row],[RANK VALUE]],TS_ATHLETES[RANK VALUE])+COUNTIF($H$1:H681,H682)),"")</f>
        <v>1455</v>
      </c>
    </row>
    <row r="683" spans="1:9" x14ac:dyDescent="0.25">
      <c r="A683" t="s">
        <v>846</v>
      </c>
      <c r="B683" s="3" t="s">
        <v>331</v>
      </c>
      <c r="C683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683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683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1</v>
      </c>
      <c r="F683" s="3">
        <f>SUM(TS_ATHLETES[[#This Row],[GOLD MEDALS]:[BRONZE MEDALS]])</f>
        <v>1</v>
      </c>
      <c r="G683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10000010</v>
      </c>
      <c r="H683" s="3">
        <f>IF(TS_ATHLETES[[#This Row],[TOTAL]]=0,"",RANK(TS_ATHLETES[[#This Row],[RANK VALUE]],TS_ATHLETES[RANK VALUE]))</f>
        <v>1224</v>
      </c>
      <c r="I683" s="3">
        <f>IFERROR(IF(TS_ATHLETES[[#This Row],[TOTAL]]=0,"",RANK(TS_ATHLETES[[#This Row],[RANK VALUE]],TS_ATHLETES[RANK VALUE])+COUNTIF($H$1:H682,H683)),"")</f>
        <v>1456</v>
      </c>
    </row>
    <row r="684" spans="1:9" x14ac:dyDescent="0.25">
      <c r="A684" t="s">
        <v>850</v>
      </c>
      <c r="B684" s="3" t="s">
        <v>163</v>
      </c>
      <c r="C684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684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684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1</v>
      </c>
      <c r="F684" s="3">
        <f>SUM(TS_ATHLETES[[#This Row],[GOLD MEDALS]:[BRONZE MEDALS]])</f>
        <v>1</v>
      </c>
      <c r="G684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10000010</v>
      </c>
      <c r="H684" s="3">
        <f>IF(TS_ATHLETES[[#This Row],[TOTAL]]=0,"",RANK(TS_ATHLETES[[#This Row],[RANK VALUE]],TS_ATHLETES[RANK VALUE]))</f>
        <v>1224</v>
      </c>
      <c r="I684" s="3">
        <f>IFERROR(IF(TS_ATHLETES[[#This Row],[TOTAL]]=0,"",RANK(TS_ATHLETES[[#This Row],[RANK VALUE]],TS_ATHLETES[RANK VALUE])+COUNTIF($H$1:H683,H684)),"")</f>
        <v>1457</v>
      </c>
    </row>
    <row r="685" spans="1:9" x14ac:dyDescent="0.25">
      <c r="A685" t="s">
        <v>854</v>
      </c>
      <c r="B685" s="3" t="s">
        <v>280</v>
      </c>
      <c r="C685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685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685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1</v>
      </c>
      <c r="F685" s="3">
        <f>SUM(TS_ATHLETES[[#This Row],[GOLD MEDALS]:[BRONZE MEDALS]])</f>
        <v>1</v>
      </c>
      <c r="G685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10000010</v>
      </c>
      <c r="H685" s="3">
        <f>IF(TS_ATHLETES[[#This Row],[TOTAL]]=0,"",RANK(TS_ATHLETES[[#This Row],[RANK VALUE]],TS_ATHLETES[RANK VALUE]))</f>
        <v>1224</v>
      </c>
      <c r="I685" s="3">
        <f>IFERROR(IF(TS_ATHLETES[[#This Row],[TOTAL]]=0,"",RANK(TS_ATHLETES[[#This Row],[RANK VALUE]],TS_ATHLETES[RANK VALUE])+COUNTIF($H$1:H684,H685)),"")</f>
        <v>1458</v>
      </c>
    </row>
    <row r="686" spans="1:9" x14ac:dyDescent="0.25">
      <c r="A686" t="s">
        <v>858</v>
      </c>
      <c r="B686" s="3" t="s">
        <v>331</v>
      </c>
      <c r="C686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686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686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1</v>
      </c>
      <c r="F686" s="3">
        <f>SUM(TS_ATHLETES[[#This Row],[GOLD MEDALS]:[BRONZE MEDALS]])</f>
        <v>1</v>
      </c>
      <c r="G686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10000010</v>
      </c>
      <c r="H686" s="3">
        <f>IF(TS_ATHLETES[[#This Row],[TOTAL]]=0,"",RANK(TS_ATHLETES[[#This Row],[RANK VALUE]],TS_ATHLETES[RANK VALUE]))</f>
        <v>1224</v>
      </c>
      <c r="I686" s="3">
        <f>IFERROR(IF(TS_ATHLETES[[#This Row],[TOTAL]]=0,"",RANK(TS_ATHLETES[[#This Row],[RANK VALUE]],TS_ATHLETES[RANK VALUE])+COUNTIF($H$1:H685,H686)),"")</f>
        <v>1459</v>
      </c>
    </row>
    <row r="687" spans="1:9" x14ac:dyDescent="0.25">
      <c r="A687" t="s">
        <v>862</v>
      </c>
      <c r="B687" s="3" t="s">
        <v>287</v>
      </c>
      <c r="C687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687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687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1</v>
      </c>
      <c r="F687" s="3">
        <f>SUM(TS_ATHLETES[[#This Row],[GOLD MEDALS]:[BRONZE MEDALS]])</f>
        <v>1</v>
      </c>
      <c r="G687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10000010</v>
      </c>
      <c r="H687" s="3">
        <f>IF(TS_ATHLETES[[#This Row],[TOTAL]]=0,"",RANK(TS_ATHLETES[[#This Row],[RANK VALUE]],TS_ATHLETES[RANK VALUE]))</f>
        <v>1224</v>
      </c>
      <c r="I687" s="3">
        <f>IFERROR(IF(TS_ATHLETES[[#This Row],[TOTAL]]=0,"",RANK(TS_ATHLETES[[#This Row],[RANK VALUE]],TS_ATHLETES[RANK VALUE])+COUNTIF($H$1:H686,H687)),"")</f>
        <v>1460</v>
      </c>
    </row>
    <row r="688" spans="1:9" x14ac:dyDescent="0.25">
      <c r="A688" t="s">
        <v>1632</v>
      </c>
      <c r="B688" s="3" t="s">
        <v>319</v>
      </c>
      <c r="C688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688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688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688" s="3">
        <f>SUM(TS_ATHLETES[[#This Row],[GOLD MEDALS]:[BRONZE MEDALS]])</f>
        <v>0</v>
      </c>
      <c r="G688" s="3" t="str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/>
      </c>
      <c r="H688" s="3" t="str">
        <f>IF(TS_ATHLETES[[#This Row],[TOTAL]]=0,"",RANK(TS_ATHLETES[[#This Row],[RANK VALUE]],TS_ATHLETES[RANK VALUE]))</f>
        <v/>
      </c>
      <c r="I688" s="3" t="str">
        <f>IFERROR(IF(TS_ATHLETES[[#This Row],[TOTAL]]=0,"",RANK(TS_ATHLETES[[#This Row],[RANK VALUE]],TS_ATHLETES[RANK VALUE])+COUNTIF($H$1:H687,H688)),"")</f>
        <v/>
      </c>
    </row>
    <row r="689" spans="1:9" x14ac:dyDescent="0.25">
      <c r="A689" t="s">
        <v>882</v>
      </c>
      <c r="B689" s="3" t="s">
        <v>159</v>
      </c>
      <c r="C689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689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1</v>
      </c>
      <c r="E689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689" s="3">
        <f>SUM(TS_ATHLETES[[#This Row],[GOLD MEDALS]:[BRONZE MEDALS]])</f>
        <v>1</v>
      </c>
      <c r="G689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10000100</v>
      </c>
      <c r="H689" s="3">
        <f>IF(TS_ATHLETES[[#This Row],[TOTAL]]=0,"",RANK(TS_ATHLETES[[#This Row],[RANK VALUE]],TS_ATHLETES[RANK VALUE]))</f>
        <v>660</v>
      </c>
      <c r="I689" s="3">
        <f>IFERROR(IF(TS_ATHLETES[[#This Row],[TOTAL]]=0,"",RANK(TS_ATHLETES[[#This Row],[RANK VALUE]],TS_ATHLETES[RANK VALUE])+COUNTIF($H$1:H688,H689)),"")</f>
        <v>837</v>
      </c>
    </row>
    <row r="690" spans="1:9" x14ac:dyDescent="0.25">
      <c r="A690" t="s">
        <v>1011</v>
      </c>
      <c r="B690" s="3" t="s">
        <v>187</v>
      </c>
      <c r="C690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1</v>
      </c>
      <c r="D690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690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690" s="3">
        <f>SUM(TS_ATHLETES[[#This Row],[GOLD MEDALS]:[BRONZE MEDALS]])</f>
        <v>1</v>
      </c>
      <c r="G690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10100000</v>
      </c>
      <c r="H690" s="3">
        <f>IF(TS_ATHLETES[[#This Row],[TOTAL]]=0,"",RANK(TS_ATHLETES[[#This Row],[RANK VALUE]],TS_ATHLETES[RANK VALUE]))</f>
        <v>129</v>
      </c>
      <c r="I690" s="3">
        <f>IFERROR(IF(TS_ATHLETES[[#This Row],[TOTAL]]=0,"",RANK(TS_ATHLETES[[#This Row],[RANK VALUE]],TS_ATHLETES[RANK VALUE])+COUNTIF($H$1:H689,H690)),"")</f>
        <v>294</v>
      </c>
    </row>
    <row r="691" spans="1:9" x14ac:dyDescent="0.25">
      <c r="A691" t="s">
        <v>1012</v>
      </c>
      <c r="B691" s="3" t="s">
        <v>187</v>
      </c>
      <c r="C691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1</v>
      </c>
      <c r="D691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691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691" s="3">
        <f>SUM(TS_ATHLETES[[#This Row],[GOLD MEDALS]:[BRONZE MEDALS]])</f>
        <v>1</v>
      </c>
      <c r="G691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10100000</v>
      </c>
      <c r="H691" s="3">
        <f>IF(TS_ATHLETES[[#This Row],[TOTAL]]=0,"",RANK(TS_ATHLETES[[#This Row],[RANK VALUE]],TS_ATHLETES[RANK VALUE]))</f>
        <v>129</v>
      </c>
      <c r="I691" s="3">
        <f>IFERROR(IF(TS_ATHLETES[[#This Row],[TOTAL]]=0,"",RANK(TS_ATHLETES[[#This Row],[RANK VALUE]],TS_ATHLETES[RANK VALUE])+COUNTIF($H$1:H690,H691)),"")</f>
        <v>295</v>
      </c>
    </row>
    <row r="692" spans="1:9" x14ac:dyDescent="0.25">
      <c r="A692" t="s">
        <v>1014</v>
      </c>
      <c r="B692" s="3" t="s">
        <v>363</v>
      </c>
      <c r="C692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692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1</v>
      </c>
      <c r="E692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692" s="3">
        <f>SUM(TS_ATHLETES[[#This Row],[GOLD MEDALS]:[BRONZE MEDALS]])</f>
        <v>1</v>
      </c>
      <c r="G692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10000100</v>
      </c>
      <c r="H692" s="3">
        <f>IF(TS_ATHLETES[[#This Row],[TOTAL]]=0,"",RANK(TS_ATHLETES[[#This Row],[RANK VALUE]],TS_ATHLETES[RANK VALUE]))</f>
        <v>660</v>
      </c>
      <c r="I692" s="3">
        <f>IFERROR(IF(TS_ATHLETES[[#This Row],[TOTAL]]=0,"",RANK(TS_ATHLETES[[#This Row],[RANK VALUE]],TS_ATHLETES[RANK VALUE])+COUNTIF($H$1:H691,H692)),"")</f>
        <v>838</v>
      </c>
    </row>
    <row r="693" spans="1:9" x14ac:dyDescent="0.25">
      <c r="A693" t="s">
        <v>1015</v>
      </c>
      <c r="B693" s="3" t="s">
        <v>363</v>
      </c>
      <c r="C693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693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1</v>
      </c>
      <c r="E693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693" s="3">
        <f>SUM(TS_ATHLETES[[#This Row],[GOLD MEDALS]:[BRONZE MEDALS]])</f>
        <v>1</v>
      </c>
      <c r="G693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10000100</v>
      </c>
      <c r="H693" s="3">
        <f>IF(TS_ATHLETES[[#This Row],[TOTAL]]=0,"",RANK(TS_ATHLETES[[#This Row],[RANK VALUE]],TS_ATHLETES[RANK VALUE]))</f>
        <v>660</v>
      </c>
      <c r="I693" s="3">
        <f>IFERROR(IF(TS_ATHLETES[[#This Row],[TOTAL]]=0,"",RANK(TS_ATHLETES[[#This Row],[RANK VALUE]],TS_ATHLETES[RANK VALUE])+COUNTIF($H$1:H692,H693)),"")</f>
        <v>839</v>
      </c>
    </row>
    <row r="694" spans="1:9" x14ac:dyDescent="0.25">
      <c r="A694" t="s">
        <v>1016</v>
      </c>
      <c r="B694" s="3" t="s">
        <v>21</v>
      </c>
      <c r="C694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694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694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1</v>
      </c>
      <c r="F694" s="3">
        <f>SUM(TS_ATHLETES[[#This Row],[GOLD MEDALS]:[BRONZE MEDALS]])</f>
        <v>1</v>
      </c>
      <c r="G694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10000010</v>
      </c>
      <c r="H694" s="3">
        <f>IF(TS_ATHLETES[[#This Row],[TOTAL]]=0,"",RANK(TS_ATHLETES[[#This Row],[RANK VALUE]],TS_ATHLETES[RANK VALUE]))</f>
        <v>1224</v>
      </c>
      <c r="I694" s="3">
        <f>IFERROR(IF(TS_ATHLETES[[#This Row],[TOTAL]]=0,"",RANK(TS_ATHLETES[[#This Row],[RANK VALUE]],TS_ATHLETES[RANK VALUE])+COUNTIF($H$1:H693,H694)),"")</f>
        <v>1461</v>
      </c>
    </row>
    <row r="695" spans="1:9" x14ac:dyDescent="0.25">
      <c r="A695" t="s">
        <v>1017</v>
      </c>
      <c r="B695" s="3" t="s">
        <v>21</v>
      </c>
      <c r="C695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695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695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1</v>
      </c>
      <c r="F695" s="3">
        <f>SUM(TS_ATHLETES[[#This Row],[GOLD MEDALS]:[BRONZE MEDALS]])</f>
        <v>1</v>
      </c>
      <c r="G695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10000010</v>
      </c>
      <c r="H695" s="3">
        <f>IF(TS_ATHLETES[[#This Row],[TOTAL]]=0,"",RANK(TS_ATHLETES[[#This Row],[RANK VALUE]],TS_ATHLETES[RANK VALUE]))</f>
        <v>1224</v>
      </c>
      <c r="I695" s="3">
        <f>IFERROR(IF(TS_ATHLETES[[#This Row],[TOTAL]]=0,"",RANK(TS_ATHLETES[[#This Row],[RANK VALUE]],TS_ATHLETES[RANK VALUE])+COUNTIF($H$1:H694,H695)),"")</f>
        <v>1462</v>
      </c>
    </row>
    <row r="696" spans="1:9" x14ac:dyDescent="0.25">
      <c r="A696" t="s">
        <v>1018</v>
      </c>
      <c r="B696" s="3" t="s">
        <v>21</v>
      </c>
      <c r="C696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696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696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1</v>
      </c>
      <c r="F696" s="3">
        <f>SUM(TS_ATHLETES[[#This Row],[GOLD MEDALS]:[BRONZE MEDALS]])</f>
        <v>1</v>
      </c>
      <c r="G696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10000010</v>
      </c>
      <c r="H696" s="3">
        <f>IF(TS_ATHLETES[[#This Row],[TOTAL]]=0,"",RANK(TS_ATHLETES[[#This Row],[RANK VALUE]],TS_ATHLETES[RANK VALUE]))</f>
        <v>1224</v>
      </c>
      <c r="I696" s="3">
        <f>IFERROR(IF(TS_ATHLETES[[#This Row],[TOTAL]]=0,"",RANK(TS_ATHLETES[[#This Row],[RANK VALUE]],TS_ATHLETES[RANK VALUE])+COUNTIF($H$1:H695,H696)),"")</f>
        <v>1463</v>
      </c>
    </row>
    <row r="697" spans="1:9" x14ac:dyDescent="0.25">
      <c r="A697" t="s">
        <v>1020</v>
      </c>
      <c r="B697" s="3" t="s">
        <v>187</v>
      </c>
      <c r="C697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1</v>
      </c>
      <c r="D697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697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697" s="3">
        <f>SUM(TS_ATHLETES[[#This Row],[GOLD MEDALS]:[BRONZE MEDALS]])</f>
        <v>1</v>
      </c>
      <c r="G697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10100000</v>
      </c>
      <c r="H697" s="3">
        <f>IF(TS_ATHLETES[[#This Row],[TOTAL]]=0,"",RANK(TS_ATHLETES[[#This Row],[RANK VALUE]],TS_ATHLETES[RANK VALUE]))</f>
        <v>129</v>
      </c>
      <c r="I697" s="3">
        <f>IFERROR(IF(TS_ATHLETES[[#This Row],[TOTAL]]=0,"",RANK(TS_ATHLETES[[#This Row],[RANK VALUE]],TS_ATHLETES[RANK VALUE])+COUNTIF($H$1:H696,H697)),"")</f>
        <v>296</v>
      </c>
    </row>
    <row r="698" spans="1:9" x14ac:dyDescent="0.25">
      <c r="A698" t="s">
        <v>1021</v>
      </c>
      <c r="B698" s="3" t="s">
        <v>287</v>
      </c>
      <c r="C698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698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1</v>
      </c>
      <c r="E698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698" s="3">
        <f>SUM(TS_ATHLETES[[#This Row],[GOLD MEDALS]:[BRONZE MEDALS]])</f>
        <v>1</v>
      </c>
      <c r="G698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10000100</v>
      </c>
      <c r="H698" s="3">
        <f>IF(TS_ATHLETES[[#This Row],[TOTAL]]=0,"",RANK(TS_ATHLETES[[#This Row],[RANK VALUE]],TS_ATHLETES[RANK VALUE]))</f>
        <v>660</v>
      </c>
      <c r="I698" s="3">
        <f>IFERROR(IF(TS_ATHLETES[[#This Row],[TOTAL]]=0,"",RANK(TS_ATHLETES[[#This Row],[RANK VALUE]],TS_ATHLETES[RANK VALUE])+COUNTIF($H$1:H697,H698)),"")</f>
        <v>840</v>
      </c>
    </row>
    <row r="699" spans="1:9" x14ac:dyDescent="0.25">
      <c r="A699" t="s">
        <v>1022</v>
      </c>
      <c r="B699" s="3" t="s">
        <v>287</v>
      </c>
      <c r="C699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699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1</v>
      </c>
      <c r="E699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699" s="3">
        <f>SUM(TS_ATHLETES[[#This Row],[GOLD MEDALS]:[BRONZE MEDALS]])</f>
        <v>1</v>
      </c>
      <c r="G699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10000100</v>
      </c>
      <c r="H699" s="3">
        <f>IF(TS_ATHLETES[[#This Row],[TOTAL]]=0,"",RANK(TS_ATHLETES[[#This Row],[RANK VALUE]],TS_ATHLETES[RANK VALUE]))</f>
        <v>660</v>
      </c>
      <c r="I699" s="3">
        <f>IFERROR(IF(TS_ATHLETES[[#This Row],[TOTAL]]=0,"",RANK(TS_ATHLETES[[#This Row],[RANK VALUE]],TS_ATHLETES[RANK VALUE])+COUNTIF($H$1:H698,H699)),"")</f>
        <v>841</v>
      </c>
    </row>
    <row r="700" spans="1:9" x14ac:dyDescent="0.25">
      <c r="A700" t="s">
        <v>1023</v>
      </c>
      <c r="B700" s="3" t="s">
        <v>287</v>
      </c>
      <c r="C700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700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1</v>
      </c>
      <c r="E700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700" s="3">
        <f>SUM(TS_ATHLETES[[#This Row],[GOLD MEDALS]:[BRONZE MEDALS]])</f>
        <v>1</v>
      </c>
      <c r="G700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10000100</v>
      </c>
      <c r="H700" s="3">
        <f>IF(TS_ATHLETES[[#This Row],[TOTAL]]=0,"",RANK(TS_ATHLETES[[#This Row],[RANK VALUE]],TS_ATHLETES[RANK VALUE]))</f>
        <v>660</v>
      </c>
      <c r="I700" s="3">
        <f>IFERROR(IF(TS_ATHLETES[[#This Row],[TOTAL]]=0,"",RANK(TS_ATHLETES[[#This Row],[RANK VALUE]],TS_ATHLETES[RANK VALUE])+COUNTIF($H$1:H699,H700)),"")</f>
        <v>842</v>
      </c>
    </row>
    <row r="701" spans="1:9" x14ac:dyDescent="0.25">
      <c r="A701" t="s">
        <v>1024</v>
      </c>
      <c r="B701" s="3" t="s">
        <v>337</v>
      </c>
      <c r="C701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701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701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1</v>
      </c>
      <c r="F701" s="3">
        <f>SUM(TS_ATHLETES[[#This Row],[GOLD MEDALS]:[BRONZE MEDALS]])</f>
        <v>1</v>
      </c>
      <c r="G701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10000010</v>
      </c>
      <c r="H701" s="3">
        <f>IF(TS_ATHLETES[[#This Row],[TOTAL]]=0,"",RANK(TS_ATHLETES[[#This Row],[RANK VALUE]],TS_ATHLETES[RANK VALUE]))</f>
        <v>1224</v>
      </c>
      <c r="I701" s="3">
        <f>IFERROR(IF(TS_ATHLETES[[#This Row],[TOTAL]]=0,"",RANK(TS_ATHLETES[[#This Row],[RANK VALUE]],TS_ATHLETES[RANK VALUE])+COUNTIF($H$1:H700,H701)),"")</f>
        <v>1464</v>
      </c>
    </row>
    <row r="702" spans="1:9" x14ac:dyDescent="0.25">
      <c r="A702" t="s">
        <v>1025</v>
      </c>
      <c r="B702" s="3" t="s">
        <v>337</v>
      </c>
      <c r="C702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702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702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1</v>
      </c>
      <c r="F702" s="3">
        <f>SUM(TS_ATHLETES[[#This Row],[GOLD MEDALS]:[BRONZE MEDALS]])</f>
        <v>1</v>
      </c>
      <c r="G702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10000010</v>
      </c>
      <c r="H702" s="3">
        <f>IF(TS_ATHLETES[[#This Row],[TOTAL]]=0,"",RANK(TS_ATHLETES[[#This Row],[RANK VALUE]],TS_ATHLETES[RANK VALUE]))</f>
        <v>1224</v>
      </c>
      <c r="I702" s="3">
        <f>IFERROR(IF(TS_ATHLETES[[#This Row],[TOTAL]]=0,"",RANK(TS_ATHLETES[[#This Row],[RANK VALUE]],TS_ATHLETES[RANK VALUE])+COUNTIF($H$1:H701,H702)),"")</f>
        <v>1465</v>
      </c>
    </row>
    <row r="703" spans="1:9" x14ac:dyDescent="0.25">
      <c r="A703" t="s">
        <v>1026</v>
      </c>
      <c r="B703" s="3" t="s">
        <v>337</v>
      </c>
      <c r="C703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703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703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1</v>
      </c>
      <c r="F703" s="3">
        <f>SUM(TS_ATHLETES[[#This Row],[GOLD MEDALS]:[BRONZE MEDALS]])</f>
        <v>1</v>
      </c>
      <c r="G703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10000010</v>
      </c>
      <c r="H703" s="3">
        <f>IF(TS_ATHLETES[[#This Row],[TOTAL]]=0,"",RANK(TS_ATHLETES[[#This Row],[RANK VALUE]],TS_ATHLETES[RANK VALUE]))</f>
        <v>1224</v>
      </c>
      <c r="I703" s="3">
        <f>IFERROR(IF(TS_ATHLETES[[#This Row],[TOTAL]]=0,"",RANK(TS_ATHLETES[[#This Row],[RANK VALUE]],TS_ATHLETES[RANK VALUE])+COUNTIF($H$1:H702,H703)),"")</f>
        <v>1466</v>
      </c>
    </row>
    <row r="704" spans="1:9" x14ac:dyDescent="0.25">
      <c r="A704" t="s">
        <v>1660</v>
      </c>
      <c r="B704" s="3" t="s">
        <v>179</v>
      </c>
      <c r="C704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1</v>
      </c>
      <c r="D704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704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704" s="3">
        <f>SUM(TS_ATHLETES[[#This Row],[GOLD MEDALS]:[BRONZE MEDALS]])</f>
        <v>1</v>
      </c>
      <c r="G704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10100000</v>
      </c>
      <c r="H704" s="3">
        <f>IF(TS_ATHLETES[[#This Row],[TOTAL]]=0,"",RANK(TS_ATHLETES[[#This Row],[RANK VALUE]],TS_ATHLETES[RANK VALUE]))</f>
        <v>129</v>
      </c>
      <c r="I704" s="3">
        <f>IFERROR(IF(TS_ATHLETES[[#This Row],[TOTAL]]=0,"",RANK(TS_ATHLETES[[#This Row],[RANK VALUE]],TS_ATHLETES[RANK VALUE])+COUNTIF($H$1:H703,H704)),"")</f>
        <v>297</v>
      </c>
    </row>
    <row r="705" spans="1:9" x14ac:dyDescent="0.25">
      <c r="A705" t="s">
        <v>1661</v>
      </c>
      <c r="B705" s="3" t="s">
        <v>179</v>
      </c>
      <c r="C705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1</v>
      </c>
      <c r="D705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705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705" s="3">
        <f>SUM(TS_ATHLETES[[#This Row],[GOLD MEDALS]:[BRONZE MEDALS]])</f>
        <v>1</v>
      </c>
      <c r="G705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10100000</v>
      </c>
      <c r="H705" s="3">
        <f>IF(TS_ATHLETES[[#This Row],[TOTAL]]=0,"",RANK(TS_ATHLETES[[#This Row],[RANK VALUE]],TS_ATHLETES[RANK VALUE]))</f>
        <v>129</v>
      </c>
      <c r="I705" s="3">
        <f>IFERROR(IF(TS_ATHLETES[[#This Row],[TOTAL]]=0,"",RANK(TS_ATHLETES[[#This Row],[RANK VALUE]],TS_ATHLETES[RANK VALUE])+COUNTIF($H$1:H704,H705)),"")</f>
        <v>298</v>
      </c>
    </row>
    <row r="706" spans="1:9" x14ac:dyDescent="0.25">
      <c r="A706" t="s">
        <v>1659</v>
      </c>
      <c r="B706" s="3" t="s">
        <v>179</v>
      </c>
      <c r="C706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1</v>
      </c>
      <c r="D706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706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706" s="3">
        <f>SUM(TS_ATHLETES[[#This Row],[GOLD MEDALS]:[BRONZE MEDALS]])</f>
        <v>1</v>
      </c>
      <c r="G706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10100000</v>
      </c>
      <c r="H706" s="3">
        <f>IF(TS_ATHLETES[[#This Row],[TOTAL]]=0,"",RANK(TS_ATHLETES[[#This Row],[RANK VALUE]],TS_ATHLETES[RANK VALUE]))</f>
        <v>129</v>
      </c>
      <c r="I706" s="3">
        <f>IFERROR(IF(TS_ATHLETES[[#This Row],[TOTAL]]=0,"",RANK(TS_ATHLETES[[#This Row],[RANK VALUE]],TS_ATHLETES[RANK VALUE])+COUNTIF($H$1:H705,H706)),"")</f>
        <v>299</v>
      </c>
    </row>
    <row r="707" spans="1:9" x14ac:dyDescent="0.25">
      <c r="A707" t="s">
        <v>1662</v>
      </c>
      <c r="B707" s="3" t="s">
        <v>287</v>
      </c>
      <c r="C707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707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1</v>
      </c>
      <c r="E707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707" s="3">
        <f>SUM(TS_ATHLETES[[#This Row],[GOLD MEDALS]:[BRONZE MEDALS]])</f>
        <v>1</v>
      </c>
      <c r="G707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10000100</v>
      </c>
      <c r="H707" s="3">
        <f>IF(TS_ATHLETES[[#This Row],[TOTAL]]=0,"",RANK(TS_ATHLETES[[#This Row],[RANK VALUE]],TS_ATHLETES[RANK VALUE]))</f>
        <v>660</v>
      </c>
      <c r="I707" s="3">
        <f>IFERROR(IF(TS_ATHLETES[[#This Row],[TOTAL]]=0,"",RANK(TS_ATHLETES[[#This Row],[RANK VALUE]],TS_ATHLETES[RANK VALUE])+COUNTIF($H$1:H706,H707)),"")</f>
        <v>843</v>
      </c>
    </row>
    <row r="708" spans="1:9" x14ac:dyDescent="0.25">
      <c r="A708" t="s">
        <v>1663</v>
      </c>
      <c r="B708" s="3" t="s">
        <v>287</v>
      </c>
      <c r="C708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708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1</v>
      </c>
      <c r="E708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708" s="3">
        <f>SUM(TS_ATHLETES[[#This Row],[GOLD MEDALS]:[BRONZE MEDALS]])</f>
        <v>1</v>
      </c>
      <c r="G708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10000100</v>
      </c>
      <c r="H708" s="3">
        <f>IF(TS_ATHLETES[[#This Row],[TOTAL]]=0,"",RANK(TS_ATHLETES[[#This Row],[RANK VALUE]],TS_ATHLETES[RANK VALUE]))</f>
        <v>660</v>
      </c>
      <c r="I708" s="3">
        <f>IFERROR(IF(TS_ATHLETES[[#This Row],[TOTAL]]=0,"",RANK(TS_ATHLETES[[#This Row],[RANK VALUE]],TS_ATHLETES[RANK VALUE])+COUNTIF($H$1:H707,H708)),"")</f>
        <v>844</v>
      </c>
    </row>
    <row r="709" spans="1:9" x14ac:dyDescent="0.25">
      <c r="A709" t="s">
        <v>1664</v>
      </c>
      <c r="B709" s="3" t="s">
        <v>287</v>
      </c>
      <c r="C709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709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1</v>
      </c>
      <c r="E709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709" s="3">
        <f>SUM(TS_ATHLETES[[#This Row],[GOLD MEDALS]:[BRONZE MEDALS]])</f>
        <v>1</v>
      </c>
      <c r="G709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10000100</v>
      </c>
      <c r="H709" s="3">
        <f>IF(TS_ATHLETES[[#This Row],[TOTAL]]=0,"",RANK(TS_ATHLETES[[#This Row],[RANK VALUE]],TS_ATHLETES[RANK VALUE]))</f>
        <v>660</v>
      </c>
      <c r="I709" s="3">
        <f>IFERROR(IF(TS_ATHLETES[[#This Row],[TOTAL]]=0,"",RANK(TS_ATHLETES[[#This Row],[RANK VALUE]],TS_ATHLETES[RANK VALUE])+COUNTIF($H$1:H708,H709)),"")</f>
        <v>845</v>
      </c>
    </row>
    <row r="710" spans="1:9" x14ac:dyDescent="0.25">
      <c r="A710" t="s">
        <v>1665</v>
      </c>
      <c r="B710" s="3" t="s">
        <v>77</v>
      </c>
      <c r="C710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710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710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1</v>
      </c>
      <c r="F710" s="3">
        <f>SUM(TS_ATHLETES[[#This Row],[GOLD MEDALS]:[BRONZE MEDALS]])</f>
        <v>1</v>
      </c>
      <c r="G710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10000010</v>
      </c>
      <c r="H710" s="3">
        <f>IF(TS_ATHLETES[[#This Row],[TOTAL]]=0,"",RANK(TS_ATHLETES[[#This Row],[RANK VALUE]],TS_ATHLETES[RANK VALUE]))</f>
        <v>1224</v>
      </c>
      <c r="I710" s="3">
        <f>IFERROR(IF(TS_ATHLETES[[#This Row],[TOTAL]]=0,"",RANK(TS_ATHLETES[[#This Row],[RANK VALUE]],TS_ATHLETES[RANK VALUE])+COUNTIF($H$1:H709,H710)),"")</f>
        <v>1467</v>
      </c>
    </row>
    <row r="711" spans="1:9" x14ac:dyDescent="0.25">
      <c r="A711" t="s">
        <v>1666</v>
      </c>
      <c r="B711" s="3" t="s">
        <v>77</v>
      </c>
      <c r="C711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711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711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1</v>
      </c>
      <c r="F711" s="3">
        <f>SUM(TS_ATHLETES[[#This Row],[GOLD MEDALS]:[BRONZE MEDALS]])</f>
        <v>1</v>
      </c>
      <c r="G711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10000010</v>
      </c>
      <c r="H711" s="3">
        <f>IF(TS_ATHLETES[[#This Row],[TOTAL]]=0,"",RANK(TS_ATHLETES[[#This Row],[RANK VALUE]],TS_ATHLETES[RANK VALUE]))</f>
        <v>1224</v>
      </c>
      <c r="I711" s="3">
        <f>IFERROR(IF(TS_ATHLETES[[#This Row],[TOTAL]]=0,"",RANK(TS_ATHLETES[[#This Row],[RANK VALUE]],TS_ATHLETES[RANK VALUE])+COUNTIF($H$1:H710,H711)),"")</f>
        <v>1468</v>
      </c>
    </row>
    <row r="712" spans="1:9" x14ac:dyDescent="0.25">
      <c r="A712" t="s">
        <v>1667</v>
      </c>
      <c r="B712" s="3" t="s">
        <v>77</v>
      </c>
      <c r="C712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712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712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1</v>
      </c>
      <c r="F712" s="3">
        <f>SUM(TS_ATHLETES[[#This Row],[GOLD MEDALS]:[BRONZE MEDALS]])</f>
        <v>1</v>
      </c>
      <c r="G712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10000010</v>
      </c>
      <c r="H712" s="3">
        <f>IF(TS_ATHLETES[[#This Row],[TOTAL]]=0,"",RANK(TS_ATHLETES[[#This Row],[RANK VALUE]],TS_ATHLETES[RANK VALUE]))</f>
        <v>1224</v>
      </c>
      <c r="I712" s="3">
        <f>IFERROR(IF(TS_ATHLETES[[#This Row],[TOTAL]]=0,"",RANK(TS_ATHLETES[[#This Row],[RANK VALUE]],TS_ATHLETES[RANK VALUE])+COUNTIF($H$1:H711,H712)),"")</f>
        <v>1469</v>
      </c>
    </row>
    <row r="713" spans="1:9" x14ac:dyDescent="0.25">
      <c r="A713" t="s">
        <v>1668</v>
      </c>
      <c r="B713" s="3" t="s">
        <v>77</v>
      </c>
      <c r="C713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713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713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1</v>
      </c>
      <c r="F713" s="3">
        <f>SUM(TS_ATHLETES[[#This Row],[GOLD MEDALS]:[BRONZE MEDALS]])</f>
        <v>1</v>
      </c>
      <c r="G713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10000010</v>
      </c>
      <c r="H713" s="3">
        <f>IF(TS_ATHLETES[[#This Row],[TOTAL]]=0,"",RANK(TS_ATHLETES[[#This Row],[RANK VALUE]],TS_ATHLETES[RANK VALUE]))</f>
        <v>1224</v>
      </c>
      <c r="I713" s="3">
        <f>IFERROR(IF(TS_ATHLETES[[#This Row],[TOTAL]]=0,"",RANK(TS_ATHLETES[[#This Row],[RANK VALUE]],TS_ATHLETES[RANK VALUE])+COUNTIF($H$1:H712,H713)),"")</f>
        <v>1470</v>
      </c>
    </row>
    <row r="714" spans="1:9" x14ac:dyDescent="0.25">
      <c r="A714" t="s">
        <v>1669</v>
      </c>
      <c r="B714" s="3" t="s">
        <v>77</v>
      </c>
      <c r="C714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714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714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1</v>
      </c>
      <c r="F714" s="3">
        <f>SUM(TS_ATHLETES[[#This Row],[GOLD MEDALS]:[BRONZE MEDALS]])</f>
        <v>1</v>
      </c>
      <c r="G714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10000010</v>
      </c>
      <c r="H714" s="3">
        <f>IF(TS_ATHLETES[[#This Row],[TOTAL]]=0,"",RANK(TS_ATHLETES[[#This Row],[RANK VALUE]],TS_ATHLETES[RANK VALUE]))</f>
        <v>1224</v>
      </c>
      <c r="I714" s="3">
        <f>IFERROR(IF(TS_ATHLETES[[#This Row],[TOTAL]]=0,"",RANK(TS_ATHLETES[[#This Row],[RANK VALUE]],TS_ATHLETES[RANK VALUE])+COUNTIF($H$1:H713,H714)),"")</f>
        <v>1471</v>
      </c>
    </row>
    <row r="715" spans="1:9" x14ac:dyDescent="0.25">
      <c r="A715" t="s">
        <v>1670</v>
      </c>
      <c r="B715" s="3" t="s">
        <v>363</v>
      </c>
      <c r="C715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1</v>
      </c>
      <c r="D715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715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715" s="3">
        <f>SUM(TS_ATHLETES[[#This Row],[GOLD MEDALS]:[BRONZE MEDALS]])</f>
        <v>1</v>
      </c>
      <c r="G715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10100000</v>
      </c>
      <c r="H715" s="3">
        <f>IF(TS_ATHLETES[[#This Row],[TOTAL]]=0,"",RANK(TS_ATHLETES[[#This Row],[RANK VALUE]],TS_ATHLETES[RANK VALUE]))</f>
        <v>129</v>
      </c>
      <c r="I715" s="3">
        <f>IFERROR(IF(TS_ATHLETES[[#This Row],[TOTAL]]=0,"",RANK(TS_ATHLETES[[#This Row],[RANK VALUE]],TS_ATHLETES[RANK VALUE])+COUNTIF($H$1:H714,H715)),"")</f>
        <v>300</v>
      </c>
    </row>
    <row r="716" spans="1:9" x14ac:dyDescent="0.25">
      <c r="A716" t="s">
        <v>1671</v>
      </c>
      <c r="B716" s="3" t="s">
        <v>287</v>
      </c>
      <c r="C716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716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1</v>
      </c>
      <c r="E716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716" s="3">
        <f>SUM(TS_ATHLETES[[#This Row],[GOLD MEDALS]:[BRONZE MEDALS]])</f>
        <v>1</v>
      </c>
      <c r="G716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10000100</v>
      </c>
      <c r="H716" s="3">
        <f>IF(TS_ATHLETES[[#This Row],[TOTAL]]=0,"",RANK(TS_ATHLETES[[#This Row],[RANK VALUE]],TS_ATHLETES[RANK VALUE]))</f>
        <v>660</v>
      </c>
      <c r="I716" s="3">
        <f>IFERROR(IF(TS_ATHLETES[[#This Row],[TOTAL]]=0,"",RANK(TS_ATHLETES[[#This Row],[RANK VALUE]],TS_ATHLETES[RANK VALUE])+COUNTIF($H$1:H715,H716)),"")</f>
        <v>846</v>
      </c>
    </row>
    <row r="717" spans="1:9" x14ac:dyDescent="0.25">
      <c r="A717" t="s">
        <v>1672</v>
      </c>
      <c r="B717" s="3" t="s">
        <v>287</v>
      </c>
      <c r="C717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717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1</v>
      </c>
      <c r="E717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717" s="3">
        <f>SUM(TS_ATHLETES[[#This Row],[GOLD MEDALS]:[BRONZE MEDALS]])</f>
        <v>1</v>
      </c>
      <c r="G717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10000100</v>
      </c>
      <c r="H717" s="3">
        <f>IF(TS_ATHLETES[[#This Row],[TOTAL]]=0,"",RANK(TS_ATHLETES[[#This Row],[RANK VALUE]],TS_ATHLETES[RANK VALUE]))</f>
        <v>660</v>
      </c>
      <c r="I717" s="3">
        <f>IFERROR(IF(TS_ATHLETES[[#This Row],[TOTAL]]=0,"",RANK(TS_ATHLETES[[#This Row],[RANK VALUE]],TS_ATHLETES[RANK VALUE])+COUNTIF($H$1:H716,H717)),"")</f>
        <v>847</v>
      </c>
    </row>
    <row r="718" spans="1:9" x14ac:dyDescent="0.25">
      <c r="A718" t="s">
        <v>1673</v>
      </c>
      <c r="B718" s="3" t="s">
        <v>287</v>
      </c>
      <c r="C718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718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1</v>
      </c>
      <c r="E718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718" s="3">
        <f>SUM(TS_ATHLETES[[#This Row],[GOLD MEDALS]:[BRONZE MEDALS]])</f>
        <v>1</v>
      </c>
      <c r="G718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10000100</v>
      </c>
      <c r="H718" s="3">
        <f>IF(TS_ATHLETES[[#This Row],[TOTAL]]=0,"",RANK(TS_ATHLETES[[#This Row],[RANK VALUE]],TS_ATHLETES[RANK VALUE]))</f>
        <v>660</v>
      </c>
      <c r="I718" s="3">
        <f>IFERROR(IF(TS_ATHLETES[[#This Row],[TOTAL]]=0,"",RANK(TS_ATHLETES[[#This Row],[RANK VALUE]],TS_ATHLETES[RANK VALUE])+COUNTIF($H$1:H717,H718)),"")</f>
        <v>848</v>
      </c>
    </row>
    <row r="719" spans="1:9" x14ac:dyDescent="0.25">
      <c r="A719" t="s">
        <v>1674</v>
      </c>
      <c r="B719" s="3" t="s">
        <v>77</v>
      </c>
      <c r="C719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719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719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1</v>
      </c>
      <c r="F719" s="3">
        <f>SUM(TS_ATHLETES[[#This Row],[GOLD MEDALS]:[BRONZE MEDALS]])</f>
        <v>1</v>
      </c>
      <c r="G719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10000010</v>
      </c>
      <c r="H719" s="3">
        <f>IF(TS_ATHLETES[[#This Row],[TOTAL]]=0,"",RANK(TS_ATHLETES[[#This Row],[RANK VALUE]],TS_ATHLETES[RANK VALUE]))</f>
        <v>1224</v>
      </c>
      <c r="I719" s="3">
        <f>IFERROR(IF(TS_ATHLETES[[#This Row],[TOTAL]]=0,"",RANK(TS_ATHLETES[[#This Row],[RANK VALUE]],TS_ATHLETES[RANK VALUE])+COUNTIF($H$1:H718,H719)),"")</f>
        <v>1472</v>
      </c>
    </row>
    <row r="720" spans="1:9" x14ac:dyDescent="0.25">
      <c r="A720" t="s">
        <v>1675</v>
      </c>
      <c r="B720" s="3" t="s">
        <v>77</v>
      </c>
      <c r="C720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720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720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1</v>
      </c>
      <c r="F720" s="3">
        <f>SUM(TS_ATHLETES[[#This Row],[GOLD MEDALS]:[BRONZE MEDALS]])</f>
        <v>1</v>
      </c>
      <c r="G720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10000010</v>
      </c>
      <c r="H720" s="3">
        <f>IF(TS_ATHLETES[[#This Row],[TOTAL]]=0,"",RANK(TS_ATHLETES[[#This Row],[RANK VALUE]],TS_ATHLETES[RANK VALUE]))</f>
        <v>1224</v>
      </c>
      <c r="I720" s="3">
        <f>IFERROR(IF(TS_ATHLETES[[#This Row],[TOTAL]]=0,"",RANK(TS_ATHLETES[[#This Row],[RANK VALUE]],TS_ATHLETES[RANK VALUE])+COUNTIF($H$1:H719,H720)),"")</f>
        <v>1473</v>
      </c>
    </row>
    <row r="721" spans="1:9" x14ac:dyDescent="0.25">
      <c r="A721" t="s">
        <v>1676</v>
      </c>
      <c r="B721" s="3" t="s">
        <v>77</v>
      </c>
      <c r="C721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721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721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1</v>
      </c>
      <c r="F721" s="3">
        <f>SUM(TS_ATHLETES[[#This Row],[GOLD MEDALS]:[BRONZE MEDALS]])</f>
        <v>1</v>
      </c>
      <c r="G721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10000010</v>
      </c>
      <c r="H721" s="3">
        <f>IF(TS_ATHLETES[[#This Row],[TOTAL]]=0,"",RANK(TS_ATHLETES[[#This Row],[RANK VALUE]],TS_ATHLETES[RANK VALUE]))</f>
        <v>1224</v>
      </c>
      <c r="I721" s="3">
        <f>IFERROR(IF(TS_ATHLETES[[#This Row],[TOTAL]]=0,"",RANK(TS_ATHLETES[[#This Row],[RANK VALUE]],TS_ATHLETES[RANK VALUE])+COUNTIF($H$1:H720,H721)),"")</f>
        <v>1474</v>
      </c>
    </row>
    <row r="722" spans="1:9" x14ac:dyDescent="0.25">
      <c r="A722" t="s">
        <v>1677</v>
      </c>
      <c r="B722" s="3" t="s">
        <v>77</v>
      </c>
      <c r="C722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722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722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1</v>
      </c>
      <c r="F722" s="3">
        <f>SUM(TS_ATHLETES[[#This Row],[GOLD MEDALS]:[BRONZE MEDALS]])</f>
        <v>1</v>
      </c>
      <c r="G722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10000010</v>
      </c>
      <c r="H722" s="3">
        <f>IF(TS_ATHLETES[[#This Row],[TOTAL]]=0,"",RANK(TS_ATHLETES[[#This Row],[RANK VALUE]],TS_ATHLETES[RANK VALUE]))</f>
        <v>1224</v>
      </c>
      <c r="I722" s="3">
        <f>IFERROR(IF(TS_ATHLETES[[#This Row],[TOTAL]]=0,"",RANK(TS_ATHLETES[[#This Row],[RANK VALUE]],TS_ATHLETES[RANK VALUE])+COUNTIF($H$1:H721,H722)),"")</f>
        <v>1475</v>
      </c>
    </row>
    <row r="723" spans="1:9" x14ac:dyDescent="0.25">
      <c r="A723" t="s">
        <v>1678</v>
      </c>
      <c r="B723" s="3" t="s">
        <v>77</v>
      </c>
      <c r="C723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723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723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1</v>
      </c>
      <c r="F723" s="3">
        <f>SUM(TS_ATHLETES[[#This Row],[GOLD MEDALS]:[BRONZE MEDALS]])</f>
        <v>1</v>
      </c>
      <c r="G723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10000010</v>
      </c>
      <c r="H723" s="3">
        <f>IF(TS_ATHLETES[[#This Row],[TOTAL]]=0,"",RANK(TS_ATHLETES[[#This Row],[RANK VALUE]],TS_ATHLETES[RANK VALUE]))</f>
        <v>1224</v>
      </c>
      <c r="I723" s="3">
        <f>IFERROR(IF(TS_ATHLETES[[#This Row],[TOTAL]]=0,"",RANK(TS_ATHLETES[[#This Row],[RANK VALUE]],TS_ATHLETES[RANK VALUE])+COUNTIF($H$1:H722,H723)),"")</f>
        <v>1476</v>
      </c>
    </row>
    <row r="724" spans="1:9" x14ac:dyDescent="0.25">
      <c r="A724" t="s">
        <v>1055</v>
      </c>
      <c r="B724" s="3" t="s">
        <v>177</v>
      </c>
      <c r="C724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1</v>
      </c>
      <c r="D724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724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724" s="3">
        <f>SUM(TS_ATHLETES[[#This Row],[GOLD MEDALS]:[BRONZE MEDALS]])</f>
        <v>1</v>
      </c>
      <c r="G724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10100000</v>
      </c>
      <c r="H724" s="3">
        <f>IF(TS_ATHLETES[[#This Row],[TOTAL]]=0,"",RANK(TS_ATHLETES[[#This Row],[RANK VALUE]],TS_ATHLETES[RANK VALUE]))</f>
        <v>129</v>
      </c>
      <c r="I724" s="3">
        <f>IFERROR(IF(TS_ATHLETES[[#This Row],[TOTAL]]=0,"",RANK(TS_ATHLETES[[#This Row],[RANK VALUE]],TS_ATHLETES[RANK VALUE])+COUNTIF($H$1:H723,H724)),"")</f>
        <v>301</v>
      </c>
    </row>
    <row r="725" spans="1:9" x14ac:dyDescent="0.25">
      <c r="A725" t="s">
        <v>1056</v>
      </c>
      <c r="B725" s="3" t="s">
        <v>177</v>
      </c>
      <c r="C725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1</v>
      </c>
      <c r="D725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725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725" s="3">
        <f>SUM(TS_ATHLETES[[#This Row],[GOLD MEDALS]:[BRONZE MEDALS]])</f>
        <v>1</v>
      </c>
      <c r="G725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10100000</v>
      </c>
      <c r="H725" s="3">
        <f>IF(TS_ATHLETES[[#This Row],[TOTAL]]=0,"",RANK(TS_ATHLETES[[#This Row],[RANK VALUE]],TS_ATHLETES[RANK VALUE]))</f>
        <v>129</v>
      </c>
      <c r="I725" s="3">
        <f>IFERROR(IF(TS_ATHLETES[[#This Row],[TOTAL]]=0,"",RANK(TS_ATHLETES[[#This Row],[RANK VALUE]],TS_ATHLETES[RANK VALUE])+COUNTIF($H$1:H724,H725)),"")</f>
        <v>302</v>
      </c>
    </row>
    <row r="726" spans="1:9" x14ac:dyDescent="0.25">
      <c r="A726" t="s">
        <v>1057</v>
      </c>
      <c r="B726" s="3" t="s">
        <v>177</v>
      </c>
      <c r="C726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1</v>
      </c>
      <c r="D726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726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726" s="3">
        <f>SUM(TS_ATHLETES[[#This Row],[GOLD MEDALS]:[BRONZE MEDALS]])</f>
        <v>1</v>
      </c>
      <c r="G726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10100000</v>
      </c>
      <c r="H726" s="3">
        <f>IF(TS_ATHLETES[[#This Row],[TOTAL]]=0,"",RANK(TS_ATHLETES[[#This Row],[RANK VALUE]],TS_ATHLETES[RANK VALUE]))</f>
        <v>129</v>
      </c>
      <c r="I726" s="3">
        <f>IFERROR(IF(TS_ATHLETES[[#This Row],[TOTAL]]=0,"",RANK(TS_ATHLETES[[#This Row],[RANK VALUE]],TS_ATHLETES[RANK VALUE])+COUNTIF($H$1:H725,H726)),"")</f>
        <v>303</v>
      </c>
    </row>
    <row r="727" spans="1:9" x14ac:dyDescent="0.25">
      <c r="A727" t="s">
        <v>1079</v>
      </c>
      <c r="B727" s="3" t="s">
        <v>177</v>
      </c>
      <c r="C727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1</v>
      </c>
      <c r="D727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727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727" s="3">
        <f>SUM(TS_ATHLETES[[#This Row],[GOLD MEDALS]:[BRONZE MEDALS]])</f>
        <v>1</v>
      </c>
      <c r="G727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10100000</v>
      </c>
      <c r="H727" s="3">
        <f>IF(TS_ATHLETES[[#This Row],[TOTAL]]=0,"",RANK(TS_ATHLETES[[#This Row],[RANK VALUE]],TS_ATHLETES[RANK VALUE]))</f>
        <v>129</v>
      </c>
      <c r="I727" s="3">
        <f>IFERROR(IF(TS_ATHLETES[[#This Row],[TOTAL]]=0,"",RANK(TS_ATHLETES[[#This Row],[RANK VALUE]],TS_ATHLETES[RANK VALUE])+COUNTIF($H$1:H726,H727)),"")</f>
        <v>304</v>
      </c>
    </row>
    <row r="728" spans="1:9" x14ac:dyDescent="0.25">
      <c r="A728" t="s">
        <v>1633</v>
      </c>
      <c r="B728" s="3" t="s">
        <v>177</v>
      </c>
      <c r="C728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1</v>
      </c>
      <c r="D728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728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728" s="3">
        <f>SUM(TS_ATHLETES[[#This Row],[GOLD MEDALS]:[BRONZE MEDALS]])</f>
        <v>1</v>
      </c>
      <c r="G728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10100000</v>
      </c>
      <c r="H728" s="3">
        <f>IF(TS_ATHLETES[[#This Row],[TOTAL]]=0,"",RANK(TS_ATHLETES[[#This Row],[RANK VALUE]],TS_ATHLETES[RANK VALUE]))</f>
        <v>129</v>
      </c>
      <c r="I728" s="3">
        <f>IFERROR(IF(TS_ATHLETES[[#This Row],[TOTAL]]=0,"",RANK(TS_ATHLETES[[#This Row],[RANK VALUE]],TS_ATHLETES[RANK VALUE])+COUNTIF($H$1:H727,H728)),"")</f>
        <v>305</v>
      </c>
    </row>
    <row r="729" spans="1:9" x14ac:dyDescent="0.25">
      <c r="A729" t="s">
        <v>1059</v>
      </c>
      <c r="B729" s="3" t="s">
        <v>179</v>
      </c>
      <c r="C729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729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1</v>
      </c>
      <c r="E729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729" s="3">
        <f>SUM(TS_ATHLETES[[#This Row],[GOLD MEDALS]:[BRONZE MEDALS]])</f>
        <v>1</v>
      </c>
      <c r="G729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10000100</v>
      </c>
      <c r="H729" s="3">
        <f>IF(TS_ATHLETES[[#This Row],[TOTAL]]=0,"",RANK(TS_ATHLETES[[#This Row],[RANK VALUE]],TS_ATHLETES[RANK VALUE]))</f>
        <v>660</v>
      </c>
      <c r="I729" s="3">
        <f>IFERROR(IF(TS_ATHLETES[[#This Row],[TOTAL]]=0,"",RANK(TS_ATHLETES[[#This Row],[RANK VALUE]],TS_ATHLETES[RANK VALUE])+COUNTIF($H$1:H728,H729)),"")</f>
        <v>849</v>
      </c>
    </row>
    <row r="730" spans="1:9" x14ac:dyDescent="0.25">
      <c r="A730" t="s">
        <v>1060</v>
      </c>
      <c r="B730" s="3" t="s">
        <v>179</v>
      </c>
      <c r="C730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730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1</v>
      </c>
      <c r="E730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730" s="3">
        <f>SUM(TS_ATHLETES[[#This Row],[GOLD MEDALS]:[BRONZE MEDALS]])</f>
        <v>1</v>
      </c>
      <c r="G730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10000100</v>
      </c>
      <c r="H730" s="3">
        <f>IF(TS_ATHLETES[[#This Row],[TOTAL]]=0,"",RANK(TS_ATHLETES[[#This Row],[RANK VALUE]],TS_ATHLETES[RANK VALUE]))</f>
        <v>660</v>
      </c>
      <c r="I730" s="3">
        <f>IFERROR(IF(TS_ATHLETES[[#This Row],[TOTAL]]=0,"",RANK(TS_ATHLETES[[#This Row],[RANK VALUE]],TS_ATHLETES[RANK VALUE])+COUNTIF($H$1:H729,H730)),"")</f>
        <v>850</v>
      </c>
    </row>
    <row r="731" spans="1:9" x14ac:dyDescent="0.25">
      <c r="A731" t="s">
        <v>1061</v>
      </c>
      <c r="B731" s="3" t="s">
        <v>179</v>
      </c>
      <c r="C731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731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1</v>
      </c>
      <c r="E731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731" s="3">
        <f>SUM(TS_ATHLETES[[#This Row],[GOLD MEDALS]:[BRONZE MEDALS]])</f>
        <v>1</v>
      </c>
      <c r="G731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10000100</v>
      </c>
      <c r="H731" s="3">
        <f>IF(TS_ATHLETES[[#This Row],[TOTAL]]=0,"",RANK(TS_ATHLETES[[#This Row],[RANK VALUE]],TS_ATHLETES[RANK VALUE]))</f>
        <v>660</v>
      </c>
      <c r="I731" s="3">
        <f>IFERROR(IF(TS_ATHLETES[[#This Row],[TOTAL]]=0,"",RANK(TS_ATHLETES[[#This Row],[RANK VALUE]],TS_ATHLETES[RANK VALUE])+COUNTIF($H$1:H730,H731)),"")</f>
        <v>851</v>
      </c>
    </row>
    <row r="732" spans="1:9" x14ac:dyDescent="0.25">
      <c r="A732" t="s">
        <v>1062</v>
      </c>
      <c r="B732" s="3" t="s">
        <v>179</v>
      </c>
      <c r="C732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732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1</v>
      </c>
      <c r="E732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732" s="3">
        <f>SUM(TS_ATHLETES[[#This Row],[GOLD MEDALS]:[BRONZE MEDALS]])</f>
        <v>1</v>
      </c>
      <c r="G732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10000100</v>
      </c>
      <c r="H732" s="3">
        <f>IF(TS_ATHLETES[[#This Row],[TOTAL]]=0,"",RANK(TS_ATHLETES[[#This Row],[RANK VALUE]],TS_ATHLETES[RANK VALUE]))</f>
        <v>660</v>
      </c>
      <c r="I732" s="3">
        <f>IFERROR(IF(TS_ATHLETES[[#This Row],[TOTAL]]=0,"",RANK(TS_ATHLETES[[#This Row],[RANK VALUE]],TS_ATHLETES[RANK VALUE])+COUNTIF($H$1:H731,H732)),"")</f>
        <v>852</v>
      </c>
    </row>
    <row r="733" spans="1:9" x14ac:dyDescent="0.25">
      <c r="A733" t="s">
        <v>1063</v>
      </c>
      <c r="B733" s="3" t="s">
        <v>66</v>
      </c>
      <c r="C733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733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733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1</v>
      </c>
      <c r="F733" s="3">
        <f>SUM(TS_ATHLETES[[#This Row],[GOLD MEDALS]:[BRONZE MEDALS]])</f>
        <v>1</v>
      </c>
      <c r="G733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10000010</v>
      </c>
      <c r="H733" s="3">
        <f>IF(TS_ATHLETES[[#This Row],[TOTAL]]=0,"",RANK(TS_ATHLETES[[#This Row],[RANK VALUE]],TS_ATHLETES[RANK VALUE]))</f>
        <v>1224</v>
      </c>
      <c r="I733" s="3">
        <f>IFERROR(IF(TS_ATHLETES[[#This Row],[TOTAL]]=0,"",RANK(TS_ATHLETES[[#This Row],[RANK VALUE]],TS_ATHLETES[RANK VALUE])+COUNTIF($H$1:H732,H733)),"")</f>
        <v>1477</v>
      </c>
    </row>
    <row r="734" spans="1:9" x14ac:dyDescent="0.25">
      <c r="A734" t="s">
        <v>1064</v>
      </c>
      <c r="B734" s="3" t="s">
        <v>66</v>
      </c>
      <c r="C734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734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734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1</v>
      </c>
      <c r="F734" s="3">
        <f>SUM(TS_ATHLETES[[#This Row],[GOLD MEDALS]:[BRONZE MEDALS]])</f>
        <v>1</v>
      </c>
      <c r="G734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10000010</v>
      </c>
      <c r="H734" s="3">
        <f>IF(TS_ATHLETES[[#This Row],[TOTAL]]=0,"",RANK(TS_ATHLETES[[#This Row],[RANK VALUE]],TS_ATHLETES[RANK VALUE]))</f>
        <v>1224</v>
      </c>
      <c r="I734" s="3">
        <f>IFERROR(IF(TS_ATHLETES[[#This Row],[TOTAL]]=0,"",RANK(TS_ATHLETES[[#This Row],[RANK VALUE]],TS_ATHLETES[RANK VALUE])+COUNTIF($H$1:H733,H734)),"")</f>
        <v>1478</v>
      </c>
    </row>
    <row r="735" spans="1:9" x14ac:dyDescent="0.25">
      <c r="A735" t="s">
        <v>1065</v>
      </c>
      <c r="B735" s="3" t="s">
        <v>66</v>
      </c>
      <c r="C735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735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735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1</v>
      </c>
      <c r="F735" s="3">
        <f>SUM(TS_ATHLETES[[#This Row],[GOLD MEDALS]:[BRONZE MEDALS]])</f>
        <v>1</v>
      </c>
      <c r="G735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10000010</v>
      </c>
      <c r="H735" s="3">
        <f>IF(TS_ATHLETES[[#This Row],[TOTAL]]=0,"",RANK(TS_ATHLETES[[#This Row],[RANK VALUE]],TS_ATHLETES[RANK VALUE]))</f>
        <v>1224</v>
      </c>
      <c r="I735" s="3">
        <f>IFERROR(IF(TS_ATHLETES[[#This Row],[TOTAL]]=0,"",RANK(TS_ATHLETES[[#This Row],[RANK VALUE]],TS_ATHLETES[RANK VALUE])+COUNTIF($H$1:H734,H735)),"")</f>
        <v>1479</v>
      </c>
    </row>
    <row r="736" spans="1:9" x14ac:dyDescent="0.25">
      <c r="A736" t="s">
        <v>1080</v>
      </c>
      <c r="B736" s="3" t="s">
        <v>66</v>
      </c>
      <c r="C736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736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736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1</v>
      </c>
      <c r="F736" s="3">
        <f>SUM(TS_ATHLETES[[#This Row],[GOLD MEDALS]:[BRONZE MEDALS]])</f>
        <v>1</v>
      </c>
      <c r="G736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10000010</v>
      </c>
      <c r="H736" s="3">
        <f>IF(TS_ATHLETES[[#This Row],[TOTAL]]=0,"",RANK(TS_ATHLETES[[#This Row],[RANK VALUE]],TS_ATHLETES[RANK VALUE]))</f>
        <v>1224</v>
      </c>
      <c r="I736" s="3">
        <f>IFERROR(IF(TS_ATHLETES[[#This Row],[TOTAL]]=0,"",RANK(TS_ATHLETES[[#This Row],[RANK VALUE]],TS_ATHLETES[RANK VALUE])+COUNTIF($H$1:H735,H736)),"")</f>
        <v>1480</v>
      </c>
    </row>
    <row r="737" spans="1:9" x14ac:dyDescent="0.25">
      <c r="A737" t="s">
        <v>1067</v>
      </c>
      <c r="B737" s="3" t="s">
        <v>363</v>
      </c>
      <c r="C737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1</v>
      </c>
      <c r="D737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737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737" s="3">
        <f>SUM(TS_ATHLETES[[#This Row],[GOLD MEDALS]:[BRONZE MEDALS]])</f>
        <v>1</v>
      </c>
      <c r="G737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10100000</v>
      </c>
      <c r="H737" s="3">
        <f>IF(TS_ATHLETES[[#This Row],[TOTAL]]=0,"",RANK(TS_ATHLETES[[#This Row],[RANK VALUE]],TS_ATHLETES[RANK VALUE]))</f>
        <v>129</v>
      </c>
      <c r="I737" s="3">
        <f>IFERROR(IF(TS_ATHLETES[[#This Row],[TOTAL]]=0,"",RANK(TS_ATHLETES[[#This Row],[RANK VALUE]],TS_ATHLETES[RANK VALUE])+COUNTIF($H$1:H736,H737)),"")</f>
        <v>306</v>
      </c>
    </row>
    <row r="738" spans="1:9" x14ac:dyDescent="0.25">
      <c r="A738" t="s">
        <v>1068</v>
      </c>
      <c r="B738" s="3" t="s">
        <v>363</v>
      </c>
      <c r="C738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1</v>
      </c>
      <c r="D738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738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738" s="3">
        <f>SUM(TS_ATHLETES[[#This Row],[GOLD MEDALS]:[BRONZE MEDALS]])</f>
        <v>1</v>
      </c>
      <c r="G738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10100000</v>
      </c>
      <c r="H738" s="3">
        <f>IF(TS_ATHLETES[[#This Row],[TOTAL]]=0,"",RANK(TS_ATHLETES[[#This Row],[RANK VALUE]],TS_ATHLETES[RANK VALUE]))</f>
        <v>129</v>
      </c>
      <c r="I738" s="3">
        <f>IFERROR(IF(TS_ATHLETES[[#This Row],[TOTAL]]=0,"",RANK(TS_ATHLETES[[#This Row],[RANK VALUE]],TS_ATHLETES[RANK VALUE])+COUNTIF($H$1:H737,H738)),"")</f>
        <v>307</v>
      </c>
    </row>
    <row r="739" spans="1:9" x14ac:dyDescent="0.25">
      <c r="A739" t="s">
        <v>1069</v>
      </c>
      <c r="B739" s="3" t="s">
        <v>363</v>
      </c>
      <c r="C739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1</v>
      </c>
      <c r="D739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739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739" s="3">
        <f>SUM(TS_ATHLETES[[#This Row],[GOLD MEDALS]:[BRONZE MEDALS]])</f>
        <v>1</v>
      </c>
      <c r="G739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10100000</v>
      </c>
      <c r="H739" s="3">
        <f>IF(TS_ATHLETES[[#This Row],[TOTAL]]=0,"",RANK(TS_ATHLETES[[#This Row],[RANK VALUE]],TS_ATHLETES[RANK VALUE]))</f>
        <v>129</v>
      </c>
      <c r="I739" s="3">
        <f>IFERROR(IF(TS_ATHLETES[[#This Row],[TOTAL]]=0,"",RANK(TS_ATHLETES[[#This Row],[RANK VALUE]],TS_ATHLETES[RANK VALUE])+COUNTIF($H$1:H738,H739)),"")</f>
        <v>308</v>
      </c>
    </row>
    <row r="740" spans="1:9" x14ac:dyDescent="0.25">
      <c r="A740" t="s">
        <v>1081</v>
      </c>
      <c r="B740" s="3" t="s">
        <v>363</v>
      </c>
      <c r="C740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1</v>
      </c>
      <c r="D740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740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740" s="3">
        <f>SUM(TS_ATHLETES[[#This Row],[GOLD MEDALS]:[BRONZE MEDALS]])</f>
        <v>1</v>
      </c>
      <c r="G740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10100000</v>
      </c>
      <c r="H740" s="3">
        <f>IF(TS_ATHLETES[[#This Row],[TOTAL]]=0,"",RANK(TS_ATHLETES[[#This Row],[RANK VALUE]],TS_ATHLETES[RANK VALUE]))</f>
        <v>129</v>
      </c>
      <c r="I740" s="3">
        <f>IFERROR(IF(TS_ATHLETES[[#This Row],[TOTAL]]=0,"",RANK(TS_ATHLETES[[#This Row],[RANK VALUE]],TS_ATHLETES[RANK VALUE])+COUNTIF($H$1:H739,H740)),"")</f>
        <v>309</v>
      </c>
    </row>
    <row r="741" spans="1:9" x14ac:dyDescent="0.25">
      <c r="A741" t="s">
        <v>1082</v>
      </c>
      <c r="B741" s="3" t="s">
        <v>363</v>
      </c>
      <c r="C741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1</v>
      </c>
      <c r="D741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741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741" s="3">
        <f>SUM(TS_ATHLETES[[#This Row],[GOLD MEDALS]:[BRONZE MEDALS]])</f>
        <v>1</v>
      </c>
      <c r="G741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10100000</v>
      </c>
      <c r="H741" s="3">
        <f>IF(TS_ATHLETES[[#This Row],[TOTAL]]=0,"",RANK(TS_ATHLETES[[#This Row],[RANK VALUE]],TS_ATHLETES[RANK VALUE]))</f>
        <v>129</v>
      </c>
      <c r="I741" s="3">
        <f>IFERROR(IF(TS_ATHLETES[[#This Row],[TOTAL]]=0,"",RANK(TS_ATHLETES[[#This Row],[RANK VALUE]],TS_ATHLETES[RANK VALUE])+COUNTIF($H$1:H740,H741)),"")</f>
        <v>310</v>
      </c>
    </row>
    <row r="742" spans="1:9" x14ac:dyDescent="0.25">
      <c r="A742" t="s">
        <v>1071</v>
      </c>
      <c r="B742" s="3" t="s">
        <v>177</v>
      </c>
      <c r="C742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742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1</v>
      </c>
      <c r="E742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742" s="3">
        <f>SUM(TS_ATHLETES[[#This Row],[GOLD MEDALS]:[BRONZE MEDALS]])</f>
        <v>1</v>
      </c>
      <c r="G742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10000100</v>
      </c>
      <c r="H742" s="3">
        <f>IF(TS_ATHLETES[[#This Row],[TOTAL]]=0,"",RANK(TS_ATHLETES[[#This Row],[RANK VALUE]],TS_ATHLETES[RANK VALUE]))</f>
        <v>660</v>
      </c>
      <c r="I742" s="3">
        <f>IFERROR(IF(TS_ATHLETES[[#This Row],[TOTAL]]=0,"",RANK(TS_ATHLETES[[#This Row],[RANK VALUE]],TS_ATHLETES[RANK VALUE])+COUNTIF($H$1:H741,H742)),"")</f>
        <v>853</v>
      </c>
    </row>
    <row r="743" spans="1:9" x14ac:dyDescent="0.25">
      <c r="A743" t="s">
        <v>1072</v>
      </c>
      <c r="B743" s="3" t="s">
        <v>177</v>
      </c>
      <c r="C743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743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1</v>
      </c>
      <c r="E743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743" s="3">
        <f>SUM(TS_ATHLETES[[#This Row],[GOLD MEDALS]:[BRONZE MEDALS]])</f>
        <v>1</v>
      </c>
      <c r="G743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10000100</v>
      </c>
      <c r="H743" s="3">
        <f>IF(TS_ATHLETES[[#This Row],[TOTAL]]=0,"",RANK(TS_ATHLETES[[#This Row],[RANK VALUE]],TS_ATHLETES[RANK VALUE]))</f>
        <v>660</v>
      </c>
      <c r="I743" s="3">
        <f>IFERROR(IF(TS_ATHLETES[[#This Row],[TOTAL]]=0,"",RANK(TS_ATHLETES[[#This Row],[RANK VALUE]],TS_ATHLETES[RANK VALUE])+COUNTIF($H$1:H742,H743)),"")</f>
        <v>854</v>
      </c>
    </row>
    <row r="744" spans="1:9" x14ac:dyDescent="0.25">
      <c r="A744" t="s">
        <v>1073</v>
      </c>
      <c r="B744" s="3" t="s">
        <v>177</v>
      </c>
      <c r="C744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744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1</v>
      </c>
      <c r="E744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744" s="3">
        <f>SUM(TS_ATHLETES[[#This Row],[GOLD MEDALS]:[BRONZE MEDALS]])</f>
        <v>1</v>
      </c>
      <c r="G744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10000100</v>
      </c>
      <c r="H744" s="3">
        <f>IF(TS_ATHLETES[[#This Row],[TOTAL]]=0,"",RANK(TS_ATHLETES[[#This Row],[RANK VALUE]],TS_ATHLETES[RANK VALUE]))</f>
        <v>660</v>
      </c>
      <c r="I744" s="3">
        <f>IFERROR(IF(TS_ATHLETES[[#This Row],[TOTAL]]=0,"",RANK(TS_ATHLETES[[#This Row],[RANK VALUE]],TS_ATHLETES[RANK VALUE])+COUNTIF($H$1:H743,H744)),"")</f>
        <v>855</v>
      </c>
    </row>
    <row r="745" spans="1:9" x14ac:dyDescent="0.25">
      <c r="A745" t="s">
        <v>1074</v>
      </c>
      <c r="B745" s="3" t="s">
        <v>177</v>
      </c>
      <c r="C745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745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1</v>
      </c>
      <c r="E745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745" s="3">
        <f>SUM(TS_ATHLETES[[#This Row],[GOLD MEDALS]:[BRONZE MEDALS]])</f>
        <v>1</v>
      </c>
      <c r="G745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10000100</v>
      </c>
      <c r="H745" s="3">
        <f>IF(TS_ATHLETES[[#This Row],[TOTAL]]=0,"",RANK(TS_ATHLETES[[#This Row],[RANK VALUE]],TS_ATHLETES[RANK VALUE]))</f>
        <v>660</v>
      </c>
      <c r="I745" s="3">
        <f>IFERROR(IF(TS_ATHLETES[[#This Row],[TOTAL]]=0,"",RANK(TS_ATHLETES[[#This Row],[RANK VALUE]],TS_ATHLETES[RANK VALUE])+COUNTIF($H$1:H744,H745)),"")</f>
        <v>856</v>
      </c>
    </row>
    <row r="746" spans="1:9" x14ac:dyDescent="0.25">
      <c r="A746" t="s">
        <v>1083</v>
      </c>
      <c r="B746" s="3" t="s">
        <v>177</v>
      </c>
      <c r="C746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746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1</v>
      </c>
      <c r="E746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746" s="3">
        <f>SUM(TS_ATHLETES[[#This Row],[GOLD MEDALS]:[BRONZE MEDALS]])</f>
        <v>1</v>
      </c>
      <c r="G746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10000100</v>
      </c>
      <c r="H746" s="3">
        <f>IF(TS_ATHLETES[[#This Row],[TOTAL]]=0,"",RANK(TS_ATHLETES[[#This Row],[RANK VALUE]],TS_ATHLETES[RANK VALUE]))</f>
        <v>660</v>
      </c>
      <c r="I746" s="3">
        <f>IFERROR(IF(TS_ATHLETES[[#This Row],[TOTAL]]=0,"",RANK(TS_ATHLETES[[#This Row],[RANK VALUE]],TS_ATHLETES[RANK VALUE])+COUNTIF($H$1:H745,H746)),"")</f>
        <v>857</v>
      </c>
    </row>
    <row r="747" spans="1:9" x14ac:dyDescent="0.25">
      <c r="A747" t="s">
        <v>1075</v>
      </c>
      <c r="B747" s="3" t="s">
        <v>27</v>
      </c>
      <c r="C747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747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747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1</v>
      </c>
      <c r="F747" s="3">
        <f>SUM(TS_ATHLETES[[#This Row],[GOLD MEDALS]:[BRONZE MEDALS]])</f>
        <v>1</v>
      </c>
      <c r="G747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10000010</v>
      </c>
      <c r="H747" s="3">
        <f>IF(TS_ATHLETES[[#This Row],[TOTAL]]=0,"",RANK(TS_ATHLETES[[#This Row],[RANK VALUE]],TS_ATHLETES[RANK VALUE]))</f>
        <v>1224</v>
      </c>
      <c r="I747" s="3">
        <f>IFERROR(IF(TS_ATHLETES[[#This Row],[TOTAL]]=0,"",RANK(TS_ATHLETES[[#This Row],[RANK VALUE]],TS_ATHLETES[RANK VALUE])+COUNTIF($H$1:H746,H747)),"")</f>
        <v>1481</v>
      </c>
    </row>
    <row r="748" spans="1:9" x14ac:dyDescent="0.25">
      <c r="A748" t="s">
        <v>1076</v>
      </c>
      <c r="B748" s="3" t="s">
        <v>27</v>
      </c>
      <c r="C748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748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748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1</v>
      </c>
      <c r="F748" s="3">
        <f>SUM(TS_ATHLETES[[#This Row],[GOLD MEDALS]:[BRONZE MEDALS]])</f>
        <v>1</v>
      </c>
      <c r="G748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10000010</v>
      </c>
      <c r="H748" s="3">
        <f>IF(TS_ATHLETES[[#This Row],[TOTAL]]=0,"",RANK(TS_ATHLETES[[#This Row],[RANK VALUE]],TS_ATHLETES[RANK VALUE]))</f>
        <v>1224</v>
      </c>
      <c r="I748" s="3">
        <f>IFERROR(IF(TS_ATHLETES[[#This Row],[TOTAL]]=0,"",RANK(TS_ATHLETES[[#This Row],[RANK VALUE]],TS_ATHLETES[RANK VALUE])+COUNTIF($H$1:H747,H748)),"")</f>
        <v>1482</v>
      </c>
    </row>
    <row r="749" spans="1:9" x14ac:dyDescent="0.25">
      <c r="A749" t="s">
        <v>1077</v>
      </c>
      <c r="B749" s="3" t="s">
        <v>27</v>
      </c>
      <c r="C749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749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749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1</v>
      </c>
      <c r="F749" s="3">
        <f>SUM(TS_ATHLETES[[#This Row],[GOLD MEDALS]:[BRONZE MEDALS]])</f>
        <v>1</v>
      </c>
      <c r="G749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10000010</v>
      </c>
      <c r="H749" s="3">
        <f>IF(TS_ATHLETES[[#This Row],[TOTAL]]=0,"",RANK(TS_ATHLETES[[#This Row],[RANK VALUE]],TS_ATHLETES[RANK VALUE]))</f>
        <v>1224</v>
      </c>
      <c r="I749" s="3">
        <f>IFERROR(IF(TS_ATHLETES[[#This Row],[TOTAL]]=0,"",RANK(TS_ATHLETES[[#This Row],[RANK VALUE]],TS_ATHLETES[RANK VALUE])+COUNTIF($H$1:H748,H749)),"")</f>
        <v>1483</v>
      </c>
    </row>
    <row r="750" spans="1:9" x14ac:dyDescent="0.25">
      <c r="A750" t="s">
        <v>1078</v>
      </c>
      <c r="B750" s="3" t="s">
        <v>27</v>
      </c>
      <c r="C750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750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750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1</v>
      </c>
      <c r="F750" s="3">
        <f>SUM(TS_ATHLETES[[#This Row],[GOLD MEDALS]:[BRONZE MEDALS]])</f>
        <v>1</v>
      </c>
      <c r="G750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10000010</v>
      </c>
      <c r="H750" s="3">
        <f>IF(TS_ATHLETES[[#This Row],[TOTAL]]=0,"",RANK(TS_ATHLETES[[#This Row],[RANK VALUE]],TS_ATHLETES[RANK VALUE]))</f>
        <v>1224</v>
      </c>
      <c r="I750" s="3">
        <f>IFERROR(IF(TS_ATHLETES[[#This Row],[TOTAL]]=0,"",RANK(TS_ATHLETES[[#This Row],[RANK VALUE]],TS_ATHLETES[RANK VALUE])+COUNTIF($H$1:H749,H750)),"")</f>
        <v>1484</v>
      </c>
    </row>
    <row r="751" spans="1:9" x14ac:dyDescent="0.25">
      <c r="A751" t="s">
        <v>1084</v>
      </c>
      <c r="B751" s="3" t="s">
        <v>27</v>
      </c>
      <c r="C751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751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751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1</v>
      </c>
      <c r="F751" s="3">
        <f>SUM(TS_ATHLETES[[#This Row],[GOLD MEDALS]:[BRONZE MEDALS]])</f>
        <v>1</v>
      </c>
      <c r="G751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10000010</v>
      </c>
      <c r="H751" s="3">
        <f>IF(TS_ATHLETES[[#This Row],[TOTAL]]=0,"",RANK(TS_ATHLETES[[#This Row],[RANK VALUE]],TS_ATHLETES[RANK VALUE]))</f>
        <v>1224</v>
      </c>
      <c r="I751" s="3">
        <f>IFERROR(IF(TS_ATHLETES[[#This Row],[TOTAL]]=0,"",RANK(TS_ATHLETES[[#This Row],[RANK VALUE]],TS_ATHLETES[RANK VALUE])+COUNTIF($H$1:H750,H751)),"")</f>
        <v>1485</v>
      </c>
    </row>
    <row r="752" spans="1:9" x14ac:dyDescent="0.25">
      <c r="A752" t="s">
        <v>1634</v>
      </c>
      <c r="B752" s="3" t="s">
        <v>363</v>
      </c>
      <c r="C752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1</v>
      </c>
      <c r="D752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752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752" s="3">
        <f>SUM(TS_ATHLETES[[#This Row],[GOLD MEDALS]:[BRONZE MEDALS]])</f>
        <v>1</v>
      </c>
      <c r="G752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10100000</v>
      </c>
      <c r="H752" s="3">
        <f>IF(TS_ATHLETES[[#This Row],[TOTAL]]=0,"",RANK(TS_ATHLETES[[#This Row],[RANK VALUE]],TS_ATHLETES[RANK VALUE]))</f>
        <v>129</v>
      </c>
      <c r="I752" s="3">
        <f>IFERROR(IF(TS_ATHLETES[[#This Row],[TOTAL]]=0,"",RANK(TS_ATHLETES[[#This Row],[RANK VALUE]],TS_ATHLETES[RANK VALUE])+COUNTIF($H$1:H751,H752)),"")</f>
        <v>311</v>
      </c>
    </row>
    <row r="753" spans="1:9" x14ac:dyDescent="0.25">
      <c r="A753" t="s">
        <v>1635</v>
      </c>
      <c r="B753" s="3" t="s">
        <v>363</v>
      </c>
      <c r="C753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1</v>
      </c>
      <c r="D753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753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753" s="3">
        <f>SUM(TS_ATHLETES[[#This Row],[GOLD MEDALS]:[BRONZE MEDALS]])</f>
        <v>1</v>
      </c>
      <c r="G753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10100000</v>
      </c>
      <c r="H753" s="3">
        <f>IF(TS_ATHLETES[[#This Row],[TOTAL]]=0,"",RANK(TS_ATHLETES[[#This Row],[RANK VALUE]],TS_ATHLETES[RANK VALUE]))</f>
        <v>129</v>
      </c>
      <c r="I753" s="3">
        <f>IFERROR(IF(TS_ATHLETES[[#This Row],[TOTAL]]=0,"",RANK(TS_ATHLETES[[#This Row],[RANK VALUE]],TS_ATHLETES[RANK VALUE])+COUNTIF($H$1:H752,H753)),"")</f>
        <v>312</v>
      </c>
    </row>
    <row r="754" spans="1:9" x14ac:dyDescent="0.25">
      <c r="A754" t="s">
        <v>1636</v>
      </c>
      <c r="B754" s="3" t="s">
        <v>177</v>
      </c>
      <c r="C754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754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1</v>
      </c>
      <c r="E754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754" s="3">
        <f>SUM(TS_ATHLETES[[#This Row],[GOLD MEDALS]:[BRONZE MEDALS]])</f>
        <v>1</v>
      </c>
      <c r="G754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10000100</v>
      </c>
      <c r="H754" s="3">
        <f>IF(TS_ATHLETES[[#This Row],[TOTAL]]=0,"",RANK(TS_ATHLETES[[#This Row],[RANK VALUE]],TS_ATHLETES[RANK VALUE]))</f>
        <v>660</v>
      </c>
      <c r="I754" s="3">
        <f>IFERROR(IF(TS_ATHLETES[[#This Row],[TOTAL]]=0,"",RANK(TS_ATHLETES[[#This Row],[RANK VALUE]],TS_ATHLETES[RANK VALUE])+COUNTIF($H$1:H753,H754)),"")</f>
        <v>858</v>
      </c>
    </row>
    <row r="755" spans="1:9" x14ac:dyDescent="0.25">
      <c r="A755" t="s">
        <v>1637</v>
      </c>
      <c r="B755" s="3" t="s">
        <v>177</v>
      </c>
      <c r="C755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755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1</v>
      </c>
      <c r="E755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755" s="3">
        <f>SUM(TS_ATHLETES[[#This Row],[GOLD MEDALS]:[BRONZE MEDALS]])</f>
        <v>1</v>
      </c>
      <c r="G755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10000100</v>
      </c>
      <c r="H755" s="3">
        <f>IF(TS_ATHLETES[[#This Row],[TOTAL]]=0,"",RANK(TS_ATHLETES[[#This Row],[RANK VALUE]],TS_ATHLETES[RANK VALUE]))</f>
        <v>660</v>
      </c>
      <c r="I755" s="3">
        <f>IFERROR(IF(TS_ATHLETES[[#This Row],[TOTAL]]=0,"",RANK(TS_ATHLETES[[#This Row],[RANK VALUE]],TS_ATHLETES[RANK VALUE])+COUNTIF($H$1:H754,H755)),"")</f>
        <v>859</v>
      </c>
    </row>
    <row r="756" spans="1:9" x14ac:dyDescent="0.25">
      <c r="A756" t="s">
        <v>1638</v>
      </c>
      <c r="B756" s="3" t="s">
        <v>177</v>
      </c>
      <c r="C756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756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1</v>
      </c>
      <c r="E756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756" s="3">
        <f>SUM(TS_ATHLETES[[#This Row],[GOLD MEDALS]:[BRONZE MEDALS]])</f>
        <v>1</v>
      </c>
      <c r="G756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10000100</v>
      </c>
      <c r="H756" s="3">
        <f>IF(TS_ATHLETES[[#This Row],[TOTAL]]=0,"",RANK(TS_ATHLETES[[#This Row],[RANK VALUE]],TS_ATHLETES[RANK VALUE]))</f>
        <v>660</v>
      </c>
      <c r="I756" s="3">
        <f>IFERROR(IF(TS_ATHLETES[[#This Row],[TOTAL]]=0,"",RANK(TS_ATHLETES[[#This Row],[RANK VALUE]],TS_ATHLETES[RANK VALUE])+COUNTIF($H$1:H755,H756)),"")</f>
        <v>860</v>
      </c>
    </row>
    <row r="757" spans="1:9" x14ac:dyDescent="0.25">
      <c r="A757" t="s">
        <v>1639</v>
      </c>
      <c r="B757" s="3" t="s">
        <v>177</v>
      </c>
      <c r="C757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757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1</v>
      </c>
      <c r="E757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757" s="3">
        <f>SUM(TS_ATHLETES[[#This Row],[GOLD MEDALS]:[BRONZE MEDALS]])</f>
        <v>1</v>
      </c>
      <c r="G757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10000100</v>
      </c>
      <c r="H757" s="3">
        <f>IF(TS_ATHLETES[[#This Row],[TOTAL]]=0,"",RANK(TS_ATHLETES[[#This Row],[RANK VALUE]],TS_ATHLETES[RANK VALUE]))</f>
        <v>660</v>
      </c>
      <c r="I757" s="3">
        <f>IFERROR(IF(TS_ATHLETES[[#This Row],[TOTAL]]=0,"",RANK(TS_ATHLETES[[#This Row],[RANK VALUE]],TS_ATHLETES[RANK VALUE])+COUNTIF($H$1:H756,H757)),"")</f>
        <v>861</v>
      </c>
    </row>
    <row r="758" spans="1:9" x14ac:dyDescent="0.25">
      <c r="A758" t="s">
        <v>1640</v>
      </c>
      <c r="B758" s="3" t="s">
        <v>361</v>
      </c>
      <c r="C758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758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758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1</v>
      </c>
      <c r="F758" s="3">
        <f>SUM(TS_ATHLETES[[#This Row],[GOLD MEDALS]:[BRONZE MEDALS]])</f>
        <v>1</v>
      </c>
      <c r="G758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10000010</v>
      </c>
      <c r="H758" s="3">
        <f>IF(TS_ATHLETES[[#This Row],[TOTAL]]=0,"",RANK(TS_ATHLETES[[#This Row],[RANK VALUE]],TS_ATHLETES[RANK VALUE]))</f>
        <v>1224</v>
      </c>
      <c r="I758" s="3">
        <f>IFERROR(IF(TS_ATHLETES[[#This Row],[TOTAL]]=0,"",RANK(TS_ATHLETES[[#This Row],[RANK VALUE]],TS_ATHLETES[RANK VALUE])+COUNTIF($H$1:H757,H758)),"")</f>
        <v>1486</v>
      </c>
    </row>
    <row r="759" spans="1:9" x14ac:dyDescent="0.25">
      <c r="A759" t="s">
        <v>1641</v>
      </c>
      <c r="B759" s="3" t="s">
        <v>361</v>
      </c>
      <c r="C759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759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759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1</v>
      </c>
      <c r="F759" s="3">
        <f>SUM(TS_ATHLETES[[#This Row],[GOLD MEDALS]:[BRONZE MEDALS]])</f>
        <v>1</v>
      </c>
      <c r="G759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10000010</v>
      </c>
      <c r="H759" s="3">
        <f>IF(TS_ATHLETES[[#This Row],[TOTAL]]=0,"",RANK(TS_ATHLETES[[#This Row],[RANK VALUE]],TS_ATHLETES[RANK VALUE]))</f>
        <v>1224</v>
      </c>
      <c r="I759" s="3">
        <f>IFERROR(IF(TS_ATHLETES[[#This Row],[TOTAL]]=0,"",RANK(TS_ATHLETES[[#This Row],[RANK VALUE]],TS_ATHLETES[RANK VALUE])+COUNTIF($H$1:H758,H759)),"")</f>
        <v>1487</v>
      </c>
    </row>
    <row r="760" spans="1:9" x14ac:dyDescent="0.25">
      <c r="A760" t="s">
        <v>1642</v>
      </c>
      <c r="B760" s="3" t="s">
        <v>361</v>
      </c>
      <c r="C760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760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760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1</v>
      </c>
      <c r="F760" s="3">
        <f>SUM(TS_ATHLETES[[#This Row],[GOLD MEDALS]:[BRONZE MEDALS]])</f>
        <v>1</v>
      </c>
      <c r="G760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10000010</v>
      </c>
      <c r="H760" s="3">
        <f>IF(TS_ATHLETES[[#This Row],[TOTAL]]=0,"",RANK(TS_ATHLETES[[#This Row],[RANK VALUE]],TS_ATHLETES[RANK VALUE]))</f>
        <v>1224</v>
      </c>
      <c r="I760" s="3">
        <f>IFERROR(IF(TS_ATHLETES[[#This Row],[TOTAL]]=0,"",RANK(TS_ATHLETES[[#This Row],[RANK VALUE]],TS_ATHLETES[RANK VALUE])+COUNTIF($H$1:H759,H760)),"")</f>
        <v>1488</v>
      </c>
    </row>
    <row r="761" spans="1:9" x14ac:dyDescent="0.25">
      <c r="A761" t="s">
        <v>1643</v>
      </c>
      <c r="B761" s="3" t="s">
        <v>361</v>
      </c>
      <c r="C761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761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761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1</v>
      </c>
      <c r="F761" s="3">
        <f>SUM(TS_ATHLETES[[#This Row],[GOLD MEDALS]:[BRONZE MEDALS]])</f>
        <v>1</v>
      </c>
      <c r="G761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10000010</v>
      </c>
      <c r="H761" s="3">
        <f>IF(TS_ATHLETES[[#This Row],[TOTAL]]=0,"",RANK(TS_ATHLETES[[#This Row],[RANK VALUE]],TS_ATHLETES[RANK VALUE]))</f>
        <v>1224</v>
      </c>
      <c r="I761" s="3">
        <f>IFERROR(IF(TS_ATHLETES[[#This Row],[TOTAL]]=0,"",RANK(TS_ATHLETES[[#This Row],[RANK VALUE]],TS_ATHLETES[RANK VALUE])+COUNTIF($H$1:H760,H761)),"")</f>
        <v>1489</v>
      </c>
    </row>
    <row r="762" spans="1:9" x14ac:dyDescent="0.25">
      <c r="A762" t="s">
        <v>1644</v>
      </c>
      <c r="B762" s="3" t="s">
        <v>363</v>
      </c>
      <c r="C762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1</v>
      </c>
      <c r="D762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762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762" s="3">
        <f>SUM(TS_ATHLETES[[#This Row],[GOLD MEDALS]:[BRONZE MEDALS]])</f>
        <v>1</v>
      </c>
      <c r="G762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10100000</v>
      </c>
      <c r="H762" s="3">
        <f>IF(TS_ATHLETES[[#This Row],[TOTAL]]=0,"",RANK(TS_ATHLETES[[#This Row],[RANK VALUE]],TS_ATHLETES[RANK VALUE]))</f>
        <v>129</v>
      </c>
      <c r="I762" s="3">
        <f>IFERROR(IF(TS_ATHLETES[[#This Row],[TOTAL]]=0,"",RANK(TS_ATHLETES[[#This Row],[RANK VALUE]],TS_ATHLETES[RANK VALUE])+COUNTIF($H$1:H761,H762)),"")</f>
        <v>313</v>
      </c>
    </row>
    <row r="763" spans="1:9" x14ac:dyDescent="0.25">
      <c r="A763" t="s">
        <v>1645</v>
      </c>
      <c r="B763" s="3" t="s">
        <v>363</v>
      </c>
      <c r="C763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1</v>
      </c>
      <c r="D763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763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763" s="3">
        <f>SUM(TS_ATHLETES[[#This Row],[GOLD MEDALS]:[BRONZE MEDALS]])</f>
        <v>1</v>
      </c>
      <c r="G763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10100000</v>
      </c>
      <c r="H763" s="3">
        <f>IF(TS_ATHLETES[[#This Row],[TOTAL]]=0,"",RANK(TS_ATHLETES[[#This Row],[RANK VALUE]],TS_ATHLETES[RANK VALUE]))</f>
        <v>129</v>
      </c>
      <c r="I763" s="3">
        <f>IFERROR(IF(TS_ATHLETES[[#This Row],[TOTAL]]=0,"",RANK(TS_ATHLETES[[#This Row],[RANK VALUE]],TS_ATHLETES[RANK VALUE])+COUNTIF($H$1:H762,H763)),"")</f>
        <v>314</v>
      </c>
    </row>
    <row r="764" spans="1:9" x14ac:dyDescent="0.25">
      <c r="A764" t="s">
        <v>1646</v>
      </c>
      <c r="B764" s="3" t="s">
        <v>363</v>
      </c>
      <c r="C764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1</v>
      </c>
      <c r="D764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764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764" s="3">
        <f>SUM(TS_ATHLETES[[#This Row],[GOLD MEDALS]:[BRONZE MEDALS]])</f>
        <v>1</v>
      </c>
      <c r="G764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10100000</v>
      </c>
      <c r="H764" s="3">
        <f>IF(TS_ATHLETES[[#This Row],[TOTAL]]=0,"",RANK(TS_ATHLETES[[#This Row],[RANK VALUE]],TS_ATHLETES[RANK VALUE]))</f>
        <v>129</v>
      </c>
      <c r="I764" s="3">
        <f>IFERROR(IF(TS_ATHLETES[[#This Row],[TOTAL]]=0,"",RANK(TS_ATHLETES[[#This Row],[RANK VALUE]],TS_ATHLETES[RANK VALUE])+COUNTIF($H$1:H763,H764)),"")</f>
        <v>315</v>
      </c>
    </row>
    <row r="765" spans="1:9" x14ac:dyDescent="0.25">
      <c r="A765" t="s">
        <v>1647</v>
      </c>
      <c r="B765" s="3" t="s">
        <v>363</v>
      </c>
      <c r="C765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1</v>
      </c>
      <c r="D765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765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765" s="3">
        <f>SUM(TS_ATHLETES[[#This Row],[GOLD MEDALS]:[BRONZE MEDALS]])</f>
        <v>1</v>
      </c>
      <c r="G765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10100000</v>
      </c>
      <c r="H765" s="3">
        <f>IF(TS_ATHLETES[[#This Row],[TOTAL]]=0,"",RANK(TS_ATHLETES[[#This Row],[RANK VALUE]],TS_ATHLETES[RANK VALUE]))</f>
        <v>129</v>
      </c>
      <c r="I765" s="3">
        <f>IFERROR(IF(TS_ATHLETES[[#This Row],[TOTAL]]=0,"",RANK(TS_ATHLETES[[#This Row],[RANK VALUE]],TS_ATHLETES[RANK VALUE])+COUNTIF($H$1:H764,H765)),"")</f>
        <v>316</v>
      </c>
    </row>
    <row r="766" spans="1:9" x14ac:dyDescent="0.25">
      <c r="A766" t="s">
        <v>1648</v>
      </c>
      <c r="B766" s="3" t="s">
        <v>363</v>
      </c>
      <c r="C766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1</v>
      </c>
      <c r="D766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766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766" s="3">
        <f>SUM(TS_ATHLETES[[#This Row],[GOLD MEDALS]:[BRONZE MEDALS]])</f>
        <v>1</v>
      </c>
      <c r="G766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10100000</v>
      </c>
      <c r="H766" s="3">
        <f>IF(TS_ATHLETES[[#This Row],[TOTAL]]=0,"",RANK(TS_ATHLETES[[#This Row],[RANK VALUE]],TS_ATHLETES[RANK VALUE]))</f>
        <v>129</v>
      </c>
      <c r="I766" s="3">
        <f>IFERROR(IF(TS_ATHLETES[[#This Row],[TOTAL]]=0,"",RANK(TS_ATHLETES[[#This Row],[RANK VALUE]],TS_ATHLETES[RANK VALUE])+COUNTIF($H$1:H765,H766)),"")</f>
        <v>317</v>
      </c>
    </row>
    <row r="767" spans="1:9" x14ac:dyDescent="0.25">
      <c r="A767" t="s">
        <v>1649</v>
      </c>
      <c r="B767" s="3" t="s">
        <v>177</v>
      </c>
      <c r="C767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767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1</v>
      </c>
      <c r="E767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767" s="3">
        <f>SUM(TS_ATHLETES[[#This Row],[GOLD MEDALS]:[BRONZE MEDALS]])</f>
        <v>1</v>
      </c>
      <c r="G767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10000100</v>
      </c>
      <c r="H767" s="3">
        <f>IF(TS_ATHLETES[[#This Row],[TOTAL]]=0,"",RANK(TS_ATHLETES[[#This Row],[RANK VALUE]],TS_ATHLETES[RANK VALUE]))</f>
        <v>660</v>
      </c>
      <c r="I767" s="3">
        <f>IFERROR(IF(TS_ATHLETES[[#This Row],[TOTAL]]=0,"",RANK(TS_ATHLETES[[#This Row],[RANK VALUE]],TS_ATHLETES[RANK VALUE])+COUNTIF($H$1:H766,H767)),"")</f>
        <v>862</v>
      </c>
    </row>
    <row r="768" spans="1:9" x14ac:dyDescent="0.25">
      <c r="A768" t="s">
        <v>1650</v>
      </c>
      <c r="B768" s="3" t="s">
        <v>177</v>
      </c>
      <c r="C768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768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1</v>
      </c>
      <c r="E768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768" s="3">
        <f>SUM(TS_ATHLETES[[#This Row],[GOLD MEDALS]:[BRONZE MEDALS]])</f>
        <v>1</v>
      </c>
      <c r="G768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10000100</v>
      </c>
      <c r="H768" s="3">
        <f>IF(TS_ATHLETES[[#This Row],[TOTAL]]=0,"",RANK(TS_ATHLETES[[#This Row],[RANK VALUE]],TS_ATHLETES[RANK VALUE]))</f>
        <v>660</v>
      </c>
      <c r="I768" s="3">
        <f>IFERROR(IF(TS_ATHLETES[[#This Row],[TOTAL]]=0,"",RANK(TS_ATHLETES[[#This Row],[RANK VALUE]],TS_ATHLETES[RANK VALUE])+COUNTIF($H$1:H767,H768)),"")</f>
        <v>863</v>
      </c>
    </row>
    <row r="769" spans="1:9" x14ac:dyDescent="0.25">
      <c r="A769" t="s">
        <v>1651</v>
      </c>
      <c r="B769" s="3" t="s">
        <v>177</v>
      </c>
      <c r="C769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769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1</v>
      </c>
      <c r="E769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769" s="3">
        <f>SUM(TS_ATHLETES[[#This Row],[GOLD MEDALS]:[BRONZE MEDALS]])</f>
        <v>1</v>
      </c>
      <c r="G769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10000100</v>
      </c>
      <c r="H769" s="3">
        <f>IF(TS_ATHLETES[[#This Row],[TOTAL]]=0,"",RANK(TS_ATHLETES[[#This Row],[RANK VALUE]],TS_ATHLETES[RANK VALUE]))</f>
        <v>660</v>
      </c>
      <c r="I769" s="3">
        <f>IFERROR(IF(TS_ATHLETES[[#This Row],[TOTAL]]=0,"",RANK(TS_ATHLETES[[#This Row],[RANK VALUE]],TS_ATHLETES[RANK VALUE])+COUNTIF($H$1:H768,H769)),"")</f>
        <v>864</v>
      </c>
    </row>
    <row r="770" spans="1:9" x14ac:dyDescent="0.25">
      <c r="A770" t="s">
        <v>1652</v>
      </c>
      <c r="B770" s="3" t="s">
        <v>177</v>
      </c>
      <c r="C770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770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1</v>
      </c>
      <c r="E770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770" s="3">
        <f>SUM(TS_ATHLETES[[#This Row],[GOLD MEDALS]:[BRONZE MEDALS]])</f>
        <v>1</v>
      </c>
      <c r="G770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10000100</v>
      </c>
      <c r="H770" s="3">
        <f>IF(TS_ATHLETES[[#This Row],[TOTAL]]=0,"",RANK(TS_ATHLETES[[#This Row],[RANK VALUE]],TS_ATHLETES[RANK VALUE]))</f>
        <v>660</v>
      </c>
      <c r="I770" s="3">
        <f>IFERROR(IF(TS_ATHLETES[[#This Row],[TOTAL]]=0,"",RANK(TS_ATHLETES[[#This Row],[RANK VALUE]],TS_ATHLETES[RANK VALUE])+COUNTIF($H$1:H769,H770)),"")</f>
        <v>865</v>
      </c>
    </row>
    <row r="771" spans="1:9" x14ac:dyDescent="0.25">
      <c r="A771" t="s">
        <v>1653</v>
      </c>
      <c r="B771" s="3" t="s">
        <v>177</v>
      </c>
      <c r="C771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771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1</v>
      </c>
      <c r="E771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771" s="3">
        <f>SUM(TS_ATHLETES[[#This Row],[GOLD MEDALS]:[BRONZE MEDALS]])</f>
        <v>1</v>
      </c>
      <c r="G771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10000100</v>
      </c>
      <c r="H771" s="3">
        <f>IF(TS_ATHLETES[[#This Row],[TOTAL]]=0,"",RANK(TS_ATHLETES[[#This Row],[RANK VALUE]],TS_ATHLETES[RANK VALUE]))</f>
        <v>660</v>
      </c>
      <c r="I771" s="3">
        <f>IFERROR(IF(TS_ATHLETES[[#This Row],[TOTAL]]=0,"",RANK(TS_ATHLETES[[#This Row],[RANK VALUE]],TS_ATHLETES[RANK VALUE])+COUNTIF($H$1:H770,H771)),"")</f>
        <v>866</v>
      </c>
    </row>
    <row r="772" spans="1:9" x14ac:dyDescent="0.25">
      <c r="A772" t="s">
        <v>1654</v>
      </c>
      <c r="B772" s="3" t="s">
        <v>361</v>
      </c>
      <c r="C772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772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772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1</v>
      </c>
      <c r="F772" s="3">
        <f>SUM(TS_ATHLETES[[#This Row],[GOLD MEDALS]:[BRONZE MEDALS]])</f>
        <v>1</v>
      </c>
      <c r="G772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10000010</v>
      </c>
      <c r="H772" s="3">
        <f>IF(TS_ATHLETES[[#This Row],[TOTAL]]=0,"",RANK(TS_ATHLETES[[#This Row],[RANK VALUE]],TS_ATHLETES[RANK VALUE]))</f>
        <v>1224</v>
      </c>
      <c r="I772" s="3">
        <f>IFERROR(IF(TS_ATHLETES[[#This Row],[TOTAL]]=0,"",RANK(TS_ATHLETES[[#This Row],[RANK VALUE]],TS_ATHLETES[RANK VALUE])+COUNTIF($H$1:H771,H772)),"")</f>
        <v>1490</v>
      </c>
    </row>
    <row r="773" spans="1:9" x14ac:dyDescent="0.25">
      <c r="A773" t="s">
        <v>1655</v>
      </c>
      <c r="B773" s="3" t="s">
        <v>361</v>
      </c>
      <c r="C773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773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773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1</v>
      </c>
      <c r="F773" s="3">
        <f>SUM(TS_ATHLETES[[#This Row],[GOLD MEDALS]:[BRONZE MEDALS]])</f>
        <v>1</v>
      </c>
      <c r="G773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10000010</v>
      </c>
      <c r="H773" s="3">
        <f>IF(TS_ATHLETES[[#This Row],[TOTAL]]=0,"",RANK(TS_ATHLETES[[#This Row],[RANK VALUE]],TS_ATHLETES[RANK VALUE]))</f>
        <v>1224</v>
      </c>
      <c r="I773" s="3">
        <f>IFERROR(IF(TS_ATHLETES[[#This Row],[TOTAL]]=0,"",RANK(TS_ATHLETES[[#This Row],[RANK VALUE]],TS_ATHLETES[RANK VALUE])+COUNTIF($H$1:H772,H773)),"")</f>
        <v>1491</v>
      </c>
    </row>
    <row r="774" spans="1:9" x14ac:dyDescent="0.25">
      <c r="A774" t="s">
        <v>1656</v>
      </c>
      <c r="B774" s="3" t="s">
        <v>361</v>
      </c>
      <c r="C774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774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774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1</v>
      </c>
      <c r="F774" s="3">
        <f>SUM(TS_ATHLETES[[#This Row],[GOLD MEDALS]:[BRONZE MEDALS]])</f>
        <v>1</v>
      </c>
      <c r="G774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10000010</v>
      </c>
      <c r="H774" s="3">
        <f>IF(TS_ATHLETES[[#This Row],[TOTAL]]=0,"",RANK(TS_ATHLETES[[#This Row],[RANK VALUE]],TS_ATHLETES[RANK VALUE]))</f>
        <v>1224</v>
      </c>
      <c r="I774" s="3">
        <f>IFERROR(IF(TS_ATHLETES[[#This Row],[TOTAL]]=0,"",RANK(TS_ATHLETES[[#This Row],[RANK VALUE]],TS_ATHLETES[RANK VALUE])+COUNTIF($H$1:H773,H774)),"")</f>
        <v>1492</v>
      </c>
    </row>
    <row r="775" spans="1:9" x14ac:dyDescent="0.25">
      <c r="A775" t="s">
        <v>1657</v>
      </c>
      <c r="B775" s="3" t="s">
        <v>361</v>
      </c>
      <c r="C775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775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775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1</v>
      </c>
      <c r="F775" s="3">
        <f>SUM(TS_ATHLETES[[#This Row],[GOLD MEDALS]:[BRONZE MEDALS]])</f>
        <v>1</v>
      </c>
      <c r="G775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10000010</v>
      </c>
      <c r="H775" s="3">
        <f>IF(TS_ATHLETES[[#This Row],[TOTAL]]=0,"",RANK(TS_ATHLETES[[#This Row],[RANK VALUE]],TS_ATHLETES[RANK VALUE]))</f>
        <v>1224</v>
      </c>
      <c r="I775" s="3">
        <f>IFERROR(IF(TS_ATHLETES[[#This Row],[TOTAL]]=0,"",RANK(TS_ATHLETES[[#This Row],[RANK VALUE]],TS_ATHLETES[RANK VALUE])+COUNTIF($H$1:H774,H775)),"")</f>
        <v>1493</v>
      </c>
    </row>
    <row r="776" spans="1:9" x14ac:dyDescent="0.25">
      <c r="A776" t="s">
        <v>1658</v>
      </c>
      <c r="B776" s="3" t="s">
        <v>361</v>
      </c>
      <c r="C776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776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776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1</v>
      </c>
      <c r="F776" s="3">
        <f>SUM(TS_ATHLETES[[#This Row],[GOLD MEDALS]:[BRONZE MEDALS]])</f>
        <v>1</v>
      </c>
      <c r="G776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10000010</v>
      </c>
      <c r="H776" s="3">
        <f>IF(TS_ATHLETES[[#This Row],[TOTAL]]=0,"",RANK(TS_ATHLETES[[#This Row],[RANK VALUE]],TS_ATHLETES[RANK VALUE]))</f>
        <v>1224</v>
      </c>
      <c r="I776" s="3">
        <f>IFERROR(IF(TS_ATHLETES[[#This Row],[TOTAL]]=0,"",RANK(TS_ATHLETES[[#This Row],[RANK VALUE]],TS_ATHLETES[RANK VALUE])+COUNTIF($H$1:H775,H776)),"")</f>
        <v>1494</v>
      </c>
    </row>
    <row r="777" spans="1:9" x14ac:dyDescent="0.25">
      <c r="A777" t="s">
        <v>1679</v>
      </c>
      <c r="B777" s="3" t="s">
        <v>217</v>
      </c>
      <c r="C777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777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1</v>
      </c>
      <c r="E777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777" s="3">
        <f>SUM(TS_ATHLETES[[#This Row],[GOLD MEDALS]:[BRONZE MEDALS]])</f>
        <v>1</v>
      </c>
      <c r="G777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10000100</v>
      </c>
      <c r="H777" s="3">
        <f>IF(TS_ATHLETES[[#This Row],[TOTAL]]=0,"",RANK(TS_ATHLETES[[#This Row],[RANK VALUE]],TS_ATHLETES[RANK VALUE]))</f>
        <v>660</v>
      </c>
      <c r="I777" s="3">
        <f>IFERROR(IF(TS_ATHLETES[[#This Row],[TOTAL]]=0,"",RANK(TS_ATHLETES[[#This Row],[RANK VALUE]],TS_ATHLETES[RANK VALUE])+COUNTIF($H$1:H776,H777)),"")</f>
        <v>867</v>
      </c>
    </row>
    <row r="778" spans="1:9" x14ac:dyDescent="0.25">
      <c r="A778" t="s">
        <v>1680</v>
      </c>
      <c r="B778" s="3" t="s">
        <v>217</v>
      </c>
      <c r="C778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778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1</v>
      </c>
      <c r="E778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778" s="3">
        <f>SUM(TS_ATHLETES[[#This Row],[GOLD MEDALS]:[BRONZE MEDALS]])</f>
        <v>1</v>
      </c>
      <c r="G778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10000100</v>
      </c>
      <c r="H778" s="3">
        <f>IF(TS_ATHLETES[[#This Row],[TOTAL]]=0,"",RANK(TS_ATHLETES[[#This Row],[RANK VALUE]],TS_ATHLETES[RANK VALUE]))</f>
        <v>660</v>
      </c>
      <c r="I778" s="3">
        <f>IFERROR(IF(TS_ATHLETES[[#This Row],[TOTAL]]=0,"",RANK(TS_ATHLETES[[#This Row],[RANK VALUE]],TS_ATHLETES[RANK VALUE])+COUNTIF($H$1:H777,H778)),"")</f>
        <v>868</v>
      </c>
    </row>
    <row r="779" spans="1:9" x14ac:dyDescent="0.25">
      <c r="A779" t="s">
        <v>1681</v>
      </c>
      <c r="B779" s="3" t="s">
        <v>77</v>
      </c>
      <c r="C779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1</v>
      </c>
      <c r="D779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779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779" s="3">
        <f>SUM(TS_ATHLETES[[#This Row],[GOLD MEDALS]:[BRONZE MEDALS]])</f>
        <v>1</v>
      </c>
      <c r="G779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10100000</v>
      </c>
      <c r="H779" s="3">
        <f>IF(TS_ATHLETES[[#This Row],[TOTAL]]=0,"",RANK(TS_ATHLETES[[#This Row],[RANK VALUE]],TS_ATHLETES[RANK VALUE]))</f>
        <v>129</v>
      </c>
      <c r="I779" s="3">
        <f>IFERROR(IF(TS_ATHLETES[[#This Row],[TOTAL]]=0,"",RANK(TS_ATHLETES[[#This Row],[RANK VALUE]],TS_ATHLETES[RANK VALUE])+COUNTIF($H$1:H778,H779)),"")</f>
        <v>318</v>
      </c>
    </row>
    <row r="780" spans="1:9" x14ac:dyDescent="0.25">
      <c r="A780" t="s">
        <v>1682</v>
      </c>
      <c r="B780" s="3" t="s">
        <v>77</v>
      </c>
      <c r="C780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1</v>
      </c>
      <c r="D780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780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1</v>
      </c>
      <c r="F780" s="3">
        <f>SUM(TS_ATHLETES[[#This Row],[GOLD MEDALS]:[BRONZE MEDALS]])</f>
        <v>2</v>
      </c>
      <c r="G780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20100010</v>
      </c>
      <c r="H780" s="3">
        <f>IF(TS_ATHLETES[[#This Row],[TOTAL]]=0,"",RANK(TS_ATHLETES[[#This Row],[RANK VALUE]],TS_ATHLETES[RANK VALUE]))</f>
        <v>71</v>
      </c>
      <c r="I780" s="3">
        <f>IFERROR(IF(TS_ATHLETES[[#This Row],[TOTAL]]=0,"",RANK(TS_ATHLETES[[#This Row],[RANK VALUE]],TS_ATHLETES[RANK VALUE])+COUNTIF($H$1:H779,H780)),"")</f>
        <v>90</v>
      </c>
    </row>
    <row r="781" spans="1:9" x14ac:dyDescent="0.25">
      <c r="A781" t="s">
        <v>1683</v>
      </c>
      <c r="B781" s="3" t="s">
        <v>361</v>
      </c>
      <c r="C781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781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781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1</v>
      </c>
      <c r="F781" s="3">
        <f>SUM(TS_ATHLETES[[#This Row],[GOLD MEDALS]:[BRONZE MEDALS]])</f>
        <v>1</v>
      </c>
      <c r="G781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10000010</v>
      </c>
      <c r="H781" s="3">
        <f>IF(TS_ATHLETES[[#This Row],[TOTAL]]=0,"",RANK(TS_ATHLETES[[#This Row],[RANK VALUE]],TS_ATHLETES[RANK VALUE]))</f>
        <v>1224</v>
      </c>
      <c r="I781" s="3">
        <f>IFERROR(IF(TS_ATHLETES[[#This Row],[TOTAL]]=0,"",RANK(TS_ATHLETES[[#This Row],[RANK VALUE]],TS_ATHLETES[RANK VALUE])+COUNTIF($H$1:H780,H781)),"")</f>
        <v>1495</v>
      </c>
    </row>
    <row r="782" spans="1:9" x14ac:dyDescent="0.25">
      <c r="A782" t="s">
        <v>1684</v>
      </c>
      <c r="B782" s="3" t="s">
        <v>361</v>
      </c>
      <c r="C782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782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782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1</v>
      </c>
      <c r="F782" s="3">
        <f>SUM(TS_ATHLETES[[#This Row],[GOLD MEDALS]:[BRONZE MEDALS]])</f>
        <v>1</v>
      </c>
      <c r="G782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10000010</v>
      </c>
      <c r="H782" s="3">
        <f>IF(TS_ATHLETES[[#This Row],[TOTAL]]=0,"",RANK(TS_ATHLETES[[#This Row],[RANK VALUE]],TS_ATHLETES[RANK VALUE]))</f>
        <v>1224</v>
      </c>
      <c r="I782" s="3">
        <f>IFERROR(IF(TS_ATHLETES[[#This Row],[TOTAL]]=0,"",RANK(TS_ATHLETES[[#This Row],[RANK VALUE]],TS_ATHLETES[RANK VALUE])+COUNTIF($H$1:H781,H782)),"")</f>
        <v>1496</v>
      </c>
    </row>
    <row r="783" spans="1:9" x14ac:dyDescent="0.25">
      <c r="A783" t="s">
        <v>1685</v>
      </c>
      <c r="B783" s="3" t="s">
        <v>179</v>
      </c>
      <c r="C783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1</v>
      </c>
      <c r="D783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783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783" s="3">
        <f>SUM(TS_ATHLETES[[#This Row],[GOLD MEDALS]:[BRONZE MEDALS]])</f>
        <v>1</v>
      </c>
      <c r="G783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10100000</v>
      </c>
      <c r="H783" s="3">
        <f>IF(TS_ATHLETES[[#This Row],[TOTAL]]=0,"",RANK(TS_ATHLETES[[#This Row],[RANK VALUE]],TS_ATHLETES[RANK VALUE]))</f>
        <v>129</v>
      </c>
      <c r="I783" s="3">
        <f>IFERROR(IF(TS_ATHLETES[[#This Row],[TOTAL]]=0,"",RANK(TS_ATHLETES[[#This Row],[RANK VALUE]],TS_ATHLETES[RANK VALUE])+COUNTIF($H$1:H782,H783)),"")</f>
        <v>319</v>
      </c>
    </row>
    <row r="784" spans="1:9" x14ac:dyDescent="0.25">
      <c r="A784" t="s">
        <v>1686</v>
      </c>
      <c r="B784" s="3" t="s">
        <v>179</v>
      </c>
      <c r="C784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1</v>
      </c>
      <c r="D784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784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784" s="3">
        <f>SUM(TS_ATHLETES[[#This Row],[GOLD MEDALS]:[BRONZE MEDALS]])</f>
        <v>1</v>
      </c>
      <c r="G784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10100000</v>
      </c>
      <c r="H784" s="3">
        <f>IF(TS_ATHLETES[[#This Row],[TOTAL]]=0,"",RANK(TS_ATHLETES[[#This Row],[RANK VALUE]],TS_ATHLETES[RANK VALUE]))</f>
        <v>129</v>
      </c>
      <c r="I784" s="3">
        <f>IFERROR(IF(TS_ATHLETES[[#This Row],[TOTAL]]=0,"",RANK(TS_ATHLETES[[#This Row],[RANK VALUE]],TS_ATHLETES[RANK VALUE])+COUNTIF($H$1:H783,H784)),"")</f>
        <v>320</v>
      </c>
    </row>
    <row r="785" spans="1:9" x14ac:dyDescent="0.25">
      <c r="A785" t="s">
        <v>1687</v>
      </c>
      <c r="B785" s="3" t="s">
        <v>100</v>
      </c>
      <c r="C785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785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1</v>
      </c>
      <c r="E785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785" s="3">
        <f>SUM(TS_ATHLETES[[#This Row],[GOLD MEDALS]:[BRONZE MEDALS]])</f>
        <v>1</v>
      </c>
      <c r="G785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10000100</v>
      </c>
      <c r="H785" s="3">
        <f>IF(TS_ATHLETES[[#This Row],[TOTAL]]=0,"",RANK(TS_ATHLETES[[#This Row],[RANK VALUE]],TS_ATHLETES[RANK VALUE]))</f>
        <v>660</v>
      </c>
      <c r="I785" s="3">
        <f>IFERROR(IF(TS_ATHLETES[[#This Row],[TOTAL]]=0,"",RANK(TS_ATHLETES[[#This Row],[RANK VALUE]],TS_ATHLETES[RANK VALUE])+COUNTIF($H$1:H784,H785)),"")</f>
        <v>869</v>
      </c>
    </row>
    <row r="786" spans="1:9" x14ac:dyDescent="0.25">
      <c r="A786" t="s">
        <v>1688</v>
      </c>
      <c r="B786" s="3" t="s">
        <v>100</v>
      </c>
      <c r="C786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786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1</v>
      </c>
      <c r="E786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786" s="3">
        <f>SUM(TS_ATHLETES[[#This Row],[GOLD MEDALS]:[BRONZE MEDALS]])</f>
        <v>1</v>
      </c>
      <c r="G786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10000100</v>
      </c>
      <c r="H786" s="3">
        <f>IF(TS_ATHLETES[[#This Row],[TOTAL]]=0,"",RANK(TS_ATHLETES[[#This Row],[RANK VALUE]],TS_ATHLETES[RANK VALUE]))</f>
        <v>660</v>
      </c>
      <c r="I786" s="3">
        <f>IFERROR(IF(TS_ATHLETES[[#This Row],[TOTAL]]=0,"",RANK(TS_ATHLETES[[#This Row],[RANK VALUE]],TS_ATHLETES[RANK VALUE])+COUNTIF($H$1:H785,H786)),"")</f>
        <v>870</v>
      </c>
    </row>
    <row r="787" spans="1:9" x14ac:dyDescent="0.25">
      <c r="A787" t="s">
        <v>1689</v>
      </c>
      <c r="B787" s="3" t="s">
        <v>187</v>
      </c>
      <c r="C787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787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787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1</v>
      </c>
      <c r="F787" s="3">
        <f>SUM(TS_ATHLETES[[#This Row],[GOLD MEDALS]:[BRONZE MEDALS]])</f>
        <v>1</v>
      </c>
      <c r="G787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10000010</v>
      </c>
      <c r="H787" s="3">
        <f>IF(TS_ATHLETES[[#This Row],[TOTAL]]=0,"",RANK(TS_ATHLETES[[#This Row],[RANK VALUE]],TS_ATHLETES[RANK VALUE]))</f>
        <v>1224</v>
      </c>
      <c r="I787" s="3">
        <f>IFERROR(IF(TS_ATHLETES[[#This Row],[TOTAL]]=0,"",RANK(TS_ATHLETES[[#This Row],[RANK VALUE]],TS_ATHLETES[RANK VALUE])+COUNTIF($H$1:H786,H787)),"")</f>
        <v>1497</v>
      </c>
    </row>
    <row r="788" spans="1:9" x14ac:dyDescent="0.25">
      <c r="A788" t="s">
        <v>1690</v>
      </c>
      <c r="B788" s="3" t="s">
        <v>187</v>
      </c>
      <c r="C788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788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788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1</v>
      </c>
      <c r="F788" s="3">
        <f>SUM(TS_ATHLETES[[#This Row],[GOLD MEDALS]:[BRONZE MEDALS]])</f>
        <v>1</v>
      </c>
      <c r="G788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10000010</v>
      </c>
      <c r="H788" s="3">
        <f>IF(TS_ATHLETES[[#This Row],[TOTAL]]=0,"",RANK(TS_ATHLETES[[#This Row],[RANK VALUE]],TS_ATHLETES[RANK VALUE]))</f>
        <v>1224</v>
      </c>
      <c r="I788" s="3">
        <f>IFERROR(IF(TS_ATHLETES[[#This Row],[TOTAL]]=0,"",RANK(TS_ATHLETES[[#This Row],[RANK VALUE]],TS_ATHLETES[RANK VALUE])+COUNTIF($H$1:H787,H788)),"")</f>
        <v>1498</v>
      </c>
    </row>
    <row r="789" spans="1:9" x14ac:dyDescent="0.25">
      <c r="A789" t="s">
        <v>1691</v>
      </c>
      <c r="B789" s="3" t="s">
        <v>165</v>
      </c>
      <c r="C789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1</v>
      </c>
      <c r="D789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789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789" s="3">
        <f>SUM(TS_ATHLETES[[#This Row],[GOLD MEDALS]:[BRONZE MEDALS]])</f>
        <v>1</v>
      </c>
      <c r="G789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10100000</v>
      </c>
      <c r="H789" s="3">
        <f>IF(TS_ATHLETES[[#This Row],[TOTAL]]=0,"",RANK(TS_ATHLETES[[#This Row],[RANK VALUE]],TS_ATHLETES[RANK VALUE]))</f>
        <v>129</v>
      </c>
      <c r="I789" s="3">
        <f>IFERROR(IF(TS_ATHLETES[[#This Row],[TOTAL]]=0,"",RANK(TS_ATHLETES[[#This Row],[RANK VALUE]],TS_ATHLETES[RANK VALUE])+COUNTIF($H$1:H788,H789)),"")</f>
        <v>321</v>
      </c>
    </row>
    <row r="790" spans="1:9" x14ac:dyDescent="0.25">
      <c r="A790" t="s">
        <v>1692</v>
      </c>
      <c r="B790" s="3" t="s">
        <v>165</v>
      </c>
      <c r="C790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1</v>
      </c>
      <c r="D790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790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790" s="3">
        <f>SUM(TS_ATHLETES[[#This Row],[GOLD MEDALS]:[BRONZE MEDALS]])</f>
        <v>1</v>
      </c>
      <c r="G790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10100000</v>
      </c>
      <c r="H790" s="3">
        <f>IF(TS_ATHLETES[[#This Row],[TOTAL]]=0,"",RANK(TS_ATHLETES[[#This Row],[RANK VALUE]],TS_ATHLETES[RANK VALUE]))</f>
        <v>129</v>
      </c>
      <c r="I790" s="3">
        <f>IFERROR(IF(TS_ATHLETES[[#This Row],[TOTAL]]=0,"",RANK(TS_ATHLETES[[#This Row],[RANK VALUE]],TS_ATHLETES[RANK VALUE])+COUNTIF($H$1:H789,H790)),"")</f>
        <v>322</v>
      </c>
    </row>
    <row r="791" spans="1:9" x14ac:dyDescent="0.25">
      <c r="A791" t="s">
        <v>1693</v>
      </c>
      <c r="B791" s="3" t="s">
        <v>217</v>
      </c>
      <c r="C791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791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1</v>
      </c>
      <c r="E791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791" s="3">
        <f>SUM(TS_ATHLETES[[#This Row],[GOLD MEDALS]:[BRONZE MEDALS]])</f>
        <v>1</v>
      </c>
      <c r="G791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10000100</v>
      </c>
      <c r="H791" s="3">
        <f>IF(TS_ATHLETES[[#This Row],[TOTAL]]=0,"",RANK(TS_ATHLETES[[#This Row],[RANK VALUE]],TS_ATHLETES[RANK VALUE]))</f>
        <v>660</v>
      </c>
      <c r="I791" s="3">
        <f>IFERROR(IF(TS_ATHLETES[[#This Row],[TOTAL]]=0,"",RANK(TS_ATHLETES[[#This Row],[RANK VALUE]],TS_ATHLETES[RANK VALUE])+COUNTIF($H$1:H790,H791)),"")</f>
        <v>871</v>
      </c>
    </row>
    <row r="792" spans="1:9" x14ac:dyDescent="0.25">
      <c r="A792" t="s">
        <v>1694</v>
      </c>
      <c r="B792" s="3" t="s">
        <v>217</v>
      </c>
      <c r="C792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792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1</v>
      </c>
      <c r="E792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792" s="3">
        <f>SUM(TS_ATHLETES[[#This Row],[GOLD MEDALS]:[BRONZE MEDALS]])</f>
        <v>1</v>
      </c>
      <c r="G792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10000100</v>
      </c>
      <c r="H792" s="3">
        <f>IF(TS_ATHLETES[[#This Row],[TOTAL]]=0,"",RANK(TS_ATHLETES[[#This Row],[RANK VALUE]],TS_ATHLETES[RANK VALUE]))</f>
        <v>660</v>
      </c>
      <c r="I792" s="3">
        <f>IFERROR(IF(TS_ATHLETES[[#This Row],[TOTAL]]=0,"",RANK(TS_ATHLETES[[#This Row],[RANK VALUE]],TS_ATHLETES[RANK VALUE])+COUNTIF($H$1:H791,H792)),"")</f>
        <v>872</v>
      </c>
    </row>
    <row r="793" spans="1:9" x14ac:dyDescent="0.25">
      <c r="A793" t="s">
        <v>1695</v>
      </c>
      <c r="B793" s="3" t="s">
        <v>77</v>
      </c>
      <c r="C793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793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793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1</v>
      </c>
      <c r="F793" s="3">
        <f>SUM(TS_ATHLETES[[#This Row],[GOLD MEDALS]:[BRONZE MEDALS]])</f>
        <v>1</v>
      </c>
      <c r="G793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10000010</v>
      </c>
      <c r="H793" s="3">
        <f>IF(TS_ATHLETES[[#This Row],[TOTAL]]=0,"",RANK(TS_ATHLETES[[#This Row],[RANK VALUE]],TS_ATHLETES[RANK VALUE]))</f>
        <v>1224</v>
      </c>
      <c r="I793" s="3">
        <f>IFERROR(IF(TS_ATHLETES[[#This Row],[TOTAL]]=0,"",RANK(TS_ATHLETES[[#This Row],[RANK VALUE]],TS_ATHLETES[RANK VALUE])+COUNTIF($H$1:H792,H793)),"")</f>
        <v>1499</v>
      </c>
    </row>
    <row r="794" spans="1:9" x14ac:dyDescent="0.25">
      <c r="A794" t="s">
        <v>1696</v>
      </c>
      <c r="B794" s="3" t="s">
        <v>363</v>
      </c>
      <c r="C794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1</v>
      </c>
      <c r="D794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794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794" s="3">
        <f>SUM(TS_ATHLETES[[#This Row],[GOLD MEDALS]:[BRONZE MEDALS]])</f>
        <v>1</v>
      </c>
      <c r="G794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10100000</v>
      </c>
      <c r="H794" s="3">
        <f>IF(TS_ATHLETES[[#This Row],[TOTAL]]=0,"",RANK(TS_ATHLETES[[#This Row],[RANK VALUE]],TS_ATHLETES[RANK VALUE]))</f>
        <v>129</v>
      </c>
      <c r="I794" s="3">
        <f>IFERROR(IF(TS_ATHLETES[[#This Row],[TOTAL]]=0,"",RANK(TS_ATHLETES[[#This Row],[RANK VALUE]],TS_ATHLETES[RANK VALUE])+COUNTIF($H$1:H793,H794)),"")</f>
        <v>323</v>
      </c>
    </row>
    <row r="795" spans="1:9" x14ac:dyDescent="0.25">
      <c r="A795" t="s">
        <v>1697</v>
      </c>
      <c r="B795" s="3" t="s">
        <v>363</v>
      </c>
      <c r="C795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1</v>
      </c>
      <c r="D795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795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795" s="3">
        <f>SUM(TS_ATHLETES[[#This Row],[GOLD MEDALS]:[BRONZE MEDALS]])</f>
        <v>1</v>
      </c>
      <c r="G795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10100000</v>
      </c>
      <c r="H795" s="3">
        <f>IF(TS_ATHLETES[[#This Row],[TOTAL]]=0,"",RANK(TS_ATHLETES[[#This Row],[RANK VALUE]],TS_ATHLETES[RANK VALUE]))</f>
        <v>129</v>
      </c>
      <c r="I795" s="3">
        <f>IFERROR(IF(TS_ATHLETES[[#This Row],[TOTAL]]=0,"",RANK(TS_ATHLETES[[#This Row],[RANK VALUE]],TS_ATHLETES[RANK VALUE])+COUNTIF($H$1:H794,H795)),"")</f>
        <v>324</v>
      </c>
    </row>
    <row r="796" spans="1:9" x14ac:dyDescent="0.25">
      <c r="A796" t="s">
        <v>1698</v>
      </c>
      <c r="B796" s="3" t="s">
        <v>363</v>
      </c>
      <c r="C796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1</v>
      </c>
      <c r="D796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796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796" s="3">
        <f>SUM(TS_ATHLETES[[#This Row],[GOLD MEDALS]:[BRONZE MEDALS]])</f>
        <v>1</v>
      </c>
      <c r="G796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10100000</v>
      </c>
      <c r="H796" s="3">
        <f>IF(TS_ATHLETES[[#This Row],[TOTAL]]=0,"",RANK(TS_ATHLETES[[#This Row],[RANK VALUE]],TS_ATHLETES[RANK VALUE]))</f>
        <v>129</v>
      </c>
      <c r="I796" s="3">
        <f>IFERROR(IF(TS_ATHLETES[[#This Row],[TOTAL]]=0,"",RANK(TS_ATHLETES[[#This Row],[RANK VALUE]],TS_ATHLETES[RANK VALUE])+COUNTIF($H$1:H795,H796)),"")</f>
        <v>325</v>
      </c>
    </row>
    <row r="797" spans="1:9" x14ac:dyDescent="0.25">
      <c r="A797" t="s">
        <v>1699</v>
      </c>
      <c r="B797" s="3" t="s">
        <v>363</v>
      </c>
      <c r="C797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1</v>
      </c>
      <c r="D797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797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797" s="3">
        <f>SUM(TS_ATHLETES[[#This Row],[GOLD MEDALS]:[BRONZE MEDALS]])</f>
        <v>1</v>
      </c>
      <c r="G797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10100000</v>
      </c>
      <c r="H797" s="3">
        <f>IF(TS_ATHLETES[[#This Row],[TOTAL]]=0,"",RANK(TS_ATHLETES[[#This Row],[RANK VALUE]],TS_ATHLETES[RANK VALUE]))</f>
        <v>129</v>
      </c>
      <c r="I797" s="3">
        <f>IFERROR(IF(TS_ATHLETES[[#This Row],[TOTAL]]=0,"",RANK(TS_ATHLETES[[#This Row],[RANK VALUE]],TS_ATHLETES[RANK VALUE])+COUNTIF($H$1:H796,H797)),"")</f>
        <v>326</v>
      </c>
    </row>
    <row r="798" spans="1:9" x14ac:dyDescent="0.25">
      <c r="A798" t="s">
        <v>1700</v>
      </c>
      <c r="B798" s="3" t="s">
        <v>363</v>
      </c>
      <c r="C798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1</v>
      </c>
      <c r="D798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798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798" s="3">
        <f>SUM(TS_ATHLETES[[#This Row],[GOLD MEDALS]:[BRONZE MEDALS]])</f>
        <v>1</v>
      </c>
      <c r="G798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10100000</v>
      </c>
      <c r="H798" s="3">
        <f>IF(TS_ATHLETES[[#This Row],[TOTAL]]=0,"",RANK(TS_ATHLETES[[#This Row],[RANK VALUE]],TS_ATHLETES[RANK VALUE]))</f>
        <v>129</v>
      </c>
      <c r="I798" s="3">
        <f>IFERROR(IF(TS_ATHLETES[[#This Row],[TOTAL]]=0,"",RANK(TS_ATHLETES[[#This Row],[RANK VALUE]],TS_ATHLETES[RANK VALUE])+COUNTIF($H$1:H797,H798)),"")</f>
        <v>327</v>
      </c>
    </row>
    <row r="799" spans="1:9" x14ac:dyDescent="0.25">
      <c r="A799" t="s">
        <v>1701</v>
      </c>
      <c r="B799" s="3" t="s">
        <v>363</v>
      </c>
      <c r="C799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1</v>
      </c>
      <c r="D799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799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799" s="3">
        <f>SUM(TS_ATHLETES[[#This Row],[GOLD MEDALS]:[BRONZE MEDALS]])</f>
        <v>1</v>
      </c>
      <c r="G799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10100000</v>
      </c>
      <c r="H799" s="3">
        <f>IF(TS_ATHLETES[[#This Row],[TOTAL]]=0,"",RANK(TS_ATHLETES[[#This Row],[RANK VALUE]],TS_ATHLETES[RANK VALUE]))</f>
        <v>129</v>
      </c>
      <c r="I799" s="3">
        <f>IFERROR(IF(TS_ATHLETES[[#This Row],[TOTAL]]=0,"",RANK(TS_ATHLETES[[#This Row],[RANK VALUE]],TS_ATHLETES[RANK VALUE])+COUNTIF($H$1:H798,H799)),"")</f>
        <v>328</v>
      </c>
    </row>
    <row r="800" spans="1:9" x14ac:dyDescent="0.25">
      <c r="A800" t="s">
        <v>1702</v>
      </c>
      <c r="B800" s="3" t="s">
        <v>363</v>
      </c>
      <c r="C800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1</v>
      </c>
      <c r="D800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800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800" s="3">
        <f>SUM(TS_ATHLETES[[#This Row],[GOLD MEDALS]:[BRONZE MEDALS]])</f>
        <v>1</v>
      </c>
      <c r="G800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10100000</v>
      </c>
      <c r="H800" s="3">
        <f>IF(TS_ATHLETES[[#This Row],[TOTAL]]=0,"",RANK(TS_ATHLETES[[#This Row],[RANK VALUE]],TS_ATHLETES[RANK VALUE]))</f>
        <v>129</v>
      </c>
      <c r="I800" s="3">
        <f>IFERROR(IF(TS_ATHLETES[[#This Row],[TOTAL]]=0,"",RANK(TS_ATHLETES[[#This Row],[RANK VALUE]],TS_ATHLETES[RANK VALUE])+COUNTIF($H$1:H799,H800)),"")</f>
        <v>329</v>
      </c>
    </row>
    <row r="801" spans="1:9" x14ac:dyDescent="0.25">
      <c r="A801" t="s">
        <v>1703</v>
      </c>
      <c r="B801" s="3" t="s">
        <v>363</v>
      </c>
      <c r="C801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1</v>
      </c>
      <c r="D801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801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801" s="3">
        <f>SUM(TS_ATHLETES[[#This Row],[GOLD MEDALS]:[BRONZE MEDALS]])</f>
        <v>1</v>
      </c>
      <c r="G801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10100000</v>
      </c>
      <c r="H801" s="3">
        <f>IF(TS_ATHLETES[[#This Row],[TOTAL]]=0,"",RANK(TS_ATHLETES[[#This Row],[RANK VALUE]],TS_ATHLETES[RANK VALUE]))</f>
        <v>129</v>
      </c>
      <c r="I801" s="3">
        <f>IFERROR(IF(TS_ATHLETES[[#This Row],[TOTAL]]=0,"",RANK(TS_ATHLETES[[#This Row],[RANK VALUE]],TS_ATHLETES[RANK VALUE])+COUNTIF($H$1:H800,H801)),"")</f>
        <v>330</v>
      </c>
    </row>
    <row r="802" spans="1:9" x14ac:dyDescent="0.25">
      <c r="A802" t="s">
        <v>1704</v>
      </c>
      <c r="B802" s="3" t="s">
        <v>363</v>
      </c>
      <c r="C802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1</v>
      </c>
      <c r="D802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802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802" s="3">
        <f>SUM(TS_ATHLETES[[#This Row],[GOLD MEDALS]:[BRONZE MEDALS]])</f>
        <v>1</v>
      </c>
      <c r="G802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10100000</v>
      </c>
      <c r="H802" s="3">
        <f>IF(TS_ATHLETES[[#This Row],[TOTAL]]=0,"",RANK(TS_ATHLETES[[#This Row],[RANK VALUE]],TS_ATHLETES[RANK VALUE]))</f>
        <v>129</v>
      </c>
      <c r="I802" s="3">
        <f>IFERROR(IF(TS_ATHLETES[[#This Row],[TOTAL]]=0,"",RANK(TS_ATHLETES[[#This Row],[RANK VALUE]],TS_ATHLETES[RANK VALUE])+COUNTIF($H$1:H801,H802)),"")</f>
        <v>331</v>
      </c>
    </row>
    <row r="803" spans="1:9" x14ac:dyDescent="0.25">
      <c r="A803" t="s">
        <v>1705</v>
      </c>
      <c r="B803" s="3" t="s">
        <v>363</v>
      </c>
      <c r="C803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1</v>
      </c>
      <c r="D803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803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803" s="3">
        <f>SUM(TS_ATHLETES[[#This Row],[GOLD MEDALS]:[BRONZE MEDALS]])</f>
        <v>1</v>
      </c>
      <c r="G803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10100000</v>
      </c>
      <c r="H803" s="3">
        <f>IF(TS_ATHLETES[[#This Row],[TOTAL]]=0,"",RANK(TS_ATHLETES[[#This Row],[RANK VALUE]],TS_ATHLETES[RANK VALUE]))</f>
        <v>129</v>
      </c>
      <c r="I803" s="3">
        <f>IFERROR(IF(TS_ATHLETES[[#This Row],[TOTAL]]=0,"",RANK(TS_ATHLETES[[#This Row],[RANK VALUE]],TS_ATHLETES[RANK VALUE])+COUNTIF($H$1:H802,H803)),"")</f>
        <v>332</v>
      </c>
    </row>
    <row r="804" spans="1:9" x14ac:dyDescent="0.25">
      <c r="A804" t="s">
        <v>1706</v>
      </c>
      <c r="B804" s="3" t="s">
        <v>363</v>
      </c>
      <c r="C804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1</v>
      </c>
      <c r="D804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804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804" s="3">
        <f>SUM(TS_ATHLETES[[#This Row],[GOLD MEDALS]:[BRONZE MEDALS]])</f>
        <v>1</v>
      </c>
      <c r="G804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10100000</v>
      </c>
      <c r="H804" s="3">
        <f>IF(TS_ATHLETES[[#This Row],[TOTAL]]=0,"",RANK(TS_ATHLETES[[#This Row],[RANK VALUE]],TS_ATHLETES[RANK VALUE]))</f>
        <v>129</v>
      </c>
      <c r="I804" s="3">
        <f>IFERROR(IF(TS_ATHLETES[[#This Row],[TOTAL]]=0,"",RANK(TS_ATHLETES[[#This Row],[RANK VALUE]],TS_ATHLETES[RANK VALUE])+COUNTIF($H$1:H803,H804)),"")</f>
        <v>333</v>
      </c>
    </row>
    <row r="805" spans="1:9" x14ac:dyDescent="0.25">
      <c r="A805" t="s">
        <v>1707</v>
      </c>
      <c r="B805" s="3" t="s">
        <v>363</v>
      </c>
      <c r="C805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1</v>
      </c>
      <c r="D805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805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805" s="3">
        <f>SUM(TS_ATHLETES[[#This Row],[GOLD MEDALS]:[BRONZE MEDALS]])</f>
        <v>1</v>
      </c>
      <c r="G805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10100000</v>
      </c>
      <c r="H805" s="3">
        <f>IF(TS_ATHLETES[[#This Row],[TOTAL]]=0,"",RANK(TS_ATHLETES[[#This Row],[RANK VALUE]],TS_ATHLETES[RANK VALUE]))</f>
        <v>129</v>
      </c>
      <c r="I805" s="3">
        <f>IFERROR(IF(TS_ATHLETES[[#This Row],[TOTAL]]=0,"",RANK(TS_ATHLETES[[#This Row],[RANK VALUE]],TS_ATHLETES[RANK VALUE])+COUNTIF($H$1:H804,H805)),"")</f>
        <v>334</v>
      </c>
    </row>
    <row r="806" spans="1:9" x14ac:dyDescent="0.25">
      <c r="A806" t="s">
        <v>1708</v>
      </c>
      <c r="B806" s="3" t="s">
        <v>536</v>
      </c>
      <c r="C806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806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1</v>
      </c>
      <c r="E806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806" s="3">
        <f>SUM(TS_ATHLETES[[#This Row],[GOLD MEDALS]:[BRONZE MEDALS]])</f>
        <v>1</v>
      </c>
      <c r="G806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10000100</v>
      </c>
      <c r="H806" s="3">
        <f>IF(TS_ATHLETES[[#This Row],[TOTAL]]=0,"",RANK(TS_ATHLETES[[#This Row],[RANK VALUE]],TS_ATHLETES[RANK VALUE]))</f>
        <v>660</v>
      </c>
      <c r="I806" s="3">
        <f>IFERROR(IF(TS_ATHLETES[[#This Row],[TOTAL]]=0,"",RANK(TS_ATHLETES[[#This Row],[RANK VALUE]],TS_ATHLETES[RANK VALUE])+COUNTIF($H$1:H805,H806)),"")</f>
        <v>873</v>
      </c>
    </row>
    <row r="807" spans="1:9" x14ac:dyDescent="0.25">
      <c r="A807" t="s">
        <v>1709</v>
      </c>
      <c r="B807" s="3" t="s">
        <v>536</v>
      </c>
      <c r="C807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807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1</v>
      </c>
      <c r="E807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807" s="3">
        <f>SUM(TS_ATHLETES[[#This Row],[GOLD MEDALS]:[BRONZE MEDALS]])</f>
        <v>1</v>
      </c>
      <c r="G807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10000100</v>
      </c>
      <c r="H807" s="3">
        <f>IF(TS_ATHLETES[[#This Row],[TOTAL]]=0,"",RANK(TS_ATHLETES[[#This Row],[RANK VALUE]],TS_ATHLETES[RANK VALUE]))</f>
        <v>660</v>
      </c>
      <c r="I807" s="3">
        <f>IFERROR(IF(TS_ATHLETES[[#This Row],[TOTAL]]=0,"",RANK(TS_ATHLETES[[#This Row],[RANK VALUE]],TS_ATHLETES[RANK VALUE])+COUNTIF($H$1:H806,H807)),"")</f>
        <v>874</v>
      </c>
    </row>
    <row r="808" spans="1:9" x14ac:dyDescent="0.25">
      <c r="A808" t="s">
        <v>1710</v>
      </c>
      <c r="B808" s="3" t="s">
        <v>536</v>
      </c>
      <c r="C808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808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1</v>
      </c>
      <c r="E808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808" s="3">
        <f>SUM(TS_ATHLETES[[#This Row],[GOLD MEDALS]:[BRONZE MEDALS]])</f>
        <v>1</v>
      </c>
      <c r="G808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10000100</v>
      </c>
      <c r="H808" s="3">
        <f>IF(TS_ATHLETES[[#This Row],[TOTAL]]=0,"",RANK(TS_ATHLETES[[#This Row],[RANK VALUE]],TS_ATHLETES[RANK VALUE]))</f>
        <v>660</v>
      </c>
      <c r="I808" s="3">
        <f>IFERROR(IF(TS_ATHLETES[[#This Row],[TOTAL]]=0,"",RANK(TS_ATHLETES[[#This Row],[RANK VALUE]],TS_ATHLETES[RANK VALUE])+COUNTIF($H$1:H807,H808)),"")</f>
        <v>875</v>
      </c>
    </row>
    <row r="809" spans="1:9" x14ac:dyDescent="0.25">
      <c r="A809" t="s">
        <v>1711</v>
      </c>
      <c r="B809" s="3" t="s">
        <v>536</v>
      </c>
      <c r="C809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809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1</v>
      </c>
      <c r="E809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809" s="3">
        <f>SUM(TS_ATHLETES[[#This Row],[GOLD MEDALS]:[BRONZE MEDALS]])</f>
        <v>1</v>
      </c>
      <c r="G809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10000100</v>
      </c>
      <c r="H809" s="3">
        <f>IF(TS_ATHLETES[[#This Row],[TOTAL]]=0,"",RANK(TS_ATHLETES[[#This Row],[RANK VALUE]],TS_ATHLETES[RANK VALUE]))</f>
        <v>660</v>
      </c>
      <c r="I809" s="3">
        <f>IFERROR(IF(TS_ATHLETES[[#This Row],[TOTAL]]=0,"",RANK(TS_ATHLETES[[#This Row],[RANK VALUE]],TS_ATHLETES[RANK VALUE])+COUNTIF($H$1:H808,H809)),"")</f>
        <v>876</v>
      </c>
    </row>
    <row r="810" spans="1:9" x14ac:dyDescent="0.25">
      <c r="A810" t="s">
        <v>1712</v>
      </c>
      <c r="B810" s="3" t="s">
        <v>536</v>
      </c>
      <c r="C810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810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1</v>
      </c>
      <c r="E810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810" s="3">
        <f>SUM(TS_ATHLETES[[#This Row],[GOLD MEDALS]:[BRONZE MEDALS]])</f>
        <v>1</v>
      </c>
      <c r="G810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10000100</v>
      </c>
      <c r="H810" s="3">
        <f>IF(TS_ATHLETES[[#This Row],[TOTAL]]=0,"",RANK(TS_ATHLETES[[#This Row],[RANK VALUE]],TS_ATHLETES[RANK VALUE]))</f>
        <v>660</v>
      </c>
      <c r="I810" s="3">
        <f>IFERROR(IF(TS_ATHLETES[[#This Row],[TOTAL]]=0,"",RANK(TS_ATHLETES[[#This Row],[RANK VALUE]],TS_ATHLETES[RANK VALUE])+COUNTIF($H$1:H809,H810)),"")</f>
        <v>877</v>
      </c>
    </row>
    <row r="811" spans="1:9" x14ac:dyDescent="0.25">
      <c r="A811" t="s">
        <v>1713</v>
      </c>
      <c r="B811" s="3" t="s">
        <v>536</v>
      </c>
      <c r="C811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811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1</v>
      </c>
      <c r="E811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811" s="3">
        <f>SUM(TS_ATHLETES[[#This Row],[GOLD MEDALS]:[BRONZE MEDALS]])</f>
        <v>1</v>
      </c>
      <c r="G811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10000100</v>
      </c>
      <c r="H811" s="3">
        <f>IF(TS_ATHLETES[[#This Row],[TOTAL]]=0,"",RANK(TS_ATHLETES[[#This Row],[RANK VALUE]],TS_ATHLETES[RANK VALUE]))</f>
        <v>660</v>
      </c>
      <c r="I811" s="3">
        <f>IFERROR(IF(TS_ATHLETES[[#This Row],[TOTAL]]=0,"",RANK(TS_ATHLETES[[#This Row],[RANK VALUE]],TS_ATHLETES[RANK VALUE])+COUNTIF($H$1:H810,H811)),"")</f>
        <v>878</v>
      </c>
    </row>
    <row r="812" spans="1:9" x14ac:dyDescent="0.25">
      <c r="A812" t="s">
        <v>1714</v>
      </c>
      <c r="B812" s="3" t="s">
        <v>536</v>
      </c>
      <c r="C812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812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1</v>
      </c>
      <c r="E812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812" s="3">
        <f>SUM(TS_ATHLETES[[#This Row],[GOLD MEDALS]:[BRONZE MEDALS]])</f>
        <v>1</v>
      </c>
      <c r="G812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10000100</v>
      </c>
      <c r="H812" s="3">
        <f>IF(TS_ATHLETES[[#This Row],[TOTAL]]=0,"",RANK(TS_ATHLETES[[#This Row],[RANK VALUE]],TS_ATHLETES[RANK VALUE]))</f>
        <v>660</v>
      </c>
      <c r="I812" s="3">
        <f>IFERROR(IF(TS_ATHLETES[[#This Row],[TOTAL]]=0,"",RANK(TS_ATHLETES[[#This Row],[RANK VALUE]],TS_ATHLETES[RANK VALUE])+COUNTIF($H$1:H811,H812)),"")</f>
        <v>879</v>
      </c>
    </row>
    <row r="813" spans="1:9" x14ac:dyDescent="0.25">
      <c r="A813" t="s">
        <v>1715</v>
      </c>
      <c r="B813" s="3" t="s">
        <v>536</v>
      </c>
      <c r="C813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813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1</v>
      </c>
      <c r="E813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813" s="3">
        <f>SUM(TS_ATHLETES[[#This Row],[GOLD MEDALS]:[BRONZE MEDALS]])</f>
        <v>1</v>
      </c>
      <c r="G813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10000100</v>
      </c>
      <c r="H813" s="3">
        <f>IF(TS_ATHLETES[[#This Row],[TOTAL]]=0,"",RANK(TS_ATHLETES[[#This Row],[RANK VALUE]],TS_ATHLETES[RANK VALUE]))</f>
        <v>660</v>
      </c>
      <c r="I813" s="3">
        <f>IFERROR(IF(TS_ATHLETES[[#This Row],[TOTAL]]=0,"",RANK(TS_ATHLETES[[#This Row],[RANK VALUE]],TS_ATHLETES[RANK VALUE])+COUNTIF($H$1:H812,H813)),"")</f>
        <v>880</v>
      </c>
    </row>
    <row r="814" spans="1:9" x14ac:dyDescent="0.25">
      <c r="A814" t="s">
        <v>1716</v>
      </c>
      <c r="B814" s="3" t="s">
        <v>536</v>
      </c>
      <c r="C814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814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1</v>
      </c>
      <c r="E814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814" s="3">
        <f>SUM(TS_ATHLETES[[#This Row],[GOLD MEDALS]:[BRONZE MEDALS]])</f>
        <v>1</v>
      </c>
      <c r="G814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10000100</v>
      </c>
      <c r="H814" s="3">
        <f>IF(TS_ATHLETES[[#This Row],[TOTAL]]=0,"",RANK(TS_ATHLETES[[#This Row],[RANK VALUE]],TS_ATHLETES[RANK VALUE]))</f>
        <v>660</v>
      </c>
      <c r="I814" s="3">
        <f>IFERROR(IF(TS_ATHLETES[[#This Row],[TOTAL]]=0,"",RANK(TS_ATHLETES[[#This Row],[RANK VALUE]],TS_ATHLETES[RANK VALUE])+COUNTIF($H$1:H813,H814)),"")</f>
        <v>881</v>
      </c>
    </row>
    <row r="815" spans="1:9" x14ac:dyDescent="0.25">
      <c r="A815" t="s">
        <v>1717</v>
      </c>
      <c r="B815" s="3" t="s">
        <v>536</v>
      </c>
      <c r="C815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815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1</v>
      </c>
      <c r="E815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815" s="3">
        <f>SUM(TS_ATHLETES[[#This Row],[GOLD MEDALS]:[BRONZE MEDALS]])</f>
        <v>1</v>
      </c>
      <c r="G815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10000100</v>
      </c>
      <c r="H815" s="3">
        <f>IF(TS_ATHLETES[[#This Row],[TOTAL]]=0,"",RANK(TS_ATHLETES[[#This Row],[RANK VALUE]],TS_ATHLETES[RANK VALUE]))</f>
        <v>660</v>
      </c>
      <c r="I815" s="3">
        <f>IFERROR(IF(TS_ATHLETES[[#This Row],[TOTAL]]=0,"",RANK(TS_ATHLETES[[#This Row],[RANK VALUE]],TS_ATHLETES[RANK VALUE])+COUNTIF($H$1:H814,H815)),"")</f>
        <v>882</v>
      </c>
    </row>
    <row r="816" spans="1:9" x14ac:dyDescent="0.25">
      <c r="A816" t="s">
        <v>1718</v>
      </c>
      <c r="B816" s="3" t="s">
        <v>536</v>
      </c>
      <c r="C816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816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1</v>
      </c>
      <c r="E816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816" s="3">
        <f>SUM(TS_ATHLETES[[#This Row],[GOLD MEDALS]:[BRONZE MEDALS]])</f>
        <v>1</v>
      </c>
      <c r="G816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10000100</v>
      </c>
      <c r="H816" s="3">
        <f>IF(TS_ATHLETES[[#This Row],[TOTAL]]=0,"",RANK(TS_ATHLETES[[#This Row],[RANK VALUE]],TS_ATHLETES[RANK VALUE]))</f>
        <v>660</v>
      </c>
      <c r="I816" s="3">
        <f>IFERROR(IF(TS_ATHLETES[[#This Row],[TOTAL]]=0,"",RANK(TS_ATHLETES[[#This Row],[RANK VALUE]],TS_ATHLETES[RANK VALUE])+COUNTIF($H$1:H815,H816)),"")</f>
        <v>883</v>
      </c>
    </row>
    <row r="817" spans="1:9" x14ac:dyDescent="0.25">
      <c r="A817" t="s">
        <v>1719</v>
      </c>
      <c r="B817" s="3" t="s">
        <v>536</v>
      </c>
      <c r="C817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817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1</v>
      </c>
      <c r="E817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817" s="3">
        <f>SUM(TS_ATHLETES[[#This Row],[GOLD MEDALS]:[BRONZE MEDALS]])</f>
        <v>1</v>
      </c>
      <c r="G817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10000100</v>
      </c>
      <c r="H817" s="3">
        <f>IF(TS_ATHLETES[[#This Row],[TOTAL]]=0,"",RANK(TS_ATHLETES[[#This Row],[RANK VALUE]],TS_ATHLETES[RANK VALUE]))</f>
        <v>660</v>
      </c>
      <c r="I817" s="3">
        <f>IFERROR(IF(TS_ATHLETES[[#This Row],[TOTAL]]=0,"",RANK(TS_ATHLETES[[#This Row],[RANK VALUE]],TS_ATHLETES[RANK VALUE])+COUNTIF($H$1:H816,H817)),"")</f>
        <v>884</v>
      </c>
    </row>
    <row r="818" spans="1:9" x14ac:dyDescent="0.25">
      <c r="A818" t="s">
        <v>1720</v>
      </c>
      <c r="B818" s="3" t="s">
        <v>321</v>
      </c>
      <c r="C818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818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818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1</v>
      </c>
      <c r="F818" s="3">
        <f>SUM(TS_ATHLETES[[#This Row],[GOLD MEDALS]:[BRONZE MEDALS]])</f>
        <v>1</v>
      </c>
      <c r="G818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10000010</v>
      </c>
      <c r="H818" s="3">
        <f>IF(TS_ATHLETES[[#This Row],[TOTAL]]=0,"",RANK(TS_ATHLETES[[#This Row],[RANK VALUE]],TS_ATHLETES[RANK VALUE]))</f>
        <v>1224</v>
      </c>
      <c r="I818" s="3">
        <f>IFERROR(IF(TS_ATHLETES[[#This Row],[TOTAL]]=0,"",RANK(TS_ATHLETES[[#This Row],[RANK VALUE]],TS_ATHLETES[RANK VALUE])+COUNTIF($H$1:H817,H818)),"")</f>
        <v>1500</v>
      </c>
    </row>
    <row r="819" spans="1:9" x14ac:dyDescent="0.25">
      <c r="A819" t="s">
        <v>1721</v>
      </c>
      <c r="B819" s="3" t="s">
        <v>321</v>
      </c>
      <c r="C819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819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819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1</v>
      </c>
      <c r="F819" s="3">
        <f>SUM(TS_ATHLETES[[#This Row],[GOLD MEDALS]:[BRONZE MEDALS]])</f>
        <v>1</v>
      </c>
      <c r="G819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10000010</v>
      </c>
      <c r="H819" s="3">
        <f>IF(TS_ATHLETES[[#This Row],[TOTAL]]=0,"",RANK(TS_ATHLETES[[#This Row],[RANK VALUE]],TS_ATHLETES[RANK VALUE]))</f>
        <v>1224</v>
      </c>
      <c r="I819" s="3">
        <f>IFERROR(IF(TS_ATHLETES[[#This Row],[TOTAL]]=0,"",RANK(TS_ATHLETES[[#This Row],[RANK VALUE]],TS_ATHLETES[RANK VALUE])+COUNTIF($H$1:H818,H819)),"")</f>
        <v>1501</v>
      </c>
    </row>
    <row r="820" spans="1:9" x14ac:dyDescent="0.25">
      <c r="A820" t="s">
        <v>1722</v>
      </c>
      <c r="B820" s="3" t="s">
        <v>321</v>
      </c>
      <c r="C820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820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820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1</v>
      </c>
      <c r="F820" s="3">
        <f>SUM(TS_ATHLETES[[#This Row],[GOLD MEDALS]:[BRONZE MEDALS]])</f>
        <v>1</v>
      </c>
      <c r="G820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10000010</v>
      </c>
      <c r="H820" s="3">
        <f>IF(TS_ATHLETES[[#This Row],[TOTAL]]=0,"",RANK(TS_ATHLETES[[#This Row],[RANK VALUE]],TS_ATHLETES[RANK VALUE]))</f>
        <v>1224</v>
      </c>
      <c r="I820" s="3">
        <f>IFERROR(IF(TS_ATHLETES[[#This Row],[TOTAL]]=0,"",RANK(TS_ATHLETES[[#This Row],[RANK VALUE]],TS_ATHLETES[RANK VALUE])+COUNTIF($H$1:H819,H820)),"")</f>
        <v>1502</v>
      </c>
    </row>
    <row r="821" spans="1:9" x14ac:dyDescent="0.25">
      <c r="A821" t="s">
        <v>1723</v>
      </c>
      <c r="B821" s="3" t="s">
        <v>321</v>
      </c>
      <c r="C821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821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821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1</v>
      </c>
      <c r="F821" s="3">
        <f>SUM(TS_ATHLETES[[#This Row],[GOLD MEDALS]:[BRONZE MEDALS]])</f>
        <v>1</v>
      </c>
      <c r="G821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10000010</v>
      </c>
      <c r="H821" s="3">
        <f>IF(TS_ATHLETES[[#This Row],[TOTAL]]=0,"",RANK(TS_ATHLETES[[#This Row],[RANK VALUE]],TS_ATHLETES[RANK VALUE]))</f>
        <v>1224</v>
      </c>
      <c r="I821" s="3">
        <f>IFERROR(IF(TS_ATHLETES[[#This Row],[TOTAL]]=0,"",RANK(TS_ATHLETES[[#This Row],[RANK VALUE]],TS_ATHLETES[RANK VALUE])+COUNTIF($H$1:H820,H821)),"")</f>
        <v>1503</v>
      </c>
    </row>
    <row r="822" spans="1:9" x14ac:dyDescent="0.25">
      <c r="A822" t="s">
        <v>1724</v>
      </c>
      <c r="B822" s="3" t="s">
        <v>321</v>
      </c>
      <c r="C822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822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822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1</v>
      </c>
      <c r="F822" s="3">
        <f>SUM(TS_ATHLETES[[#This Row],[GOLD MEDALS]:[BRONZE MEDALS]])</f>
        <v>1</v>
      </c>
      <c r="G822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10000010</v>
      </c>
      <c r="H822" s="3">
        <f>IF(TS_ATHLETES[[#This Row],[TOTAL]]=0,"",RANK(TS_ATHLETES[[#This Row],[RANK VALUE]],TS_ATHLETES[RANK VALUE]))</f>
        <v>1224</v>
      </c>
      <c r="I822" s="3">
        <f>IFERROR(IF(TS_ATHLETES[[#This Row],[TOTAL]]=0,"",RANK(TS_ATHLETES[[#This Row],[RANK VALUE]],TS_ATHLETES[RANK VALUE])+COUNTIF($H$1:H821,H822)),"")</f>
        <v>1504</v>
      </c>
    </row>
    <row r="823" spans="1:9" x14ac:dyDescent="0.25">
      <c r="A823" t="s">
        <v>1725</v>
      </c>
      <c r="B823" s="3" t="s">
        <v>321</v>
      </c>
      <c r="C823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823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823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1</v>
      </c>
      <c r="F823" s="3">
        <f>SUM(TS_ATHLETES[[#This Row],[GOLD MEDALS]:[BRONZE MEDALS]])</f>
        <v>1</v>
      </c>
      <c r="G823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10000010</v>
      </c>
      <c r="H823" s="3">
        <f>IF(TS_ATHLETES[[#This Row],[TOTAL]]=0,"",RANK(TS_ATHLETES[[#This Row],[RANK VALUE]],TS_ATHLETES[RANK VALUE]))</f>
        <v>1224</v>
      </c>
      <c r="I823" s="3">
        <f>IFERROR(IF(TS_ATHLETES[[#This Row],[TOTAL]]=0,"",RANK(TS_ATHLETES[[#This Row],[RANK VALUE]],TS_ATHLETES[RANK VALUE])+COUNTIF($H$1:H822,H823)),"")</f>
        <v>1505</v>
      </c>
    </row>
    <row r="824" spans="1:9" x14ac:dyDescent="0.25">
      <c r="A824" t="s">
        <v>1726</v>
      </c>
      <c r="B824" s="3" t="s">
        <v>321</v>
      </c>
      <c r="C824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824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824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1</v>
      </c>
      <c r="F824" s="3">
        <f>SUM(TS_ATHLETES[[#This Row],[GOLD MEDALS]:[BRONZE MEDALS]])</f>
        <v>1</v>
      </c>
      <c r="G824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10000010</v>
      </c>
      <c r="H824" s="3">
        <f>IF(TS_ATHLETES[[#This Row],[TOTAL]]=0,"",RANK(TS_ATHLETES[[#This Row],[RANK VALUE]],TS_ATHLETES[RANK VALUE]))</f>
        <v>1224</v>
      </c>
      <c r="I824" s="3">
        <f>IFERROR(IF(TS_ATHLETES[[#This Row],[TOTAL]]=0,"",RANK(TS_ATHLETES[[#This Row],[RANK VALUE]],TS_ATHLETES[RANK VALUE])+COUNTIF($H$1:H823,H824)),"")</f>
        <v>1506</v>
      </c>
    </row>
    <row r="825" spans="1:9" x14ac:dyDescent="0.25">
      <c r="A825" t="s">
        <v>1727</v>
      </c>
      <c r="B825" s="3" t="s">
        <v>321</v>
      </c>
      <c r="C825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825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825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1</v>
      </c>
      <c r="F825" s="3">
        <f>SUM(TS_ATHLETES[[#This Row],[GOLD MEDALS]:[BRONZE MEDALS]])</f>
        <v>1</v>
      </c>
      <c r="G825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10000010</v>
      </c>
      <c r="H825" s="3">
        <f>IF(TS_ATHLETES[[#This Row],[TOTAL]]=0,"",RANK(TS_ATHLETES[[#This Row],[RANK VALUE]],TS_ATHLETES[RANK VALUE]))</f>
        <v>1224</v>
      </c>
      <c r="I825" s="3">
        <f>IFERROR(IF(TS_ATHLETES[[#This Row],[TOTAL]]=0,"",RANK(TS_ATHLETES[[#This Row],[RANK VALUE]],TS_ATHLETES[RANK VALUE])+COUNTIF($H$1:H824,H825)),"")</f>
        <v>1507</v>
      </c>
    </row>
    <row r="826" spans="1:9" x14ac:dyDescent="0.25">
      <c r="A826" t="s">
        <v>1728</v>
      </c>
      <c r="B826" s="3" t="s">
        <v>321</v>
      </c>
      <c r="C826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826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826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1</v>
      </c>
      <c r="F826" s="3">
        <f>SUM(TS_ATHLETES[[#This Row],[GOLD MEDALS]:[BRONZE MEDALS]])</f>
        <v>1</v>
      </c>
      <c r="G826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10000010</v>
      </c>
      <c r="H826" s="3">
        <f>IF(TS_ATHLETES[[#This Row],[TOTAL]]=0,"",RANK(TS_ATHLETES[[#This Row],[RANK VALUE]],TS_ATHLETES[RANK VALUE]))</f>
        <v>1224</v>
      </c>
      <c r="I826" s="3">
        <f>IFERROR(IF(TS_ATHLETES[[#This Row],[TOTAL]]=0,"",RANK(TS_ATHLETES[[#This Row],[RANK VALUE]],TS_ATHLETES[RANK VALUE])+COUNTIF($H$1:H825,H826)),"")</f>
        <v>1508</v>
      </c>
    </row>
    <row r="827" spans="1:9" x14ac:dyDescent="0.25">
      <c r="A827" t="s">
        <v>1729</v>
      </c>
      <c r="B827" s="3" t="s">
        <v>321</v>
      </c>
      <c r="C827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827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827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1</v>
      </c>
      <c r="F827" s="3">
        <f>SUM(TS_ATHLETES[[#This Row],[GOLD MEDALS]:[BRONZE MEDALS]])</f>
        <v>1</v>
      </c>
      <c r="G827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10000010</v>
      </c>
      <c r="H827" s="3">
        <f>IF(TS_ATHLETES[[#This Row],[TOTAL]]=0,"",RANK(TS_ATHLETES[[#This Row],[RANK VALUE]],TS_ATHLETES[RANK VALUE]))</f>
        <v>1224</v>
      </c>
      <c r="I827" s="3">
        <f>IFERROR(IF(TS_ATHLETES[[#This Row],[TOTAL]]=0,"",RANK(TS_ATHLETES[[#This Row],[RANK VALUE]],TS_ATHLETES[RANK VALUE])+COUNTIF($H$1:H826,H827)),"")</f>
        <v>1509</v>
      </c>
    </row>
    <row r="828" spans="1:9" x14ac:dyDescent="0.25">
      <c r="A828" t="s">
        <v>1730</v>
      </c>
      <c r="B828" s="3" t="s">
        <v>321</v>
      </c>
      <c r="C828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828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828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1</v>
      </c>
      <c r="F828" s="3">
        <f>SUM(TS_ATHLETES[[#This Row],[GOLD MEDALS]:[BRONZE MEDALS]])</f>
        <v>1</v>
      </c>
      <c r="G828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10000010</v>
      </c>
      <c r="H828" s="3">
        <f>IF(TS_ATHLETES[[#This Row],[TOTAL]]=0,"",RANK(TS_ATHLETES[[#This Row],[RANK VALUE]],TS_ATHLETES[RANK VALUE]))</f>
        <v>1224</v>
      </c>
      <c r="I828" s="3">
        <f>IFERROR(IF(TS_ATHLETES[[#This Row],[TOTAL]]=0,"",RANK(TS_ATHLETES[[#This Row],[RANK VALUE]],TS_ATHLETES[RANK VALUE])+COUNTIF($H$1:H827,H828)),"")</f>
        <v>1510</v>
      </c>
    </row>
    <row r="829" spans="1:9" x14ac:dyDescent="0.25">
      <c r="A829" t="s">
        <v>1731</v>
      </c>
      <c r="B829" s="3" t="s">
        <v>321</v>
      </c>
      <c r="C829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829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829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1</v>
      </c>
      <c r="F829" s="3">
        <f>SUM(TS_ATHLETES[[#This Row],[GOLD MEDALS]:[BRONZE MEDALS]])</f>
        <v>1</v>
      </c>
      <c r="G829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10000010</v>
      </c>
      <c r="H829" s="3">
        <f>IF(TS_ATHLETES[[#This Row],[TOTAL]]=0,"",RANK(TS_ATHLETES[[#This Row],[RANK VALUE]],TS_ATHLETES[RANK VALUE]))</f>
        <v>1224</v>
      </c>
      <c r="I829" s="3">
        <f>IFERROR(IF(TS_ATHLETES[[#This Row],[TOTAL]]=0,"",RANK(TS_ATHLETES[[#This Row],[RANK VALUE]],TS_ATHLETES[RANK VALUE])+COUNTIF($H$1:H828,H829)),"")</f>
        <v>1511</v>
      </c>
    </row>
    <row r="830" spans="1:9" x14ac:dyDescent="0.25">
      <c r="A830" t="s">
        <v>1732</v>
      </c>
      <c r="B830" s="3" t="s">
        <v>363</v>
      </c>
      <c r="C830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1</v>
      </c>
      <c r="D830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830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830" s="3">
        <f>SUM(TS_ATHLETES[[#This Row],[GOLD MEDALS]:[BRONZE MEDALS]])</f>
        <v>1</v>
      </c>
      <c r="G830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10100000</v>
      </c>
      <c r="H830" s="3">
        <f>IF(TS_ATHLETES[[#This Row],[TOTAL]]=0,"",RANK(TS_ATHLETES[[#This Row],[RANK VALUE]],TS_ATHLETES[RANK VALUE]))</f>
        <v>129</v>
      </c>
      <c r="I830" s="3">
        <f>IFERROR(IF(TS_ATHLETES[[#This Row],[TOTAL]]=0,"",RANK(TS_ATHLETES[[#This Row],[RANK VALUE]],TS_ATHLETES[RANK VALUE])+COUNTIF($H$1:H829,H830)),"")</f>
        <v>335</v>
      </c>
    </row>
    <row r="831" spans="1:9" x14ac:dyDescent="0.25">
      <c r="A831" t="s">
        <v>1733</v>
      </c>
      <c r="B831" s="3" t="s">
        <v>363</v>
      </c>
      <c r="C831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1</v>
      </c>
      <c r="D831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831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831" s="3">
        <f>SUM(TS_ATHLETES[[#This Row],[GOLD MEDALS]:[BRONZE MEDALS]])</f>
        <v>1</v>
      </c>
      <c r="G831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10100000</v>
      </c>
      <c r="H831" s="3">
        <f>IF(TS_ATHLETES[[#This Row],[TOTAL]]=0,"",RANK(TS_ATHLETES[[#This Row],[RANK VALUE]],TS_ATHLETES[RANK VALUE]))</f>
        <v>129</v>
      </c>
      <c r="I831" s="3">
        <f>IFERROR(IF(TS_ATHLETES[[#This Row],[TOTAL]]=0,"",RANK(TS_ATHLETES[[#This Row],[RANK VALUE]],TS_ATHLETES[RANK VALUE])+COUNTIF($H$1:H830,H831)),"")</f>
        <v>336</v>
      </c>
    </row>
    <row r="832" spans="1:9" x14ac:dyDescent="0.25">
      <c r="A832" t="s">
        <v>1734</v>
      </c>
      <c r="B832" s="3" t="s">
        <v>363</v>
      </c>
      <c r="C832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1</v>
      </c>
      <c r="D832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832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832" s="3">
        <f>SUM(TS_ATHLETES[[#This Row],[GOLD MEDALS]:[BRONZE MEDALS]])</f>
        <v>1</v>
      </c>
      <c r="G832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10100000</v>
      </c>
      <c r="H832" s="3">
        <f>IF(TS_ATHLETES[[#This Row],[TOTAL]]=0,"",RANK(TS_ATHLETES[[#This Row],[RANK VALUE]],TS_ATHLETES[RANK VALUE]))</f>
        <v>129</v>
      </c>
      <c r="I832" s="3">
        <f>IFERROR(IF(TS_ATHLETES[[#This Row],[TOTAL]]=0,"",RANK(TS_ATHLETES[[#This Row],[RANK VALUE]],TS_ATHLETES[RANK VALUE])+COUNTIF($H$1:H831,H832)),"")</f>
        <v>337</v>
      </c>
    </row>
    <row r="833" spans="1:9" x14ac:dyDescent="0.25">
      <c r="A833" t="s">
        <v>1735</v>
      </c>
      <c r="B833" s="3" t="s">
        <v>363</v>
      </c>
      <c r="C833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1</v>
      </c>
      <c r="D833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833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833" s="3">
        <f>SUM(TS_ATHLETES[[#This Row],[GOLD MEDALS]:[BRONZE MEDALS]])</f>
        <v>1</v>
      </c>
      <c r="G833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10100000</v>
      </c>
      <c r="H833" s="3">
        <f>IF(TS_ATHLETES[[#This Row],[TOTAL]]=0,"",RANK(TS_ATHLETES[[#This Row],[RANK VALUE]],TS_ATHLETES[RANK VALUE]))</f>
        <v>129</v>
      </c>
      <c r="I833" s="3">
        <f>IFERROR(IF(TS_ATHLETES[[#This Row],[TOTAL]]=0,"",RANK(TS_ATHLETES[[#This Row],[RANK VALUE]],TS_ATHLETES[RANK VALUE])+COUNTIF($H$1:H832,H833)),"")</f>
        <v>338</v>
      </c>
    </row>
    <row r="834" spans="1:9" x14ac:dyDescent="0.25">
      <c r="A834" t="s">
        <v>1736</v>
      </c>
      <c r="B834" s="3" t="s">
        <v>363</v>
      </c>
      <c r="C834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1</v>
      </c>
      <c r="D834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834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834" s="3">
        <f>SUM(TS_ATHLETES[[#This Row],[GOLD MEDALS]:[BRONZE MEDALS]])</f>
        <v>1</v>
      </c>
      <c r="G834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10100000</v>
      </c>
      <c r="H834" s="3">
        <f>IF(TS_ATHLETES[[#This Row],[TOTAL]]=0,"",RANK(TS_ATHLETES[[#This Row],[RANK VALUE]],TS_ATHLETES[RANK VALUE]))</f>
        <v>129</v>
      </c>
      <c r="I834" s="3">
        <f>IFERROR(IF(TS_ATHLETES[[#This Row],[TOTAL]]=0,"",RANK(TS_ATHLETES[[#This Row],[RANK VALUE]],TS_ATHLETES[RANK VALUE])+COUNTIF($H$1:H833,H834)),"")</f>
        <v>339</v>
      </c>
    </row>
    <row r="835" spans="1:9" x14ac:dyDescent="0.25">
      <c r="A835" t="s">
        <v>1737</v>
      </c>
      <c r="B835" s="3" t="s">
        <v>363</v>
      </c>
      <c r="C835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1</v>
      </c>
      <c r="D835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835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835" s="3">
        <f>SUM(TS_ATHLETES[[#This Row],[GOLD MEDALS]:[BRONZE MEDALS]])</f>
        <v>1</v>
      </c>
      <c r="G835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10100000</v>
      </c>
      <c r="H835" s="3">
        <f>IF(TS_ATHLETES[[#This Row],[TOTAL]]=0,"",RANK(TS_ATHLETES[[#This Row],[RANK VALUE]],TS_ATHLETES[RANK VALUE]))</f>
        <v>129</v>
      </c>
      <c r="I835" s="3">
        <f>IFERROR(IF(TS_ATHLETES[[#This Row],[TOTAL]]=0,"",RANK(TS_ATHLETES[[#This Row],[RANK VALUE]],TS_ATHLETES[RANK VALUE])+COUNTIF($H$1:H834,H835)),"")</f>
        <v>340</v>
      </c>
    </row>
    <row r="836" spans="1:9" x14ac:dyDescent="0.25">
      <c r="A836" t="s">
        <v>1738</v>
      </c>
      <c r="B836" s="3" t="s">
        <v>363</v>
      </c>
      <c r="C836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1</v>
      </c>
      <c r="D836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836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836" s="3">
        <f>SUM(TS_ATHLETES[[#This Row],[GOLD MEDALS]:[BRONZE MEDALS]])</f>
        <v>1</v>
      </c>
      <c r="G836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10100000</v>
      </c>
      <c r="H836" s="3">
        <f>IF(TS_ATHLETES[[#This Row],[TOTAL]]=0,"",RANK(TS_ATHLETES[[#This Row],[RANK VALUE]],TS_ATHLETES[RANK VALUE]))</f>
        <v>129</v>
      </c>
      <c r="I836" s="3">
        <f>IFERROR(IF(TS_ATHLETES[[#This Row],[TOTAL]]=0,"",RANK(TS_ATHLETES[[#This Row],[RANK VALUE]],TS_ATHLETES[RANK VALUE])+COUNTIF($H$1:H835,H836)),"")</f>
        <v>341</v>
      </c>
    </row>
    <row r="837" spans="1:9" x14ac:dyDescent="0.25">
      <c r="A837" t="s">
        <v>1739</v>
      </c>
      <c r="B837" s="3" t="s">
        <v>363</v>
      </c>
      <c r="C837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1</v>
      </c>
      <c r="D837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837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837" s="3">
        <f>SUM(TS_ATHLETES[[#This Row],[GOLD MEDALS]:[BRONZE MEDALS]])</f>
        <v>1</v>
      </c>
      <c r="G837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10100000</v>
      </c>
      <c r="H837" s="3">
        <f>IF(TS_ATHLETES[[#This Row],[TOTAL]]=0,"",RANK(TS_ATHLETES[[#This Row],[RANK VALUE]],TS_ATHLETES[RANK VALUE]))</f>
        <v>129</v>
      </c>
      <c r="I837" s="3">
        <f>IFERROR(IF(TS_ATHLETES[[#This Row],[TOTAL]]=0,"",RANK(TS_ATHLETES[[#This Row],[RANK VALUE]],TS_ATHLETES[RANK VALUE])+COUNTIF($H$1:H836,H837)),"")</f>
        <v>342</v>
      </c>
    </row>
    <row r="838" spans="1:9" x14ac:dyDescent="0.25">
      <c r="A838" t="s">
        <v>1740</v>
      </c>
      <c r="B838" s="3" t="s">
        <v>363</v>
      </c>
      <c r="C838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1</v>
      </c>
      <c r="D838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838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838" s="3">
        <f>SUM(TS_ATHLETES[[#This Row],[GOLD MEDALS]:[BRONZE MEDALS]])</f>
        <v>1</v>
      </c>
      <c r="G838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10100000</v>
      </c>
      <c r="H838" s="3">
        <f>IF(TS_ATHLETES[[#This Row],[TOTAL]]=0,"",RANK(TS_ATHLETES[[#This Row],[RANK VALUE]],TS_ATHLETES[RANK VALUE]))</f>
        <v>129</v>
      </c>
      <c r="I838" s="3">
        <f>IFERROR(IF(TS_ATHLETES[[#This Row],[TOTAL]]=0,"",RANK(TS_ATHLETES[[#This Row],[RANK VALUE]],TS_ATHLETES[RANK VALUE])+COUNTIF($H$1:H837,H838)),"")</f>
        <v>343</v>
      </c>
    </row>
    <row r="839" spans="1:9" x14ac:dyDescent="0.25">
      <c r="A839" t="s">
        <v>1741</v>
      </c>
      <c r="B839" s="3" t="s">
        <v>363</v>
      </c>
      <c r="C839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1</v>
      </c>
      <c r="D839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839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839" s="3">
        <f>SUM(TS_ATHLETES[[#This Row],[GOLD MEDALS]:[BRONZE MEDALS]])</f>
        <v>1</v>
      </c>
      <c r="G839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10100000</v>
      </c>
      <c r="H839" s="3">
        <f>IF(TS_ATHLETES[[#This Row],[TOTAL]]=0,"",RANK(TS_ATHLETES[[#This Row],[RANK VALUE]],TS_ATHLETES[RANK VALUE]))</f>
        <v>129</v>
      </c>
      <c r="I839" s="3">
        <f>IFERROR(IF(TS_ATHLETES[[#This Row],[TOTAL]]=0,"",RANK(TS_ATHLETES[[#This Row],[RANK VALUE]],TS_ATHLETES[RANK VALUE])+COUNTIF($H$1:H838,H839)),"")</f>
        <v>344</v>
      </c>
    </row>
    <row r="840" spans="1:9" x14ac:dyDescent="0.25">
      <c r="A840" t="s">
        <v>1742</v>
      </c>
      <c r="B840" s="3" t="s">
        <v>363</v>
      </c>
      <c r="C840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1</v>
      </c>
      <c r="D840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840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840" s="3">
        <f>SUM(TS_ATHLETES[[#This Row],[GOLD MEDALS]:[BRONZE MEDALS]])</f>
        <v>1</v>
      </c>
      <c r="G840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10100000</v>
      </c>
      <c r="H840" s="3">
        <f>IF(TS_ATHLETES[[#This Row],[TOTAL]]=0,"",RANK(TS_ATHLETES[[#This Row],[RANK VALUE]],TS_ATHLETES[RANK VALUE]))</f>
        <v>129</v>
      </c>
      <c r="I840" s="3">
        <f>IFERROR(IF(TS_ATHLETES[[#This Row],[TOTAL]]=0,"",RANK(TS_ATHLETES[[#This Row],[RANK VALUE]],TS_ATHLETES[RANK VALUE])+COUNTIF($H$1:H839,H840)),"")</f>
        <v>345</v>
      </c>
    </row>
    <row r="841" spans="1:9" x14ac:dyDescent="0.25">
      <c r="A841" t="s">
        <v>1743</v>
      </c>
      <c r="B841" s="3" t="s">
        <v>363</v>
      </c>
      <c r="C841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1</v>
      </c>
      <c r="D841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841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841" s="3">
        <f>SUM(TS_ATHLETES[[#This Row],[GOLD MEDALS]:[BRONZE MEDALS]])</f>
        <v>1</v>
      </c>
      <c r="G841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10100000</v>
      </c>
      <c r="H841" s="3">
        <f>IF(TS_ATHLETES[[#This Row],[TOTAL]]=0,"",RANK(TS_ATHLETES[[#This Row],[RANK VALUE]],TS_ATHLETES[RANK VALUE]))</f>
        <v>129</v>
      </c>
      <c r="I841" s="3">
        <f>IFERROR(IF(TS_ATHLETES[[#This Row],[TOTAL]]=0,"",RANK(TS_ATHLETES[[#This Row],[RANK VALUE]],TS_ATHLETES[RANK VALUE])+COUNTIF($H$1:H840,H841)),"")</f>
        <v>346</v>
      </c>
    </row>
    <row r="842" spans="1:9" x14ac:dyDescent="0.25">
      <c r="A842" t="s">
        <v>1744</v>
      </c>
      <c r="B842" s="3" t="s">
        <v>321</v>
      </c>
      <c r="C842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842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1</v>
      </c>
      <c r="E842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842" s="3">
        <f>SUM(TS_ATHLETES[[#This Row],[GOLD MEDALS]:[BRONZE MEDALS]])</f>
        <v>1</v>
      </c>
      <c r="G842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10000100</v>
      </c>
      <c r="H842" s="3">
        <f>IF(TS_ATHLETES[[#This Row],[TOTAL]]=0,"",RANK(TS_ATHLETES[[#This Row],[RANK VALUE]],TS_ATHLETES[RANK VALUE]))</f>
        <v>660</v>
      </c>
      <c r="I842" s="3">
        <f>IFERROR(IF(TS_ATHLETES[[#This Row],[TOTAL]]=0,"",RANK(TS_ATHLETES[[#This Row],[RANK VALUE]],TS_ATHLETES[RANK VALUE])+COUNTIF($H$1:H841,H842)),"")</f>
        <v>885</v>
      </c>
    </row>
    <row r="843" spans="1:9" x14ac:dyDescent="0.25">
      <c r="A843" t="s">
        <v>1745</v>
      </c>
      <c r="B843" s="3" t="s">
        <v>321</v>
      </c>
      <c r="C843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843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1</v>
      </c>
      <c r="E843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843" s="3">
        <f>SUM(TS_ATHLETES[[#This Row],[GOLD MEDALS]:[BRONZE MEDALS]])</f>
        <v>1</v>
      </c>
      <c r="G843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10000100</v>
      </c>
      <c r="H843" s="3">
        <f>IF(TS_ATHLETES[[#This Row],[TOTAL]]=0,"",RANK(TS_ATHLETES[[#This Row],[RANK VALUE]],TS_ATHLETES[RANK VALUE]))</f>
        <v>660</v>
      </c>
      <c r="I843" s="3">
        <f>IFERROR(IF(TS_ATHLETES[[#This Row],[TOTAL]]=0,"",RANK(TS_ATHLETES[[#This Row],[RANK VALUE]],TS_ATHLETES[RANK VALUE])+COUNTIF($H$1:H842,H843)),"")</f>
        <v>886</v>
      </c>
    </row>
    <row r="844" spans="1:9" x14ac:dyDescent="0.25">
      <c r="A844" t="s">
        <v>1746</v>
      </c>
      <c r="B844" s="3" t="s">
        <v>321</v>
      </c>
      <c r="C844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844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1</v>
      </c>
      <c r="E844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844" s="3">
        <f>SUM(TS_ATHLETES[[#This Row],[GOLD MEDALS]:[BRONZE MEDALS]])</f>
        <v>1</v>
      </c>
      <c r="G844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10000100</v>
      </c>
      <c r="H844" s="3">
        <f>IF(TS_ATHLETES[[#This Row],[TOTAL]]=0,"",RANK(TS_ATHLETES[[#This Row],[RANK VALUE]],TS_ATHLETES[RANK VALUE]))</f>
        <v>660</v>
      </c>
      <c r="I844" s="3">
        <f>IFERROR(IF(TS_ATHLETES[[#This Row],[TOTAL]]=0,"",RANK(TS_ATHLETES[[#This Row],[RANK VALUE]],TS_ATHLETES[RANK VALUE])+COUNTIF($H$1:H843,H844)),"")</f>
        <v>887</v>
      </c>
    </row>
    <row r="845" spans="1:9" x14ac:dyDescent="0.25">
      <c r="A845" t="s">
        <v>1747</v>
      </c>
      <c r="B845" s="3" t="s">
        <v>321</v>
      </c>
      <c r="C845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845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1</v>
      </c>
      <c r="E845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845" s="3">
        <f>SUM(TS_ATHLETES[[#This Row],[GOLD MEDALS]:[BRONZE MEDALS]])</f>
        <v>1</v>
      </c>
      <c r="G845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10000100</v>
      </c>
      <c r="H845" s="3">
        <f>IF(TS_ATHLETES[[#This Row],[TOTAL]]=0,"",RANK(TS_ATHLETES[[#This Row],[RANK VALUE]],TS_ATHLETES[RANK VALUE]))</f>
        <v>660</v>
      </c>
      <c r="I845" s="3">
        <f>IFERROR(IF(TS_ATHLETES[[#This Row],[TOTAL]]=0,"",RANK(TS_ATHLETES[[#This Row],[RANK VALUE]],TS_ATHLETES[RANK VALUE])+COUNTIF($H$1:H844,H845)),"")</f>
        <v>888</v>
      </c>
    </row>
    <row r="846" spans="1:9" x14ac:dyDescent="0.25">
      <c r="A846" t="s">
        <v>1748</v>
      </c>
      <c r="B846" s="3" t="s">
        <v>321</v>
      </c>
      <c r="C846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846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1</v>
      </c>
      <c r="E846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846" s="3">
        <f>SUM(TS_ATHLETES[[#This Row],[GOLD MEDALS]:[BRONZE MEDALS]])</f>
        <v>1</v>
      </c>
      <c r="G846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10000100</v>
      </c>
      <c r="H846" s="3">
        <f>IF(TS_ATHLETES[[#This Row],[TOTAL]]=0,"",RANK(TS_ATHLETES[[#This Row],[RANK VALUE]],TS_ATHLETES[RANK VALUE]))</f>
        <v>660</v>
      </c>
      <c r="I846" s="3">
        <f>IFERROR(IF(TS_ATHLETES[[#This Row],[TOTAL]]=0,"",RANK(TS_ATHLETES[[#This Row],[RANK VALUE]],TS_ATHLETES[RANK VALUE])+COUNTIF($H$1:H845,H846)),"")</f>
        <v>889</v>
      </c>
    </row>
    <row r="847" spans="1:9" x14ac:dyDescent="0.25">
      <c r="A847" t="s">
        <v>1749</v>
      </c>
      <c r="B847" s="3" t="s">
        <v>321</v>
      </c>
      <c r="C847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847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1</v>
      </c>
      <c r="E847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847" s="3">
        <f>SUM(TS_ATHLETES[[#This Row],[GOLD MEDALS]:[BRONZE MEDALS]])</f>
        <v>1</v>
      </c>
      <c r="G847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10000100</v>
      </c>
      <c r="H847" s="3">
        <f>IF(TS_ATHLETES[[#This Row],[TOTAL]]=0,"",RANK(TS_ATHLETES[[#This Row],[RANK VALUE]],TS_ATHLETES[RANK VALUE]))</f>
        <v>660</v>
      </c>
      <c r="I847" s="3">
        <f>IFERROR(IF(TS_ATHLETES[[#This Row],[TOTAL]]=0,"",RANK(TS_ATHLETES[[#This Row],[RANK VALUE]],TS_ATHLETES[RANK VALUE])+COUNTIF($H$1:H846,H847)),"")</f>
        <v>890</v>
      </c>
    </row>
    <row r="848" spans="1:9" x14ac:dyDescent="0.25">
      <c r="A848" t="s">
        <v>1750</v>
      </c>
      <c r="B848" s="3" t="s">
        <v>321</v>
      </c>
      <c r="C848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848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1</v>
      </c>
      <c r="E848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848" s="3">
        <f>SUM(TS_ATHLETES[[#This Row],[GOLD MEDALS]:[BRONZE MEDALS]])</f>
        <v>1</v>
      </c>
      <c r="G848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10000100</v>
      </c>
      <c r="H848" s="3">
        <f>IF(TS_ATHLETES[[#This Row],[TOTAL]]=0,"",RANK(TS_ATHLETES[[#This Row],[RANK VALUE]],TS_ATHLETES[RANK VALUE]))</f>
        <v>660</v>
      </c>
      <c r="I848" s="3">
        <f>IFERROR(IF(TS_ATHLETES[[#This Row],[TOTAL]]=0,"",RANK(TS_ATHLETES[[#This Row],[RANK VALUE]],TS_ATHLETES[RANK VALUE])+COUNTIF($H$1:H847,H848)),"")</f>
        <v>891</v>
      </c>
    </row>
    <row r="849" spans="1:9" x14ac:dyDescent="0.25">
      <c r="A849" t="s">
        <v>1751</v>
      </c>
      <c r="B849" s="3" t="s">
        <v>321</v>
      </c>
      <c r="C849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849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1</v>
      </c>
      <c r="E849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849" s="3">
        <f>SUM(TS_ATHLETES[[#This Row],[GOLD MEDALS]:[BRONZE MEDALS]])</f>
        <v>1</v>
      </c>
      <c r="G849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10000100</v>
      </c>
      <c r="H849" s="3">
        <f>IF(TS_ATHLETES[[#This Row],[TOTAL]]=0,"",RANK(TS_ATHLETES[[#This Row],[RANK VALUE]],TS_ATHLETES[RANK VALUE]))</f>
        <v>660</v>
      </c>
      <c r="I849" s="3">
        <f>IFERROR(IF(TS_ATHLETES[[#This Row],[TOTAL]]=0,"",RANK(TS_ATHLETES[[#This Row],[RANK VALUE]],TS_ATHLETES[RANK VALUE])+COUNTIF($H$1:H848,H849)),"")</f>
        <v>892</v>
      </c>
    </row>
    <row r="850" spans="1:9" x14ac:dyDescent="0.25">
      <c r="A850" t="s">
        <v>1752</v>
      </c>
      <c r="B850" s="3" t="s">
        <v>321</v>
      </c>
      <c r="C850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850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1</v>
      </c>
      <c r="E850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850" s="3">
        <f>SUM(TS_ATHLETES[[#This Row],[GOLD MEDALS]:[BRONZE MEDALS]])</f>
        <v>1</v>
      </c>
      <c r="G850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10000100</v>
      </c>
      <c r="H850" s="3">
        <f>IF(TS_ATHLETES[[#This Row],[TOTAL]]=0,"",RANK(TS_ATHLETES[[#This Row],[RANK VALUE]],TS_ATHLETES[RANK VALUE]))</f>
        <v>660</v>
      </c>
      <c r="I850" s="3">
        <f>IFERROR(IF(TS_ATHLETES[[#This Row],[TOTAL]]=0,"",RANK(TS_ATHLETES[[#This Row],[RANK VALUE]],TS_ATHLETES[RANK VALUE])+COUNTIF($H$1:H849,H850)),"")</f>
        <v>893</v>
      </c>
    </row>
    <row r="851" spans="1:9" x14ac:dyDescent="0.25">
      <c r="A851" t="s">
        <v>1753</v>
      </c>
      <c r="B851" s="3" t="s">
        <v>321</v>
      </c>
      <c r="C851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851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1</v>
      </c>
      <c r="E851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851" s="3">
        <f>SUM(TS_ATHLETES[[#This Row],[GOLD MEDALS]:[BRONZE MEDALS]])</f>
        <v>1</v>
      </c>
      <c r="G851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10000100</v>
      </c>
      <c r="H851" s="3">
        <f>IF(TS_ATHLETES[[#This Row],[TOTAL]]=0,"",RANK(TS_ATHLETES[[#This Row],[RANK VALUE]],TS_ATHLETES[RANK VALUE]))</f>
        <v>660</v>
      </c>
      <c r="I851" s="3">
        <f>IFERROR(IF(TS_ATHLETES[[#This Row],[TOTAL]]=0,"",RANK(TS_ATHLETES[[#This Row],[RANK VALUE]],TS_ATHLETES[RANK VALUE])+COUNTIF($H$1:H850,H851)),"")</f>
        <v>894</v>
      </c>
    </row>
    <row r="852" spans="1:9" x14ac:dyDescent="0.25">
      <c r="A852" t="s">
        <v>1754</v>
      </c>
      <c r="B852" s="3" t="s">
        <v>321</v>
      </c>
      <c r="C852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852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1</v>
      </c>
      <c r="E852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852" s="3">
        <f>SUM(TS_ATHLETES[[#This Row],[GOLD MEDALS]:[BRONZE MEDALS]])</f>
        <v>1</v>
      </c>
      <c r="G852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10000100</v>
      </c>
      <c r="H852" s="3">
        <f>IF(TS_ATHLETES[[#This Row],[TOTAL]]=0,"",RANK(TS_ATHLETES[[#This Row],[RANK VALUE]],TS_ATHLETES[RANK VALUE]))</f>
        <v>660</v>
      </c>
      <c r="I852" s="3">
        <f>IFERROR(IF(TS_ATHLETES[[#This Row],[TOTAL]]=0,"",RANK(TS_ATHLETES[[#This Row],[RANK VALUE]],TS_ATHLETES[RANK VALUE])+COUNTIF($H$1:H851,H852)),"")</f>
        <v>895</v>
      </c>
    </row>
    <row r="853" spans="1:9" x14ac:dyDescent="0.25">
      <c r="A853" t="s">
        <v>1755</v>
      </c>
      <c r="B853" s="3" t="s">
        <v>321</v>
      </c>
      <c r="C853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853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1</v>
      </c>
      <c r="E853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853" s="3">
        <f>SUM(TS_ATHLETES[[#This Row],[GOLD MEDALS]:[BRONZE MEDALS]])</f>
        <v>1</v>
      </c>
      <c r="G853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10000100</v>
      </c>
      <c r="H853" s="3">
        <f>IF(TS_ATHLETES[[#This Row],[TOTAL]]=0,"",RANK(TS_ATHLETES[[#This Row],[RANK VALUE]],TS_ATHLETES[RANK VALUE]))</f>
        <v>660</v>
      </c>
      <c r="I853" s="3">
        <f>IFERROR(IF(TS_ATHLETES[[#This Row],[TOTAL]]=0,"",RANK(TS_ATHLETES[[#This Row],[RANK VALUE]],TS_ATHLETES[RANK VALUE])+COUNTIF($H$1:H852,H853)),"")</f>
        <v>896</v>
      </c>
    </row>
    <row r="854" spans="1:9" x14ac:dyDescent="0.25">
      <c r="A854" t="s">
        <v>1756</v>
      </c>
      <c r="B854" s="3" t="s">
        <v>536</v>
      </c>
      <c r="C854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854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854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1</v>
      </c>
      <c r="F854" s="3">
        <f>SUM(TS_ATHLETES[[#This Row],[GOLD MEDALS]:[BRONZE MEDALS]])</f>
        <v>1</v>
      </c>
      <c r="G854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10000010</v>
      </c>
      <c r="H854" s="3">
        <f>IF(TS_ATHLETES[[#This Row],[TOTAL]]=0,"",RANK(TS_ATHLETES[[#This Row],[RANK VALUE]],TS_ATHLETES[RANK VALUE]))</f>
        <v>1224</v>
      </c>
      <c r="I854" s="3">
        <f>IFERROR(IF(TS_ATHLETES[[#This Row],[TOTAL]]=0,"",RANK(TS_ATHLETES[[#This Row],[RANK VALUE]],TS_ATHLETES[RANK VALUE])+COUNTIF($H$1:H853,H854)),"")</f>
        <v>1512</v>
      </c>
    </row>
    <row r="855" spans="1:9" x14ac:dyDescent="0.25">
      <c r="A855" t="s">
        <v>1757</v>
      </c>
      <c r="B855" s="3" t="s">
        <v>536</v>
      </c>
      <c r="C855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855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855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1</v>
      </c>
      <c r="F855" s="3">
        <f>SUM(TS_ATHLETES[[#This Row],[GOLD MEDALS]:[BRONZE MEDALS]])</f>
        <v>1</v>
      </c>
      <c r="G855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10000010</v>
      </c>
      <c r="H855" s="3">
        <f>IF(TS_ATHLETES[[#This Row],[TOTAL]]=0,"",RANK(TS_ATHLETES[[#This Row],[RANK VALUE]],TS_ATHLETES[RANK VALUE]))</f>
        <v>1224</v>
      </c>
      <c r="I855" s="3">
        <f>IFERROR(IF(TS_ATHLETES[[#This Row],[TOTAL]]=0,"",RANK(TS_ATHLETES[[#This Row],[RANK VALUE]],TS_ATHLETES[RANK VALUE])+COUNTIF($H$1:H854,H855)),"")</f>
        <v>1513</v>
      </c>
    </row>
    <row r="856" spans="1:9" x14ac:dyDescent="0.25">
      <c r="A856" t="s">
        <v>1758</v>
      </c>
      <c r="B856" s="3" t="s">
        <v>536</v>
      </c>
      <c r="C856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856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856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1</v>
      </c>
      <c r="F856" s="3">
        <f>SUM(TS_ATHLETES[[#This Row],[GOLD MEDALS]:[BRONZE MEDALS]])</f>
        <v>1</v>
      </c>
      <c r="G856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10000010</v>
      </c>
      <c r="H856" s="3">
        <f>IF(TS_ATHLETES[[#This Row],[TOTAL]]=0,"",RANK(TS_ATHLETES[[#This Row],[RANK VALUE]],TS_ATHLETES[RANK VALUE]))</f>
        <v>1224</v>
      </c>
      <c r="I856" s="3">
        <f>IFERROR(IF(TS_ATHLETES[[#This Row],[TOTAL]]=0,"",RANK(TS_ATHLETES[[#This Row],[RANK VALUE]],TS_ATHLETES[RANK VALUE])+COUNTIF($H$1:H855,H856)),"")</f>
        <v>1514</v>
      </c>
    </row>
    <row r="857" spans="1:9" x14ac:dyDescent="0.25">
      <c r="A857" t="s">
        <v>1759</v>
      </c>
      <c r="B857" s="3" t="s">
        <v>536</v>
      </c>
      <c r="C857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857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857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1</v>
      </c>
      <c r="F857" s="3">
        <f>SUM(TS_ATHLETES[[#This Row],[GOLD MEDALS]:[BRONZE MEDALS]])</f>
        <v>1</v>
      </c>
      <c r="G857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10000010</v>
      </c>
      <c r="H857" s="3">
        <f>IF(TS_ATHLETES[[#This Row],[TOTAL]]=0,"",RANK(TS_ATHLETES[[#This Row],[RANK VALUE]],TS_ATHLETES[RANK VALUE]))</f>
        <v>1224</v>
      </c>
      <c r="I857" s="3">
        <f>IFERROR(IF(TS_ATHLETES[[#This Row],[TOTAL]]=0,"",RANK(TS_ATHLETES[[#This Row],[RANK VALUE]],TS_ATHLETES[RANK VALUE])+COUNTIF($H$1:H856,H857)),"")</f>
        <v>1515</v>
      </c>
    </row>
    <row r="858" spans="1:9" x14ac:dyDescent="0.25">
      <c r="A858" t="s">
        <v>1760</v>
      </c>
      <c r="B858" s="3" t="s">
        <v>536</v>
      </c>
      <c r="C858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858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858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1</v>
      </c>
      <c r="F858" s="3">
        <f>SUM(TS_ATHLETES[[#This Row],[GOLD MEDALS]:[BRONZE MEDALS]])</f>
        <v>1</v>
      </c>
      <c r="G858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10000010</v>
      </c>
      <c r="H858" s="3">
        <f>IF(TS_ATHLETES[[#This Row],[TOTAL]]=0,"",RANK(TS_ATHLETES[[#This Row],[RANK VALUE]],TS_ATHLETES[RANK VALUE]))</f>
        <v>1224</v>
      </c>
      <c r="I858" s="3">
        <f>IFERROR(IF(TS_ATHLETES[[#This Row],[TOTAL]]=0,"",RANK(TS_ATHLETES[[#This Row],[RANK VALUE]],TS_ATHLETES[RANK VALUE])+COUNTIF($H$1:H857,H858)),"")</f>
        <v>1516</v>
      </c>
    </row>
    <row r="859" spans="1:9" x14ac:dyDescent="0.25">
      <c r="A859" t="s">
        <v>1761</v>
      </c>
      <c r="B859" s="3" t="s">
        <v>536</v>
      </c>
      <c r="C859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859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859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1</v>
      </c>
      <c r="F859" s="3">
        <f>SUM(TS_ATHLETES[[#This Row],[GOLD MEDALS]:[BRONZE MEDALS]])</f>
        <v>1</v>
      </c>
      <c r="G859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10000010</v>
      </c>
      <c r="H859" s="3">
        <f>IF(TS_ATHLETES[[#This Row],[TOTAL]]=0,"",RANK(TS_ATHLETES[[#This Row],[RANK VALUE]],TS_ATHLETES[RANK VALUE]))</f>
        <v>1224</v>
      </c>
      <c r="I859" s="3">
        <f>IFERROR(IF(TS_ATHLETES[[#This Row],[TOTAL]]=0,"",RANK(TS_ATHLETES[[#This Row],[RANK VALUE]],TS_ATHLETES[RANK VALUE])+COUNTIF($H$1:H858,H859)),"")</f>
        <v>1517</v>
      </c>
    </row>
    <row r="860" spans="1:9" x14ac:dyDescent="0.25">
      <c r="A860" t="s">
        <v>1762</v>
      </c>
      <c r="B860" s="3" t="s">
        <v>536</v>
      </c>
      <c r="C860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860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860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1</v>
      </c>
      <c r="F860" s="3">
        <f>SUM(TS_ATHLETES[[#This Row],[GOLD MEDALS]:[BRONZE MEDALS]])</f>
        <v>1</v>
      </c>
      <c r="G860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10000010</v>
      </c>
      <c r="H860" s="3">
        <f>IF(TS_ATHLETES[[#This Row],[TOTAL]]=0,"",RANK(TS_ATHLETES[[#This Row],[RANK VALUE]],TS_ATHLETES[RANK VALUE]))</f>
        <v>1224</v>
      </c>
      <c r="I860" s="3">
        <f>IFERROR(IF(TS_ATHLETES[[#This Row],[TOTAL]]=0,"",RANK(TS_ATHLETES[[#This Row],[RANK VALUE]],TS_ATHLETES[RANK VALUE])+COUNTIF($H$1:H859,H860)),"")</f>
        <v>1518</v>
      </c>
    </row>
    <row r="861" spans="1:9" x14ac:dyDescent="0.25">
      <c r="A861" t="s">
        <v>1763</v>
      </c>
      <c r="B861" s="3" t="s">
        <v>536</v>
      </c>
      <c r="C861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861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861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1</v>
      </c>
      <c r="F861" s="3">
        <f>SUM(TS_ATHLETES[[#This Row],[GOLD MEDALS]:[BRONZE MEDALS]])</f>
        <v>1</v>
      </c>
      <c r="G861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10000010</v>
      </c>
      <c r="H861" s="3">
        <f>IF(TS_ATHLETES[[#This Row],[TOTAL]]=0,"",RANK(TS_ATHLETES[[#This Row],[RANK VALUE]],TS_ATHLETES[RANK VALUE]))</f>
        <v>1224</v>
      </c>
      <c r="I861" s="3">
        <f>IFERROR(IF(TS_ATHLETES[[#This Row],[TOTAL]]=0,"",RANK(TS_ATHLETES[[#This Row],[RANK VALUE]],TS_ATHLETES[RANK VALUE])+COUNTIF($H$1:H860,H861)),"")</f>
        <v>1519</v>
      </c>
    </row>
    <row r="862" spans="1:9" x14ac:dyDescent="0.25">
      <c r="A862" t="s">
        <v>1764</v>
      </c>
      <c r="B862" s="3" t="s">
        <v>536</v>
      </c>
      <c r="C862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862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862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1</v>
      </c>
      <c r="F862" s="3">
        <f>SUM(TS_ATHLETES[[#This Row],[GOLD MEDALS]:[BRONZE MEDALS]])</f>
        <v>1</v>
      </c>
      <c r="G862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10000010</v>
      </c>
      <c r="H862" s="3">
        <f>IF(TS_ATHLETES[[#This Row],[TOTAL]]=0,"",RANK(TS_ATHLETES[[#This Row],[RANK VALUE]],TS_ATHLETES[RANK VALUE]))</f>
        <v>1224</v>
      </c>
      <c r="I862" s="3">
        <f>IFERROR(IF(TS_ATHLETES[[#This Row],[TOTAL]]=0,"",RANK(TS_ATHLETES[[#This Row],[RANK VALUE]],TS_ATHLETES[RANK VALUE])+COUNTIF($H$1:H861,H862)),"")</f>
        <v>1520</v>
      </c>
    </row>
    <row r="863" spans="1:9" x14ac:dyDescent="0.25">
      <c r="A863" t="s">
        <v>1765</v>
      </c>
      <c r="B863" s="3" t="s">
        <v>536</v>
      </c>
      <c r="C863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863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863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1</v>
      </c>
      <c r="F863" s="3">
        <f>SUM(TS_ATHLETES[[#This Row],[GOLD MEDALS]:[BRONZE MEDALS]])</f>
        <v>1</v>
      </c>
      <c r="G863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10000010</v>
      </c>
      <c r="H863" s="3">
        <f>IF(TS_ATHLETES[[#This Row],[TOTAL]]=0,"",RANK(TS_ATHLETES[[#This Row],[RANK VALUE]],TS_ATHLETES[RANK VALUE]))</f>
        <v>1224</v>
      </c>
      <c r="I863" s="3">
        <f>IFERROR(IF(TS_ATHLETES[[#This Row],[TOTAL]]=0,"",RANK(TS_ATHLETES[[#This Row],[RANK VALUE]],TS_ATHLETES[RANK VALUE])+COUNTIF($H$1:H862,H863)),"")</f>
        <v>1521</v>
      </c>
    </row>
    <row r="864" spans="1:9" x14ac:dyDescent="0.25">
      <c r="A864" t="s">
        <v>1766</v>
      </c>
      <c r="B864" s="3" t="s">
        <v>536</v>
      </c>
      <c r="C864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864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864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1</v>
      </c>
      <c r="F864" s="3">
        <f>SUM(TS_ATHLETES[[#This Row],[GOLD MEDALS]:[BRONZE MEDALS]])</f>
        <v>1</v>
      </c>
      <c r="G864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10000010</v>
      </c>
      <c r="H864" s="3">
        <f>IF(TS_ATHLETES[[#This Row],[TOTAL]]=0,"",RANK(TS_ATHLETES[[#This Row],[RANK VALUE]],TS_ATHLETES[RANK VALUE]))</f>
        <v>1224</v>
      </c>
      <c r="I864" s="3">
        <f>IFERROR(IF(TS_ATHLETES[[#This Row],[TOTAL]]=0,"",RANK(TS_ATHLETES[[#This Row],[RANK VALUE]],TS_ATHLETES[RANK VALUE])+COUNTIF($H$1:H863,H864)),"")</f>
        <v>1522</v>
      </c>
    </row>
    <row r="865" spans="1:9" x14ac:dyDescent="0.25">
      <c r="A865" t="s">
        <v>1767</v>
      </c>
      <c r="B865" s="3" t="s">
        <v>536</v>
      </c>
      <c r="C865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865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865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1</v>
      </c>
      <c r="F865" s="3">
        <f>SUM(TS_ATHLETES[[#This Row],[GOLD MEDALS]:[BRONZE MEDALS]])</f>
        <v>1</v>
      </c>
      <c r="G865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10000010</v>
      </c>
      <c r="H865" s="3">
        <f>IF(TS_ATHLETES[[#This Row],[TOTAL]]=0,"",RANK(TS_ATHLETES[[#This Row],[RANK VALUE]],TS_ATHLETES[RANK VALUE]))</f>
        <v>1224</v>
      </c>
      <c r="I865" s="3">
        <f>IFERROR(IF(TS_ATHLETES[[#This Row],[TOTAL]]=0,"",RANK(TS_ATHLETES[[#This Row],[RANK VALUE]],TS_ATHLETES[RANK VALUE])+COUNTIF($H$1:H864,H865)),"")</f>
        <v>1523</v>
      </c>
    </row>
    <row r="866" spans="1:9" x14ac:dyDescent="0.25">
      <c r="A866" t="s">
        <v>1768</v>
      </c>
      <c r="B866" s="3" t="s">
        <v>51</v>
      </c>
      <c r="C866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1</v>
      </c>
      <c r="D866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866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866" s="3">
        <f>SUM(TS_ATHLETES[[#This Row],[GOLD MEDALS]:[BRONZE MEDALS]])</f>
        <v>1</v>
      </c>
      <c r="G866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10100000</v>
      </c>
      <c r="H866" s="3">
        <f>IF(TS_ATHLETES[[#This Row],[TOTAL]]=0,"",RANK(TS_ATHLETES[[#This Row],[RANK VALUE]],TS_ATHLETES[RANK VALUE]))</f>
        <v>129</v>
      </c>
      <c r="I866" s="3">
        <f>IFERROR(IF(TS_ATHLETES[[#This Row],[TOTAL]]=0,"",RANK(TS_ATHLETES[[#This Row],[RANK VALUE]],TS_ATHLETES[RANK VALUE])+COUNTIF($H$1:H865,H866)),"")</f>
        <v>347</v>
      </c>
    </row>
    <row r="867" spans="1:9" x14ac:dyDescent="0.25">
      <c r="A867" t="s">
        <v>1769</v>
      </c>
      <c r="B867" s="3" t="s">
        <v>51</v>
      </c>
      <c r="C867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1</v>
      </c>
      <c r="D867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867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867" s="3">
        <f>SUM(TS_ATHLETES[[#This Row],[GOLD MEDALS]:[BRONZE MEDALS]])</f>
        <v>1</v>
      </c>
      <c r="G867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10100000</v>
      </c>
      <c r="H867" s="3">
        <f>IF(TS_ATHLETES[[#This Row],[TOTAL]]=0,"",RANK(TS_ATHLETES[[#This Row],[RANK VALUE]],TS_ATHLETES[RANK VALUE]))</f>
        <v>129</v>
      </c>
      <c r="I867" s="3">
        <f>IFERROR(IF(TS_ATHLETES[[#This Row],[TOTAL]]=0,"",RANK(TS_ATHLETES[[#This Row],[RANK VALUE]],TS_ATHLETES[RANK VALUE])+COUNTIF($H$1:H866,H867)),"")</f>
        <v>348</v>
      </c>
    </row>
    <row r="868" spans="1:9" x14ac:dyDescent="0.25">
      <c r="A868" t="s">
        <v>1770</v>
      </c>
      <c r="B868" s="3" t="s">
        <v>175</v>
      </c>
      <c r="C868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868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1</v>
      </c>
      <c r="E868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868" s="3">
        <f>SUM(TS_ATHLETES[[#This Row],[GOLD MEDALS]:[BRONZE MEDALS]])</f>
        <v>1</v>
      </c>
      <c r="G868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10000100</v>
      </c>
      <c r="H868" s="3">
        <f>IF(TS_ATHLETES[[#This Row],[TOTAL]]=0,"",RANK(TS_ATHLETES[[#This Row],[RANK VALUE]],TS_ATHLETES[RANK VALUE]))</f>
        <v>660</v>
      </c>
      <c r="I868" s="3">
        <f>IFERROR(IF(TS_ATHLETES[[#This Row],[TOTAL]]=0,"",RANK(TS_ATHLETES[[#This Row],[RANK VALUE]],TS_ATHLETES[RANK VALUE])+COUNTIF($H$1:H867,H868)),"")</f>
        <v>897</v>
      </c>
    </row>
    <row r="869" spans="1:9" x14ac:dyDescent="0.25">
      <c r="A869" t="s">
        <v>1771</v>
      </c>
      <c r="B869" s="3" t="s">
        <v>175</v>
      </c>
      <c r="C869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869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1</v>
      </c>
      <c r="E869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869" s="3">
        <f>SUM(TS_ATHLETES[[#This Row],[GOLD MEDALS]:[BRONZE MEDALS]])</f>
        <v>1</v>
      </c>
      <c r="G869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10000100</v>
      </c>
      <c r="H869" s="3">
        <f>IF(TS_ATHLETES[[#This Row],[TOTAL]]=0,"",RANK(TS_ATHLETES[[#This Row],[RANK VALUE]],TS_ATHLETES[RANK VALUE]))</f>
        <v>660</v>
      </c>
      <c r="I869" s="3">
        <f>IFERROR(IF(TS_ATHLETES[[#This Row],[TOTAL]]=0,"",RANK(TS_ATHLETES[[#This Row],[RANK VALUE]],TS_ATHLETES[RANK VALUE])+COUNTIF($H$1:H868,H869)),"")</f>
        <v>898</v>
      </c>
    </row>
    <row r="870" spans="1:9" x14ac:dyDescent="0.25">
      <c r="A870" t="s">
        <v>1772</v>
      </c>
      <c r="B870" s="3" t="s">
        <v>250</v>
      </c>
      <c r="C870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870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870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1</v>
      </c>
      <c r="F870" s="3">
        <f>SUM(TS_ATHLETES[[#This Row],[GOLD MEDALS]:[BRONZE MEDALS]])</f>
        <v>1</v>
      </c>
      <c r="G870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10000010</v>
      </c>
      <c r="H870" s="3">
        <f>IF(TS_ATHLETES[[#This Row],[TOTAL]]=0,"",RANK(TS_ATHLETES[[#This Row],[RANK VALUE]],TS_ATHLETES[RANK VALUE]))</f>
        <v>1224</v>
      </c>
      <c r="I870" s="3">
        <f>IFERROR(IF(TS_ATHLETES[[#This Row],[TOTAL]]=0,"",RANK(TS_ATHLETES[[#This Row],[RANK VALUE]],TS_ATHLETES[RANK VALUE])+COUNTIF($H$1:H869,H870)),"")</f>
        <v>1524</v>
      </c>
    </row>
    <row r="871" spans="1:9" x14ac:dyDescent="0.25">
      <c r="A871" t="s">
        <v>1773</v>
      </c>
      <c r="B871" s="3" t="s">
        <v>250</v>
      </c>
      <c r="C871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871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871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1</v>
      </c>
      <c r="F871" s="3">
        <f>SUM(TS_ATHLETES[[#This Row],[GOLD MEDALS]:[BRONZE MEDALS]])</f>
        <v>1</v>
      </c>
      <c r="G871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10000010</v>
      </c>
      <c r="H871" s="3">
        <f>IF(TS_ATHLETES[[#This Row],[TOTAL]]=0,"",RANK(TS_ATHLETES[[#This Row],[RANK VALUE]],TS_ATHLETES[RANK VALUE]))</f>
        <v>1224</v>
      </c>
      <c r="I871" s="3">
        <f>IFERROR(IF(TS_ATHLETES[[#This Row],[TOTAL]]=0,"",RANK(TS_ATHLETES[[#This Row],[RANK VALUE]],TS_ATHLETES[RANK VALUE])+COUNTIF($H$1:H870,H871)),"")</f>
        <v>1525</v>
      </c>
    </row>
    <row r="872" spans="1:9" x14ac:dyDescent="0.25">
      <c r="A872" t="s">
        <v>1774</v>
      </c>
      <c r="B872" s="3" t="s">
        <v>136</v>
      </c>
      <c r="C872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1</v>
      </c>
      <c r="D872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872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872" s="3">
        <f>SUM(TS_ATHLETES[[#This Row],[GOLD MEDALS]:[BRONZE MEDALS]])</f>
        <v>1</v>
      </c>
      <c r="G872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10100000</v>
      </c>
      <c r="H872" s="3">
        <f>IF(TS_ATHLETES[[#This Row],[TOTAL]]=0,"",RANK(TS_ATHLETES[[#This Row],[RANK VALUE]],TS_ATHLETES[RANK VALUE]))</f>
        <v>129</v>
      </c>
      <c r="I872" s="3">
        <f>IFERROR(IF(TS_ATHLETES[[#This Row],[TOTAL]]=0,"",RANK(TS_ATHLETES[[#This Row],[RANK VALUE]],TS_ATHLETES[RANK VALUE])+COUNTIF($H$1:H871,H872)),"")</f>
        <v>349</v>
      </c>
    </row>
    <row r="873" spans="1:9" x14ac:dyDescent="0.25">
      <c r="A873" t="s">
        <v>1775</v>
      </c>
      <c r="B873" s="3" t="s">
        <v>51</v>
      </c>
      <c r="C873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873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1</v>
      </c>
      <c r="E873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873" s="3">
        <f>SUM(TS_ATHLETES[[#This Row],[GOLD MEDALS]:[BRONZE MEDALS]])</f>
        <v>1</v>
      </c>
      <c r="G873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10000100</v>
      </c>
      <c r="H873" s="3">
        <f>IF(TS_ATHLETES[[#This Row],[TOTAL]]=0,"",RANK(TS_ATHLETES[[#This Row],[RANK VALUE]],TS_ATHLETES[RANK VALUE]))</f>
        <v>660</v>
      </c>
      <c r="I873" s="3">
        <f>IFERROR(IF(TS_ATHLETES[[#This Row],[TOTAL]]=0,"",RANK(TS_ATHLETES[[#This Row],[RANK VALUE]],TS_ATHLETES[RANK VALUE])+COUNTIF($H$1:H872,H873)),"")</f>
        <v>899</v>
      </c>
    </row>
    <row r="874" spans="1:9" x14ac:dyDescent="0.25">
      <c r="A874" t="s">
        <v>1776</v>
      </c>
      <c r="B874" s="3" t="s">
        <v>51</v>
      </c>
      <c r="C874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874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1</v>
      </c>
      <c r="E874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874" s="3">
        <f>SUM(TS_ATHLETES[[#This Row],[GOLD MEDALS]:[BRONZE MEDALS]])</f>
        <v>1</v>
      </c>
      <c r="G874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10000100</v>
      </c>
      <c r="H874" s="3">
        <f>IF(TS_ATHLETES[[#This Row],[TOTAL]]=0,"",RANK(TS_ATHLETES[[#This Row],[RANK VALUE]],TS_ATHLETES[RANK VALUE]))</f>
        <v>660</v>
      </c>
      <c r="I874" s="3">
        <f>IFERROR(IF(TS_ATHLETES[[#This Row],[TOTAL]]=0,"",RANK(TS_ATHLETES[[#This Row],[RANK VALUE]],TS_ATHLETES[RANK VALUE])+COUNTIF($H$1:H873,H874)),"")</f>
        <v>900</v>
      </c>
    </row>
    <row r="875" spans="1:9" x14ac:dyDescent="0.25">
      <c r="A875" t="s">
        <v>1777</v>
      </c>
      <c r="B875" s="3" t="s">
        <v>363</v>
      </c>
      <c r="C875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875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875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1</v>
      </c>
      <c r="F875" s="3">
        <f>SUM(TS_ATHLETES[[#This Row],[GOLD MEDALS]:[BRONZE MEDALS]])</f>
        <v>1</v>
      </c>
      <c r="G875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10000010</v>
      </c>
      <c r="H875" s="3">
        <f>IF(TS_ATHLETES[[#This Row],[TOTAL]]=0,"",RANK(TS_ATHLETES[[#This Row],[RANK VALUE]],TS_ATHLETES[RANK VALUE]))</f>
        <v>1224</v>
      </c>
      <c r="I875" s="3">
        <f>IFERROR(IF(TS_ATHLETES[[#This Row],[TOTAL]]=0,"",RANK(TS_ATHLETES[[#This Row],[RANK VALUE]],TS_ATHLETES[RANK VALUE])+COUNTIF($H$1:H874,H875)),"")</f>
        <v>1526</v>
      </c>
    </row>
    <row r="876" spans="1:9" x14ac:dyDescent="0.25">
      <c r="A876" t="s">
        <v>1778</v>
      </c>
      <c r="B876" s="3" t="s">
        <v>363</v>
      </c>
      <c r="C876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876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876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1</v>
      </c>
      <c r="F876" s="3">
        <f>SUM(TS_ATHLETES[[#This Row],[GOLD MEDALS]:[BRONZE MEDALS]])</f>
        <v>1</v>
      </c>
      <c r="G876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10000010</v>
      </c>
      <c r="H876" s="3">
        <f>IF(TS_ATHLETES[[#This Row],[TOTAL]]=0,"",RANK(TS_ATHLETES[[#This Row],[RANK VALUE]],TS_ATHLETES[RANK VALUE]))</f>
        <v>1224</v>
      </c>
      <c r="I876" s="3">
        <f>IFERROR(IF(TS_ATHLETES[[#This Row],[TOTAL]]=0,"",RANK(TS_ATHLETES[[#This Row],[RANK VALUE]],TS_ATHLETES[RANK VALUE])+COUNTIF($H$1:H875,H876)),"")</f>
        <v>1527</v>
      </c>
    </row>
    <row r="877" spans="1:9" x14ac:dyDescent="0.25">
      <c r="A877" t="s">
        <v>1779</v>
      </c>
      <c r="B877" s="3" t="s">
        <v>311</v>
      </c>
      <c r="C877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1</v>
      </c>
      <c r="D877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877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877" s="3">
        <f>SUM(TS_ATHLETES[[#This Row],[GOLD MEDALS]:[BRONZE MEDALS]])</f>
        <v>1</v>
      </c>
      <c r="G877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10100000</v>
      </c>
      <c r="H877" s="3">
        <f>IF(TS_ATHLETES[[#This Row],[TOTAL]]=0,"",RANK(TS_ATHLETES[[#This Row],[RANK VALUE]],TS_ATHLETES[RANK VALUE]))</f>
        <v>129</v>
      </c>
      <c r="I877" s="3">
        <f>IFERROR(IF(TS_ATHLETES[[#This Row],[TOTAL]]=0,"",RANK(TS_ATHLETES[[#This Row],[RANK VALUE]],TS_ATHLETES[RANK VALUE])+COUNTIF($H$1:H876,H877)),"")</f>
        <v>350</v>
      </c>
    </row>
    <row r="878" spans="1:9" x14ac:dyDescent="0.25">
      <c r="A878" t="s">
        <v>1780</v>
      </c>
      <c r="B878" s="3" t="s">
        <v>311</v>
      </c>
      <c r="C878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1</v>
      </c>
      <c r="D878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878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878" s="3">
        <f>SUM(TS_ATHLETES[[#This Row],[GOLD MEDALS]:[BRONZE MEDALS]])</f>
        <v>1</v>
      </c>
      <c r="G878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10100000</v>
      </c>
      <c r="H878" s="3">
        <f>IF(TS_ATHLETES[[#This Row],[TOTAL]]=0,"",RANK(TS_ATHLETES[[#This Row],[RANK VALUE]],TS_ATHLETES[RANK VALUE]))</f>
        <v>129</v>
      </c>
      <c r="I878" s="3">
        <f>IFERROR(IF(TS_ATHLETES[[#This Row],[TOTAL]]=0,"",RANK(TS_ATHLETES[[#This Row],[RANK VALUE]],TS_ATHLETES[RANK VALUE])+COUNTIF($H$1:H877,H878)),"")</f>
        <v>351</v>
      </c>
    </row>
    <row r="879" spans="1:9" x14ac:dyDescent="0.25">
      <c r="A879" t="s">
        <v>1781</v>
      </c>
      <c r="B879" s="3" t="s">
        <v>361</v>
      </c>
      <c r="C879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879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1</v>
      </c>
      <c r="E879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879" s="3">
        <f>SUM(TS_ATHLETES[[#This Row],[GOLD MEDALS]:[BRONZE MEDALS]])</f>
        <v>1</v>
      </c>
      <c r="G879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10000100</v>
      </c>
      <c r="H879" s="3">
        <f>IF(TS_ATHLETES[[#This Row],[TOTAL]]=0,"",RANK(TS_ATHLETES[[#This Row],[RANK VALUE]],TS_ATHLETES[RANK VALUE]))</f>
        <v>660</v>
      </c>
      <c r="I879" s="3">
        <f>IFERROR(IF(TS_ATHLETES[[#This Row],[TOTAL]]=0,"",RANK(TS_ATHLETES[[#This Row],[RANK VALUE]],TS_ATHLETES[RANK VALUE])+COUNTIF($H$1:H878,H879)),"")</f>
        <v>901</v>
      </c>
    </row>
    <row r="880" spans="1:9" x14ac:dyDescent="0.25">
      <c r="A880" t="s">
        <v>1782</v>
      </c>
      <c r="B880" s="3" t="s">
        <v>361</v>
      </c>
      <c r="C880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880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1</v>
      </c>
      <c r="E880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880" s="3">
        <f>SUM(TS_ATHLETES[[#This Row],[GOLD MEDALS]:[BRONZE MEDALS]])</f>
        <v>1</v>
      </c>
      <c r="G880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10000100</v>
      </c>
      <c r="H880" s="3">
        <f>IF(TS_ATHLETES[[#This Row],[TOTAL]]=0,"",RANK(TS_ATHLETES[[#This Row],[RANK VALUE]],TS_ATHLETES[RANK VALUE]))</f>
        <v>660</v>
      </c>
      <c r="I880" s="3">
        <f>IFERROR(IF(TS_ATHLETES[[#This Row],[TOTAL]]=0,"",RANK(TS_ATHLETES[[#This Row],[RANK VALUE]],TS_ATHLETES[RANK VALUE])+COUNTIF($H$1:H879,H880)),"")</f>
        <v>902</v>
      </c>
    </row>
    <row r="881" spans="1:9" x14ac:dyDescent="0.25">
      <c r="A881" t="s">
        <v>1783</v>
      </c>
      <c r="B881" s="3" t="s">
        <v>128</v>
      </c>
      <c r="C881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881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881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1</v>
      </c>
      <c r="F881" s="3">
        <f>SUM(TS_ATHLETES[[#This Row],[GOLD MEDALS]:[BRONZE MEDALS]])</f>
        <v>1</v>
      </c>
      <c r="G881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10000010</v>
      </c>
      <c r="H881" s="3">
        <f>IF(TS_ATHLETES[[#This Row],[TOTAL]]=0,"",RANK(TS_ATHLETES[[#This Row],[RANK VALUE]],TS_ATHLETES[RANK VALUE]))</f>
        <v>1224</v>
      </c>
      <c r="I881" s="3">
        <f>IFERROR(IF(TS_ATHLETES[[#This Row],[TOTAL]]=0,"",RANK(TS_ATHLETES[[#This Row],[RANK VALUE]],TS_ATHLETES[RANK VALUE])+COUNTIF($H$1:H880,H881)),"")</f>
        <v>1528</v>
      </c>
    </row>
    <row r="882" spans="1:9" x14ac:dyDescent="0.25">
      <c r="A882" t="s">
        <v>1784</v>
      </c>
      <c r="B882" s="3" t="s">
        <v>128</v>
      </c>
      <c r="C882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882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882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1</v>
      </c>
      <c r="F882" s="3">
        <f>SUM(TS_ATHLETES[[#This Row],[GOLD MEDALS]:[BRONZE MEDALS]])</f>
        <v>1</v>
      </c>
      <c r="G882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10000010</v>
      </c>
      <c r="H882" s="3">
        <f>IF(TS_ATHLETES[[#This Row],[TOTAL]]=0,"",RANK(TS_ATHLETES[[#This Row],[RANK VALUE]],TS_ATHLETES[RANK VALUE]))</f>
        <v>1224</v>
      </c>
      <c r="I882" s="3">
        <f>IFERROR(IF(TS_ATHLETES[[#This Row],[TOTAL]]=0,"",RANK(TS_ATHLETES[[#This Row],[RANK VALUE]],TS_ATHLETES[RANK VALUE])+COUNTIF($H$1:H881,H882)),"")</f>
        <v>1529</v>
      </c>
    </row>
    <row r="883" spans="1:9" x14ac:dyDescent="0.25">
      <c r="A883" t="s">
        <v>1785</v>
      </c>
      <c r="B883" s="3" t="s">
        <v>321</v>
      </c>
      <c r="C883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1</v>
      </c>
      <c r="D883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883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883" s="3">
        <f>SUM(TS_ATHLETES[[#This Row],[GOLD MEDALS]:[BRONZE MEDALS]])</f>
        <v>1</v>
      </c>
      <c r="G883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10100000</v>
      </c>
      <c r="H883" s="3">
        <f>IF(TS_ATHLETES[[#This Row],[TOTAL]]=0,"",RANK(TS_ATHLETES[[#This Row],[RANK VALUE]],TS_ATHLETES[RANK VALUE]))</f>
        <v>129</v>
      </c>
      <c r="I883" s="3">
        <f>IFERROR(IF(TS_ATHLETES[[#This Row],[TOTAL]]=0,"",RANK(TS_ATHLETES[[#This Row],[RANK VALUE]],TS_ATHLETES[RANK VALUE])+COUNTIF($H$1:H882,H883)),"")</f>
        <v>352</v>
      </c>
    </row>
    <row r="884" spans="1:9" x14ac:dyDescent="0.25">
      <c r="A884" t="s">
        <v>1786</v>
      </c>
      <c r="B884" s="3" t="s">
        <v>361</v>
      </c>
      <c r="C884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884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1</v>
      </c>
      <c r="E884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884" s="3">
        <f>SUM(TS_ATHLETES[[#This Row],[GOLD MEDALS]:[BRONZE MEDALS]])</f>
        <v>1</v>
      </c>
      <c r="G884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10000100</v>
      </c>
      <c r="H884" s="3">
        <f>IF(TS_ATHLETES[[#This Row],[TOTAL]]=0,"",RANK(TS_ATHLETES[[#This Row],[RANK VALUE]],TS_ATHLETES[RANK VALUE]))</f>
        <v>660</v>
      </c>
      <c r="I884" s="3">
        <f>IFERROR(IF(TS_ATHLETES[[#This Row],[TOTAL]]=0,"",RANK(TS_ATHLETES[[#This Row],[RANK VALUE]],TS_ATHLETES[RANK VALUE])+COUNTIF($H$1:H883,H884)),"")</f>
        <v>903</v>
      </c>
    </row>
    <row r="885" spans="1:9" x14ac:dyDescent="0.25">
      <c r="A885" t="s">
        <v>1787</v>
      </c>
      <c r="B885" s="3" t="s">
        <v>207</v>
      </c>
      <c r="C885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885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885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1</v>
      </c>
      <c r="F885" s="3">
        <f>SUM(TS_ATHLETES[[#This Row],[GOLD MEDALS]:[BRONZE MEDALS]])</f>
        <v>1</v>
      </c>
      <c r="G885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10000010</v>
      </c>
      <c r="H885" s="3">
        <f>IF(TS_ATHLETES[[#This Row],[TOTAL]]=0,"",RANK(TS_ATHLETES[[#This Row],[RANK VALUE]],TS_ATHLETES[RANK VALUE]))</f>
        <v>1224</v>
      </c>
      <c r="I885" s="3">
        <f>IFERROR(IF(TS_ATHLETES[[#This Row],[TOTAL]]=0,"",RANK(TS_ATHLETES[[#This Row],[RANK VALUE]],TS_ATHLETES[RANK VALUE])+COUNTIF($H$1:H884,H885)),"")</f>
        <v>1530</v>
      </c>
    </row>
    <row r="886" spans="1:9" x14ac:dyDescent="0.25">
      <c r="A886" t="s">
        <v>1788</v>
      </c>
      <c r="B886" s="3" t="s">
        <v>207</v>
      </c>
      <c r="C886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886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886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1</v>
      </c>
      <c r="F886" s="3">
        <f>SUM(TS_ATHLETES[[#This Row],[GOLD MEDALS]:[BRONZE MEDALS]])</f>
        <v>1</v>
      </c>
      <c r="G886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10000010</v>
      </c>
      <c r="H886" s="3">
        <f>IF(TS_ATHLETES[[#This Row],[TOTAL]]=0,"",RANK(TS_ATHLETES[[#This Row],[RANK VALUE]],TS_ATHLETES[RANK VALUE]))</f>
        <v>1224</v>
      </c>
      <c r="I886" s="3">
        <f>IFERROR(IF(TS_ATHLETES[[#This Row],[TOTAL]]=0,"",RANK(TS_ATHLETES[[#This Row],[RANK VALUE]],TS_ATHLETES[RANK VALUE])+COUNTIF($H$1:H885,H886)),"")</f>
        <v>1531</v>
      </c>
    </row>
    <row r="887" spans="1:9" x14ac:dyDescent="0.25">
      <c r="A887" t="s">
        <v>1789</v>
      </c>
      <c r="B887" s="3" t="s">
        <v>136</v>
      </c>
      <c r="C887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2</v>
      </c>
      <c r="D887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887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887" s="3">
        <f>SUM(TS_ATHLETES[[#This Row],[GOLD MEDALS]:[BRONZE MEDALS]])</f>
        <v>2</v>
      </c>
      <c r="G887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20200000</v>
      </c>
      <c r="H887" s="3">
        <f>IF(TS_ATHLETES[[#This Row],[TOTAL]]=0,"",RANK(TS_ATHLETES[[#This Row],[RANK VALUE]],TS_ATHLETES[RANK VALUE]))</f>
        <v>27</v>
      </c>
      <c r="I887" s="3">
        <f>IFERROR(IF(TS_ATHLETES[[#This Row],[TOTAL]]=0,"",RANK(TS_ATHLETES[[#This Row],[RANK VALUE]],TS_ATHLETES[RANK VALUE])+COUNTIF($H$1:H886,H887)),"")</f>
        <v>42</v>
      </c>
    </row>
    <row r="888" spans="1:9" x14ac:dyDescent="0.25">
      <c r="A888" t="s">
        <v>1790</v>
      </c>
      <c r="B888" s="3" t="s">
        <v>136</v>
      </c>
      <c r="C888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2</v>
      </c>
      <c r="D888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888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888" s="3">
        <f>SUM(TS_ATHLETES[[#This Row],[GOLD MEDALS]:[BRONZE MEDALS]])</f>
        <v>2</v>
      </c>
      <c r="G888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20200000</v>
      </c>
      <c r="H888" s="3">
        <f>IF(TS_ATHLETES[[#This Row],[TOTAL]]=0,"",RANK(TS_ATHLETES[[#This Row],[RANK VALUE]],TS_ATHLETES[RANK VALUE]))</f>
        <v>27</v>
      </c>
      <c r="I888" s="3">
        <f>IFERROR(IF(TS_ATHLETES[[#This Row],[TOTAL]]=0,"",RANK(TS_ATHLETES[[#This Row],[RANK VALUE]],TS_ATHLETES[RANK VALUE])+COUNTIF($H$1:H887,H888)),"")</f>
        <v>43</v>
      </c>
    </row>
    <row r="889" spans="1:9" x14ac:dyDescent="0.25">
      <c r="A889" t="s">
        <v>1791</v>
      </c>
      <c r="B889" s="3" t="s">
        <v>536</v>
      </c>
      <c r="C889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889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1</v>
      </c>
      <c r="E889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889" s="3">
        <f>SUM(TS_ATHLETES[[#This Row],[GOLD MEDALS]:[BRONZE MEDALS]])</f>
        <v>1</v>
      </c>
      <c r="G889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10000100</v>
      </c>
      <c r="H889" s="3">
        <f>IF(TS_ATHLETES[[#This Row],[TOTAL]]=0,"",RANK(TS_ATHLETES[[#This Row],[RANK VALUE]],TS_ATHLETES[RANK VALUE]))</f>
        <v>660</v>
      </c>
      <c r="I889" s="3">
        <f>IFERROR(IF(TS_ATHLETES[[#This Row],[TOTAL]]=0,"",RANK(TS_ATHLETES[[#This Row],[RANK VALUE]],TS_ATHLETES[RANK VALUE])+COUNTIF($H$1:H888,H889)),"")</f>
        <v>904</v>
      </c>
    </row>
    <row r="890" spans="1:9" x14ac:dyDescent="0.25">
      <c r="A890" t="s">
        <v>1792</v>
      </c>
      <c r="B890" s="3" t="s">
        <v>536</v>
      </c>
      <c r="C890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890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1</v>
      </c>
      <c r="E890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890" s="3">
        <f>SUM(TS_ATHLETES[[#This Row],[GOLD MEDALS]:[BRONZE MEDALS]])</f>
        <v>1</v>
      </c>
      <c r="G890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10000100</v>
      </c>
      <c r="H890" s="3">
        <f>IF(TS_ATHLETES[[#This Row],[TOTAL]]=0,"",RANK(TS_ATHLETES[[#This Row],[RANK VALUE]],TS_ATHLETES[RANK VALUE]))</f>
        <v>660</v>
      </c>
      <c r="I890" s="3">
        <f>IFERROR(IF(TS_ATHLETES[[#This Row],[TOTAL]]=0,"",RANK(TS_ATHLETES[[#This Row],[RANK VALUE]],TS_ATHLETES[RANK VALUE])+COUNTIF($H$1:H889,H890)),"")</f>
        <v>905</v>
      </c>
    </row>
    <row r="891" spans="1:9" x14ac:dyDescent="0.25">
      <c r="A891" t="s">
        <v>1793</v>
      </c>
      <c r="B891" s="3" t="s">
        <v>21</v>
      </c>
      <c r="C891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891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891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1</v>
      </c>
      <c r="F891" s="3">
        <f>SUM(TS_ATHLETES[[#This Row],[GOLD MEDALS]:[BRONZE MEDALS]])</f>
        <v>1</v>
      </c>
      <c r="G891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10000010</v>
      </c>
      <c r="H891" s="3">
        <f>IF(TS_ATHLETES[[#This Row],[TOTAL]]=0,"",RANK(TS_ATHLETES[[#This Row],[RANK VALUE]],TS_ATHLETES[RANK VALUE]))</f>
        <v>1224</v>
      </c>
      <c r="I891" s="3">
        <f>IFERROR(IF(TS_ATHLETES[[#This Row],[TOTAL]]=0,"",RANK(TS_ATHLETES[[#This Row],[RANK VALUE]],TS_ATHLETES[RANK VALUE])+COUNTIF($H$1:H890,H891)),"")</f>
        <v>1532</v>
      </c>
    </row>
    <row r="892" spans="1:9" x14ac:dyDescent="0.25">
      <c r="A892" t="s">
        <v>1794</v>
      </c>
      <c r="B892" s="3" t="s">
        <v>21</v>
      </c>
      <c r="C892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892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892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1</v>
      </c>
      <c r="F892" s="3">
        <f>SUM(TS_ATHLETES[[#This Row],[GOLD MEDALS]:[BRONZE MEDALS]])</f>
        <v>1</v>
      </c>
      <c r="G892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10000010</v>
      </c>
      <c r="H892" s="3">
        <f>IF(TS_ATHLETES[[#This Row],[TOTAL]]=0,"",RANK(TS_ATHLETES[[#This Row],[RANK VALUE]],TS_ATHLETES[RANK VALUE]))</f>
        <v>1224</v>
      </c>
      <c r="I892" s="3">
        <f>IFERROR(IF(TS_ATHLETES[[#This Row],[TOTAL]]=0,"",RANK(TS_ATHLETES[[#This Row],[RANK VALUE]],TS_ATHLETES[RANK VALUE])+COUNTIF($H$1:H891,H892)),"")</f>
        <v>1533</v>
      </c>
    </row>
    <row r="893" spans="1:9" x14ac:dyDescent="0.25">
      <c r="A893" t="s">
        <v>1795</v>
      </c>
      <c r="B893" s="3" t="s">
        <v>136</v>
      </c>
      <c r="C893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1</v>
      </c>
      <c r="D893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893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893" s="3">
        <f>SUM(TS_ATHLETES[[#This Row],[GOLD MEDALS]:[BRONZE MEDALS]])</f>
        <v>1</v>
      </c>
      <c r="G893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10100000</v>
      </c>
      <c r="H893" s="3">
        <f>IF(TS_ATHLETES[[#This Row],[TOTAL]]=0,"",RANK(TS_ATHLETES[[#This Row],[RANK VALUE]],TS_ATHLETES[RANK VALUE]))</f>
        <v>129</v>
      </c>
      <c r="I893" s="3">
        <f>IFERROR(IF(TS_ATHLETES[[#This Row],[TOTAL]]=0,"",RANK(TS_ATHLETES[[#This Row],[RANK VALUE]],TS_ATHLETES[RANK VALUE])+COUNTIF($H$1:H892,H893)),"")</f>
        <v>353</v>
      </c>
    </row>
    <row r="894" spans="1:9" x14ac:dyDescent="0.25">
      <c r="A894" t="s">
        <v>1796</v>
      </c>
      <c r="B894" s="3" t="s">
        <v>136</v>
      </c>
      <c r="C894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1</v>
      </c>
      <c r="D894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894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894" s="3">
        <f>SUM(TS_ATHLETES[[#This Row],[GOLD MEDALS]:[BRONZE MEDALS]])</f>
        <v>1</v>
      </c>
      <c r="G894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10100000</v>
      </c>
      <c r="H894" s="3">
        <f>IF(TS_ATHLETES[[#This Row],[TOTAL]]=0,"",RANK(TS_ATHLETES[[#This Row],[RANK VALUE]],TS_ATHLETES[RANK VALUE]))</f>
        <v>129</v>
      </c>
      <c r="I894" s="3">
        <f>IFERROR(IF(TS_ATHLETES[[#This Row],[TOTAL]]=0,"",RANK(TS_ATHLETES[[#This Row],[RANK VALUE]],TS_ATHLETES[RANK VALUE])+COUNTIF($H$1:H893,H894)),"")</f>
        <v>354</v>
      </c>
    </row>
    <row r="895" spans="1:9" x14ac:dyDescent="0.25">
      <c r="A895" t="s">
        <v>1797</v>
      </c>
      <c r="B895" s="3" t="s">
        <v>311</v>
      </c>
      <c r="C895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895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1</v>
      </c>
      <c r="E895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895" s="3">
        <f>SUM(TS_ATHLETES[[#This Row],[GOLD MEDALS]:[BRONZE MEDALS]])</f>
        <v>1</v>
      </c>
      <c r="G895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10000100</v>
      </c>
      <c r="H895" s="3">
        <f>IF(TS_ATHLETES[[#This Row],[TOTAL]]=0,"",RANK(TS_ATHLETES[[#This Row],[RANK VALUE]],TS_ATHLETES[RANK VALUE]))</f>
        <v>660</v>
      </c>
      <c r="I895" s="3">
        <f>IFERROR(IF(TS_ATHLETES[[#This Row],[TOTAL]]=0,"",RANK(TS_ATHLETES[[#This Row],[RANK VALUE]],TS_ATHLETES[RANK VALUE])+COUNTIF($H$1:H894,H895)),"")</f>
        <v>906</v>
      </c>
    </row>
    <row r="896" spans="1:9" x14ac:dyDescent="0.25">
      <c r="A896" t="s">
        <v>1798</v>
      </c>
      <c r="B896" s="3" t="s">
        <v>311</v>
      </c>
      <c r="C896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896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1</v>
      </c>
      <c r="E896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896" s="3">
        <f>SUM(TS_ATHLETES[[#This Row],[GOLD MEDALS]:[BRONZE MEDALS]])</f>
        <v>1</v>
      </c>
      <c r="G896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10000100</v>
      </c>
      <c r="H896" s="3">
        <f>IF(TS_ATHLETES[[#This Row],[TOTAL]]=0,"",RANK(TS_ATHLETES[[#This Row],[RANK VALUE]],TS_ATHLETES[RANK VALUE]))</f>
        <v>660</v>
      </c>
      <c r="I896" s="3">
        <f>IFERROR(IF(TS_ATHLETES[[#This Row],[TOTAL]]=0,"",RANK(TS_ATHLETES[[#This Row],[RANK VALUE]],TS_ATHLETES[RANK VALUE])+COUNTIF($H$1:H895,H896)),"")</f>
        <v>907</v>
      </c>
    </row>
    <row r="897" spans="1:9" x14ac:dyDescent="0.25">
      <c r="A897" t="s">
        <v>1799</v>
      </c>
      <c r="B897" s="3" t="s">
        <v>311</v>
      </c>
      <c r="C897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897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1</v>
      </c>
      <c r="E897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897" s="3">
        <f>SUM(TS_ATHLETES[[#This Row],[GOLD MEDALS]:[BRONZE MEDALS]])</f>
        <v>1</v>
      </c>
      <c r="G897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10000100</v>
      </c>
      <c r="H897" s="3">
        <f>IF(TS_ATHLETES[[#This Row],[TOTAL]]=0,"",RANK(TS_ATHLETES[[#This Row],[RANK VALUE]],TS_ATHLETES[RANK VALUE]))</f>
        <v>660</v>
      </c>
      <c r="I897" s="3">
        <f>IFERROR(IF(TS_ATHLETES[[#This Row],[TOTAL]]=0,"",RANK(TS_ATHLETES[[#This Row],[RANK VALUE]],TS_ATHLETES[RANK VALUE])+COUNTIF($H$1:H896,H897)),"")</f>
        <v>908</v>
      </c>
    </row>
    <row r="898" spans="1:9" x14ac:dyDescent="0.25">
      <c r="A898" t="s">
        <v>1800</v>
      </c>
      <c r="B898" s="3" t="s">
        <v>311</v>
      </c>
      <c r="C898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898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1</v>
      </c>
      <c r="E898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898" s="3">
        <f>SUM(TS_ATHLETES[[#This Row],[GOLD MEDALS]:[BRONZE MEDALS]])</f>
        <v>1</v>
      </c>
      <c r="G898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10000100</v>
      </c>
      <c r="H898" s="3">
        <f>IF(TS_ATHLETES[[#This Row],[TOTAL]]=0,"",RANK(TS_ATHLETES[[#This Row],[RANK VALUE]],TS_ATHLETES[RANK VALUE]))</f>
        <v>660</v>
      </c>
      <c r="I898" s="3">
        <f>IFERROR(IF(TS_ATHLETES[[#This Row],[TOTAL]]=0,"",RANK(TS_ATHLETES[[#This Row],[RANK VALUE]],TS_ATHLETES[RANK VALUE])+COUNTIF($H$1:H897,H898)),"")</f>
        <v>909</v>
      </c>
    </row>
    <row r="899" spans="1:9" x14ac:dyDescent="0.25">
      <c r="A899" t="s">
        <v>1801</v>
      </c>
      <c r="B899" s="3" t="s">
        <v>98</v>
      </c>
      <c r="C899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899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899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1</v>
      </c>
      <c r="F899" s="3">
        <f>SUM(TS_ATHLETES[[#This Row],[GOLD MEDALS]:[BRONZE MEDALS]])</f>
        <v>1</v>
      </c>
      <c r="G899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10000010</v>
      </c>
      <c r="H899" s="3">
        <f>IF(TS_ATHLETES[[#This Row],[TOTAL]]=0,"",RANK(TS_ATHLETES[[#This Row],[RANK VALUE]],TS_ATHLETES[RANK VALUE]))</f>
        <v>1224</v>
      </c>
      <c r="I899" s="3">
        <f>IFERROR(IF(TS_ATHLETES[[#This Row],[TOTAL]]=0,"",RANK(TS_ATHLETES[[#This Row],[RANK VALUE]],TS_ATHLETES[RANK VALUE])+COUNTIF($H$1:H898,H899)),"")</f>
        <v>1534</v>
      </c>
    </row>
    <row r="900" spans="1:9" x14ac:dyDescent="0.25">
      <c r="A900" t="s">
        <v>1802</v>
      </c>
      <c r="B900" s="3" t="s">
        <v>98</v>
      </c>
      <c r="C900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900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900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1</v>
      </c>
      <c r="F900" s="3">
        <f>SUM(TS_ATHLETES[[#This Row],[GOLD MEDALS]:[BRONZE MEDALS]])</f>
        <v>1</v>
      </c>
      <c r="G900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10000010</v>
      </c>
      <c r="H900" s="3">
        <f>IF(TS_ATHLETES[[#This Row],[TOTAL]]=0,"",RANK(TS_ATHLETES[[#This Row],[RANK VALUE]],TS_ATHLETES[RANK VALUE]))</f>
        <v>1224</v>
      </c>
      <c r="I900" s="3">
        <f>IFERROR(IF(TS_ATHLETES[[#This Row],[TOTAL]]=0,"",RANK(TS_ATHLETES[[#This Row],[RANK VALUE]],TS_ATHLETES[RANK VALUE])+COUNTIF($H$1:H899,H900)),"")</f>
        <v>1535</v>
      </c>
    </row>
    <row r="901" spans="1:9" x14ac:dyDescent="0.25">
      <c r="A901" t="s">
        <v>1803</v>
      </c>
      <c r="B901" s="3" t="s">
        <v>98</v>
      </c>
      <c r="C901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901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901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1</v>
      </c>
      <c r="F901" s="3">
        <f>SUM(TS_ATHLETES[[#This Row],[GOLD MEDALS]:[BRONZE MEDALS]])</f>
        <v>1</v>
      </c>
      <c r="G901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10000010</v>
      </c>
      <c r="H901" s="3">
        <f>IF(TS_ATHLETES[[#This Row],[TOTAL]]=0,"",RANK(TS_ATHLETES[[#This Row],[RANK VALUE]],TS_ATHLETES[RANK VALUE]))</f>
        <v>1224</v>
      </c>
      <c r="I901" s="3">
        <f>IFERROR(IF(TS_ATHLETES[[#This Row],[TOTAL]]=0,"",RANK(TS_ATHLETES[[#This Row],[RANK VALUE]],TS_ATHLETES[RANK VALUE])+COUNTIF($H$1:H900,H901)),"")</f>
        <v>1536</v>
      </c>
    </row>
    <row r="902" spans="1:9" x14ac:dyDescent="0.25">
      <c r="A902" t="s">
        <v>1804</v>
      </c>
      <c r="B902" s="3" t="s">
        <v>136</v>
      </c>
      <c r="C902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1</v>
      </c>
      <c r="D902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902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902" s="3">
        <f>SUM(TS_ATHLETES[[#This Row],[GOLD MEDALS]:[BRONZE MEDALS]])</f>
        <v>1</v>
      </c>
      <c r="G902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10100000</v>
      </c>
      <c r="H902" s="3">
        <f>IF(TS_ATHLETES[[#This Row],[TOTAL]]=0,"",RANK(TS_ATHLETES[[#This Row],[RANK VALUE]],TS_ATHLETES[RANK VALUE]))</f>
        <v>129</v>
      </c>
      <c r="I902" s="3">
        <f>IFERROR(IF(TS_ATHLETES[[#This Row],[TOTAL]]=0,"",RANK(TS_ATHLETES[[#This Row],[RANK VALUE]],TS_ATHLETES[RANK VALUE])+COUNTIF($H$1:H901,H902)),"")</f>
        <v>355</v>
      </c>
    </row>
    <row r="903" spans="1:9" x14ac:dyDescent="0.25">
      <c r="A903" t="s">
        <v>1805</v>
      </c>
      <c r="B903" s="3" t="s">
        <v>51</v>
      </c>
      <c r="C903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903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1</v>
      </c>
      <c r="E903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903" s="3">
        <f>SUM(TS_ATHLETES[[#This Row],[GOLD MEDALS]:[BRONZE MEDALS]])</f>
        <v>1</v>
      </c>
      <c r="G903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10000100</v>
      </c>
      <c r="H903" s="3">
        <f>IF(TS_ATHLETES[[#This Row],[TOTAL]]=0,"",RANK(TS_ATHLETES[[#This Row],[RANK VALUE]],TS_ATHLETES[RANK VALUE]))</f>
        <v>660</v>
      </c>
      <c r="I903" s="3">
        <f>IFERROR(IF(TS_ATHLETES[[#This Row],[TOTAL]]=0,"",RANK(TS_ATHLETES[[#This Row],[RANK VALUE]],TS_ATHLETES[RANK VALUE])+COUNTIF($H$1:H902,H903)),"")</f>
        <v>910</v>
      </c>
    </row>
    <row r="904" spans="1:9" x14ac:dyDescent="0.25">
      <c r="A904" t="s">
        <v>1806</v>
      </c>
      <c r="B904" s="3" t="s">
        <v>358</v>
      </c>
      <c r="C904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904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904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1</v>
      </c>
      <c r="F904" s="3">
        <f>SUM(TS_ATHLETES[[#This Row],[GOLD MEDALS]:[BRONZE MEDALS]])</f>
        <v>1</v>
      </c>
      <c r="G904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10000010</v>
      </c>
      <c r="H904" s="3">
        <f>IF(TS_ATHLETES[[#This Row],[TOTAL]]=0,"",RANK(TS_ATHLETES[[#This Row],[RANK VALUE]],TS_ATHLETES[RANK VALUE]))</f>
        <v>1224</v>
      </c>
      <c r="I904" s="3">
        <f>IFERROR(IF(TS_ATHLETES[[#This Row],[TOTAL]]=0,"",RANK(TS_ATHLETES[[#This Row],[RANK VALUE]],TS_ATHLETES[RANK VALUE])+COUNTIF($H$1:H903,H904)),"")</f>
        <v>1537</v>
      </c>
    </row>
    <row r="905" spans="1:9" x14ac:dyDescent="0.25">
      <c r="A905" t="s">
        <v>1807</v>
      </c>
      <c r="B905" s="3" t="s">
        <v>358</v>
      </c>
      <c r="C905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905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905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1</v>
      </c>
      <c r="F905" s="3">
        <f>SUM(TS_ATHLETES[[#This Row],[GOLD MEDALS]:[BRONZE MEDALS]])</f>
        <v>1</v>
      </c>
      <c r="G905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10000010</v>
      </c>
      <c r="H905" s="3">
        <f>IF(TS_ATHLETES[[#This Row],[TOTAL]]=0,"",RANK(TS_ATHLETES[[#This Row],[RANK VALUE]],TS_ATHLETES[RANK VALUE]))</f>
        <v>1224</v>
      </c>
      <c r="I905" s="3">
        <f>IFERROR(IF(TS_ATHLETES[[#This Row],[TOTAL]]=0,"",RANK(TS_ATHLETES[[#This Row],[RANK VALUE]],TS_ATHLETES[RANK VALUE])+COUNTIF($H$1:H904,H905)),"")</f>
        <v>1538</v>
      </c>
    </row>
    <row r="906" spans="1:9" x14ac:dyDescent="0.25">
      <c r="A906" t="s">
        <v>1808</v>
      </c>
      <c r="B906" s="3" t="s">
        <v>159</v>
      </c>
      <c r="C906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2</v>
      </c>
      <c r="D906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906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906" s="3">
        <f>SUM(TS_ATHLETES[[#This Row],[GOLD MEDALS]:[BRONZE MEDALS]])</f>
        <v>2</v>
      </c>
      <c r="G906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20200000</v>
      </c>
      <c r="H906" s="3">
        <f>IF(TS_ATHLETES[[#This Row],[TOTAL]]=0,"",RANK(TS_ATHLETES[[#This Row],[RANK VALUE]],TS_ATHLETES[RANK VALUE]))</f>
        <v>27</v>
      </c>
      <c r="I906" s="3">
        <f>IFERROR(IF(TS_ATHLETES[[#This Row],[TOTAL]]=0,"",RANK(TS_ATHLETES[[#This Row],[RANK VALUE]],TS_ATHLETES[RANK VALUE])+COUNTIF($H$1:H905,H906)),"")</f>
        <v>44</v>
      </c>
    </row>
    <row r="907" spans="1:9" x14ac:dyDescent="0.25">
      <c r="A907" t="s">
        <v>1809</v>
      </c>
      <c r="B907" s="3" t="s">
        <v>136</v>
      </c>
      <c r="C907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907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2</v>
      </c>
      <c r="E907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907" s="3">
        <f>SUM(TS_ATHLETES[[#This Row],[GOLD MEDALS]:[BRONZE MEDALS]])</f>
        <v>2</v>
      </c>
      <c r="G907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20000200</v>
      </c>
      <c r="H907" s="3">
        <f>IF(TS_ATHLETES[[#This Row],[TOTAL]]=0,"",RANK(TS_ATHLETES[[#This Row],[RANK VALUE]],TS_ATHLETES[RANK VALUE]))</f>
        <v>92</v>
      </c>
      <c r="I907" s="3">
        <f>IFERROR(IF(TS_ATHLETES[[#This Row],[TOTAL]]=0,"",RANK(TS_ATHLETES[[#This Row],[RANK VALUE]],TS_ATHLETES[RANK VALUE])+COUNTIF($H$1:H906,H907)),"")</f>
        <v>102</v>
      </c>
    </row>
    <row r="908" spans="1:9" x14ac:dyDescent="0.25">
      <c r="A908" t="s">
        <v>1810</v>
      </c>
      <c r="B908" s="3" t="s">
        <v>136</v>
      </c>
      <c r="C908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908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2</v>
      </c>
      <c r="E908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908" s="3">
        <f>SUM(TS_ATHLETES[[#This Row],[GOLD MEDALS]:[BRONZE MEDALS]])</f>
        <v>2</v>
      </c>
      <c r="G908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20000200</v>
      </c>
      <c r="H908" s="3">
        <f>IF(TS_ATHLETES[[#This Row],[TOTAL]]=0,"",RANK(TS_ATHLETES[[#This Row],[RANK VALUE]],TS_ATHLETES[RANK VALUE]))</f>
        <v>92</v>
      </c>
      <c r="I908" s="3">
        <f>IFERROR(IF(TS_ATHLETES[[#This Row],[TOTAL]]=0,"",RANK(TS_ATHLETES[[#This Row],[RANK VALUE]],TS_ATHLETES[RANK VALUE])+COUNTIF($H$1:H907,H908)),"")</f>
        <v>103</v>
      </c>
    </row>
    <row r="909" spans="1:9" x14ac:dyDescent="0.25">
      <c r="A909" t="s">
        <v>1811</v>
      </c>
      <c r="B909" s="3" t="s">
        <v>280</v>
      </c>
      <c r="C909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909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909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1</v>
      </c>
      <c r="F909" s="3">
        <f>SUM(TS_ATHLETES[[#This Row],[GOLD MEDALS]:[BRONZE MEDALS]])</f>
        <v>1</v>
      </c>
      <c r="G909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10000010</v>
      </c>
      <c r="H909" s="3">
        <f>IF(TS_ATHLETES[[#This Row],[TOTAL]]=0,"",RANK(TS_ATHLETES[[#This Row],[RANK VALUE]],TS_ATHLETES[RANK VALUE]))</f>
        <v>1224</v>
      </c>
      <c r="I909" s="3">
        <f>IFERROR(IF(TS_ATHLETES[[#This Row],[TOTAL]]=0,"",RANK(TS_ATHLETES[[#This Row],[RANK VALUE]],TS_ATHLETES[RANK VALUE])+COUNTIF($H$1:H908,H909)),"")</f>
        <v>1539</v>
      </c>
    </row>
    <row r="910" spans="1:9" x14ac:dyDescent="0.25">
      <c r="A910" t="s">
        <v>1812</v>
      </c>
      <c r="B910" s="3" t="s">
        <v>280</v>
      </c>
      <c r="C910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910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910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1</v>
      </c>
      <c r="F910" s="3">
        <f>SUM(TS_ATHLETES[[#This Row],[GOLD MEDALS]:[BRONZE MEDALS]])</f>
        <v>1</v>
      </c>
      <c r="G910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10000010</v>
      </c>
      <c r="H910" s="3">
        <f>IF(TS_ATHLETES[[#This Row],[TOTAL]]=0,"",RANK(TS_ATHLETES[[#This Row],[RANK VALUE]],TS_ATHLETES[RANK VALUE]))</f>
        <v>1224</v>
      </c>
      <c r="I910" s="3">
        <f>IFERROR(IF(TS_ATHLETES[[#This Row],[TOTAL]]=0,"",RANK(TS_ATHLETES[[#This Row],[RANK VALUE]],TS_ATHLETES[RANK VALUE])+COUNTIF($H$1:H909,H910)),"")</f>
        <v>1540</v>
      </c>
    </row>
    <row r="911" spans="1:9" x14ac:dyDescent="0.25">
      <c r="A911" t="s">
        <v>1813</v>
      </c>
      <c r="B911" s="3" t="s">
        <v>159</v>
      </c>
      <c r="C911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1</v>
      </c>
      <c r="D911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911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911" s="3">
        <f>SUM(TS_ATHLETES[[#This Row],[GOLD MEDALS]:[BRONZE MEDALS]])</f>
        <v>1</v>
      </c>
      <c r="G911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10100000</v>
      </c>
      <c r="H911" s="3">
        <f>IF(TS_ATHLETES[[#This Row],[TOTAL]]=0,"",RANK(TS_ATHLETES[[#This Row],[RANK VALUE]],TS_ATHLETES[RANK VALUE]))</f>
        <v>129</v>
      </c>
      <c r="I911" s="3">
        <f>IFERROR(IF(TS_ATHLETES[[#This Row],[TOTAL]]=0,"",RANK(TS_ATHLETES[[#This Row],[RANK VALUE]],TS_ATHLETES[RANK VALUE])+COUNTIF($H$1:H910,H911)),"")</f>
        <v>356</v>
      </c>
    </row>
    <row r="912" spans="1:9" x14ac:dyDescent="0.25">
      <c r="A912" t="s">
        <v>1814</v>
      </c>
      <c r="B912" s="3" t="s">
        <v>159</v>
      </c>
      <c r="C912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1</v>
      </c>
      <c r="D912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912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912" s="3">
        <f>SUM(TS_ATHLETES[[#This Row],[GOLD MEDALS]:[BRONZE MEDALS]])</f>
        <v>1</v>
      </c>
      <c r="G912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10100000</v>
      </c>
      <c r="H912" s="3">
        <f>IF(TS_ATHLETES[[#This Row],[TOTAL]]=0,"",RANK(TS_ATHLETES[[#This Row],[RANK VALUE]],TS_ATHLETES[RANK VALUE]))</f>
        <v>129</v>
      </c>
      <c r="I912" s="3">
        <f>IFERROR(IF(TS_ATHLETES[[#This Row],[TOTAL]]=0,"",RANK(TS_ATHLETES[[#This Row],[RANK VALUE]],TS_ATHLETES[RANK VALUE])+COUNTIF($H$1:H911,H912)),"")</f>
        <v>357</v>
      </c>
    </row>
    <row r="913" spans="1:9" x14ac:dyDescent="0.25">
      <c r="A913" t="s">
        <v>1815</v>
      </c>
      <c r="B913" s="3" t="s">
        <v>136</v>
      </c>
      <c r="C913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913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1</v>
      </c>
      <c r="E913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913" s="3">
        <f>SUM(TS_ATHLETES[[#This Row],[GOLD MEDALS]:[BRONZE MEDALS]])</f>
        <v>1</v>
      </c>
      <c r="G913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10000100</v>
      </c>
      <c r="H913" s="3">
        <f>IF(TS_ATHLETES[[#This Row],[TOTAL]]=0,"",RANK(TS_ATHLETES[[#This Row],[RANK VALUE]],TS_ATHLETES[RANK VALUE]))</f>
        <v>660</v>
      </c>
      <c r="I913" s="3">
        <f>IFERROR(IF(TS_ATHLETES[[#This Row],[TOTAL]]=0,"",RANK(TS_ATHLETES[[#This Row],[RANK VALUE]],TS_ATHLETES[RANK VALUE])+COUNTIF($H$1:H912,H913)),"")</f>
        <v>911</v>
      </c>
    </row>
    <row r="914" spans="1:9" x14ac:dyDescent="0.25">
      <c r="A914" t="s">
        <v>1816</v>
      </c>
      <c r="B914" s="3" t="s">
        <v>136</v>
      </c>
      <c r="C914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914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1</v>
      </c>
      <c r="E914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914" s="3">
        <f>SUM(TS_ATHLETES[[#This Row],[GOLD MEDALS]:[BRONZE MEDALS]])</f>
        <v>1</v>
      </c>
      <c r="G914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10000100</v>
      </c>
      <c r="H914" s="3">
        <f>IF(TS_ATHLETES[[#This Row],[TOTAL]]=0,"",RANK(TS_ATHLETES[[#This Row],[RANK VALUE]],TS_ATHLETES[RANK VALUE]))</f>
        <v>660</v>
      </c>
      <c r="I914" s="3">
        <f>IFERROR(IF(TS_ATHLETES[[#This Row],[TOTAL]]=0,"",RANK(TS_ATHLETES[[#This Row],[RANK VALUE]],TS_ATHLETES[RANK VALUE])+COUNTIF($H$1:H913,H914)),"")</f>
        <v>912</v>
      </c>
    </row>
    <row r="915" spans="1:9" x14ac:dyDescent="0.25">
      <c r="A915" t="s">
        <v>1817</v>
      </c>
      <c r="B915" s="3" t="s">
        <v>35</v>
      </c>
      <c r="C915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915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915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1</v>
      </c>
      <c r="F915" s="3">
        <f>SUM(TS_ATHLETES[[#This Row],[GOLD MEDALS]:[BRONZE MEDALS]])</f>
        <v>1</v>
      </c>
      <c r="G915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10000010</v>
      </c>
      <c r="H915" s="3">
        <f>IF(TS_ATHLETES[[#This Row],[TOTAL]]=0,"",RANK(TS_ATHLETES[[#This Row],[RANK VALUE]],TS_ATHLETES[RANK VALUE]))</f>
        <v>1224</v>
      </c>
      <c r="I915" s="3">
        <f>IFERROR(IF(TS_ATHLETES[[#This Row],[TOTAL]]=0,"",RANK(TS_ATHLETES[[#This Row],[RANK VALUE]],TS_ATHLETES[RANK VALUE])+COUNTIF($H$1:H914,H915)),"")</f>
        <v>1541</v>
      </c>
    </row>
    <row r="916" spans="1:9" x14ac:dyDescent="0.25">
      <c r="A916" t="s">
        <v>1818</v>
      </c>
      <c r="B916" s="3" t="s">
        <v>35</v>
      </c>
      <c r="C916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916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916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1</v>
      </c>
      <c r="F916" s="3">
        <f>SUM(TS_ATHLETES[[#This Row],[GOLD MEDALS]:[BRONZE MEDALS]])</f>
        <v>1</v>
      </c>
      <c r="G916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10000010</v>
      </c>
      <c r="H916" s="3">
        <f>IF(TS_ATHLETES[[#This Row],[TOTAL]]=0,"",RANK(TS_ATHLETES[[#This Row],[RANK VALUE]],TS_ATHLETES[RANK VALUE]))</f>
        <v>1224</v>
      </c>
      <c r="I916" s="3">
        <f>IFERROR(IF(TS_ATHLETES[[#This Row],[TOTAL]]=0,"",RANK(TS_ATHLETES[[#This Row],[RANK VALUE]],TS_ATHLETES[RANK VALUE])+COUNTIF($H$1:H915,H916)),"")</f>
        <v>1542</v>
      </c>
    </row>
    <row r="917" spans="1:9" x14ac:dyDescent="0.25">
      <c r="A917" t="s">
        <v>1819</v>
      </c>
      <c r="B917" s="3" t="s">
        <v>35</v>
      </c>
      <c r="C917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917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917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1</v>
      </c>
      <c r="F917" s="3">
        <f>SUM(TS_ATHLETES[[#This Row],[GOLD MEDALS]:[BRONZE MEDALS]])</f>
        <v>1</v>
      </c>
      <c r="G917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10000010</v>
      </c>
      <c r="H917" s="3">
        <f>IF(TS_ATHLETES[[#This Row],[TOTAL]]=0,"",RANK(TS_ATHLETES[[#This Row],[RANK VALUE]],TS_ATHLETES[RANK VALUE]))</f>
        <v>1224</v>
      </c>
      <c r="I917" s="3">
        <f>IFERROR(IF(TS_ATHLETES[[#This Row],[TOTAL]]=0,"",RANK(TS_ATHLETES[[#This Row],[RANK VALUE]],TS_ATHLETES[RANK VALUE])+COUNTIF($H$1:H916,H917)),"")</f>
        <v>1543</v>
      </c>
    </row>
    <row r="918" spans="1:9" x14ac:dyDescent="0.25">
      <c r="A918" t="s">
        <v>1820</v>
      </c>
      <c r="B918" s="3" t="s">
        <v>35</v>
      </c>
      <c r="C918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918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918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1</v>
      </c>
      <c r="F918" s="3">
        <f>SUM(TS_ATHLETES[[#This Row],[GOLD MEDALS]:[BRONZE MEDALS]])</f>
        <v>1</v>
      </c>
      <c r="G918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10000010</v>
      </c>
      <c r="H918" s="3">
        <f>IF(TS_ATHLETES[[#This Row],[TOTAL]]=0,"",RANK(TS_ATHLETES[[#This Row],[RANK VALUE]],TS_ATHLETES[RANK VALUE]))</f>
        <v>1224</v>
      </c>
      <c r="I918" s="3">
        <f>IFERROR(IF(TS_ATHLETES[[#This Row],[TOTAL]]=0,"",RANK(TS_ATHLETES[[#This Row],[RANK VALUE]],TS_ATHLETES[RANK VALUE])+COUNTIF($H$1:H917,H918)),"")</f>
        <v>1544</v>
      </c>
    </row>
    <row r="919" spans="1:9" x14ac:dyDescent="0.25">
      <c r="A919" t="s">
        <v>1821</v>
      </c>
      <c r="B919" s="3" t="s">
        <v>361</v>
      </c>
      <c r="C919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1</v>
      </c>
      <c r="D919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919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919" s="3">
        <f>SUM(TS_ATHLETES[[#This Row],[GOLD MEDALS]:[BRONZE MEDALS]])</f>
        <v>1</v>
      </c>
      <c r="G919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10100000</v>
      </c>
      <c r="H919" s="3">
        <f>IF(TS_ATHLETES[[#This Row],[TOTAL]]=0,"",RANK(TS_ATHLETES[[#This Row],[RANK VALUE]],TS_ATHLETES[RANK VALUE]))</f>
        <v>129</v>
      </c>
      <c r="I919" s="3">
        <f>IFERROR(IF(TS_ATHLETES[[#This Row],[TOTAL]]=0,"",RANK(TS_ATHLETES[[#This Row],[RANK VALUE]],TS_ATHLETES[RANK VALUE])+COUNTIF($H$1:H918,H919)),"")</f>
        <v>358</v>
      </c>
    </row>
    <row r="920" spans="1:9" x14ac:dyDescent="0.25">
      <c r="A920" t="s">
        <v>1822</v>
      </c>
      <c r="B920" s="3" t="s">
        <v>253</v>
      </c>
      <c r="C920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920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1</v>
      </c>
      <c r="E920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920" s="3">
        <f>SUM(TS_ATHLETES[[#This Row],[GOLD MEDALS]:[BRONZE MEDALS]])</f>
        <v>1</v>
      </c>
      <c r="G920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10000100</v>
      </c>
      <c r="H920" s="3">
        <f>IF(TS_ATHLETES[[#This Row],[TOTAL]]=0,"",RANK(TS_ATHLETES[[#This Row],[RANK VALUE]],TS_ATHLETES[RANK VALUE]))</f>
        <v>660</v>
      </c>
      <c r="I920" s="3">
        <f>IFERROR(IF(TS_ATHLETES[[#This Row],[TOTAL]]=0,"",RANK(TS_ATHLETES[[#This Row],[RANK VALUE]],TS_ATHLETES[RANK VALUE])+COUNTIF($H$1:H919,H920)),"")</f>
        <v>913</v>
      </c>
    </row>
    <row r="921" spans="1:9" x14ac:dyDescent="0.25">
      <c r="A921" t="s">
        <v>1823</v>
      </c>
      <c r="B921" s="3" t="s">
        <v>253</v>
      </c>
      <c r="C921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921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1</v>
      </c>
      <c r="E921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921" s="3">
        <f>SUM(TS_ATHLETES[[#This Row],[GOLD MEDALS]:[BRONZE MEDALS]])</f>
        <v>1</v>
      </c>
      <c r="G921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10000100</v>
      </c>
      <c r="H921" s="3">
        <f>IF(TS_ATHLETES[[#This Row],[TOTAL]]=0,"",RANK(TS_ATHLETES[[#This Row],[RANK VALUE]],TS_ATHLETES[RANK VALUE]))</f>
        <v>660</v>
      </c>
      <c r="I921" s="3">
        <f>IFERROR(IF(TS_ATHLETES[[#This Row],[TOTAL]]=0,"",RANK(TS_ATHLETES[[#This Row],[RANK VALUE]],TS_ATHLETES[RANK VALUE])+COUNTIF($H$1:H920,H921)),"")</f>
        <v>914</v>
      </c>
    </row>
    <row r="922" spans="1:9" x14ac:dyDescent="0.25">
      <c r="A922" t="s">
        <v>1824</v>
      </c>
      <c r="B922" s="3" t="s">
        <v>253</v>
      </c>
      <c r="C922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922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1</v>
      </c>
      <c r="E922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922" s="3">
        <f>SUM(TS_ATHLETES[[#This Row],[GOLD MEDALS]:[BRONZE MEDALS]])</f>
        <v>1</v>
      </c>
      <c r="G922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10000100</v>
      </c>
      <c r="H922" s="3">
        <f>IF(TS_ATHLETES[[#This Row],[TOTAL]]=0,"",RANK(TS_ATHLETES[[#This Row],[RANK VALUE]],TS_ATHLETES[RANK VALUE]))</f>
        <v>660</v>
      </c>
      <c r="I922" s="3">
        <f>IFERROR(IF(TS_ATHLETES[[#This Row],[TOTAL]]=0,"",RANK(TS_ATHLETES[[#This Row],[RANK VALUE]],TS_ATHLETES[RANK VALUE])+COUNTIF($H$1:H921,H922)),"")</f>
        <v>915</v>
      </c>
    </row>
    <row r="923" spans="1:9" x14ac:dyDescent="0.25">
      <c r="A923" t="s">
        <v>1825</v>
      </c>
      <c r="B923" s="3" t="s">
        <v>128</v>
      </c>
      <c r="C923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923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923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1</v>
      </c>
      <c r="F923" s="3">
        <f>SUM(TS_ATHLETES[[#This Row],[GOLD MEDALS]:[BRONZE MEDALS]])</f>
        <v>1</v>
      </c>
      <c r="G923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10000010</v>
      </c>
      <c r="H923" s="3">
        <f>IF(TS_ATHLETES[[#This Row],[TOTAL]]=0,"",RANK(TS_ATHLETES[[#This Row],[RANK VALUE]],TS_ATHLETES[RANK VALUE]))</f>
        <v>1224</v>
      </c>
      <c r="I923" s="3">
        <f>IFERROR(IF(TS_ATHLETES[[#This Row],[TOTAL]]=0,"",RANK(TS_ATHLETES[[#This Row],[RANK VALUE]],TS_ATHLETES[RANK VALUE])+COUNTIF($H$1:H922,H923)),"")</f>
        <v>1545</v>
      </c>
    </row>
    <row r="924" spans="1:9" x14ac:dyDescent="0.25">
      <c r="A924" t="s">
        <v>1826</v>
      </c>
      <c r="B924" s="3" t="s">
        <v>128</v>
      </c>
      <c r="C924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924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924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1</v>
      </c>
      <c r="F924" s="3">
        <f>SUM(TS_ATHLETES[[#This Row],[GOLD MEDALS]:[BRONZE MEDALS]])</f>
        <v>1</v>
      </c>
      <c r="G924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10000010</v>
      </c>
      <c r="H924" s="3">
        <f>IF(TS_ATHLETES[[#This Row],[TOTAL]]=0,"",RANK(TS_ATHLETES[[#This Row],[RANK VALUE]],TS_ATHLETES[RANK VALUE]))</f>
        <v>1224</v>
      </c>
      <c r="I924" s="3">
        <f>IFERROR(IF(TS_ATHLETES[[#This Row],[TOTAL]]=0,"",RANK(TS_ATHLETES[[#This Row],[RANK VALUE]],TS_ATHLETES[RANK VALUE])+COUNTIF($H$1:H923,H924)),"")</f>
        <v>1546</v>
      </c>
    </row>
    <row r="925" spans="1:9" x14ac:dyDescent="0.25">
      <c r="A925" t="s">
        <v>1827</v>
      </c>
      <c r="B925" s="3" t="s">
        <v>128</v>
      </c>
      <c r="C925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925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925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1</v>
      </c>
      <c r="F925" s="3">
        <f>SUM(TS_ATHLETES[[#This Row],[GOLD MEDALS]:[BRONZE MEDALS]])</f>
        <v>1</v>
      </c>
      <c r="G925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10000010</v>
      </c>
      <c r="H925" s="3">
        <f>IF(TS_ATHLETES[[#This Row],[TOTAL]]=0,"",RANK(TS_ATHLETES[[#This Row],[RANK VALUE]],TS_ATHLETES[RANK VALUE]))</f>
        <v>1224</v>
      </c>
      <c r="I925" s="3">
        <f>IFERROR(IF(TS_ATHLETES[[#This Row],[TOTAL]]=0,"",RANK(TS_ATHLETES[[#This Row],[RANK VALUE]],TS_ATHLETES[RANK VALUE])+COUNTIF($H$1:H924,H925)),"")</f>
        <v>1547</v>
      </c>
    </row>
    <row r="926" spans="1:9" x14ac:dyDescent="0.25">
      <c r="A926" t="s">
        <v>1828</v>
      </c>
      <c r="B926" s="3" t="s">
        <v>77</v>
      </c>
      <c r="C926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1</v>
      </c>
      <c r="D926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926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926" s="3">
        <f>SUM(TS_ATHLETES[[#This Row],[GOLD MEDALS]:[BRONZE MEDALS]])</f>
        <v>1</v>
      </c>
      <c r="G926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10100000</v>
      </c>
      <c r="H926" s="3">
        <f>IF(TS_ATHLETES[[#This Row],[TOTAL]]=0,"",RANK(TS_ATHLETES[[#This Row],[RANK VALUE]],TS_ATHLETES[RANK VALUE]))</f>
        <v>129</v>
      </c>
      <c r="I926" s="3">
        <f>IFERROR(IF(TS_ATHLETES[[#This Row],[TOTAL]]=0,"",RANK(TS_ATHLETES[[#This Row],[RANK VALUE]],TS_ATHLETES[RANK VALUE])+COUNTIF($H$1:H925,H926)),"")</f>
        <v>359</v>
      </c>
    </row>
    <row r="927" spans="1:9" x14ac:dyDescent="0.25">
      <c r="A927" t="s">
        <v>1829</v>
      </c>
      <c r="B927" s="3" t="s">
        <v>77</v>
      </c>
      <c r="C927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1</v>
      </c>
      <c r="D927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927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927" s="3">
        <f>SUM(TS_ATHLETES[[#This Row],[GOLD MEDALS]:[BRONZE MEDALS]])</f>
        <v>1</v>
      </c>
      <c r="G927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10100000</v>
      </c>
      <c r="H927" s="3">
        <f>IF(TS_ATHLETES[[#This Row],[TOTAL]]=0,"",RANK(TS_ATHLETES[[#This Row],[RANK VALUE]],TS_ATHLETES[RANK VALUE]))</f>
        <v>129</v>
      </c>
      <c r="I927" s="3">
        <f>IFERROR(IF(TS_ATHLETES[[#This Row],[TOTAL]]=0,"",RANK(TS_ATHLETES[[#This Row],[RANK VALUE]],TS_ATHLETES[RANK VALUE])+COUNTIF($H$1:H926,H927)),"")</f>
        <v>360</v>
      </c>
    </row>
    <row r="928" spans="1:9" x14ac:dyDescent="0.25">
      <c r="A928" t="s">
        <v>1830</v>
      </c>
      <c r="B928" s="3" t="s">
        <v>287</v>
      </c>
      <c r="C928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928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1</v>
      </c>
      <c r="E928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928" s="3">
        <f>SUM(TS_ATHLETES[[#This Row],[GOLD MEDALS]:[BRONZE MEDALS]])</f>
        <v>1</v>
      </c>
      <c r="G928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10000100</v>
      </c>
      <c r="H928" s="3">
        <f>IF(TS_ATHLETES[[#This Row],[TOTAL]]=0,"",RANK(TS_ATHLETES[[#This Row],[RANK VALUE]],TS_ATHLETES[RANK VALUE]))</f>
        <v>660</v>
      </c>
      <c r="I928" s="3">
        <f>IFERROR(IF(TS_ATHLETES[[#This Row],[TOTAL]]=0,"",RANK(TS_ATHLETES[[#This Row],[RANK VALUE]],TS_ATHLETES[RANK VALUE])+COUNTIF($H$1:H927,H928)),"")</f>
        <v>916</v>
      </c>
    </row>
    <row r="929" spans="1:9" x14ac:dyDescent="0.25">
      <c r="A929" t="s">
        <v>1831</v>
      </c>
      <c r="B929" s="3" t="s">
        <v>287</v>
      </c>
      <c r="C929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929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1</v>
      </c>
      <c r="E929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929" s="3">
        <f>SUM(TS_ATHLETES[[#This Row],[GOLD MEDALS]:[BRONZE MEDALS]])</f>
        <v>1</v>
      </c>
      <c r="G929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10000100</v>
      </c>
      <c r="H929" s="3">
        <f>IF(TS_ATHLETES[[#This Row],[TOTAL]]=0,"",RANK(TS_ATHLETES[[#This Row],[RANK VALUE]],TS_ATHLETES[RANK VALUE]))</f>
        <v>660</v>
      </c>
      <c r="I929" s="3">
        <f>IFERROR(IF(TS_ATHLETES[[#This Row],[TOTAL]]=0,"",RANK(TS_ATHLETES[[#This Row],[RANK VALUE]],TS_ATHLETES[RANK VALUE])+COUNTIF($H$1:H928,H929)),"")</f>
        <v>917</v>
      </c>
    </row>
    <row r="930" spans="1:9" x14ac:dyDescent="0.25">
      <c r="A930" t="s">
        <v>1832</v>
      </c>
      <c r="B930" s="3" t="s">
        <v>136</v>
      </c>
      <c r="C930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930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930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1</v>
      </c>
      <c r="F930" s="3">
        <f>SUM(TS_ATHLETES[[#This Row],[GOLD MEDALS]:[BRONZE MEDALS]])</f>
        <v>1</v>
      </c>
      <c r="G930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10000010</v>
      </c>
      <c r="H930" s="3">
        <f>IF(TS_ATHLETES[[#This Row],[TOTAL]]=0,"",RANK(TS_ATHLETES[[#This Row],[RANK VALUE]],TS_ATHLETES[RANK VALUE]))</f>
        <v>1224</v>
      </c>
      <c r="I930" s="3">
        <f>IFERROR(IF(TS_ATHLETES[[#This Row],[TOTAL]]=0,"",RANK(TS_ATHLETES[[#This Row],[RANK VALUE]],TS_ATHLETES[RANK VALUE])+COUNTIF($H$1:H929,H930)),"")</f>
        <v>1548</v>
      </c>
    </row>
    <row r="931" spans="1:9" x14ac:dyDescent="0.25">
      <c r="A931" t="s">
        <v>1833</v>
      </c>
      <c r="B931" s="3" t="s">
        <v>361</v>
      </c>
      <c r="C931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1</v>
      </c>
      <c r="D931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931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931" s="3">
        <f>SUM(TS_ATHLETES[[#This Row],[GOLD MEDALS]:[BRONZE MEDALS]])</f>
        <v>1</v>
      </c>
      <c r="G931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10100000</v>
      </c>
      <c r="H931" s="3">
        <f>IF(TS_ATHLETES[[#This Row],[TOTAL]]=0,"",RANK(TS_ATHLETES[[#This Row],[RANK VALUE]],TS_ATHLETES[RANK VALUE]))</f>
        <v>129</v>
      </c>
      <c r="I931" s="3">
        <f>IFERROR(IF(TS_ATHLETES[[#This Row],[TOTAL]]=0,"",RANK(TS_ATHLETES[[#This Row],[RANK VALUE]],TS_ATHLETES[RANK VALUE])+COUNTIF($H$1:H930,H931)),"")</f>
        <v>361</v>
      </c>
    </row>
    <row r="932" spans="1:9" x14ac:dyDescent="0.25">
      <c r="A932" t="s">
        <v>1834</v>
      </c>
      <c r="B932" s="3" t="s">
        <v>361</v>
      </c>
      <c r="C932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1</v>
      </c>
      <c r="D932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932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932" s="3">
        <f>SUM(TS_ATHLETES[[#This Row],[GOLD MEDALS]:[BRONZE MEDALS]])</f>
        <v>1</v>
      </c>
      <c r="G932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10100000</v>
      </c>
      <c r="H932" s="3">
        <f>IF(TS_ATHLETES[[#This Row],[TOTAL]]=0,"",RANK(TS_ATHLETES[[#This Row],[RANK VALUE]],TS_ATHLETES[RANK VALUE]))</f>
        <v>129</v>
      </c>
      <c r="I932" s="3">
        <f>IFERROR(IF(TS_ATHLETES[[#This Row],[TOTAL]]=0,"",RANK(TS_ATHLETES[[#This Row],[RANK VALUE]],TS_ATHLETES[RANK VALUE])+COUNTIF($H$1:H931,H932)),"")</f>
        <v>362</v>
      </c>
    </row>
    <row r="933" spans="1:9" x14ac:dyDescent="0.25">
      <c r="A933" t="s">
        <v>1835</v>
      </c>
      <c r="B933" s="3" t="s">
        <v>361</v>
      </c>
      <c r="C933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1</v>
      </c>
      <c r="D933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933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933" s="3">
        <f>SUM(TS_ATHLETES[[#This Row],[GOLD MEDALS]:[BRONZE MEDALS]])</f>
        <v>1</v>
      </c>
      <c r="G933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10100000</v>
      </c>
      <c r="H933" s="3">
        <f>IF(TS_ATHLETES[[#This Row],[TOTAL]]=0,"",RANK(TS_ATHLETES[[#This Row],[RANK VALUE]],TS_ATHLETES[RANK VALUE]))</f>
        <v>129</v>
      </c>
      <c r="I933" s="3">
        <f>IFERROR(IF(TS_ATHLETES[[#This Row],[TOTAL]]=0,"",RANK(TS_ATHLETES[[#This Row],[RANK VALUE]],TS_ATHLETES[RANK VALUE])+COUNTIF($H$1:H932,H933)),"")</f>
        <v>363</v>
      </c>
    </row>
    <row r="934" spans="1:9" x14ac:dyDescent="0.25">
      <c r="A934" t="s">
        <v>1836</v>
      </c>
      <c r="B934" s="3" t="s">
        <v>361</v>
      </c>
      <c r="C934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1</v>
      </c>
      <c r="D934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934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934" s="3">
        <f>SUM(TS_ATHLETES[[#This Row],[GOLD MEDALS]:[BRONZE MEDALS]])</f>
        <v>1</v>
      </c>
      <c r="G934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10100000</v>
      </c>
      <c r="H934" s="3">
        <f>IF(TS_ATHLETES[[#This Row],[TOTAL]]=0,"",RANK(TS_ATHLETES[[#This Row],[RANK VALUE]],TS_ATHLETES[RANK VALUE]))</f>
        <v>129</v>
      </c>
      <c r="I934" s="3">
        <f>IFERROR(IF(TS_ATHLETES[[#This Row],[TOTAL]]=0,"",RANK(TS_ATHLETES[[#This Row],[RANK VALUE]],TS_ATHLETES[RANK VALUE])+COUNTIF($H$1:H933,H934)),"")</f>
        <v>364</v>
      </c>
    </row>
    <row r="935" spans="1:9" x14ac:dyDescent="0.25">
      <c r="A935" t="s">
        <v>1837</v>
      </c>
      <c r="B935" s="3" t="s">
        <v>21</v>
      </c>
      <c r="C935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935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1</v>
      </c>
      <c r="E935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935" s="3">
        <f>SUM(TS_ATHLETES[[#This Row],[GOLD MEDALS]:[BRONZE MEDALS]])</f>
        <v>1</v>
      </c>
      <c r="G935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10000100</v>
      </c>
      <c r="H935" s="3">
        <f>IF(TS_ATHLETES[[#This Row],[TOTAL]]=0,"",RANK(TS_ATHLETES[[#This Row],[RANK VALUE]],TS_ATHLETES[RANK VALUE]))</f>
        <v>660</v>
      </c>
      <c r="I935" s="3">
        <f>IFERROR(IF(TS_ATHLETES[[#This Row],[TOTAL]]=0,"",RANK(TS_ATHLETES[[#This Row],[RANK VALUE]],TS_ATHLETES[RANK VALUE])+COUNTIF($H$1:H934,H935)),"")</f>
        <v>918</v>
      </c>
    </row>
    <row r="936" spans="1:9" x14ac:dyDescent="0.25">
      <c r="A936" t="s">
        <v>1838</v>
      </c>
      <c r="B936" s="3" t="s">
        <v>21</v>
      </c>
      <c r="C936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936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1</v>
      </c>
      <c r="E936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936" s="3">
        <f>SUM(TS_ATHLETES[[#This Row],[GOLD MEDALS]:[BRONZE MEDALS]])</f>
        <v>1</v>
      </c>
      <c r="G936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10000100</v>
      </c>
      <c r="H936" s="3">
        <f>IF(TS_ATHLETES[[#This Row],[TOTAL]]=0,"",RANK(TS_ATHLETES[[#This Row],[RANK VALUE]],TS_ATHLETES[RANK VALUE]))</f>
        <v>660</v>
      </c>
      <c r="I936" s="3">
        <f>IFERROR(IF(TS_ATHLETES[[#This Row],[TOTAL]]=0,"",RANK(TS_ATHLETES[[#This Row],[RANK VALUE]],TS_ATHLETES[RANK VALUE])+COUNTIF($H$1:H935,H936)),"")</f>
        <v>919</v>
      </c>
    </row>
    <row r="937" spans="1:9" x14ac:dyDescent="0.25">
      <c r="A937" t="s">
        <v>1839</v>
      </c>
      <c r="B937" s="3" t="s">
        <v>21</v>
      </c>
      <c r="C937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937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1</v>
      </c>
      <c r="E937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937" s="3">
        <f>SUM(TS_ATHLETES[[#This Row],[GOLD MEDALS]:[BRONZE MEDALS]])</f>
        <v>1</v>
      </c>
      <c r="G937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10000100</v>
      </c>
      <c r="H937" s="3">
        <f>IF(TS_ATHLETES[[#This Row],[TOTAL]]=0,"",RANK(TS_ATHLETES[[#This Row],[RANK VALUE]],TS_ATHLETES[RANK VALUE]))</f>
        <v>660</v>
      </c>
      <c r="I937" s="3">
        <f>IFERROR(IF(TS_ATHLETES[[#This Row],[TOTAL]]=0,"",RANK(TS_ATHLETES[[#This Row],[RANK VALUE]],TS_ATHLETES[RANK VALUE])+COUNTIF($H$1:H936,H937)),"")</f>
        <v>920</v>
      </c>
    </row>
    <row r="938" spans="1:9" x14ac:dyDescent="0.25">
      <c r="A938" t="s">
        <v>1840</v>
      </c>
      <c r="B938" s="3" t="s">
        <v>21</v>
      </c>
      <c r="C938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938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1</v>
      </c>
      <c r="E938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938" s="3">
        <f>SUM(TS_ATHLETES[[#This Row],[GOLD MEDALS]:[BRONZE MEDALS]])</f>
        <v>1</v>
      </c>
      <c r="G938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10000100</v>
      </c>
      <c r="H938" s="3">
        <f>IF(TS_ATHLETES[[#This Row],[TOTAL]]=0,"",RANK(TS_ATHLETES[[#This Row],[RANK VALUE]],TS_ATHLETES[RANK VALUE]))</f>
        <v>660</v>
      </c>
      <c r="I938" s="3">
        <f>IFERROR(IF(TS_ATHLETES[[#This Row],[TOTAL]]=0,"",RANK(TS_ATHLETES[[#This Row],[RANK VALUE]],TS_ATHLETES[RANK VALUE])+COUNTIF($H$1:H937,H938)),"")</f>
        <v>921</v>
      </c>
    </row>
    <row r="939" spans="1:9" x14ac:dyDescent="0.25">
      <c r="A939" t="s">
        <v>1841</v>
      </c>
      <c r="B939" s="3" t="s">
        <v>21</v>
      </c>
      <c r="C939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939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1</v>
      </c>
      <c r="E939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939" s="3">
        <f>SUM(TS_ATHLETES[[#This Row],[GOLD MEDALS]:[BRONZE MEDALS]])</f>
        <v>1</v>
      </c>
      <c r="G939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10000100</v>
      </c>
      <c r="H939" s="3">
        <f>IF(TS_ATHLETES[[#This Row],[TOTAL]]=0,"",RANK(TS_ATHLETES[[#This Row],[RANK VALUE]],TS_ATHLETES[RANK VALUE]))</f>
        <v>660</v>
      </c>
      <c r="I939" s="3">
        <f>IFERROR(IF(TS_ATHLETES[[#This Row],[TOTAL]]=0,"",RANK(TS_ATHLETES[[#This Row],[RANK VALUE]],TS_ATHLETES[RANK VALUE])+COUNTIF($H$1:H938,H939)),"")</f>
        <v>922</v>
      </c>
    </row>
    <row r="940" spans="1:9" x14ac:dyDescent="0.25">
      <c r="A940" t="s">
        <v>1842</v>
      </c>
      <c r="B940" s="3" t="s">
        <v>100</v>
      </c>
      <c r="C940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940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940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1</v>
      </c>
      <c r="F940" s="3">
        <f>SUM(TS_ATHLETES[[#This Row],[GOLD MEDALS]:[BRONZE MEDALS]])</f>
        <v>1</v>
      </c>
      <c r="G940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10000010</v>
      </c>
      <c r="H940" s="3">
        <f>IF(TS_ATHLETES[[#This Row],[TOTAL]]=0,"",RANK(TS_ATHLETES[[#This Row],[RANK VALUE]],TS_ATHLETES[RANK VALUE]))</f>
        <v>1224</v>
      </c>
      <c r="I940" s="3">
        <f>IFERROR(IF(TS_ATHLETES[[#This Row],[TOTAL]]=0,"",RANK(TS_ATHLETES[[#This Row],[RANK VALUE]],TS_ATHLETES[RANK VALUE])+COUNTIF($H$1:H939,H940)),"")</f>
        <v>1549</v>
      </c>
    </row>
    <row r="941" spans="1:9" x14ac:dyDescent="0.25">
      <c r="A941" t="s">
        <v>1843</v>
      </c>
      <c r="B941" s="3" t="s">
        <v>100</v>
      </c>
      <c r="C941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941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941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1</v>
      </c>
      <c r="F941" s="3">
        <f>SUM(TS_ATHLETES[[#This Row],[GOLD MEDALS]:[BRONZE MEDALS]])</f>
        <v>1</v>
      </c>
      <c r="G941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10000010</v>
      </c>
      <c r="H941" s="3">
        <f>IF(TS_ATHLETES[[#This Row],[TOTAL]]=0,"",RANK(TS_ATHLETES[[#This Row],[RANK VALUE]],TS_ATHLETES[RANK VALUE]))</f>
        <v>1224</v>
      </c>
      <c r="I941" s="3">
        <f>IFERROR(IF(TS_ATHLETES[[#This Row],[TOTAL]]=0,"",RANK(TS_ATHLETES[[#This Row],[RANK VALUE]],TS_ATHLETES[RANK VALUE])+COUNTIF($H$1:H940,H941)),"")</f>
        <v>1550</v>
      </c>
    </row>
    <row r="942" spans="1:9" x14ac:dyDescent="0.25">
      <c r="A942" t="s">
        <v>1844</v>
      </c>
      <c r="B942" s="3" t="s">
        <v>100</v>
      </c>
      <c r="C942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942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942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1</v>
      </c>
      <c r="F942" s="3">
        <f>SUM(TS_ATHLETES[[#This Row],[GOLD MEDALS]:[BRONZE MEDALS]])</f>
        <v>1</v>
      </c>
      <c r="G942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10000010</v>
      </c>
      <c r="H942" s="3">
        <f>IF(TS_ATHLETES[[#This Row],[TOTAL]]=0,"",RANK(TS_ATHLETES[[#This Row],[RANK VALUE]],TS_ATHLETES[RANK VALUE]))</f>
        <v>1224</v>
      </c>
      <c r="I942" s="3">
        <f>IFERROR(IF(TS_ATHLETES[[#This Row],[TOTAL]]=0,"",RANK(TS_ATHLETES[[#This Row],[RANK VALUE]],TS_ATHLETES[RANK VALUE])+COUNTIF($H$1:H941,H942)),"")</f>
        <v>1551</v>
      </c>
    </row>
    <row r="943" spans="1:9" x14ac:dyDescent="0.25">
      <c r="A943" t="s">
        <v>1845</v>
      </c>
      <c r="B943" s="3" t="s">
        <v>100</v>
      </c>
      <c r="C943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943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943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1</v>
      </c>
      <c r="F943" s="3">
        <f>SUM(TS_ATHLETES[[#This Row],[GOLD MEDALS]:[BRONZE MEDALS]])</f>
        <v>1</v>
      </c>
      <c r="G943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10000010</v>
      </c>
      <c r="H943" s="3">
        <f>IF(TS_ATHLETES[[#This Row],[TOTAL]]=0,"",RANK(TS_ATHLETES[[#This Row],[RANK VALUE]],TS_ATHLETES[RANK VALUE]))</f>
        <v>1224</v>
      </c>
      <c r="I943" s="3">
        <f>IFERROR(IF(TS_ATHLETES[[#This Row],[TOTAL]]=0,"",RANK(TS_ATHLETES[[#This Row],[RANK VALUE]],TS_ATHLETES[RANK VALUE])+COUNTIF($H$1:H942,H943)),"")</f>
        <v>1552</v>
      </c>
    </row>
    <row r="944" spans="1:9" x14ac:dyDescent="0.25">
      <c r="A944" t="s">
        <v>1846</v>
      </c>
      <c r="B944" s="3" t="s">
        <v>361</v>
      </c>
      <c r="C944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1</v>
      </c>
      <c r="D944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944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944" s="3">
        <f>SUM(TS_ATHLETES[[#This Row],[GOLD MEDALS]:[BRONZE MEDALS]])</f>
        <v>1</v>
      </c>
      <c r="G944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10100000</v>
      </c>
      <c r="H944" s="3">
        <f>IF(TS_ATHLETES[[#This Row],[TOTAL]]=0,"",RANK(TS_ATHLETES[[#This Row],[RANK VALUE]],TS_ATHLETES[RANK VALUE]))</f>
        <v>129</v>
      </c>
      <c r="I944" s="3">
        <f>IFERROR(IF(TS_ATHLETES[[#This Row],[TOTAL]]=0,"",RANK(TS_ATHLETES[[#This Row],[RANK VALUE]],TS_ATHLETES[RANK VALUE])+COUNTIF($H$1:H943,H944)),"")</f>
        <v>365</v>
      </c>
    </row>
    <row r="945" spans="1:9" x14ac:dyDescent="0.25">
      <c r="A945" t="s">
        <v>1847</v>
      </c>
      <c r="B945" s="3" t="s">
        <v>361</v>
      </c>
      <c r="C945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1</v>
      </c>
      <c r="D945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945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945" s="3">
        <f>SUM(TS_ATHLETES[[#This Row],[GOLD MEDALS]:[BRONZE MEDALS]])</f>
        <v>1</v>
      </c>
      <c r="G945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10100000</v>
      </c>
      <c r="H945" s="3">
        <f>IF(TS_ATHLETES[[#This Row],[TOTAL]]=0,"",RANK(TS_ATHLETES[[#This Row],[RANK VALUE]],TS_ATHLETES[RANK VALUE]))</f>
        <v>129</v>
      </c>
      <c r="I945" s="3">
        <f>IFERROR(IF(TS_ATHLETES[[#This Row],[TOTAL]]=0,"",RANK(TS_ATHLETES[[#This Row],[RANK VALUE]],TS_ATHLETES[RANK VALUE])+COUNTIF($H$1:H944,H945)),"")</f>
        <v>366</v>
      </c>
    </row>
    <row r="946" spans="1:9" x14ac:dyDescent="0.25">
      <c r="A946" t="s">
        <v>1848</v>
      </c>
      <c r="B946" s="3" t="s">
        <v>361</v>
      </c>
      <c r="C946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1</v>
      </c>
      <c r="D946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946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946" s="3">
        <f>SUM(TS_ATHLETES[[#This Row],[GOLD MEDALS]:[BRONZE MEDALS]])</f>
        <v>1</v>
      </c>
      <c r="G946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10100000</v>
      </c>
      <c r="H946" s="3">
        <f>IF(TS_ATHLETES[[#This Row],[TOTAL]]=0,"",RANK(TS_ATHLETES[[#This Row],[RANK VALUE]],TS_ATHLETES[RANK VALUE]))</f>
        <v>129</v>
      </c>
      <c r="I946" s="3">
        <f>IFERROR(IF(TS_ATHLETES[[#This Row],[TOTAL]]=0,"",RANK(TS_ATHLETES[[#This Row],[RANK VALUE]],TS_ATHLETES[RANK VALUE])+COUNTIF($H$1:H945,H946)),"")</f>
        <v>367</v>
      </c>
    </row>
    <row r="947" spans="1:9" x14ac:dyDescent="0.25">
      <c r="A947" t="s">
        <v>1849</v>
      </c>
      <c r="B947" s="3" t="s">
        <v>363</v>
      </c>
      <c r="C947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947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1</v>
      </c>
      <c r="E947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947" s="3">
        <f>SUM(TS_ATHLETES[[#This Row],[GOLD MEDALS]:[BRONZE MEDALS]])</f>
        <v>1</v>
      </c>
      <c r="G947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10000100</v>
      </c>
      <c r="H947" s="3">
        <f>IF(TS_ATHLETES[[#This Row],[TOTAL]]=0,"",RANK(TS_ATHLETES[[#This Row],[RANK VALUE]],TS_ATHLETES[RANK VALUE]))</f>
        <v>660</v>
      </c>
      <c r="I947" s="3">
        <f>IFERROR(IF(TS_ATHLETES[[#This Row],[TOTAL]]=0,"",RANK(TS_ATHLETES[[#This Row],[RANK VALUE]],TS_ATHLETES[RANK VALUE])+COUNTIF($H$1:H946,H947)),"")</f>
        <v>923</v>
      </c>
    </row>
    <row r="948" spans="1:9" x14ac:dyDescent="0.25">
      <c r="A948" t="s">
        <v>1850</v>
      </c>
      <c r="B948" s="3" t="s">
        <v>363</v>
      </c>
      <c r="C948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948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1</v>
      </c>
      <c r="E948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948" s="3">
        <f>SUM(TS_ATHLETES[[#This Row],[GOLD MEDALS]:[BRONZE MEDALS]])</f>
        <v>1</v>
      </c>
      <c r="G948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10000100</v>
      </c>
      <c r="H948" s="3">
        <f>IF(TS_ATHLETES[[#This Row],[TOTAL]]=0,"",RANK(TS_ATHLETES[[#This Row],[RANK VALUE]],TS_ATHLETES[RANK VALUE]))</f>
        <v>660</v>
      </c>
      <c r="I948" s="3">
        <f>IFERROR(IF(TS_ATHLETES[[#This Row],[TOTAL]]=0,"",RANK(TS_ATHLETES[[#This Row],[RANK VALUE]],TS_ATHLETES[RANK VALUE])+COUNTIF($H$1:H947,H948)),"")</f>
        <v>924</v>
      </c>
    </row>
    <row r="949" spans="1:9" x14ac:dyDescent="0.25">
      <c r="A949" t="s">
        <v>1851</v>
      </c>
      <c r="B949" s="3" t="s">
        <v>363</v>
      </c>
      <c r="C949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949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1</v>
      </c>
      <c r="E949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949" s="3">
        <f>SUM(TS_ATHLETES[[#This Row],[GOLD MEDALS]:[BRONZE MEDALS]])</f>
        <v>1</v>
      </c>
      <c r="G949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10000100</v>
      </c>
      <c r="H949" s="3">
        <f>IF(TS_ATHLETES[[#This Row],[TOTAL]]=0,"",RANK(TS_ATHLETES[[#This Row],[RANK VALUE]],TS_ATHLETES[RANK VALUE]))</f>
        <v>660</v>
      </c>
      <c r="I949" s="3">
        <f>IFERROR(IF(TS_ATHLETES[[#This Row],[TOTAL]]=0,"",RANK(TS_ATHLETES[[#This Row],[RANK VALUE]],TS_ATHLETES[RANK VALUE])+COUNTIF($H$1:H948,H949)),"")</f>
        <v>925</v>
      </c>
    </row>
    <row r="950" spans="1:9" x14ac:dyDescent="0.25">
      <c r="A950" t="s">
        <v>1852</v>
      </c>
      <c r="B950" s="3" t="s">
        <v>66</v>
      </c>
      <c r="C950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950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950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1</v>
      </c>
      <c r="F950" s="3">
        <f>SUM(TS_ATHLETES[[#This Row],[GOLD MEDALS]:[BRONZE MEDALS]])</f>
        <v>1</v>
      </c>
      <c r="G950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10000010</v>
      </c>
      <c r="H950" s="3">
        <f>IF(TS_ATHLETES[[#This Row],[TOTAL]]=0,"",RANK(TS_ATHLETES[[#This Row],[RANK VALUE]],TS_ATHLETES[RANK VALUE]))</f>
        <v>1224</v>
      </c>
      <c r="I950" s="3">
        <f>IFERROR(IF(TS_ATHLETES[[#This Row],[TOTAL]]=0,"",RANK(TS_ATHLETES[[#This Row],[RANK VALUE]],TS_ATHLETES[RANK VALUE])+COUNTIF($H$1:H949,H950)),"")</f>
        <v>1553</v>
      </c>
    </row>
    <row r="951" spans="1:9" x14ac:dyDescent="0.25">
      <c r="A951" t="s">
        <v>1853</v>
      </c>
      <c r="B951" s="3" t="s">
        <v>66</v>
      </c>
      <c r="C951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951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951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1</v>
      </c>
      <c r="F951" s="3">
        <f>SUM(TS_ATHLETES[[#This Row],[GOLD MEDALS]:[BRONZE MEDALS]])</f>
        <v>1</v>
      </c>
      <c r="G951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10000010</v>
      </c>
      <c r="H951" s="3">
        <f>IF(TS_ATHLETES[[#This Row],[TOTAL]]=0,"",RANK(TS_ATHLETES[[#This Row],[RANK VALUE]],TS_ATHLETES[RANK VALUE]))</f>
        <v>1224</v>
      </c>
      <c r="I951" s="3">
        <f>IFERROR(IF(TS_ATHLETES[[#This Row],[TOTAL]]=0,"",RANK(TS_ATHLETES[[#This Row],[RANK VALUE]],TS_ATHLETES[RANK VALUE])+COUNTIF($H$1:H950,H951)),"")</f>
        <v>1554</v>
      </c>
    </row>
    <row r="952" spans="1:9" x14ac:dyDescent="0.25">
      <c r="A952" t="s">
        <v>1854</v>
      </c>
      <c r="B952" s="3" t="s">
        <v>66</v>
      </c>
      <c r="C952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952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952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1</v>
      </c>
      <c r="F952" s="3">
        <f>SUM(TS_ATHLETES[[#This Row],[GOLD MEDALS]:[BRONZE MEDALS]])</f>
        <v>1</v>
      </c>
      <c r="G952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10000010</v>
      </c>
      <c r="H952" s="3">
        <f>IF(TS_ATHLETES[[#This Row],[TOTAL]]=0,"",RANK(TS_ATHLETES[[#This Row],[RANK VALUE]],TS_ATHLETES[RANK VALUE]))</f>
        <v>1224</v>
      </c>
      <c r="I952" s="3">
        <f>IFERROR(IF(TS_ATHLETES[[#This Row],[TOTAL]]=0,"",RANK(TS_ATHLETES[[#This Row],[RANK VALUE]],TS_ATHLETES[RANK VALUE])+COUNTIF($H$1:H951,H952)),"")</f>
        <v>1555</v>
      </c>
    </row>
    <row r="953" spans="1:9" x14ac:dyDescent="0.25">
      <c r="A953" t="s">
        <v>1855</v>
      </c>
      <c r="B953" s="3" t="s">
        <v>66</v>
      </c>
      <c r="C953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953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953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1</v>
      </c>
      <c r="F953" s="3">
        <f>SUM(TS_ATHLETES[[#This Row],[GOLD MEDALS]:[BRONZE MEDALS]])</f>
        <v>1</v>
      </c>
      <c r="G953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10000010</v>
      </c>
      <c r="H953" s="3">
        <f>IF(TS_ATHLETES[[#This Row],[TOTAL]]=0,"",RANK(TS_ATHLETES[[#This Row],[RANK VALUE]],TS_ATHLETES[RANK VALUE]))</f>
        <v>1224</v>
      </c>
      <c r="I953" s="3">
        <f>IFERROR(IF(TS_ATHLETES[[#This Row],[TOTAL]]=0,"",RANK(TS_ATHLETES[[#This Row],[RANK VALUE]],TS_ATHLETES[RANK VALUE])+COUNTIF($H$1:H952,H953)),"")</f>
        <v>1556</v>
      </c>
    </row>
    <row r="954" spans="1:9" x14ac:dyDescent="0.25">
      <c r="A954" t="s">
        <v>1856</v>
      </c>
      <c r="B954" s="3" t="s">
        <v>66</v>
      </c>
      <c r="C954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954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954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1</v>
      </c>
      <c r="F954" s="3">
        <f>SUM(TS_ATHLETES[[#This Row],[GOLD MEDALS]:[BRONZE MEDALS]])</f>
        <v>1</v>
      </c>
      <c r="G954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10000010</v>
      </c>
      <c r="H954" s="3">
        <f>IF(TS_ATHLETES[[#This Row],[TOTAL]]=0,"",RANK(TS_ATHLETES[[#This Row],[RANK VALUE]],TS_ATHLETES[RANK VALUE]))</f>
        <v>1224</v>
      </c>
      <c r="I954" s="3">
        <f>IFERROR(IF(TS_ATHLETES[[#This Row],[TOTAL]]=0,"",RANK(TS_ATHLETES[[#This Row],[RANK VALUE]],TS_ATHLETES[RANK VALUE])+COUNTIF($H$1:H953,H954)),"")</f>
        <v>1557</v>
      </c>
    </row>
    <row r="955" spans="1:9" x14ac:dyDescent="0.25">
      <c r="A955" t="s">
        <v>1857</v>
      </c>
      <c r="B955" s="3" t="s">
        <v>361</v>
      </c>
      <c r="C955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1</v>
      </c>
      <c r="D955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955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955" s="3">
        <f>SUM(TS_ATHLETES[[#This Row],[GOLD MEDALS]:[BRONZE MEDALS]])</f>
        <v>1</v>
      </c>
      <c r="G955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10100000</v>
      </c>
      <c r="H955" s="3">
        <f>IF(TS_ATHLETES[[#This Row],[TOTAL]]=0,"",RANK(TS_ATHLETES[[#This Row],[RANK VALUE]],TS_ATHLETES[RANK VALUE]))</f>
        <v>129</v>
      </c>
      <c r="I955" s="3">
        <f>IFERROR(IF(TS_ATHLETES[[#This Row],[TOTAL]]=0,"",RANK(TS_ATHLETES[[#This Row],[RANK VALUE]],TS_ATHLETES[RANK VALUE])+COUNTIF($H$1:H954,H955)),"")</f>
        <v>368</v>
      </c>
    </row>
    <row r="956" spans="1:9" x14ac:dyDescent="0.25">
      <c r="A956" t="s">
        <v>1858</v>
      </c>
      <c r="B956" s="3" t="s">
        <v>363</v>
      </c>
      <c r="C956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956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1</v>
      </c>
      <c r="E956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956" s="3">
        <f>SUM(TS_ATHLETES[[#This Row],[GOLD MEDALS]:[BRONZE MEDALS]])</f>
        <v>1</v>
      </c>
      <c r="G956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10000100</v>
      </c>
      <c r="H956" s="3">
        <f>IF(TS_ATHLETES[[#This Row],[TOTAL]]=0,"",RANK(TS_ATHLETES[[#This Row],[RANK VALUE]],TS_ATHLETES[RANK VALUE]))</f>
        <v>660</v>
      </c>
      <c r="I956" s="3">
        <f>IFERROR(IF(TS_ATHLETES[[#This Row],[TOTAL]]=0,"",RANK(TS_ATHLETES[[#This Row],[RANK VALUE]],TS_ATHLETES[RANK VALUE])+COUNTIF($H$1:H955,H956)),"")</f>
        <v>926</v>
      </c>
    </row>
    <row r="957" spans="1:9" x14ac:dyDescent="0.25">
      <c r="A957" t="s">
        <v>1859</v>
      </c>
      <c r="B957" s="3" t="s">
        <v>363</v>
      </c>
      <c r="C957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957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1</v>
      </c>
      <c r="E957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957" s="3">
        <f>SUM(TS_ATHLETES[[#This Row],[GOLD MEDALS]:[BRONZE MEDALS]])</f>
        <v>1</v>
      </c>
      <c r="G957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10000100</v>
      </c>
      <c r="H957" s="3">
        <f>IF(TS_ATHLETES[[#This Row],[TOTAL]]=0,"",RANK(TS_ATHLETES[[#This Row],[RANK VALUE]],TS_ATHLETES[RANK VALUE]))</f>
        <v>660</v>
      </c>
      <c r="I957" s="3">
        <f>IFERROR(IF(TS_ATHLETES[[#This Row],[TOTAL]]=0,"",RANK(TS_ATHLETES[[#This Row],[RANK VALUE]],TS_ATHLETES[RANK VALUE])+COUNTIF($H$1:H956,H957)),"")</f>
        <v>927</v>
      </c>
    </row>
    <row r="958" spans="1:9" x14ac:dyDescent="0.25">
      <c r="A958" t="s">
        <v>1860</v>
      </c>
      <c r="B958" s="3" t="s">
        <v>77</v>
      </c>
      <c r="C958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958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958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1</v>
      </c>
      <c r="F958" s="3">
        <f>SUM(TS_ATHLETES[[#This Row],[GOLD MEDALS]:[BRONZE MEDALS]])</f>
        <v>1</v>
      </c>
      <c r="G958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10000010</v>
      </c>
      <c r="H958" s="3">
        <f>IF(TS_ATHLETES[[#This Row],[TOTAL]]=0,"",RANK(TS_ATHLETES[[#This Row],[RANK VALUE]],TS_ATHLETES[RANK VALUE]))</f>
        <v>1224</v>
      </c>
      <c r="I958" s="3">
        <f>IFERROR(IF(TS_ATHLETES[[#This Row],[TOTAL]]=0,"",RANK(TS_ATHLETES[[#This Row],[RANK VALUE]],TS_ATHLETES[RANK VALUE])+COUNTIF($H$1:H957,H958)),"")</f>
        <v>1558</v>
      </c>
    </row>
    <row r="959" spans="1:9" x14ac:dyDescent="0.25">
      <c r="A959" t="s">
        <v>1861</v>
      </c>
      <c r="B959" s="3" t="s">
        <v>77</v>
      </c>
      <c r="C959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1</v>
      </c>
      <c r="D959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959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959" s="3">
        <f>SUM(TS_ATHLETES[[#This Row],[GOLD MEDALS]:[BRONZE MEDALS]])</f>
        <v>1</v>
      </c>
      <c r="G959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10100000</v>
      </c>
      <c r="H959" s="3">
        <f>IF(TS_ATHLETES[[#This Row],[TOTAL]]=0,"",RANK(TS_ATHLETES[[#This Row],[RANK VALUE]],TS_ATHLETES[RANK VALUE]))</f>
        <v>129</v>
      </c>
      <c r="I959" s="3">
        <f>IFERROR(IF(TS_ATHLETES[[#This Row],[TOTAL]]=0,"",RANK(TS_ATHLETES[[#This Row],[RANK VALUE]],TS_ATHLETES[RANK VALUE])+COUNTIF($H$1:H958,H959)),"")</f>
        <v>369</v>
      </c>
    </row>
    <row r="960" spans="1:9" x14ac:dyDescent="0.25">
      <c r="A960" t="s">
        <v>1862</v>
      </c>
      <c r="B960" s="3" t="s">
        <v>175</v>
      </c>
      <c r="C960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960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1</v>
      </c>
      <c r="E960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960" s="3">
        <f>SUM(TS_ATHLETES[[#This Row],[GOLD MEDALS]:[BRONZE MEDALS]])</f>
        <v>1</v>
      </c>
      <c r="G960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10000100</v>
      </c>
      <c r="H960" s="3">
        <f>IF(TS_ATHLETES[[#This Row],[TOTAL]]=0,"",RANK(TS_ATHLETES[[#This Row],[RANK VALUE]],TS_ATHLETES[RANK VALUE]))</f>
        <v>660</v>
      </c>
      <c r="I960" s="3">
        <f>IFERROR(IF(TS_ATHLETES[[#This Row],[TOTAL]]=0,"",RANK(TS_ATHLETES[[#This Row],[RANK VALUE]],TS_ATHLETES[RANK VALUE])+COUNTIF($H$1:H959,H960)),"")</f>
        <v>928</v>
      </c>
    </row>
    <row r="961" spans="1:9" x14ac:dyDescent="0.25">
      <c r="A961" t="s">
        <v>1863</v>
      </c>
      <c r="B961" s="3" t="s">
        <v>21</v>
      </c>
      <c r="C961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961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961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1</v>
      </c>
      <c r="F961" s="3">
        <f>SUM(TS_ATHLETES[[#This Row],[GOLD MEDALS]:[BRONZE MEDALS]])</f>
        <v>1</v>
      </c>
      <c r="G961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10000010</v>
      </c>
      <c r="H961" s="3">
        <f>IF(TS_ATHLETES[[#This Row],[TOTAL]]=0,"",RANK(TS_ATHLETES[[#This Row],[RANK VALUE]],TS_ATHLETES[RANK VALUE]))</f>
        <v>1224</v>
      </c>
      <c r="I961" s="3">
        <f>IFERROR(IF(TS_ATHLETES[[#This Row],[TOTAL]]=0,"",RANK(TS_ATHLETES[[#This Row],[RANK VALUE]],TS_ATHLETES[RANK VALUE])+COUNTIF($H$1:H960,H961)),"")</f>
        <v>1559</v>
      </c>
    </row>
    <row r="962" spans="1:9" x14ac:dyDescent="0.25">
      <c r="A962" t="s">
        <v>1864</v>
      </c>
      <c r="B962" s="3" t="s">
        <v>21</v>
      </c>
      <c r="C962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962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962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1</v>
      </c>
      <c r="F962" s="3">
        <f>SUM(TS_ATHLETES[[#This Row],[GOLD MEDALS]:[BRONZE MEDALS]])</f>
        <v>1</v>
      </c>
      <c r="G962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10000010</v>
      </c>
      <c r="H962" s="3">
        <f>IF(TS_ATHLETES[[#This Row],[TOTAL]]=0,"",RANK(TS_ATHLETES[[#This Row],[RANK VALUE]],TS_ATHLETES[RANK VALUE]))</f>
        <v>1224</v>
      </c>
      <c r="I962" s="3">
        <f>IFERROR(IF(TS_ATHLETES[[#This Row],[TOTAL]]=0,"",RANK(TS_ATHLETES[[#This Row],[RANK VALUE]],TS_ATHLETES[RANK VALUE])+COUNTIF($H$1:H961,H962)),"")</f>
        <v>1560</v>
      </c>
    </row>
    <row r="963" spans="1:9" x14ac:dyDescent="0.25">
      <c r="A963" t="s">
        <v>1865</v>
      </c>
      <c r="B963" s="3" t="s">
        <v>77</v>
      </c>
      <c r="C963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1</v>
      </c>
      <c r="D963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963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963" s="3">
        <f>SUM(TS_ATHLETES[[#This Row],[GOLD MEDALS]:[BRONZE MEDALS]])</f>
        <v>1</v>
      </c>
      <c r="G963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10100000</v>
      </c>
      <c r="H963" s="3">
        <f>IF(TS_ATHLETES[[#This Row],[TOTAL]]=0,"",RANK(TS_ATHLETES[[#This Row],[RANK VALUE]],TS_ATHLETES[RANK VALUE]))</f>
        <v>129</v>
      </c>
      <c r="I963" s="3">
        <f>IFERROR(IF(TS_ATHLETES[[#This Row],[TOTAL]]=0,"",RANK(TS_ATHLETES[[#This Row],[RANK VALUE]],TS_ATHLETES[RANK VALUE])+COUNTIF($H$1:H962,H963)),"")</f>
        <v>370</v>
      </c>
    </row>
    <row r="964" spans="1:9" x14ac:dyDescent="0.25">
      <c r="A964" t="s">
        <v>1866</v>
      </c>
      <c r="B964" s="3" t="s">
        <v>363</v>
      </c>
      <c r="C964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964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1</v>
      </c>
      <c r="E964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964" s="3">
        <f>SUM(TS_ATHLETES[[#This Row],[GOLD MEDALS]:[BRONZE MEDALS]])</f>
        <v>1</v>
      </c>
      <c r="G964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10000100</v>
      </c>
      <c r="H964" s="3">
        <f>IF(TS_ATHLETES[[#This Row],[TOTAL]]=0,"",RANK(TS_ATHLETES[[#This Row],[RANK VALUE]],TS_ATHLETES[RANK VALUE]))</f>
        <v>660</v>
      </c>
      <c r="I964" s="3">
        <f>IFERROR(IF(TS_ATHLETES[[#This Row],[TOTAL]]=0,"",RANK(TS_ATHLETES[[#This Row],[RANK VALUE]],TS_ATHLETES[RANK VALUE])+COUNTIF($H$1:H963,H964)),"")</f>
        <v>929</v>
      </c>
    </row>
    <row r="965" spans="1:9" x14ac:dyDescent="0.25">
      <c r="A965" t="s">
        <v>1867</v>
      </c>
      <c r="B965" s="3" t="s">
        <v>361</v>
      </c>
      <c r="C965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965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965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1</v>
      </c>
      <c r="F965" s="3">
        <f>SUM(TS_ATHLETES[[#This Row],[GOLD MEDALS]:[BRONZE MEDALS]])</f>
        <v>1</v>
      </c>
      <c r="G965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10000010</v>
      </c>
      <c r="H965" s="3">
        <f>IF(TS_ATHLETES[[#This Row],[TOTAL]]=0,"",RANK(TS_ATHLETES[[#This Row],[RANK VALUE]],TS_ATHLETES[RANK VALUE]))</f>
        <v>1224</v>
      </c>
      <c r="I965" s="3">
        <f>IFERROR(IF(TS_ATHLETES[[#This Row],[TOTAL]]=0,"",RANK(TS_ATHLETES[[#This Row],[RANK VALUE]],TS_ATHLETES[RANK VALUE])+COUNTIF($H$1:H964,H965)),"")</f>
        <v>1561</v>
      </c>
    </row>
    <row r="966" spans="1:9" x14ac:dyDescent="0.25">
      <c r="A966" t="s">
        <v>1868</v>
      </c>
      <c r="B966" s="3" t="s">
        <v>361</v>
      </c>
      <c r="C966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966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966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1</v>
      </c>
      <c r="F966" s="3">
        <f>SUM(TS_ATHLETES[[#This Row],[GOLD MEDALS]:[BRONZE MEDALS]])</f>
        <v>1</v>
      </c>
      <c r="G966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10000010</v>
      </c>
      <c r="H966" s="3">
        <f>IF(TS_ATHLETES[[#This Row],[TOTAL]]=0,"",RANK(TS_ATHLETES[[#This Row],[RANK VALUE]],TS_ATHLETES[RANK VALUE]))</f>
        <v>1224</v>
      </c>
      <c r="I966" s="3">
        <f>IFERROR(IF(TS_ATHLETES[[#This Row],[TOTAL]]=0,"",RANK(TS_ATHLETES[[#This Row],[RANK VALUE]],TS_ATHLETES[RANK VALUE])+COUNTIF($H$1:H965,H966)),"")</f>
        <v>1562</v>
      </c>
    </row>
    <row r="967" spans="1:9" x14ac:dyDescent="0.25">
      <c r="A967" t="s">
        <v>1869</v>
      </c>
      <c r="B967" s="3" t="s">
        <v>77</v>
      </c>
      <c r="C967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1</v>
      </c>
      <c r="D967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967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967" s="3">
        <f>SUM(TS_ATHLETES[[#This Row],[GOLD MEDALS]:[BRONZE MEDALS]])</f>
        <v>1</v>
      </c>
      <c r="G967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10100000</v>
      </c>
      <c r="H967" s="3">
        <f>IF(TS_ATHLETES[[#This Row],[TOTAL]]=0,"",RANK(TS_ATHLETES[[#This Row],[RANK VALUE]],TS_ATHLETES[RANK VALUE]))</f>
        <v>129</v>
      </c>
      <c r="I967" s="3">
        <f>IFERROR(IF(TS_ATHLETES[[#This Row],[TOTAL]]=0,"",RANK(TS_ATHLETES[[#This Row],[RANK VALUE]],TS_ATHLETES[RANK VALUE])+COUNTIF($H$1:H966,H967)),"")</f>
        <v>371</v>
      </c>
    </row>
    <row r="968" spans="1:9" x14ac:dyDescent="0.25">
      <c r="A968" t="s">
        <v>1870</v>
      </c>
      <c r="B968" s="3" t="s">
        <v>77</v>
      </c>
      <c r="C968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1</v>
      </c>
      <c r="D968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968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968" s="3">
        <f>SUM(TS_ATHLETES[[#This Row],[GOLD MEDALS]:[BRONZE MEDALS]])</f>
        <v>1</v>
      </c>
      <c r="G968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10100000</v>
      </c>
      <c r="H968" s="3">
        <f>IF(TS_ATHLETES[[#This Row],[TOTAL]]=0,"",RANK(TS_ATHLETES[[#This Row],[RANK VALUE]],TS_ATHLETES[RANK VALUE]))</f>
        <v>129</v>
      </c>
      <c r="I968" s="3">
        <f>IFERROR(IF(TS_ATHLETES[[#This Row],[TOTAL]]=0,"",RANK(TS_ATHLETES[[#This Row],[RANK VALUE]],TS_ATHLETES[RANK VALUE])+COUNTIF($H$1:H967,H968)),"")</f>
        <v>372</v>
      </c>
    </row>
    <row r="969" spans="1:9" x14ac:dyDescent="0.25">
      <c r="A969" t="s">
        <v>1871</v>
      </c>
      <c r="B969" s="3" t="s">
        <v>217</v>
      </c>
      <c r="C969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969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1</v>
      </c>
      <c r="E969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969" s="3">
        <f>SUM(TS_ATHLETES[[#This Row],[GOLD MEDALS]:[BRONZE MEDALS]])</f>
        <v>1</v>
      </c>
      <c r="G969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10000100</v>
      </c>
      <c r="H969" s="3">
        <f>IF(TS_ATHLETES[[#This Row],[TOTAL]]=0,"",RANK(TS_ATHLETES[[#This Row],[RANK VALUE]],TS_ATHLETES[RANK VALUE]))</f>
        <v>660</v>
      </c>
      <c r="I969" s="3">
        <f>IFERROR(IF(TS_ATHLETES[[#This Row],[TOTAL]]=0,"",RANK(TS_ATHLETES[[#This Row],[RANK VALUE]],TS_ATHLETES[RANK VALUE])+COUNTIF($H$1:H968,H969)),"")</f>
        <v>930</v>
      </c>
    </row>
    <row r="970" spans="1:9" x14ac:dyDescent="0.25">
      <c r="A970" t="s">
        <v>1872</v>
      </c>
      <c r="B970" s="3" t="s">
        <v>217</v>
      </c>
      <c r="C970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970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1</v>
      </c>
      <c r="E970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970" s="3">
        <f>SUM(TS_ATHLETES[[#This Row],[GOLD MEDALS]:[BRONZE MEDALS]])</f>
        <v>1</v>
      </c>
      <c r="G970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10000100</v>
      </c>
      <c r="H970" s="3">
        <f>IF(TS_ATHLETES[[#This Row],[TOTAL]]=0,"",RANK(TS_ATHLETES[[#This Row],[RANK VALUE]],TS_ATHLETES[RANK VALUE]))</f>
        <v>660</v>
      </c>
      <c r="I970" s="3">
        <f>IFERROR(IF(TS_ATHLETES[[#This Row],[TOTAL]]=0,"",RANK(TS_ATHLETES[[#This Row],[RANK VALUE]],TS_ATHLETES[RANK VALUE])+COUNTIF($H$1:H969,H970)),"")</f>
        <v>931</v>
      </c>
    </row>
    <row r="971" spans="1:9" x14ac:dyDescent="0.25">
      <c r="A971" t="s">
        <v>1873</v>
      </c>
      <c r="B971" s="3" t="s">
        <v>66</v>
      </c>
      <c r="C971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971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971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1</v>
      </c>
      <c r="F971" s="3">
        <f>SUM(TS_ATHLETES[[#This Row],[GOLD MEDALS]:[BRONZE MEDALS]])</f>
        <v>1</v>
      </c>
      <c r="G971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10000010</v>
      </c>
      <c r="H971" s="3">
        <f>IF(TS_ATHLETES[[#This Row],[TOTAL]]=0,"",RANK(TS_ATHLETES[[#This Row],[RANK VALUE]],TS_ATHLETES[RANK VALUE]))</f>
        <v>1224</v>
      </c>
      <c r="I971" s="3">
        <f>IFERROR(IF(TS_ATHLETES[[#This Row],[TOTAL]]=0,"",RANK(TS_ATHLETES[[#This Row],[RANK VALUE]],TS_ATHLETES[RANK VALUE])+COUNTIF($H$1:H970,H971)),"")</f>
        <v>1563</v>
      </c>
    </row>
    <row r="972" spans="1:9" x14ac:dyDescent="0.25">
      <c r="A972" t="s">
        <v>1875</v>
      </c>
      <c r="B972" s="3" t="s">
        <v>128</v>
      </c>
      <c r="C972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1</v>
      </c>
      <c r="D972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972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972" s="3">
        <f>SUM(TS_ATHLETES[[#This Row],[GOLD MEDALS]:[BRONZE MEDALS]])</f>
        <v>1</v>
      </c>
      <c r="G972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10100000</v>
      </c>
      <c r="H972" s="3">
        <f>IF(TS_ATHLETES[[#This Row],[TOTAL]]=0,"",RANK(TS_ATHLETES[[#This Row],[RANK VALUE]],TS_ATHLETES[RANK VALUE]))</f>
        <v>129</v>
      </c>
      <c r="I972" s="3">
        <f>IFERROR(IF(TS_ATHLETES[[#This Row],[TOTAL]]=0,"",RANK(TS_ATHLETES[[#This Row],[RANK VALUE]],TS_ATHLETES[RANK VALUE])+COUNTIF($H$1:H971,H972)),"")</f>
        <v>373</v>
      </c>
    </row>
    <row r="973" spans="1:9" x14ac:dyDescent="0.25">
      <c r="A973" t="s">
        <v>1874</v>
      </c>
      <c r="B973" s="3" t="s">
        <v>128</v>
      </c>
      <c r="C973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1</v>
      </c>
      <c r="D973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973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973" s="3">
        <f>SUM(TS_ATHLETES[[#This Row],[GOLD MEDALS]:[BRONZE MEDALS]])</f>
        <v>1</v>
      </c>
      <c r="G973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10100000</v>
      </c>
      <c r="H973" s="3">
        <f>IF(TS_ATHLETES[[#This Row],[TOTAL]]=0,"",RANK(TS_ATHLETES[[#This Row],[RANK VALUE]],TS_ATHLETES[RANK VALUE]))</f>
        <v>129</v>
      </c>
      <c r="I973" s="3">
        <f>IFERROR(IF(TS_ATHLETES[[#This Row],[TOTAL]]=0,"",RANK(TS_ATHLETES[[#This Row],[RANK VALUE]],TS_ATHLETES[RANK VALUE])+COUNTIF($H$1:H972,H973)),"")</f>
        <v>374</v>
      </c>
    </row>
    <row r="974" spans="1:9" x14ac:dyDescent="0.25">
      <c r="A974" t="s">
        <v>1876</v>
      </c>
      <c r="B974" s="3" t="s">
        <v>128</v>
      </c>
      <c r="C974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1</v>
      </c>
      <c r="D974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974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974" s="3">
        <f>SUM(TS_ATHLETES[[#This Row],[GOLD MEDALS]:[BRONZE MEDALS]])</f>
        <v>1</v>
      </c>
      <c r="G974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10100000</v>
      </c>
      <c r="H974" s="3">
        <f>IF(TS_ATHLETES[[#This Row],[TOTAL]]=0,"",RANK(TS_ATHLETES[[#This Row],[RANK VALUE]],TS_ATHLETES[RANK VALUE]))</f>
        <v>129</v>
      </c>
      <c r="I974" s="3">
        <f>IFERROR(IF(TS_ATHLETES[[#This Row],[TOTAL]]=0,"",RANK(TS_ATHLETES[[#This Row],[RANK VALUE]],TS_ATHLETES[RANK VALUE])+COUNTIF($H$1:H973,H974)),"")</f>
        <v>375</v>
      </c>
    </row>
    <row r="975" spans="1:9" x14ac:dyDescent="0.25">
      <c r="A975" t="s">
        <v>1877</v>
      </c>
      <c r="B975" s="3" t="s">
        <v>136</v>
      </c>
      <c r="C975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975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1</v>
      </c>
      <c r="E975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975" s="3">
        <f>SUM(TS_ATHLETES[[#This Row],[GOLD MEDALS]:[BRONZE MEDALS]])</f>
        <v>1</v>
      </c>
      <c r="G975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10000100</v>
      </c>
      <c r="H975" s="3">
        <f>IF(TS_ATHLETES[[#This Row],[TOTAL]]=0,"",RANK(TS_ATHLETES[[#This Row],[RANK VALUE]],TS_ATHLETES[RANK VALUE]))</f>
        <v>660</v>
      </c>
      <c r="I975" s="3">
        <f>IFERROR(IF(TS_ATHLETES[[#This Row],[TOTAL]]=0,"",RANK(TS_ATHLETES[[#This Row],[RANK VALUE]],TS_ATHLETES[RANK VALUE])+COUNTIF($H$1:H974,H975)),"")</f>
        <v>932</v>
      </c>
    </row>
    <row r="976" spans="1:9" x14ac:dyDescent="0.25">
      <c r="A976" t="s">
        <v>1878</v>
      </c>
      <c r="B976" s="3" t="s">
        <v>136</v>
      </c>
      <c r="C976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976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1</v>
      </c>
      <c r="E976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976" s="3">
        <f>SUM(TS_ATHLETES[[#This Row],[GOLD MEDALS]:[BRONZE MEDALS]])</f>
        <v>1</v>
      </c>
      <c r="G976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10000100</v>
      </c>
      <c r="H976" s="3">
        <f>IF(TS_ATHLETES[[#This Row],[TOTAL]]=0,"",RANK(TS_ATHLETES[[#This Row],[RANK VALUE]],TS_ATHLETES[RANK VALUE]))</f>
        <v>660</v>
      </c>
      <c r="I976" s="3">
        <f>IFERROR(IF(TS_ATHLETES[[#This Row],[TOTAL]]=0,"",RANK(TS_ATHLETES[[#This Row],[RANK VALUE]],TS_ATHLETES[RANK VALUE])+COUNTIF($H$1:H975,H976)),"")</f>
        <v>933</v>
      </c>
    </row>
    <row r="977" spans="1:9" x14ac:dyDescent="0.25">
      <c r="A977" t="s">
        <v>1879</v>
      </c>
      <c r="B977" s="3" t="s">
        <v>136</v>
      </c>
      <c r="C977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977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1</v>
      </c>
      <c r="E977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977" s="3">
        <f>SUM(TS_ATHLETES[[#This Row],[GOLD MEDALS]:[BRONZE MEDALS]])</f>
        <v>1</v>
      </c>
      <c r="G977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10000100</v>
      </c>
      <c r="H977" s="3">
        <f>IF(TS_ATHLETES[[#This Row],[TOTAL]]=0,"",RANK(TS_ATHLETES[[#This Row],[RANK VALUE]],TS_ATHLETES[RANK VALUE]))</f>
        <v>660</v>
      </c>
      <c r="I977" s="3">
        <f>IFERROR(IF(TS_ATHLETES[[#This Row],[TOTAL]]=0,"",RANK(TS_ATHLETES[[#This Row],[RANK VALUE]],TS_ATHLETES[RANK VALUE])+COUNTIF($H$1:H976,H977)),"")</f>
        <v>934</v>
      </c>
    </row>
    <row r="978" spans="1:9" x14ac:dyDescent="0.25">
      <c r="A978" t="s">
        <v>1880</v>
      </c>
      <c r="B978" s="3" t="s">
        <v>21</v>
      </c>
      <c r="C978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978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978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1</v>
      </c>
      <c r="F978" s="3">
        <f>SUM(TS_ATHLETES[[#This Row],[GOLD MEDALS]:[BRONZE MEDALS]])</f>
        <v>1</v>
      </c>
      <c r="G978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10000010</v>
      </c>
      <c r="H978" s="3">
        <f>IF(TS_ATHLETES[[#This Row],[TOTAL]]=0,"",RANK(TS_ATHLETES[[#This Row],[RANK VALUE]],TS_ATHLETES[RANK VALUE]))</f>
        <v>1224</v>
      </c>
      <c r="I978" s="3">
        <f>IFERROR(IF(TS_ATHLETES[[#This Row],[TOTAL]]=0,"",RANK(TS_ATHLETES[[#This Row],[RANK VALUE]],TS_ATHLETES[RANK VALUE])+COUNTIF($H$1:H977,H978)),"")</f>
        <v>1564</v>
      </c>
    </row>
    <row r="979" spans="1:9" x14ac:dyDescent="0.25">
      <c r="A979" t="s">
        <v>1881</v>
      </c>
      <c r="B979" s="3" t="s">
        <v>21</v>
      </c>
      <c r="C979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979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979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1</v>
      </c>
      <c r="F979" s="3">
        <f>SUM(TS_ATHLETES[[#This Row],[GOLD MEDALS]:[BRONZE MEDALS]])</f>
        <v>1</v>
      </c>
      <c r="G979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10000010</v>
      </c>
      <c r="H979" s="3">
        <f>IF(TS_ATHLETES[[#This Row],[TOTAL]]=0,"",RANK(TS_ATHLETES[[#This Row],[RANK VALUE]],TS_ATHLETES[RANK VALUE]))</f>
        <v>1224</v>
      </c>
      <c r="I979" s="3">
        <f>IFERROR(IF(TS_ATHLETES[[#This Row],[TOTAL]]=0,"",RANK(TS_ATHLETES[[#This Row],[RANK VALUE]],TS_ATHLETES[RANK VALUE])+COUNTIF($H$1:H978,H979)),"")</f>
        <v>1565</v>
      </c>
    </row>
    <row r="980" spans="1:9" x14ac:dyDescent="0.25">
      <c r="A980" t="s">
        <v>1882</v>
      </c>
      <c r="B980" s="3" t="s">
        <v>21</v>
      </c>
      <c r="C980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980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980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1</v>
      </c>
      <c r="F980" s="3">
        <f>SUM(TS_ATHLETES[[#This Row],[GOLD MEDALS]:[BRONZE MEDALS]])</f>
        <v>1</v>
      </c>
      <c r="G980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10000010</v>
      </c>
      <c r="H980" s="3">
        <f>IF(TS_ATHLETES[[#This Row],[TOTAL]]=0,"",RANK(TS_ATHLETES[[#This Row],[RANK VALUE]],TS_ATHLETES[RANK VALUE]))</f>
        <v>1224</v>
      </c>
      <c r="I980" s="3">
        <f>IFERROR(IF(TS_ATHLETES[[#This Row],[TOTAL]]=0,"",RANK(TS_ATHLETES[[#This Row],[RANK VALUE]],TS_ATHLETES[RANK VALUE])+COUNTIF($H$1:H979,H980)),"")</f>
        <v>1566</v>
      </c>
    </row>
    <row r="981" spans="1:9" x14ac:dyDescent="0.25">
      <c r="A981" t="s">
        <v>1883</v>
      </c>
      <c r="B981" s="3" t="s">
        <v>21</v>
      </c>
      <c r="C981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981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981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1</v>
      </c>
      <c r="F981" s="3">
        <f>SUM(TS_ATHLETES[[#This Row],[GOLD MEDALS]:[BRONZE MEDALS]])</f>
        <v>1</v>
      </c>
      <c r="G981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10000010</v>
      </c>
      <c r="H981" s="3">
        <f>IF(TS_ATHLETES[[#This Row],[TOTAL]]=0,"",RANK(TS_ATHLETES[[#This Row],[RANK VALUE]],TS_ATHLETES[RANK VALUE]))</f>
        <v>1224</v>
      </c>
      <c r="I981" s="3">
        <f>IFERROR(IF(TS_ATHLETES[[#This Row],[TOTAL]]=0,"",RANK(TS_ATHLETES[[#This Row],[RANK VALUE]],TS_ATHLETES[RANK VALUE])+COUNTIF($H$1:H980,H981)),"")</f>
        <v>1567</v>
      </c>
    </row>
    <row r="982" spans="1:9" x14ac:dyDescent="0.25">
      <c r="A982" t="s">
        <v>1884</v>
      </c>
      <c r="B982" s="3" t="s">
        <v>136</v>
      </c>
      <c r="C982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1</v>
      </c>
      <c r="D982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982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982" s="3">
        <f>SUM(TS_ATHLETES[[#This Row],[GOLD MEDALS]:[BRONZE MEDALS]])</f>
        <v>1</v>
      </c>
      <c r="G982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10100000</v>
      </c>
      <c r="H982" s="3">
        <f>IF(TS_ATHLETES[[#This Row],[TOTAL]]=0,"",RANK(TS_ATHLETES[[#This Row],[RANK VALUE]],TS_ATHLETES[RANK VALUE]))</f>
        <v>129</v>
      </c>
      <c r="I982" s="3">
        <f>IFERROR(IF(TS_ATHLETES[[#This Row],[TOTAL]]=0,"",RANK(TS_ATHLETES[[#This Row],[RANK VALUE]],TS_ATHLETES[RANK VALUE])+COUNTIF($H$1:H981,H982)),"")</f>
        <v>376</v>
      </c>
    </row>
    <row r="983" spans="1:9" x14ac:dyDescent="0.25">
      <c r="A983" t="s">
        <v>1885</v>
      </c>
      <c r="B983" s="3" t="s">
        <v>136</v>
      </c>
      <c r="C983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1</v>
      </c>
      <c r="D983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983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983" s="3">
        <f>SUM(TS_ATHLETES[[#This Row],[GOLD MEDALS]:[BRONZE MEDALS]])</f>
        <v>1</v>
      </c>
      <c r="G983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10100000</v>
      </c>
      <c r="H983" s="3">
        <f>IF(TS_ATHLETES[[#This Row],[TOTAL]]=0,"",RANK(TS_ATHLETES[[#This Row],[RANK VALUE]],TS_ATHLETES[RANK VALUE]))</f>
        <v>129</v>
      </c>
      <c r="I983" s="3">
        <f>IFERROR(IF(TS_ATHLETES[[#This Row],[TOTAL]]=0,"",RANK(TS_ATHLETES[[#This Row],[RANK VALUE]],TS_ATHLETES[RANK VALUE])+COUNTIF($H$1:H982,H983)),"")</f>
        <v>377</v>
      </c>
    </row>
    <row r="984" spans="1:9" x14ac:dyDescent="0.25">
      <c r="A984" t="s">
        <v>1886</v>
      </c>
      <c r="B984" s="3" t="s">
        <v>361</v>
      </c>
      <c r="C984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984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1</v>
      </c>
      <c r="E984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984" s="3">
        <f>SUM(TS_ATHLETES[[#This Row],[GOLD MEDALS]:[BRONZE MEDALS]])</f>
        <v>1</v>
      </c>
      <c r="G984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10000100</v>
      </c>
      <c r="H984" s="3">
        <f>IF(TS_ATHLETES[[#This Row],[TOTAL]]=0,"",RANK(TS_ATHLETES[[#This Row],[RANK VALUE]],TS_ATHLETES[RANK VALUE]))</f>
        <v>660</v>
      </c>
      <c r="I984" s="3">
        <f>IFERROR(IF(TS_ATHLETES[[#This Row],[TOTAL]]=0,"",RANK(TS_ATHLETES[[#This Row],[RANK VALUE]],TS_ATHLETES[RANK VALUE])+COUNTIF($H$1:H983,H984)),"")</f>
        <v>935</v>
      </c>
    </row>
    <row r="985" spans="1:9" x14ac:dyDescent="0.25">
      <c r="A985" t="s">
        <v>1887</v>
      </c>
      <c r="B985" s="3" t="s">
        <v>361</v>
      </c>
      <c r="C985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985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1</v>
      </c>
      <c r="E985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985" s="3">
        <f>SUM(TS_ATHLETES[[#This Row],[GOLD MEDALS]:[BRONZE MEDALS]])</f>
        <v>1</v>
      </c>
      <c r="G985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10000100</v>
      </c>
      <c r="H985" s="3">
        <f>IF(TS_ATHLETES[[#This Row],[TOTAL]]=0,"",RANK(TS_ATHLETES[[#This Row],[RANK VALUE]],TS_ATHLETES[RANK VALUE]))</f>
        <v>660</v>
      </c>
      <c r="I985" s="3">
        <f>IFERROR(IF(TS_ATHLETES[[#This Row],[TOTAL]]=0,"",RANK(TS_ATHLETES[[#This Row],[RANK VALUE]],TS_ATHLETES[RANK VALUE])+COUNTIF($H$1:H984,H985)),"")</f>
        <v>936</v>
      </c>
    </row>
    <row r="986" spans="1:9" x14ac:dyDescent="0.25">
      <c r="A986" t="s">
        <v>1888</v>
      </c>
      <c r="B986" s="3" t="s">
        <v>361</v>
      </c>
      <c r="C986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986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1</v>
      </c>
      <c r="E986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986" s="3">
        <f>SUM(TS_ATHLETES[[#This Row],[GOLD MEDALS]:[BRONZE MEDALS]])</f>
        <v>1</v>
      </c>
      <c r="G986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10000100</v>
      </c>
      <c r="H986" s="3">
        <f>IF(TS_ATHLETES[[#This Row],[TOTAL]]=0,"",RANK(TS_ATHLETES[[#This Row],[RANK VALUE]],TS_ATHLETES[RANK VALUE]))</f>
        <v>660</v>
      </c>
      <c r="I986" s="3">
        <f>IFERROR(IF(TS_ATHLETES[[#This Row],[TOTAL]]=0,"",RANK(TS_ATHLETES[[#This Row],[RANK VALUE]],TS_ATHLETES[RANK VALUE])+COUNTIF($H$1:H985,H986)),"")</f>
        <v>937</v>
      </c>
    </row>
    <row r="987" spans="1:9" x14ac:dyDescent="0.25">
      <c r="A987" t="s">
        <v>1889</v>
      </c>
      <c r="B987" s="3" t="s">
        <v>363</v>
      </c>
      <c r="C987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987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987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1</v>
      </c>
      <c r="F987" s="3">
        <f>SUM(TS_ATHLETES[[#This Row],[GOLD MEDALS]:[BRONZE MEDALS]])</f>
        <v>1</v>
      </c>
      <c r="G987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10000010</v>
      </c>
      <c r="H987" s="3">
        <f>IF(TS_ATHLETES[[#This Row],[TOTAL]]=0,"",RANK(TS_ATHLETES[[#This Row],[RANK VALUE]],TS_ATHLETES[RANK VALUE]))</f>
        <v>1224</v>
      </c>
      <c r="I987" s="3">
        <f>IFERROR(IF(TS_ATHLETES[[#This Row],[TOTAL]]=0,"",RANK(TS_ATHLETES[[#This Row],[RANK VALUE]],TS_ATHLETES[RANK VALUE])+COUNTIF($H$1:H986,H987)),"")</f>
        <v>1568</v>
      </c>
    </row>
    <row r="988" spans="1:9" x14ac:dyDescent="0.25">
      <c r="A988" t="s">
        <v>1890</v>
      </c>
      <c r="B988" s="3" t="s">
        <v>363</v>
      </c>
      <c r="C988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988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988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1</v>
      </c>
      <c r="F988" s="3">
        <f>SUM(TS_ATHLETES[[#This Row],[GOLD MEDALS]:[BRONZE MEDALS]])</f>
        <v>1</v>
      </c>
      <c r="G988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10000010</v>
      </c>
      <c r="H988" s="3">
        <f>IF(TS_ATHLETES[[#This Row],[TOTAL]]=0,"",RANK(TS_ATHLETES[[#This Row],[RANK VALUE]],TS_ATHLETES[RANK VALUE]))</f>
        <v>1224</v>
      </c>
      <c r="I988" s="3">
        <f>IFERROR(IF(TS_ATHLETES[[#This Row],[TOTAL]]=0,"",RANK(TS_ATHLETES[[#This Row],[RANK VALUE]],TS_ATHLETES[RANK VALUE])+COUNTIF($H$1:H987,H988)),"")</f>
        <v>1569</v>
      </c>
    </row>
    <row r="989" spans="1:9" x14ac:dyDescent="0.25">
      <c r="A989" t="s">
        <v>1891</v>
      </c>
      <c r="B989" s="3" t="s">
        <v>363</v>
      </c>
      <c r="C989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989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989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1</v>
      </c>
      <c r="F989" s="3">
        <f>SUM(TS_ATHLETES[[#This Row],[GOLD MEDALS]:[BRONZE MEDALS]])</f>
        <v>1</v>
      </c>
      <c r="G989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10000010</v>
      </c>
      <c r="H989" s="3">
        <f>IF(TS_ATHLETES[[#This Row],[TOTAL]]=0,"",RANK(TS_ATHLETES[[#This Row],[RANK VALUE]],TS_ATHLETES[RANK VALUE]))</f>
        <v>1224</v>
      </c>
      <c r="I989" s="3">
        <f>IFERROR(IF(TS_ATHLETES[[#This Row],[TOTAL]]=0,"",RANK(TS_ATHLETES[[#This Row],[RANK VALUE]],TS_ATHLETES[RANK VALUE])+COUNTIF($H$1:H988,H989)),"")</f>
        <v>1570</v>
      </c>
    </row>
    <row r="990" spans="1:9" x14ac:dyDescent="0.25">
      <c r="A990" t="s">
        <v>1892</v>
      </c>
      <c r="B990" s="3" t="s">
        <v>363</v>
      </c>
      <c r="C990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990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990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1</v>
      </c>
      <c r="F990" s="3">
        <f>SUM(TS_ATHLETES[[#This Row],[GOLD MEDALS]:[BRONZE MEDALS]])</f>
        <v>1</v>
      </c>
      <c r="G990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10000010</v>
      </c>
      <c r="H990" s="3">
        <f>IF(TS_ATHLETES[[#This Row],[TOTAL]]=0,"",RANK(TS_ATHLETES[[#This Row],[RANK VALUE]],TS_ATHLETES[RANK VALUE]))</f>
        <v>1224</v>
      </c>
      <c r="I990" s="3">
        <f>IFERROR(IF(TS_ATHLETES[[#This Row],[TOTAL]]=0,"",RANK(TS_ATHLETES[[#This Row],[RANK VALUE]],TS_ATHLETES[RANK VALUE])+COUNTIF($H$1:H989,H990)),"")</f>
        <v>1571</v>
      </c>
    </row>
    <row r="991" spans="1:9" x14ac:dyDescent="0.25">
      <c r="A991" t="s">
        <v>1893</v>
      </c>
      <c r="B991" s="3" t="s">
        <v>128</v>
      </c>
      <c r="C991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1</v>
      </c>
      <c r="D991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991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991" s="3">
        <f>SUM(TS_ATHLETES[[#This Row],[GOLD MEDALS]:[BRONZE MEDALS]])</f>
        <v>1</v>
      </c>
      <c r="G991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10100000</v>
      </c>
      <c r="H991" s="3">
        <f>IF(TS_ATHLETES[[#This Row],[TOTAL]]=0,"",RANK(TS_ATHLETES[[#This Row],[RANK VALUE]],TS_ATHLETES[RANK VALUE]))</f>
        <v>129</v>
      </c>
      <c r="I991" s="3">
        <f>IFERROR(IF(TS_ATHLETES[[#This Row],[TOTAL]]=0,"",RANK(TS_ATHLETES[[#This Row],[RANK VALUE]],TS_ATHLETES[RANK VALUE])+COUNTIF($H$1:H990,H991)),"")</f>
        <v>378</v>
      </c>
    </row>
    <row r="992" spans="1:9" x14ac:dyDescent="0.25">
      <c r="A992" t="s">
        <v>1894</v>
      </c>
      <c r="B992" s="3" t="s">
        <v>128</v>
      </c>
      <c r="C992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1</v>
      </c>
      <c r="D992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992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992" s="3">
        <f>SUM(TS_ATHLETES[[#This Row],[GOLD MEDALS]:[BRONZE MEDALS]])</f>
        <v>1</v>
      </c>
      <c r="G992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10100000</v>
      </c>
      <c r="H992" s="3">
        <f>IF(TS_ATHLETES[[#This Row],[TOTAL]]=0,"",RANK(TS_ATHLETES[[#This Row],[RANK VALUE]],TS_ATHLETES[RANK VALUE]))</f>
        <v>129</v>
      </c>
      <c r="I992" s="3">
        <f>IFERROR(IF(TS_ATHLETES[[#This Row],[TOTAL]]=0,"",RANK(TS_ATHLETES[[#This Row],[RANK VALUE]],TS_ATHLETES[RANK VALUE])+COUNTIF($H$1:H991,H992)),"")</f>
        <v>379</v>
      </c>
    </row>
    <row r="993" spans="1:9" x14ac:dyDescent="0.25">
      <c r="A993" t="s">
        <v>1895</v>
      </c>
      <c r="B993" s="3" t="s">
        <v>128</v>
      </c>
      <c r="C993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1</v>
      </c>
      <c r="D993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993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993" s="3">
        <f>SUM(TS_ATHLETES[[#This Row],[GOLD MEDALS]:[BRONZE MEDALS]])</f>
        <v>1</v>
      </c>
      <c r="G993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10100000</v>
      </c>
      <c r="H993" s="3">
        <f>IF(TS_ATHLETES[[#This Row],[TOTAL]]=0,"",RANK(TS_ATHLETES[[#This Row],[RANK VALUE]],TS_ATHLETES[RANK VALUE]))</f>
        <v>129</v>
      </c>
      <c r="I993" s="3">
        <f>IFERROR(IF(TS_ATHLETES[[#This Row],[TOTAL]]=0,"",RANK(TS_ATHLETES[[#This Row],[RANK VALUE]],TS_ATHLETES[RANK VALUE])+COUNTIF($H$1:H992,H993)),"")</f>
        <v>380</v>
      </c>
    </row>
    <row r="994" spans="1:9" x14ac:dyDescent="0.25">
      <c r="A994" t="s">
        <v>1896</v>
      </c>
      <c r="B994" s="3" t="s">
        <v>128</v>
      </c>
      <c r="C994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1</v>
      </c>
      <c r="D994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994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994" s="3">
        <f>SUM(TS_ATHLETES[[#This Row],[GOLD MEDALS]:[BRONZE MEDALS]])</f>
        <v>1</v>
      </c>
      <c r="G994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10100000</v>
      </c>
      <c r="H994" s="3">
        <f>IF(TS_ATHLETES[[#This Row],[TOTAL]]=0,"",RANK(TS_ATHLETES[[#This Row],[RANK VALUE]],TS_ATHLETES[RANK VALUE]))</f>
        <v>129</v>
      </c>
      <c r="I994" s="3">
        <f>IFERROR(IF(TS_ATHLETES[[#This Row],[TOTAL]]=0,"",RANK(TS_ATHLETES[[#This Row],[RANK VALUE]],TS_ATHLETES[RANK VALUE])+COUNTIF($H$1:H993,H994)),"")</f>
        <v>381</v>
      </c>
    </row>
    <row r="995" spans="1:9" x14ac:dyDescent="0.25">
      <c r="A995" t="s">
        <v>1897</v>
      </c>
      <c r="B995" s="3" t="s">
        <v>363</v>
      </c>
      <c r="C995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995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1</v>
      </c>
      <c r="E995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995" s="3">
        <f>SUM(TS_ATHLETES[[#This Row],[GOLD MEDALS]:[BRONZE MEDALS]])</f>
        <v>1</v>
      </c>
      <c r="G995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10000100</v>
      </c>
      <c r="H995" s="3">
        <f>IF(TS_ATHLETES[[#This Row],[TOTAL]]=0,"",RANK(TS_ATHLETES[[#This Row],[RANK VALUE]],TS_ATHLETES[RANK VALUE]))</f>
        <v>660</v>
      </c>
      <c r="I995" s="3">
        <f>IFERROR(IF(TS_ATHLETES[[#This Row],[TOTAL]]=0,"",RANK(TS_ATHLETES[[#This Row],[RANK VALUE]],TS_ATHLETES[RANK VALUE])+COUNTIF($H$1:H994,H995)),"")</f>
        <v>938</v>
      </c>
    </row>
    <row r="996" spans="1:9" x14ac:dyDescent="0.25">
      <c r="A996" t="s">
        <v>1898</v>
      </c>
      <c r="B996" s="3" t="s">
        <v>363</v>
      </c>
      <c r="C996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996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1</v>
      </c>
      <c r="E996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996" s="3">
        <f>SUM(TS_ATHLETES[[#This Row],[GOLD MEDALS]:[BRONZE MEDALS]])</f>
        <v>1</v>
      </c>
      <c r="G996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10000100</v>
      </c>
      <c r="H996" s="3">
        <f>IF(TS_ATHLETES[[#This Row],[TOTAL]]=0,"",RANK(TS_ATHLETES[[#This Row],[RANK VALUE]],TS_ATHLETES[RANK VALUE]))</f>
        <v>660</v>
      </c>
      <c r="I996" s="3">
        <f>IFERROR(IF(TS_ATHLETES[[#This Row],[TOTAL]]=0,"",RANK(TS_ATHLETES[[#This Row],[RANK VALUE]],TS_ATHLETES[RANK VALUE])+COUNTIF($H$1:H995,H996)),"")</f>
        <v>939</v>
      </c>
    </row>
    <row r="997" spans="1:9" x14ac:dyDescent="0.25">
      <c r="A997" t="s">
        <v>1899</v>
      </c>
      <c r="B997" s="3" t="s">
        <v>363</v>
      </c>
      <c r="C997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997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1</v>
      </c>
      <c r="E997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997" s="3">
        <f>SUM(TS_ATHLETES[[#This Row],[GOLD MEDALS]:[BRONZE MEDALS]])</f>
        <v>1</v>
      </c>
      <c r="G997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10000100</v>
      </c>
      <c r="H997" s="3">
        <f>IF(TS_ATHLETES[[#This Row],[TOTAL]]=0,"",RANK(TS_ATHLETES[[#This Row],[RANK VALUE]],TS_ATHLETES[RANK VALUE]))</f>
        <v>660</v>
      </c>
      <c r="I997" s="3">
        <f>IFERROR(IF(TS_ATHLETES[[#This Row],[TOTAL]]=0,"",RANK(TS_ATHLETES[[#This Row],[RANK VALUE]],TS_ATHLETES[RANK VALUE])+COUNTIF($H$1:H996,H997)),"")</f>
        <v>940</v>
      </c>
    </row>
    <row r="998" spans="1:9" x14ac:dyDescent="0.25">
      <c r="A998" t="s">
        <v>1900</v>
      </c>
      <c r="B998" s="3" t="s">
        <v>363</v>
      </c>
      <c r="C998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998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1</v>
      </c>
      <c r="E998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998" s="3">
        <f>SUM(TS_ATHLETES[[#This Row],[GOLD MEDALS]:[BRONZE MEDALS]])</f>
        <v>1</v>
      </c>
      <c r="G998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10000100</v>
      </c>
      <c r="H998" s="3">
        <f>IF(TS_ATHLETES[[#This Row],[TOTAL]]=0,"",RANK(TS_ATHLETES[[#This Row],[RANK VALUE]],TS_ATHLETES[RANK VALUE]))</f>
        <v>660</v>
      </c>
      <c r="I998" s="3">
        <f>IFERROR(IF(TS_ATHLETES[[#This Row],[TOTAL]]=0,"",RANK(TS_ATHLETES[[#This Row],[RANK VALUE]],TS_ATHLETES[RANK VALUE])+COUNTIF($H$1:H997,H998)),"")</f>
        <v>941</v>
      </c>
    </row>
    <row r="999" spans="1:9" x14ac:dyDescent="0.25">
      <c r="A999" t="s">
        <v>1901</v>
      </c>
      <c r="B999" s="3" t="s">
        <v>136</v>
      </c>
      <c r="C999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999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999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1</v>
      </c>
      <c r="F999" s="3">
        <f>SUM(TS_ATHLETES[[#This Row],[GOLD MEDALS]:[BRONZE MEDALS]])</f>
        <v>1</v>
      </c>
      <c r="G999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10000010</v>
      </c>
      <c r="H999" s="3">
        <f>IF(TS_ATHLETES[[#This Row],[TOTAL]]=0,"",RANK(TS_ATHLETES[[#This Row],[RANK VALUE]],TS_ATHLETES[RANK VALUE]))</f>
        <v>1224</v>
      </c>
      <c r="I999" s="3">
        <f>IFERROR(IF(TS_ATHLETES[[#This Row],[TOTAL]]=0,"",RANK(TS_ATHLETES[[#This Row],[RANK VALUE]],TS_ATHLETES[RANK VALUE])+COUNTIF($H$1:H998,H999)),"")</f>
        <v>1572</v>
      </c>
    </row>
    <row r="1000" spans="1:9" x14ac:dyDescent="0.25">
      <c r="A1000" t="s">
        <v>1902</v>
      </c>
      <c r="B1000" s="3" t="s">
        <v>136</v>
      </c>
      <c r="C1000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1000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1000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1</v>
      </c>
      <c r="F1000" s="3">
        <f>SUM(TS_ATHLETES[[#This Row],[GOLD MEDALS]:[BRONZE MEDALS]])</f>
        <v>1</v>
      </c>
      <c r="G1000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10000010</v>
      </c>
      <c r="H1000" s="3">
        <f>IF(TS_ATHLETES[[#This Row],[TOTAL]]=0,"",RANK(TS_ATHLETES[[#This Row],[RANK VALUE]],TS_ATHLETES[RANK VALUE]))</f>
        <v>1224</v>
      </c>
      <c r="I1000" s="3">
        <f>IFERROR(IF(TS_ATHLETES[[#This Row],[TOTAL]]=0,"",RANK(TS_ATHLETES[[#This Row],[RANK VALUE]],TS_ATHLETES[RANK VALUE])+COUNTIF($H$1:H999,H1000)),"")</f>
        <v>1573</v>
      </c>
    </row>
    <row r="1001" spans="1:9" x14ac:dyDescent="0.25">
      <c r="A1001" t="s">
        <v>1903</v>
      </c>
      <c r="B1001" s="3" t="s">
        <v>136</v>
      </c>
      <c r="C1001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1001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1001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1</v>
      </c>
      <c r="F1001" s="3">
        <f>SUM(TS_ATHLETES[[#This Row],[GOLD MEDALS]:[BRONZE MEDALS]])</f>
        <v>1</v>
      </c>
      <c r="G1001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10000010</v>
      </c>
      <c r="H1001" s="3">
        <f>IF(TS_ATHLETES[[#This Row],[TOTAL]]=0,"",RANK(TS_ATHLETES[[#This Row],[RANK VALUE]],TS_ATHLETES[RANK VALUE]))</f>
        <v>1224</v>
      </c>
      <c r="I1001" s="3">
        <f>IFERROR(IF(TS_ATHLETES[[#This Row],[TOTAL]]=0,"",RANK(TS_ATHLETES[[#This Row],[RANK VALUE]],TS_ATHLETES[RANK VALUE])+COUNTIF($H$1:H1000,H1001)),"")</f>
        <v>1574</v>
      </c>
    </row>
    <row r="1002" spans="1:9" x14ac:dyDescent="0.25">
      <c r="A1002" t="s">
        <v>1904</v>
      </c>
      <c r="B1002" s="3" t="s">
        <v>136</v>
      </c>
      <c r="C1002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1002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1002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1</v>
      </c>
      <c r="F1002" s="3">
        <f>SUM(TS_ATHLETES[[#This Row],[GOLD MEDALS]:[BRONZE MEDALS]])</f>
        <v>1</v>
      </c>
      <c r="G1002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10000010</v>
      </c>
      <c r="H1002" s="3">
        <f>IF(TS_ATHLETES[[#This Row],[TOTAL]]=0,"",RANK(TS_ATHLETES[[#This Row],[RANK VALUE]],TS_ATHLETES[RANK VALUE]))</f>
        <v>1224</v>
      </c>
      <c r="I1002" s="3">
        <f>IFERROR(IF(TS_ATHLETES[[#This Row],[TOTAL]]=0,"",RANK(TS_ATHLETES[[#This Row],[RANK VALUE]],TS_ATHLETES[RANK VALUE])+COUNTIF($H$1:H1001,H1002)),"")</f>
        <v>1575</v>
      </c>
    </row>
    <row r="1003" spans="1:9" x14ac:dyDescent="0.25">
      <c r="A1003" t="s">
        <v>1905</v>
      </c>
      <c r="B1003" s="3" t="s">
        <v>287</v>
      </c>
      <c r="C1003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1</v>
      </c>
      <c r="D1003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1003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1003" s="3">
        <f>SUM(TS_ATHLETES[[#This Row],[GOLD MEDALS]:[BRONZE MEDALS]])</f>
        <v>1</v>
      </c>
      <c r="G1003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10100000</v>
      </c>
      <c r="H1003" s="3">
        <f>IF(TS_ATHLETES[[#This Row],[TOTAL]]=0,"",RANK(TS_ATHLETES[[#This Row],[RANK VALUE]],TS_ATHLETES[RANK VALUE]))</f>
        <v>129</v>
      </c>
      <c r="I1003" s="3">
        <f>IFERROR(IF(TS_ATHLETES[[#This Row],[TOTAL]]=0,"",RANK(TS_ATHLETES[[#This Row],[RANK VALUE]],TS_ATHLETES[RANK VALUE])+COUNTIF($H$1:H1002,H1003)),"")</f>
        <v>382</v>
      </c>
    </row>
    <row r="1004" spans="1:9" x14ac:dyDescent="0.25">
      <c r="A1004" t="s">
        <v>1906</v>
      </c>
      <c r="B1004" s="3" t="s">
        <v>287</v>
      </c>
      <c r="C1004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1</v>
      </c>
      <c r="D1004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1004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1004" s="3">
        <f>SUM(TS_ATHLETES[[#This Row],[GOLD MEDALS]:[BRONZE MEDALS]])</f>
        <v>1</v>
      </c>
      <c r="G1004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10100000</v>
      </c>
      <c r="H1004" s="3">
        <f>IF(TS_ATHLETES[[#This Row],[TOTAL]]=0,"",RANK(TS_ATHLETES[[#This Row],[RANK VALUE]],TS_ATHLETES[RANK VALUE]))</f>
        <v>129</v>
      </c>
      <c r="I1004" s="3">
        <f>IFERROR(IF(TS_ATHLETES[[#This Row],[TOTAL]]=0,"",RANK(TS_ATHLETES[[#This Row],[RANK VALUE]],TS_ATHLETES[RANK VALUE])+COUNTIF($H$1:H1003,H1004)),"")</f>
        <v>383</v>
      </c>
    </row>
    <row r="1005" spans="1:9" x14ac:dyDescent="0.25">
      <c r="A1005" t="s">
        <v>1907</v>
      </c>
      <c r="B1005" s="3" t="s">
        <v>128</v>
      </c>
      <c r="C1005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1005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1</v>
      </c>
      <c r="E1005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1005" s="3">
        <f>SUM(TS_ATHLETES[[#This Row],[GOLD MEDALS]:[BRONZE MEDALS]])</f>
        <v>1</v>
      </c>
      <c r="G1005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10000100</v>
      </c>
      <c r="H1005" s="3">
        <f>IF(TS_ATHLETES[[#This Row],[TOTAL]]=0,"",RANK(TS_ATHLETES[[#This Row],[RANK VALUE]],TS_ATHLETES[RANK VALUE]))</f>
        <v>660</v>
      </c>
      <c r="I1005" s="3">
        <f>IFERROR(IF(TS_ATHLETES[[#This Row],[TOTAL]]=0,"",RANK(TS_ATHLETES[[#This Row],[RANK VALUE]],TS_ATHLETES[RANK VALUE])+COUNTIF($H$1:H1004,H1005)),"")</f>
        <v>942</v>
      </c>
    </row>
    <row r="1006" spans="1:9" x14ac:dyDescent="0.25">
      <c r="A1006" t="s">
        <v>1908</v>
      </c>
      <c r="B1006" s="3" t="s">
        <v>128</v>
      </c>
      <c r="C1006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1006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1</v>
      </c>
      <c r="E1006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1006" s="3">
        <f>SUM(TS_ATHLETES[[#This Row],[GOLD MEDALS]:[BRONZE MEDALS]])</f>
        <v>1</v>
      </c>
      <c r="G1006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10000100</v>
      </c>
      <c r="H1006" s="3">
        <f>IF(TS_ATHLETES[[#This Row],[TOTAL]]=0,"",RANK(TS_ATHLETES[[#This Row],[RANK VALUE]],TS_ATHLETES[RANK VALUE]))</f>
        <v>660</v>
      </c>
      <c r="I1006" s="3">
        <f>IFERROR(IF(TS_ATHLETES[[#This Row],[TOTAL]]=0,"",RANK(TS_ATHLETES[[#This Row],[RANK VALUE]],TS_ATHLETES[RANK VALUE])+COUNTIF($H$1:H1005,H1006)),"")</f>
        <v>943</v>
      </c>
    </row>
    <row r="1007" spans="1:9" x14ac:dyDescent="0.25">
      <c r="A1007" t="s">
        <v>1909</v>
      </c>
      <c r="B1007" s="3" t="s">
        <v>128</v>
      </c>
      <c r="C1007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1007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1</v>
      </c>
      <c r="E1007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1007" s="3">
        <f>SUM(TS_ATHLETES[[#This Row],[GOLD MEDALS]:[BRONZE MEDALS]])</f>
        <v>1</v>
      </c>
      <c r="G1007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10000100</v>
      </c>
      <c r="H1007" s="3">
        <f>IF(TS_ATHLETES[[#This Row],[TOTAL]]=0,"",RANK(TS_ATHLETES[[#This Row],[RANK VALUE]],TS_ATHLETES[RANK VALUE]))</f>
        <v>660</v>
      </c>
      <c r="I1007" s="3">
        <f>IFERROR(IF(TS_ATHLETES[[#This Row],[TOTAL]]=0,"",RANK(TS_ATHLETES[[#This Row],[RANK VALUE]],TS_ATHLETES[RANK VALUE])+COUNTIF($H$1:H1006,H1007)),"")</f>
        <v>944</v>
      </c>
    </row>
    <row r="1008" spans="1:9" x14ac:dyDescent="0.25">
      <c r="A1008" t="s">
        <v>1910</v>
      </c>
      <c r="B1008" s="3" t="s">
        <v>128</v>
      </c>
      <c r="C1008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1008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1</v>
      </c>
      <c r="E1008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1008" s="3">
        <f>SUM(TS_ATHLETES[[#This Row],[GOLD MEDALS]:[BRONZE MEDALS]])</f>
        <v>1</v>
      </c>
      <c r="G1008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10000100</v>
      </c>
      <c r="H1008" s="3">
        <f>IF(TS_ATHLETES[[#This Row],[TOTAL]]=0,"",RANK(TS_ATHLETES[[#This Row],[RANK VALUE]],TS_ATHLETES[RANK VALUE]))</f>
        <v>660</v>
      </c>
      <c r="I1008" s="3">
        <f>IFERROR(IF(TS_ATHLETES[[#This Row],[TOTAL]]=0,"",RANK(TS_ATHLETES[[#This Row],[RANK VALUE]],TS_ATHLETES[RANK VALUE])+COUNTIF($H$1:H1007,H1008)),"")</f>
        <v>945</v>
      </c>
    </row>
    <row r="1009" spans="1:9" x14ac:dyDescent="0.25">
      <c r="A1009" t="s">
        <v>1911</v>
      </c>
      <c r="B1009" s="3" t="s">
        <v>363</v>
      </c>
      <c r="C1009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1009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1009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1</v>
      </c>
      <c r="F1009" s="3">
        <f>SUM(TS_ATHLETES[[#This Row],[GOLD MEDALS]:[BRONZE MEDALS]])</f>
        <v>1</v>
      </c>
      <c r="G1009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10000010</v>
      </c>
      <c r="H1009" s="3">
        <f>IF(TS_ATHLETES[[#This Row],[TOTAL]]=0,"",RANK(TS_ATHLETES[[#This Row],[RANK VALUE]],TS_ATHLETES[RANK VALUE]))</f>
        <v>1224</v>
      </c>
      <c r="I1009" s="3">
        <f>IFERROR(IF(TS_ATHLETES[[#This Row],[TOTAL]]=0,"",RANK(TS_ATHLETES[[#This Row],[RANK VALUE]],TS_ATHLETES[RANK VALUE])+COUNTIF($H$1:H1008,H1009)),"")</f>
        <v>1576</v>
      </c>
    </row>
    <row r="1010" spans="1:9" x14ac:dyDescent="0.25">
      <c r="A1010" t="s">
        <v>1912</v>
      </c>
      <c r="B1010" s="3" t="s">
        <v>363</v>
      </c>
      <c r="C1010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1010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1010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1</v>
      </c>
      <c r="F1010" s="3">
        <f>SUM(TS_ATHLETES[[#This Row],[GOLD MEDALS]:[BRONZE MEDALS]])</f>
        <v>1</v>
      </c>
      <c r="G1010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10000010</v>
      </c>
      <c r="H1010" s="3">
        <f>IF(TS_ATHLETES[[#This Row],[TOTAL]]=0,"",RANK(TS_ATHLETES[[#This Row],[RANK VALUE]],TS_ATHLETES[RANK VALUE]))</f>
        <v>1224</v>
      </c>
      <c r="I1010" s="3">
        <f>IFERROR(IF(TS_ATHLETES[[#This Row],[TOTAL]]=0,"",RANK(TS_ATHLETES[[#This Row],[RANK VALUE]],TS_ATHLETES[RANK VALUE])+COUNTIF($H$1:H1009,H1010)),"")</f>
        <v>1577</v>
      </c>
    </row>
    <row r="1011" spans="1:9" x14ac:dyDescent="0.25">
      <c r="A1011" t="s">
        <v>1913</v>
      </c>
      <c r="B1011" s="3" t="s">
        <v>363</v>
      </c>
      <c r="C1011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1011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1011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1</v>
      </c>
      <c r="F1011" s="3">
        <f>SUM(TS_ATHLETES[[#This Row],[GOLD MEDALS]:[BRONZE MEDALS]])</f>
        <v>1</v>
      </c>
      <c r="G1011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10000010</v>
      </c>
      <c r="H1011" s="3">
        <f>IF(TS_ATHLETES[[#This Row],[TOTAL]]=0,"",RANK(TS_ATHLETES[[#This Row],[RANK VALUE]],TS_ATHLETES[RANK VALUE]))</f>
        <v>1224</v>
      </c>
      <c r="I1011" s="3">
        <f>IFERROR(IF(TS_ATHLETES[[#This Row],[TOTAL]]=0,"",RANK(TS_ATHLETES[[#This Row],[RANK VALUE]],TS_ATHLETES[RANK VALUE])+COUNTIF($H$1:H1010,H1011)),"")</f>
        <v>1578</v>
      </c>
    </row>
    <row r="1012" spans="1:9" x14ac:dyDescent="0.25">
      <c r="A1012" t="s">
        <v>1914</v>
      </c>
      <c r="B1012" s="3" t="s">
        <v>128</v>
      </c>
      <c r="C1012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1</v>
      </c>
      <c r="D1012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1012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1012" s="3">
        <f>SUM(TS_ATHLETES[[#This Row],[GOLD MEDALS]:[BRONZE MEDALS]])</f>
        <v>1</v>
      </c>
      <c r="G1012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10100000</v>
      </c>
      <c r="H1012" s="3">
        <f>IF(TS_ATHLETES[[#This Row],[TOTAL]]=0,"",RANK(TS_ATHLETES[[#This Row],[RANK VALUE]],TS_ATHLETES[RANK VALUE]))</f>
        <v>129</v>
      </c>
      <c r="I1012" s="3">
        <f>IFERROR(IF(TS_ATHLETES[[#This Row],[TOTAL]]=0,"",RANK(TS_ATHLETES[[#This Row],[RANK VALUE]],TS_ATHLETES[RANK VALUE])+COUNTIF($H$1:H1011,H1012)),"")</f>
        <v>384</v>
      </c>
    </row>
    <row r="1013" spans="1:9" x14ac:dyDescent="0.25">
      <c r="A1013" t="s">
        <v>1915</v>
      </c>
      <c r="B1013" s="3" t="s">
        <v>128</v>
      </c>
      <c r="C1013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1</v>
      </c>
      <c r="D1013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1013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1013" s="3">
        <f>SUM(TS_ATHLETES[[#This Row],[GOLD MEDALS]:[BRONZE MEDALS]])</f>
        <v>1</v>
      </c>
      <c r="G1013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10100000</v>
      </c>
      <c r="H1013" s="3">
        <f>IF(TS_ATHLETES[[#This Row],[TOTAL]]=0,"",RANK(TS_ATHLETES[[#This Row],[RANK VALUE]],TS_ATHLETES[RANK VALUE]))</f>
        <v>129</v>
      </c>
      <c r="I1013" s="3">
        <f>IFERROR(IF(TS_ATHLETES[[#This Row],[TOTAL]]=0,"",RANK(TS_ATHLETES[[#This Row],[RANK VALUE]],TS_ATHLETES[RANK VALUE])+COUNTIF($H$1:H1012,H1013)),"")</f>
        <v>385</v>
      </c>
    </row>
    <row r="1014" spans="1:9" x14ac:dyDescent="0.25">
      <c r="A1014" t="s">
        <v>1916</v>
      </c>
      <c r="B1014" s="3" t="s">
        <v>128</v>
      </c>
      <c r="C1014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1</v>
      </c>
      <c r="D1014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1014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1014" s="3">
        <f>SUM(TS_ATHLETES[[#This Row],[GOLD MEDALS]:[BRONZE MEDALS]])</f>
        <v>1</v>
      </c>
      <c r="G1014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10100000</v>
      </c>
      <c r="H1014" s="3">
        <f>IF(TS_ATHLETES[[#This Row],[TOTAL]]=0,"",RANK(TS_ATHLETES[[#This Row],[RANK VALUE]],TS_ATHLETES[RANK VALUE]))</f>
        <v>129</v>
      </c>
      <c r="I1014" s="3">
        <f>IFERROR(IF(TS_ATHLETES[[#This Row],[TOTAL]]=0,"",RANK(TS_ATHLETES[[#This Row],[RANK VALUE]],TS_ATHLETES[RANK VALUE])+COUNTIF($H$1:H1013,H1014)),"")</f>
        <v>386</v>
      </c>
    </row>
    <row r="1015" spans="1:9" x14ac:dyDescent="0.25">
      <c r="A1015" t="s">
        <v>1917</v>
      </c>
      <c r="B1015" s="3" t="s">
        <v>175</v>
      </c>
      <c r="C1015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1015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1</v>
      </c>
      <c r="E1015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1015" s="3">
        <f>SUM(TS_ATHLETES[[#This Row],[GOLD MEDALS]:[BRONZE MEDALS]])</f>
        <v>1</v>
      </c>
      <c r="G1015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10000100</v>
      </c>
      <c r="H1015" s="3">
        <f>IF(TS_ATHLETES[[#This Row],[TOTAL]]=0,"",RANK(TS_ATHLETES[[#This Row],[RANK VALUE]],TS_ATHLETES[RANK VALUE]))</f>
        <v>660</v>
      </c>
      <c r="I1015" s="3">
        <f>IFERROR(IF(TS_ATHLETES[[#This Row],[TOTAL]]=0,"",RANK(TS_ATHLETES[[#This Row],[RANK VALUE]],TS_ATHLETES[RANK VALUE])+COUNTIF($H$1:H1014,H1015)),"")</f>
        <v>946</v>
      </c>
    </row>
    <row r="1016" spans="1:9" x14ac:dyDescent="0.25">
      <c r="A1016" t="s">
        <v>1918</v>
      </c>
      <c r="B1016" s="3" t="s">
        <v>175</v>
      </c>
      <c r="C1016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1016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1</v>
      </c>
      <c r="E1016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1016" s="3">
        <f>SUM(TS_ATHLETES[[#This Row],[GOLD MEDALS]:[BRONZE MEDALS]])</f>
        <v>1</v>
      </c>
      <c r="G1016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10000100</v>
      </c>
      <c r="H1016" s="3">
        <f>IF(TS_ATHLETES[[#This Row],[TOTAL]]=0,"",RANK(TS_ATHLETES[[#This Row],[RANK VALUE]],TS_ATHLETES[RANK VALUE]))</f>
        <v>660</v>
      </c>
      <c r="I1016" s="3">
        <f>IFERROR(IF(TS_ATHLETES[[#This Row],[TOTAL]]=0,"",RANK(TS_ATHLETES[[#This Row],[RANK VALUE]],TS_ATHLETES[RANK VALUE])+COUNTIF($H$1:H1015,H1016)),"")</f>
        <v>947</v>
      </c>
    </row>
    <row r="1017" spans="1:9" x14ac:dyDescent="0.25">
      <c r="A1017" t="s">
        <v>1919</v>
      </c>
      <c r="B1017" s="3" t="s">
        <v>175</v>
      </c>
      <c r="C1017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1017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1</v>
      </c>
      <c r="E1017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1017" s="3">
        <f>SUM(TS_ATHLETES[[#This Row],[GOLD MEDALS]:[BRONZE MEDALS]])</f>
        <v>1</v>
      </c>
      <c r="G1017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10000100</v>
      </c>
      <c r="H1017" s="3">
        <f>IF(TS_ATHLETES[[#This Row],[TOTAL]]=0,"",RANK(TS_ATHLETES[[#This Row],[RANK VALUE]],TS_ATHLETES[RANK VALUE]))</f>
        <v>660</v>
      </c>
      <c r="I1017" s="3">
        <f>IFERROR(IF(TS_ATHLETES[[#This Row],[TOTAL]]=0,"",RANK(TS_ATHLETES[[#This Row],[RANK VALUE]],TS_ATHLETES[RANK VALUE])+COUNTIF($H$1:H1016,H1017)),"")</f>
        <v>948</v>
      </c>
    </row>
    <row r="1018" spans="1:9" x14ac:dyDescent="0.25">
      <c r="A1018" t="s">
        <v>1920</v>
      </c>
      <c r="B1018" s="3" t="s">
        <v>175</v>
      </c>
      <c r="C1018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1018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1</v>
      </c>
      <c r="E1018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1018" s="3">
        <f>SUM(TS_ATHLETES[[#This Row],[GOLD MEDALS]:[BRONZE MEDALS]])</f>
        <v>1</v>
      </c>
      <c r="G1018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10000100</v>
      </c>
      <c r="H1018" s="3">
        <f>IF(TS_ATHLETES[[#This Row],[TOTAL]]=0,"",RANK(TS_ATHLETES[[#This Row],[RANK VALUE]],TS_ATHLETES[RANK VALUE]))</f>
        <v>660</v>
      </c>
      <c r="I1018" s="3">
        <f>IFERROR(IF(TS_ATHLETES[[#This Row],[TOTAL]]=0,"",RANK(TS_ATHLETES[[#This Row],[RANK VALUE]],TS_ATHLETES[RANK VALUE])+COUNTIF($H$1:H1017,H1018)),"")</f>
        <v>949</v>
      </c>
    </row>
    <row r="1019" spans="1:9" x14ac:dyDescent="0.25">
      <c r="A1019" t="s">
        <v>1921</v>
      </c>
      <c r="B1019" s="3" t="s">
        <v>159</v>
      </c>
      <c r="C1019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1019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1019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1</v>
      </c>
      <c r="F1019" s="3">
        <f>SUM(TS_ATHLETES[[#This Row],[GOLD MEDALS]:[BRONZE MEDALS]])</f>
        <v>1</v>
      </c>
      <c r="G1019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10000010</v>
      </c>
      <c r="H1019" s="3">
        <f>IF(TS_ATHLETES[[#This Row],[TOTAL]]=0,"",RANK(TS_ATHLETES[[#This Row],[RANK VALUE]],TS_ATHLETES[RANK VALUE]))</f>
        <v>1224</v>
      </c>
      <c r="I1019" s="3">
        <f>IFERROR(IF(TS_ATHLETES[[#This Row],[TOTAL]]=0,"",RANK(TS_ATHLETES[[#This Row],[RANK VALUE]],TS_ATHLETES[RANK VALUE])+COUNTIF($H$1:H1018,H1019)),"")</f>
        <v>1579</v>
      </c>
    </row>
    <row r="1020" spans="1:9" x14ac:dyDescent="0.25">
      <c r="A1020" t="s">
        <v>1922</v>
      </c>
      <c r="B1020" s="3" t="s">
        <v>159</v>
      </c>
      <c r="C1020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1020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1020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1</v>
      </c>
      <c r="F1020" s="3">
        <f>SUM(TS_ATHLETES[[#This Row],[GOLD MEDALS]:[BRONZE MEDALS]])</f>
        <v>1</v>
      </c>
      <c r="G1020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10000010</v>
      </c>
      <c r="H1020" s="3">
        <f>IF(TS_ATHLETES[[#This Row],[TOTAL]]=0,"",RANK(TS_ATHLETES[[#This Row],[RANK VALUE]],TS_ATHLETES[RANK VALUE]))</f>
        <v>1224</v>
      </c>
      <c r="I1020" s="3">
        <f>IFERROR(IF(TS_ATHLETES[[#This Row],[TOTAL]]=0,"",RANK(TS_ATHLETES[[#This Row],[RANK VALUE]],TS_ATHLETES[RANK VALUE])+COUNTIF($H$1:H1019,H1020)),"")</f>
        <v>1580</v>
      </c>
    </row>
    <row r="1021" spans="1:9" x14ac:dyDescent="0.25">
      <c r="A1021" t="s">
        <v>1923</v>
      </c>
      <c r="B1021" s="3" t="s">
        <v>159</v>
      </c>
      <c r="C1021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1021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1021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1</v>
      </c>
      <c r="F1021" s="3">
        <f>SUM(TS_ATHLETES[[#This Row],[GOLD MEDALS]:[BRONZE MEDALS]])</f>
        <v>1</v>
      </c>
      <c r="G1021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10000010</v>
      </c>
      <c r="H1021" s="3">
        <f>IF(TS_ATHLETES[[#This Row],[TOTAL]]=0,"",RANK(TS_ATHLETES[[#This Row],[RANK VALUE]],TS_ATHLETES[RANK VALUE]))</f>
        <v>1224</v>
      </c>
      <c r="I1021" s="3">
        <f>IFERROR(IF(TS_ATHLETES[[#This Row],[TOTAL]]=0,"",RANK(TS_ATHLETES[[#This Row],[RANK VALUE]],TS_ATHLETES[RANK VALUE])+COUNTIF($H$1:H1020,H1021)),"")</f>
        <v>1581</v>
      </c>
    </row>
    <row r="1022" spans="1:9" x14ac:dyDescent="0.25">
      <c r="A1022" t="s">
        <v>1924</v>
      </c>
      <c r="B1022" s="3" t="s">
        <v>641</v>
      </c>
      <c r="C1022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1</v>
      </c>
      <c r="D1022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1022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1022" s="3">
        <f>SUM(TS_ATHLETES[[#This Row],[GOLD MEDALS]:[BRONZE MEDALS]])</f>
        <v>1</v>
      </c>
      <c r="G1022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10100000</v>
      </c>
      <c r="H1022" s="3">
        <f>IF(TS_ATHLETES[[#This Row],[TOTAL]]=0,"",RANK(TS_ATHLETES[[#This Row],[RANK VALUE]],TS_ATHLETES[RANK VALUE]))</f>
        <v>129</v>
      </c>
      <c r="I1022" s="3">
        <f>IFERROR(IF(TS_ATHLETES[[#This Row],[TOTAL]]=0,"",RANK(TS_ATHLETES[[#This Row],[RANK VALUE]],TS_ATHLETES[RANK VALUE])+COUNTIF($H$1:H1021,H1022)),"")</f>
        <v>387</v>
      </c>
    </row>
    <row r="1023" spans="1:9" x14ac:dyDescent="0.25">
      <c r="A1023" t="s">
        <v>1925</v>
      </c>
      <c r="B1023" s="3" t="s">
        <v>641</v>
      </c>
      <c r="C1023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1</v>
      </c>
      <c r="D1023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1023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1023" s="3">
        <f>SUM(TS_ATHLETES[[#This Row],[GOLD MEDALS]:[BRONZE MEDALS]])</f>
        <v>1</v>
      </c>
      <c r="G1023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10100000</v>
      </c>
      <c r="H1023" s="3">
        <f>IF(TS_ATHLETES[[#This Row],[TOTAL]]=0,"",RANK(TS_ATHLETES[[#This Row],[RANK VALUE]],TS_ATHLETES[RANK VALUE]))</f>
        <v>129</v>
      </c>
      <c r="I1023" s="3">
        <f>IFERROR(IF(TS_ATHLETES[[#This Row],[TOTAL]]=0,"",RANK(TS_ATHLETES[[#This Row],[RANK VALUE]],TS_ATHLETES[RANK VALUE])+COUNTIF($H$1:H1022,H1023)),"")</f>
        <v>388</v>
      </c>
    </row>
    <row r="1024" spans="1:9" x14ac:dyDescent="0.25">
      <c r="A1024" t="s">
        <v>1926</v>
      </c>
      <c r="B1024" s="3" t="s">
        <v>641</v>
      </c>
      <c r="C1024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1</v>
      </c>
      <c r="D1024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1024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1024" s="3">
        <f>SUM(TS_ATHLETES[[#This Row],[GOLD MEDALS]:[BRONZE MEDALS]])</f>
        <v>1</v>
      </c>
      <c r="G1024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10100000</v>
      </c>
      <c r="H1024" s="3">
        <f>IF(TS_ATHLETES[[#This Row],[TOTAL]]=0,"",RANK(TS_ATHLETES[[#This Row],[RANK VALUE]],TS_ATHLETES[RANK VALUE]))</f>
        <v>129</v>
      </c>
      <c r="I1024" s="3">
        <f>IFERROR(IF(TS_ATHLETES[[#This Row],[TOTAL]]=0,"",RANK(TS_ATHLETES[[#This Row],[RANK VALUE]],TS_ATHLETES[RANK VALUE])+COUNTIF($H$1:H1023,H1024)),"")</f>
        <v>389</v>
      </c>
    </row>
    <row r="1025" spans="1:9" x14ac:dyDescent="0.25">
      <c r="A1025" t="s">
        <v>1927</v>
      </c>
      <c r="B1025" s="3" t="s">
        <v>641</v>
      </c>
      <c r="C1025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1</v>
      </c>
      <c r="D1025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1025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1025" s="3">
        <f>SUM(TS_ATHLETES[[#This Row],[GOLD MEDALS]:[BRONZE MEDALS]])</f>
        <v>1</v>
      </c>
      <c r="G1025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10100000</v>
      </c>
      <c r="H1025" s="3">
        <f>IF(TS_ATHLETES[[#This Row],[TOTAL]]=0,"",RANK(TS_ATHLETES[[#This Row],[RANK VALUE]],TS_ATHLETES[RANK VALUE]))</f>
        <v>129</v>
      </c>
      <c r="I1025" s="3">
        <f>IFERROR(IF(TS_ATHLETES[[#This Row],[TOTAL]]=0,"",RANK(TS_ATHLETES[[#This Row],[RANK VALUE]],TS_ATHLETES[RANK VALUE])+COUNTIF($H$1:H1024,H1025)),"")</f>
        <v>390</v>
      </c>
    </row>
    <row r="1026" spans="1:9" x14ac:dyDescent="0.25">
      <c r="A1026" t="s">
        <v>1928</v>
      </c>
      <c r="B1026" s="3" t="s">
        <v>77</v>
      </c>
      <c r="C1026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1026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1</v>
      </c>
      <c r="E1026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1026" s="3">
        <f>SUM(TS_ATHLETES[[#This Row],[GOLD MEDALS]:[BRONZE MEDALS]])</f>
        <v>1</v>
      </c>
      <c r="G1026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10000100</v>
      </c>
      <c r="H1026" s="3">
        <f>IF(TS_ATHLETES[[#This Row],[TOTAL]]=0,"",RANK(TS_ATHLETES[[#This Row],[RANK VALUE]],TS_ATHLETES[RANK VALUE]))</f>
        <v>660</v>
      </c>
      <c r="I1026" s="3">
        <f>IFERROR(IF(TS_ATHLETES[[#This Row],[TOTAL]]=0,"",RANK(TS_ATHLETES[[#This Row],[RANK VALUE]],TS_ATHLETES[RANK VALUE])+COUNTIF($H$1:H1025,H1026)),"")</f>
        <v>950</v>
      </c>
    </row>
    <row r="1027" spans="1:9" x14ac:dyDescent="0.25">
      <c r="A1027" t="s">
        <v>1929</v>
      </c>
      <c r="B1027" s="3" t="s">
        <v>77</v>
      </c>
      <c r="C1027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1027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1</v>
      </c>
      <c r="E1027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1027" s="3">
        <f>SUM(TS_ATHLETES[[#This Row],[GOLD MEDALS]:[BRONZE MEDALS]])</f>
        <v>1</v>
      </c>
      <c r="G1027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10000100</v>
      </c>
      <c r="H1027" s="3">
        <f>IF(TS_ATHLETES[[#This Row],[TOTAL]]=0,"",RANK(TS_ATHLETES[[#This Row],[RANK VALUE]],TS_ATHLETES[RANK VALUE]))</f>
        <v>660</v>
      </c>
      <c r="I1027" s="3">
        <f>IFERROR(IF(TS_ATHLETES[[#This Row],[TOTAL]]=0,"",RANK(TS_ATHLETES[[#This Row],[RANK VALUE]],TS_ATHLETES[RANK VALUE])+COUNTIF($H$1:H1026,H1027)),"")</f>
        <v>951</v>
      </c>
    </row>
    <row r="1028" spans="1:9" x14ac:dyDescent="0.25">
      <c r="A1028" t="s">
        <v>1930</v>
      </c>
      <c r="B1028" s="3" t="s">
        <v>77</v>
      </c>
      <c r="C1028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1028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1</v>
      </c>
      <c r="E1028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1028" s="3">
        <f>SUM(TS_ATHLETES[[#This Row],[GOLD MEDALS]:[BRONZE MEDALS]])</f>
        <v>1</v>
      </c>
      <c r="G1028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10000100</v>
      </c>
      <c r="H1028" s="3">
        <f>IF(TS_ATHLETES[[#This Row],[TOTAL]]=0,"",RANK(TS_ATHLETES[[#This Row],[RANK VALUE]],TS_ATHLETES[RANK VALUE]))</f>
        <v>660</v>
      </c>
      <c r="I1028" s="3">
        <f>IFERROR(IF(TS_ATHLETES[[#This Row],[TOTAL]]=0,"",RANK(TS_ATHLETES[[#This Row],[RANK VALUE]],TS_ATHLETES[RANK VALUE])+COUNTIF($H$1:H1027,H1028)),"")</f>
        <v>952</v>
      </c>
    </row>
    <row r="1029" spans="1:9" x14ac:dyDescent="0.25">
      <c r="A1029" t="s">
        <v>1931</v>
      </c>
      <c r="B1029" s="3" t="s">
        <v>287</v>
      </c>
      <c r="C1029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1029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1029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1</v>
      </c>
      <c r="F1029" s="3">
        <f>SUM(TS_ATHLETES[[#This Row],[GOLD MEDALS]:[BRONZE MEDALS]])</f>
        <v>1</v>
      </c>
      <c r="G1029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10000010</v>
      </c>
      <c r="H1029" s="3">
        <f>IF(TS_ATHLETES[[#This Row],[TOTAL]]=0,"",RANK(TS_ATHLETES[[#This Row],[RANK VALUE]],TS_ATHLETES[RANK VALUE]))</f>
        <v>1224</v>
      </c>
      <c r="I1029" s="3">
        <f>IFERROR(IF(TS_ATHLETES[[#This Row],[TOTAL]]=0,"",RANK(TS_ATHLETES[[#This Row],[RANK VALUE]],TS_ATHLETES[RANK VALUE])+COUNTIF($H$1:H1028,H1029)),"")</f>
        <v>1582</v>
      </c>
    </row>
    <row r="1030" spans="1:9" x14ac:dyDescent="0.25">
      <c r="A1030" t="s">
        <v>1932</v>
      </c>
      <c r="B1030" s="3" t="s">
        <v>287</v>
      </c>
      <c r="C1030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1030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1030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1</v>
      </c>
      <c r="F1030" s="3">
        <f>SUM(TS_ATHLETES[[#This Row],[GOLD MEDALS]:[BRONZE MEDALS]])</f>
        <v>1</v>
      </c>
      <c r="G1030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10000010</v>
      </c>
      <c r="H1030" s="3">
        <f>IF(TS_ATHLETES[[#This Row],[TOTAL]]=0,"",RANK(TS_ATHLETES[[#This Row],[RANK VALUE]],TS_ATHLETES[RANK VALUE]))</f>
        <v>1224</v>
      </c>
      <c r="I1030" s="3">
        <f>IFERROR(IF(TS_ATHLETES[[#This Row],[TOTAL]]=0,"",RANK(TS_ATHLETES[[#This Row],[RANK VALUE]],TS_ATHLETES[RANK VALUE])+COUNTIF($H$1:H1029,H1030)),"")</f>
        <v>1583</v>
      </c>
    </row>
    <row r="1031" spans="1:9" x14ac:dyDescent="0.25">
      <c r="A1031" t="s">
        <v>1933</v>
      </c>
      <c r="B1031" s="3" t="s">
        <v>287</v>
      </c>
      <c r="C1031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1031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1031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1</v>
      </c>
      <c r="F1031" s="3">
        <f>SUM(TS_ATHLETES[[#This Row],[GOLD MEDALS]:[BRONZE MEDALS]])</f>
        <v>1</v>
      </c>
      <c r="G1031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10000010</v>
      </c>
      <c r="H1031" s="3">
        <f>IF(TS_ATHLETES[[#This Row],[TOTAL]]=0,"",RANK(TS_ATHLETES[[#This Row],[RANK VALUE]],TS_ATHLETES[RANK VALUE]))</f>
        <v>1224</v>
      </c>
      <c r="I1031" s="3">
        <f>IFERROR(IF(TS_ATHLETES[[#This Row],[TOTAL]]=0,"",RANK(TS_ATHLETES[[#This Row],[RANK VALUE]],TS_ATHLETES[RANK VALUE])+COUNTIF($H$1:H1030,H1031)),"")</f>
        <v>1584</v>
      </c>
    </row>
    <row r="1032" spans="1:9" x14ac:dyDescent="0.25">
      <c r="A1032" t="s">
        <v>1934</v>
      </c>
      <c r="B1032" s="3" t="s">
        <v>287</v>
      </c>
      <c r="C1032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1032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1032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1</v>
      </c>
      <c r="F1032" s="3">
        <f>SUM(TS_ATHLETES[[#This Row],[GOLD MEDALS]:[BRONZE MEDALS]])</f>
        <v>1</v>
      </c>
      <c r="G1032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10000010</v>
      </c>
      <c r="H1032" s="3">
        <f>IF(TS_ATHLETES[[#This Row],[TOTAL]]=0,"",RANK(TS_ATHLETES[[#This Row],[RANK VALUE]],TS_ATHLETES[RANK VALUE]))</f>
        <v>1224</v>
      </c>
      <c r="I1032" s="3">
        <f>IFERROR(IF(TS_ATHLETES[[#This Row],[TOTAL]]=0,"",RANK(TS_ATHLETES[[#This Row],[RANK VALUE]],TS_ATHLETES[RANK VALUE])+COUNTIF($H$1:H1031,H1032)),"")</f>
        <v>1585</v>
      </c>
    </row>
    <row r="1033" spans="1:9" x14ac:dyDescent="0.25">
      <c r="A1033" t="s">
        <v>1935</v>
      </c>
      <c r="B1033" s="3" t="s">
        <v>287</v>
      </c>
      <c r="C1033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1</v>
      </c>
      <c r="D1033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1033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1033" s="3">
        <f>SUM(TS_ATHLETES[[#This Row],[GOLD MEDALS]:[BRONZE MEDALS]])</f>
        <v>1</v>
      </c>
      <c r="G1033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10100000</v>
      </c>
      <c r="H1033" s="3">
        <f>IF(TS_ATHLETES[[#This Row],[TOTAL]]=0,"",RANK(TS_ATHLETES[[#This Row],[RANK VALUE]],TS_ATHLETES[RANK VALUE]))</f>
        <v>129</v>
      </c>
      <c r="I1033" s="3">
        <f>IFERROR(IF(TS_ATHLETES[[#This Row],[TOTAL]]=0,"",RANK(TS_ATHLETES[[#This Row],[RANK VALUE]],TS_ATHLETES[RANK VALUE])+COUNTIF($H$1:H1032,H1033)),"")</f>
        <v>391</v>
      </c>
    </row>
    <row r="1034" spans="1:9" x14ac:dyDescent="0.25">
      <c r="A1034" t="s">
        <v>1936</v>
      </c>
      <c r="B1034" s="3" t="s">
        <v>287</v>
      </c>
      <c r="C1034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1</v>
      </c>
      <c r="D1034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1034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1034" s="3">
        <f>SUM(TS_ATHLETES[[#This Row],[GOLD MEDALS]:[BRONZE MEDALS]])</f>
        <v>1</v>
      </c>
      <c r="G1034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10100000</v>
      </c>
      <c r="H1034" s="3">
        <f>IF(TS_ATHLETES[[#This Row],[TOTAL]]=0,"",RANK(TS_ATHLETES[[#This Row],[RANK VALUE]],TS_ATHLETES[RANK VALUE]))</f>
        <v>129</v>
      </c>
      <c r="I1034" s="3">
        <f>IFERROR(IF(TS_ATHLETES[[#This Row],[TOTAL]]=0,"",RANK(TS_ATHLETES[[#This Row],[RANK VALUE]],TS_ATHLETES[RANK VALUE])+COUNTIF($H$1:H1033,H1034)),"")</f>
        <v>392</v>
      </c>
    </row>
    <row r="1035" spans="1:9" x14ac:dyDescent="0.25">
      <c r="A1035" t="s">
        <v>1937</v>
      </c>
      <c r="B1035" s="3" t="s">
        <v>358</v>
      </c>
      <c r="C1035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1035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1</v>
      </c>
      <c r="E1035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1035" s="3">
        <f>SUM(TS_ATHLETES[[#This Row],[GOLD MEDALS]:[BRONZE MEDALS]])</f>
        <v>1</v>
      </c>
      <c r="G1035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10000100</v>
      </c>
      <c r="H1035" s="3">
        <f>IF(TS_ATHLETES[[#This Row],[TOTAL]]=0,"",RANK(TS_ATHLETES[[#This Row],[RANK VALUE]],TS_ATHLETES[RANK VALUE]))</f>
        <v>660</v>
      </c>
      <c r="I1035" s="3">
        <f>IFERROR(IF(TS_ATHLETES[[#This Row],[TOTAL]]=0,"",RANK(TS_ATHLETES[[#This Row],[RANK VALUE]],TS_ATHLETES[RANK VALUE])+COUNTIF($H$1:H1034,H1035)),"")</f>
        <v>953</v>
      </c>
    </row>
    <row r="1036" spans="1:9" x14ac:dyDescent="0.25">
      <c r="A1036" t="s">
        <v>1938</v>
      </c>
      <c r="B1036" s="3" t="s">
        <v>358</v>
      </c>
      <c r="C1036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1036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1</v>
      </c>
      <c r="E1036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1036" s="3">
        <f>SUM(TS_ATHLETES[[#This Row],[GOLD MEDALS]:[BRONZE MEDALS]])</f>
        <v>1</v>
      </c>
      <c r="G1036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10000100</v>
      </c>
      <c r="H1036" s="3">
        <f>IF(TS_ATHLETES[[#This Row],[TOTAL]]=0,"",RANK(TS_ATHLETES[[#This Row],[RANK VALUE]],TS_ATHLETES[RANK VALUE]))</f>
        <v>660</v>
      </c>
      <c r="I1036" s="3">
        <f>IFERROR(IF(TS_ATHLETES[[#This Row],[TOTAL]]=0,"",RANK(TS_ATHLETES[[#This Row],[RANK VALUE]],TS_ATHLETES[RANK VALUE])+COUNTIF($H$1:H1035,H1036)),"")</f>
        <v>954</v>
      </c>
    </row>
    <row r="1037" spans="1:9" x14ac:dyDescent="0.25">
      <c r="A1037" t="s">
        <v>1939</v>
      </c>
      <c r="B1037" s="3" t="s">
        <v>358</v>
      </c>
      <c r="C1037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1037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1</v>
      </c>
      <c r="E1037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1037" s="3">
        <f>SUM(TS_ATHLETES[[#This Row],[GOLD MEDALS]:[BRONZE MEDALS]])</f>
        <v>1</v>
      </c>
      <c r="G1037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10000100</v>
      </c>
      <c r="H1037" s="3">
        <f>IF(TS_ATHLETES[[#This Row],[TOTAL]]=0,"",RANK(TS_ATHLETES[[#This Row],[RANK VALUE]],TS_ATHLETES[RANK VALUE]))</f>
        <v>660</v>
      </c>
      <c r="I1037" s="3">
        <f>IFERROR(IF(TS_ATHLETES[[#This Row],[TOTAL]]=0,"",RANK(TS_ATHLETES[[#This Row],[RANK VALUE]],TS_ATHLETES[RANK VALUE])+COUNTIF($H$1:H1036,H1037)),"")</f>
        <v>955</v>
      </c>
    </row>
    <row r="1038" spans="1:9" x14ac:dyDescent="0.25">
      <c r="A1038" t="s">
        <v>1940</v>
      </c>
      <c r="B1038" s="3" t="s">
        <v>363</v>
      </c>
      <c r="C1038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1038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1038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1</v>
      </c>
      <c r="F1038" s="3">
        <f>SUM(TS_ATHLETES[[#This Row],[GOLD MEDALS]:[BRONZE MEDALS]])</f>
        <v>1</v>
      </c>
      <c r="G1038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10000010</v>
      </c>
      <c r="H1038" s="3">
        <f>IF(TS_ATHLETES[[#This Row],[TOTAL]]=0,"",RANK(TS_ATHLETES[[#This Row],[RANK VALUE]],TS_ATHLETES[RANK VALUE]))</f>
        <v>1224</v>
      </c>
      <c r="I1038" s="3">
        <f>IFERROR(IF(TS_ATHLETES[[#This Row],[TOTAL]]=0,"",RANK(TS_ATHLETES[[#This Row],[RANK VALUE]],TS_ATHLETES[RANK VALUE])+COUNTIF($H$1:H1037,H1038)),"")</f>
        <v>1586</v>
      </c>
    </row>
    <row r="1039" spans="1:9" x14ac:dyDescent="0.25">
      <c r="A1039" t="s">
        <v>1941</v>
      </c>
      <c r="B1039" s="3" t="s">
        <v>363</v>
      </c>
      <c r="C1039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1039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1039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1</v>
      </c>
      <c r="F1039" s="3">
        <f>SUM(TS_ATHLETES[[#This Row],[GOLD MEDALS]:[BRONZE MEDALS]])</f>
        <v>1</v>
      </c>
      <c r="G1039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10000010</v>
      </c>
      <c r="H1039" s="3">
        <f>IF(TS_ATHLETES[[#This Row],[TOTAL]]=0,"",RANK(TS_ATHLETES[[#This Row],[RANK VALUE]],TS_ATHLETES[RANK VALUE]))</f>
        <v>1224</v>
      </c>
      <c r="I1039" s="3">
        <f>IFERROR(IF(TS_ATHLETES[[#This Row],[TOTAL]]=0,"",RANK(TS_ATHLETES[[#This Row],[RANK VALUE]],TS_ATHLETES[RANK VALUE])+COUNTIF($H$1:H1038,H1039)),"")</f>
        <v>1587</v>
      </c>
    </row>
    <row r="1040" spans="1:9" x14ac:dyDescent="0.25">
      <c r="A1040" t="s">
        <v>1942</v>
      </c>
      <c r="B1040" s="3" t="s">
        <v>363</v>
      </c>
      <c r="C1040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1040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1040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1</v>
      </c>
      <c r="F1040" s="3">
        <f>SUM(TS_ATHLETES[[#This Row],[GOLD MEDALS]:[BRONZE MEDALS]])</f>
        <v>1</v>
      </c>
      <c r="G1040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10000010</v>
      </c>
      <c r="H1040" s="3">
        <f>IF(TS_ATHLETES[[#This Row],[TOTAL]]=0,"",RANK(TS_ATHLETES[[#This Row],[RANK VALUE]],TS_ATHLETES[RANK VALUE]))</f>
        <v>1224</v>
      </c>
      <c r="I1040" s="3">
        <f>IFERROR(IF(TS_ATHLETES[[#This Row],[TOTAL]]=0,"",RANK(TS_ATHLETES[[#This Row],[RANK VALUE]],TS_ATHLETES[RANK VALUE])+COUNTIF($H$1:H1039,H1040)),"")</f>
        <v>1588</v>
      </c>
    </row>
    <row r="1041" spans="1:9" x14ac:dyDescent="0.25">
      <c r="A1041" t="s">
        <v>1943</v>
      </c>
      <c r="B1041" s="3" t="s">
        <v>363</v>
      </c>
      <c r="C1041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1041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1041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1</v>
      </c>
      <c r="F1041" s="3">
        <f>SUM(TS_ATHLETES[[#This Row],[GOLD MEDALS]:[BRONZE MEDALS]])</f>
        <v>1</v>
      </c>
      <c r="G1041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10000010</v>
      </c>
      <c r="H1041" s="3">
        <f>IF(TS_ATHLETES[[#This Row],[TOTAL]]=0,"",RANK(TS_ATHLETES[[#This Row],[RANK VALUE]],TS_ATHLETES[RANK VALUE]))</f>
        <v>1224</v>
      </c>
      <c r="I1041" s="3">
        <f>IFERROR(IF(TS_ATHLETES[[#This Row],[TOTAL]]=0,"",RANK(TS_ATHLETES[[#This Row],[RANK VALUE]],TS_ATHLETES[RANK VALUE])+COUNTIF($H$1:H1040,H1041)),"")</f>
        <v>1589</v>
      </c>
    </row>
    <row r="1042" spans="1:9" x14ac:dyDescent="0.25">
      <c r="A1042" t="s">
        <v>1944</v>
      </c>
      <c r="B1042" s="3" t="s">
        <v>51</v>
      </c>
      <c r="C1042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1</v>
      </c>
      <c r="D1042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1042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1042" s="3">
        <f>SUM(TS_ATHLETES[[#This Row],[GOLD MEDALS]:[BRONZE MEDALS]])</f>
        <v>1</v>
      </c>
      <c r="G1042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10100000</v>
      </c>
      <c r="H1042" s="3">
        <f>IF(TS_ATHLETES[[#This Row],[TOTAL]]=0,"",RANK(TS_ATHLETES[[#This Row],[RANK VALUE]],TS_ATHLETES[RANK VALUE]))</f>
        <v>129</v>
      </c>
      <c r="I1042" s="3">
        <f>IFERROR(IF(TS_ATHLETES[[#This Row],[TOTAL]]=0,"",RANK(TS_ATHLETES[[#This Row],[RANK VALUE]],TS_ATHLETES[RANK VALUE])+COUNTIF($H$1:H1041,H1042)),"")</f>
        <v>393</v>
      </c>
    </row>
    <row r="1043" spans="1:9" x14ac:dyDescent="0.25">
      <c r="A1043" t="s">
        <v>1945</v>
      </c>
      <c r="B1043" s="3" t="s">
        <v>51</v>
      </c>
      <c r="C1043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1</v>
      </c>
      <c r="D1043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1043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1043" s="3">
        <f>SUM(TS_ATHLETES[[#This Row],[GOLD MEDALS]:[BRONZE MEDALS]])</f>
        <v>1</v>
      </c>
      <c r="G1043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10100000</v>
      </c>
      <c r="H1043" s="3">
        <f>IF(TS_ATHLETES[[#This Row],[TOTAL]]=0,"",RANK(TS_ATHLETES[[#This Row],[RANK VALUE]],TS_ATHLETES[RANK VALUE]))</f>
        <v>129</v>
      </c>
      <c r="I1043" s="3">
        <f>IFERROR(IF(TS_ATHLETES[[#This Row],[TOTAL]]=0,"",RANK(TS_ATHLETES[[#This Row],[RANK VALUE]],TS_ATHLETES[RANK VALUE])+COUNTIF($H$1:H1042,H1043)),"")</f>
        <v>394</v>
      </c>
    </row>
    <row r="1044" spans="1:9" x14ac:dyDescent="0.25">
      <c r="A1044" t="s">
        <v>1946</v>
      </c>
      <c r="B1044" s="3" t="s">
        <v>51</v>
      </c>
      <c r="C1044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1</v>
      </c>
      <c r="D1044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1044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1044" s="3">
        <f>SUM(TS_ATHLETES[[#This Row],[GOLD MEDALS]:[BRONZE MEDALS]])</f>
        <v>1</v>
      </c>
      <c r="G1044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10100000</v>
      </c>
      <c r="H1044" s="3">
        <f>IF(TS_ATHLETES[[#This Row],[TOTAL]]=0,"",RANK(TS_ATHLETES[[#This Row],[RANK VALUE]],TS_ATHLETES[RANK VALUE]))</f>
        <v>129</v>
      </c>
      <c r="I1044" s="3">
        <f>IFERROR(IF(TS_ATHLETES[[#This Row],[TOTAL]]=0,"",RANK(TS_ATHLETES[[#This Row],[RANK VALUE]],TS_ATHLETES[RANK VALUE])+COUNTIF($H$1:H1043,H1044)),"")</f>
        <v>395</v>
      </c>
    </row>
    <row r="1045" spans="1:9" x14ac:dyDescent="0.25">
      <c r="A1045" t="s">
        <v>1947</v>
      </c>
      <c r="B1045" s="3" t="s">
        <v>51</v>
      </c>
      <c r="C1045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1</v>
      </c>
      <c r="D1045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1045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1045" s="3">
        <f>SUM(TS_ATHLETES[[#This Row],[GOLD MEDALS]:[BRONZE MEDALS]])</f>
        <v>1</v>
      </c>
      <c r="G1045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10100000</v>
      </c>
      <c r="H1045" s="3">
        <f>IF(TS_ATHLETES[[#This Row],[TOTAL]]=0,"",RANK(TS_ATHLETES[[#This Row],[RANK VALUE]],TS_ATHLETES[RANK VALUE]))</f>
        <v>129</v>
      </c>
      <c r="I1045" s="3">
        <f>IFERROR(IF(TS_ATHLETES[[#This Row],[TOTAL]]=0,"",RANK(TS_ATHLETES[[#This Row],[RANK VALUE]],TS_ATHLETES[RANK VALUE])+COUNTIF($H$1:H1044,H1045)),"")</f>
        <v>396</v>
      </c>
    </row>
    <row r="1046" spans="1:9" x14ac:dyDescent="0.25">
      <c r="A1046" t="s">
        <v>1948</v>
      </c>
      <c r="B1046" s="3" t="s">
        <v>51</v>
      </c>
      <c r="C1046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1</v>
      </c>
      <c r="D1046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1046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1046" s="3">
        <f>SUM(TS_ATHLETES[[#This Row],[GOLD MEDALS]:[BRONZE MEDALS]])</f>
        <v>1</v>
      </c>
      <c r="G1046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10100000</v>
      </c>
      <c r="H1046" s="3">
        <f>IF(TS_ATHLETES[[#This Row],[TOTAL]]=0,"",RANK(TS_ATHLETES[[#This Row],[RANK VALUE]],TS_ATHLETES[RANK VALUE]))</f>
        <v>129</v>
      </c>
      <c r="I1046" s="3">
        <f>IFERROR(IF(TS_ATHLETES[[#This Row],[TOTAL]]=0,"",RANK(TS_ATHLETES[[#This Row],[RANK VALUE]],TS_ATHLETES[RANK VALUE])+COUNTIF($H$1:H1045,H1046)),"")</f>
        <v>397</v>
      </c>
    </row>
    <row r="1047" spans="1:9" x14ac:dyDescent="0.25">
      <c r="A1047" t="s">
        <v>1949</v>
      </c>
      <c r="B1047" s="3" t="s">
        <v>51</v>
      </c>
      <c r="C1047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1</v>
      </c>
      <c r="D1047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1047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1047" s="3">
        <f>SUM(TS_ATHLETES[[#This Row],[GOLD MEDALS]:[BRONZE MEDALS]])</f>
        <v>1</v>
      </c>
      <c r="G1047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10100000</v>
      </c>
      <c r="H1047" s="3">
        <f>IF(TS_ATHLETES[[#This Row],[TOTAL]]=0,"",RANK(TS_ATHLETES[[#This Row],[RANK VALUE]],TS_ATHLETES[RANK VALUE]))</f>
        <v>129</v>
      </c>
      <c r="I1047" s="3">
        <f>IFERROR(IF(TS_ATHLETES[[#This Row],[TOTAL]]=0,"",RANK(TS_ATHLETES[[#This Row],[RANK VALUE]],TS_ATHLETES[RANK VALUE])+COUNTIF($H$1:H1046,H1047)),"")</f>
        <v>398</v>
      </c>
    </row>
    <row r="1048" spans="1:9" x14ac:dyDescent="0.25">
      <c r="A1048" t="s">
        <v>1950</v>
      </c>
      <c r="B1048" s="3" t="s">
        <v>51</v>
      </c>
      <c r="C1048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1</v>
      </c>
      <c r="D1048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1048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1048" s="3">
        <f>SUM(TS_ATHLETES[[#This Row],[GOLD MEDALS]:[BRONZE MEDALS]])</f>
        <v>1</v>
      </c>
      <c r="G1048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10100000</v>
      </c>
      <c r="H1048" s="3">
        <f>IF(TS_ATHLETES[[#This Row],[TOTAL]]=0,"",RANK(TS_ATHLETES[[#This Row],[RANK VALUE]],TS_ATHLETES[RANK VALUE]))</f>
        <v>129</v>
      </c>
      <c r="I1048" s="3">
        <f>IFERROR(IF(TS_ATHLETES[[#This Row],[TOTAL]]=0,"",RANK(TS_ATHLETES[[#This Row],[RANK VALUE]],TS_ATHLETES[RANK VALUE])+COUNTIF($H$1:H1047,H1048)),"")</f>
        <v>399</v>
      </c>
    </row>
    <row r="1049" spans="1:9" x14ac:dyDescent="0.25">
      <c r="A1049" t="s">
        <v>1951</v>
      </c>
      <c r="B1049" s="3" t="s">
        <v>51</v>
      </c>
      <c r="C1049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1</v>
      </c>
      <c r="D1049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1049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1049" s="3">
        <f>SUM(TS_ATHLETES[[#This Row],[GOLD MEDALS]:[BRONZE MEDALS]])</f>
        <v>1</v>
      </c>
      <c r="G1049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10100000</v>
      </c>
      <c r="H1049" s="3">
        <f>IF(TS_ATHLETES[[#This Row],[TOTAL]]=0,"",RANK(TS_ATHLETES[[#This Row],[RANK VALUE]],TS_ATHLETES[RANK VALUE]))</f>
        <v>129</v>
      </c>
      <c r="I1049" s="3">
        <f>IFERROR(IF(TS_ATHLETES[[#This Row],[TOTAL]]=0,"",RANK(TS_ATHLETES[[#This Row],[RANK VALUE]],TS_ATHLETES[RANK VALUE])+COUNTIF($H$1:H1048,H1049)),"")</f>
        <v>400</v>
      </c>
    </row>
    <row r="1050" spans="1:9" x14ac:dyDescent="0.25">
      <c r="A1050" t="s">
        <v>1952</v>
      </c>
      <c r="B1050" s="3" t="s">
        <v>51</v>
      </c>
      <c r="C1050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1</v>
      </c>
      <c r="D1050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1050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1050" s="3">
        <f>SUM(TS_ATHLETES[[#This Row],[GOLD MEDALS]:[BRONZE MEDALS]])</f>
        <v>1</v>
      </c>
      <c r="G1050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10100000</v>
      </c>
      <c r="H1050" s="3">
        <f>IF(TS_ATHLETES[[#This Row],[TOTAL]]=0,"",RANK(TS_ATHLETES[[#This Row],[RANK VALUE]],TS_ATHLETES[RANK VALUE]))</f>
        <v>129</v>
      </c>
      <c r="I1050" s="3">
        <f>IFERROR(IF(TS_ATHLETES[[#This Row],[TOTAL]]=0,"",RANK(TS_ATHLETES[[#This Row],[RANK VALUE]],TS_ATHLETES[RANK VALUE])+COUNTIF($H$1:H1049,H1050)),"")</f>
        <v>401</v>
      </c>
    </row>
    <row r="1051" spans="1:9" x14ac:dyDescent="0.25">
      <c r="A1051" t="s">
        <v>1953</v>
      </c>
      <c r="B1051" s="3" t="s">
        <v>51</v>
      </c>
      <c r="C1051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1</v>
      </c>
      <c r="D1051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1051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1051" s="3">
        <f>SUM(TS_ATHLETES[[#This Row],[GOLD MEDALS]:[BRONZE MEDALS]])</f>
        <v>1</v>
      </c>
      <c r="G1051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10100000</v>
      </c>
      <c r="H1051" s="3">
        <f>IF(TS_ATHLETES[[#This Row],[TOTAL]]=0,"",RANK(TS_ATHLETES[[#This Row],[RANK VALUE]],TS_ATHLETES[RANK VALUE]))</f>
        <v>129</v>
      </c>
      <c r="I1051" s="3">
        <f>IFERROR(IF(TS_ATHLETES[[#This Row],[TOTAL]]=0,"",RANK(TS_ATHLETES[[#This Row],[RANK VALUE]],TS_ATHLETES[RANK VALUE])+COUNTIF($H$1:H1050,H1051)),"")</f>
        <v>402</v>
      </c>
    </row>
    <row r="1052" spans="1:9" x14ac:dyDescent="0.25">
      <c r="A1052" t="s">
        <v>1954</v>
      </c>
      <c r="B1052" s="3" t="s">
        <v>51</v>
      </c>
      <c r="C1052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1</v>
      </c>
      <c r="D1052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1052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1052" s="3">
        <f>SUM(TS_ATHLETES[[#This Row],[GOLD MEDALS]:[BRONZE MEDALS]])</f>
        <v>1</v>
      </c>
      <c r="G1052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10100000</v>
      </c>
      <c r="H1052" s="3">
        <f>IF(TS_ATHLETES[[#This Row],[TOTAL]]=0,"",RANK(TS_ATHLETES[[#This Row],[RANK VALUE]],TS_ATHLETES[RANK VALUE]))</f>
        <v>129</v>
      </c>
      <c r="I1052" s="3">
        <f>IFERROR(IF(TS_ATHLETES[[#This Row],[TOTAL]]=0,"",RANK(TS_ATHLETES[[#This Row],[RANK VALUE]],TS_ATHLETES[RANK VALUE])+COUNTIF($H$1:H1051,H1052)),"")</f>
        <v>403</v>
      </c>
    </row>
    <row r="1053" spans="1:9" x14ac:dyDescent="0.25">
      <c r="A1053" t="s">
        <v>1955</v>
      </c>
      <c r="B1053" s="3" t="s">
        <v>51</v>
      </c>
      <c r="C1053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1</v>
      </c>
      <c r="D1053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1053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1053" s="3">
        <f>SUM(TS_ATHLETES[[#This Row],[GOLD MEDALS]:[BRONZE MEDALS]])</f>
        <v>1</v>
      </c>
      <c r="G1053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10100000</v>
      </c>
      <c r="H1053" s="3">
        <f>IF(TS_ATHLETES[[#This Row],[TOTAL]]=0,"",RANK(TS_ATHLETES[[#This Row],[RANK VALUE]],TS_ATHLETES[RANK VALUE]))</f>
        <v>129</v>
      </c>
      <c r="I1053" s="3">
        <f>IFERROR(IF(TS_ATHLETES[[#This Row],[TOTAL]]=0,"",RANK(TS_ATHLETES[[#This Row],[RANK VALUE]],TS_ATHLETES[RANK VALUE])+COUNTIF($H$1:H1052,H1053)),"")</f>
        <v>404</v>
      </c>
    </row>
    <row r="1054" spans="1:9" x14ac:dyDescent="0.25">
      <c r="A1054" t="s">
        <v>1956</v>
      </c>
      <c r="B1054" s="3" t="s">
        <v>51</v>
      </c>
      <c r="C1054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1</v>
      </c>
      <c r="D1054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1054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1054" s="3">
        <f>SUM(TS_ATHLETES[[#This Row],[GOLD MEDALS]:[BRONZE MEDALS]])</f>
        <v>1</v>
      </c>
      <c r="G1054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10100000</v>
      </c>
      <c r="H1054" s="3">
        <f>IF(TS_ATHLETES[[#This Row],[TOTAL]]=0,"",RANK(TS_ATHLETES[[#This Row],[RANK VALUE]],TS_ATHLETES[RANK VALUE]))</f>
        <v>129</v>
      </c>
      <c r="I1054" s="3">
        <f>IFERROR(IF(TS_ATHLETES[[#This Row],[TOTAL]]=0,"",RANK(TS_ATHLETES[[#This Row],[RANK VALUE]],TS_ATHLETES[RANK VALUE])+COUNTIF($H$1:H1053,H1054)),"")</f>
        <v>405</v>
      </c>
    </row>
    <row r="1055" spans="1:9" x14ac:dyDescent="0.25">
      <c r="A1055" t="s">
        <v>1957</v>
      </c>
      <c r="B1055" s="3" t="s">
        <v>51</v>
      </c>
      <c r="C1055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1</v>
      </c>
      <c r="D1055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1055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1055" s="3">
        <f>SUM(TS_ATHLETES[[#This Row],[GOLD MEDALS]:[BRONZE MEDALS]])</f>
        <v>1</v>
      </c>
      <c r="G1055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10100000</v>
      </c>
      <c r="H1055" s="3">
        <f>IF(TS_ATHLETES[[#This Row],[TOTAL]]=0,"",RANK(TS_ATHLETES[[#This Row],[RANK VALUE]],TS_ATHLETES[RANK VALUE]))</f>
        <v>129</v>
      </c>
      <c r="I1055" s="3">
        <f>IFERROR(IF(TS_ATHLETES[[#This Row],[TOTAL]]=0,"",RANK(TS_ATHLETES[[#This Row],[RANK VALUE]],TS_ATHLETES[RANK VALUE])+COUNTIF($H$1:H1054,H1055)),"")</f>
        <v>406</v>
      </c>
    </row>
    <row r="1056" spans="1:9" x14ac:dyDescent="0.25">
      <c r="A1056" t="s">
        <v>1958</v>
      </c>
      <c r="B1056" s="3" t="s">
        <v>51</v>
      </c>
      <c r="C1056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1</v>
      </c>
      <c r="D1056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1056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1056" s="3">
        <f>SUM(TS_ATHLETES[[#This Row],[GOLD MEDALS]:[BRONZE MEDALS]])</f>
        <v>1</v>
      </c>
      <c r="G1056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10100000</v>
      </c>
      <c r="H1056" s="3">
        <f>IF(TS_ATHLETES[[#This Row],[TOTAL]]=0,"",RANK(TS_ATHLETES[[#This Row],[RANK VALUE]],TS_ATHLETES[RANK VALUE]))</f>
        <v>129</v>
      </c>
      <c r="I1056" s="3">
        <f>IFERROR(IF(TS_ATHLETES[[#This Row],[TOTAL]]=0,"",RANK(TS_ATHLETES[[#This Row],[RANK VALUE]],TS_ATHLETES[RANK VALUE])+COUNTIF($H$1:H1055,H1056)),"")</f>
        <v>407</v>
      </c>
    </row>
    <row r="1057" spans="1:9" x14ac:dyDescent="0.25">
      <c r="A1057" t="s">
        <v>1959</v>
      </c>
      <c r="B1057" s="3" t="s">
        <v>51</v>
      </c>
      <c r="C1057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1</v>
      </c>
      <c r="D1057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1057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1057" s="3">
        <f>SUM(TS_ATHLETES[[#This Row],[GOLD MEDALS]:[BRONZE MEDALS]])</f>
        <v>1</v>
      </c>
      <c r="G1057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10100000</v>
      </c>
      <c r="H1057" s="3">
        <f>IF(TS_ATHLETES[[#This Row],[TOTAL]]=0,"",RANK(TS_ATHLETES[[#This Row],[RANK VALUE]],TS_ATHLETES[RANK VALUE]))</f>
        <v>129</v>
      </c>
      <c r="I1057" s="3">
        <f>IFERROR(IF(TS_ATHLETES[[#This Row],[TOTAL]]=0,"",RANK(TS_ATHLETES[[#This Row],[RANK VALUE]],TS_ATHLETES[RANK VALUE])+COUNTIF($H$1:H1056,H1057)),"")</f>
        <v>408</v>
      </c>
    </row>
    <row r="1058" spans="1:9" x14ac:dyDescent="0.25">
      <c r="A1058" t="s">
        <v>1960</v>
      </c>
      <c r="B1058" s="3" t="s">
        <v>51</v>
      </c>
      <c r="C1058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1</v>
      </c>
      <c r="D1058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1058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1058" s="3">
        <f>SUM(TS_ATHLETES[[#This Row],[GOLD MEDALS]:[BRONZE MEDALS]])</f>
        <v>1</v>
      </c>
      <c r="G1058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10100000</v>
      </c>
      <c r="H1058" s="3">
        <f>IF(TS_ATHLETES[[#This Row],[TOTAL]]=0,"",RANK(TS_ATHLETES[[#This Row],[RANK VALUE]],TS_ATHLETES[RANK VALUE]))</f>
        <v>129</v>
      </c>
      <c r="I1058" s="3">
        <f>IFERROR(IF(TS_ATHLETES[[#This Row],[TOTAL]]=0,"",RANK(TS_ATHLETES[[#This Row],[RANK VALUE]],TS_ATHLETES[RANK VALUE])+COUNTIF($H$1:H1057,H1058)),"")</f>
        <v>409</v>
      </c>
    </row>
    <row r="1059" spans="1:9" x14ac:dyDescent="0.25">
      <c r="A1059" t="s">
        <v>1961</v>
      </c>
      <c r="B1059" s="3" t="s">
        <v>51</v>
      </c>
      <c r="C1059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1</v>
      </c>
      <c r="D1059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1059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1059" s="3">
        <f>SUM(TS_ATHLETES[[#This Row],[GOLD MEDALS]:[BRONZE MEDALS]])</f>
        <v>1</v>
      </c>
      <c r="G1059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10100000</v>
      </c>
      <c r="H1059" s="3">
        <f>IF(TS_ATHLETES[[#This Row],[TOTAL]]=0,"",RANK(TS_ATHLETES[[#This Row],[RANK VALUE]],TS_ATHLETES[RANK VALUE]))</f>
        <v>129</v>
      </c>
      <c r="I1059" s="3">
        <f>IFERROR(IF(TS_ATHLETES[[#This Row],[TOTAL]]=0,"",RANK(TS_ATHLETES[[#This Row],[RANK VALUE]],TS_ATHLETES[RANK VALUE])+COUNTIF($H$1:H1058,H1059)),"")</f>
        <v>410</v>
      </c>
    </row>
    <row r="1060" spans="1:9" x14ac:dyDescent="0.25">
      <c r="A1060" t="s">
        <v>1962</v>
      </c>
      <c r="B1060" s="3" t="s">
        <v>136</v>
      </c>
      <c r="C1060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1060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1</v>
      </c>
      <c r="E1060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1060" s="3">
        <f>SUM(TS_ATHLETES[[#This Row],[GOLD MEDALS]:[BRONZE MEDALS]])</f>
        <v>1</v>
      </c>
      <c r="G1060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10000100</v>
      </c>
      <c r="H1060" s="3">
        <f>IF(TS_ATHLETES[[#This Row],[TOTAL]]=0,"",RANK(TS_ATHLETES[[#This Row],[RANK VALUE]],TS_ATHLETES[RANK VALUE]))</f>
        <v>660</v>
      </c>
      <c r="I1060" s="3">
        <f>IFERROR(IF(TS_ATHLETES[[#This Row],[TOTAL]]=0,"",RANK(TS_ATHLETES[[#This Row],[RANK VALUE]],TS_ATHLETES[RANK VALUE])+COUNTIF($H$1:H1059,H1060)),"")</f>
        <v>956</v>
      </c>
    </row>
    <row r="1061" spans="1:9" x14ac:dyDescent="0.25">
      <c r="A1061" t="s">
        <v>1963</v>
      </c>
      <c r="B1061" s="3" t="s">
        <v>136</v>
      </c>
      <c r="C1061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1061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1</v>
      </c>
      <c r="E1061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1061" s="3">
        <f>SUM(TS_ATHLETES[[#This Row],[GOLD MEDALS]:[BRONZE MEDALS]])</f>
        <v>1</v>
      </c>
      <c r="G1061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10000100</v>
      </c>
      <c r="H1061" s="3">
        <f>IF(TS_ATHLETES[[#This Row],[TOTAL]]=0,"",RANK(TS_ATHLETES[[#This Row],[RANK VALUE]],TS_ATHLETES[RANK VALUE]))</f>
        <v>660</v>
      </c>
      <c r="I1061" s="3">
        <f>IFERROR(IF(TS_ATHLETES[[#This Row],[TOTAL]]=0,"",RANK(TS_ATHLETES[[#This Row],[RANK VALUE]],TS_ATHLETES[RANK VALUE])+COUNTIF($H$1:H1060,H1061)),"")</f>
        <v>957</v>
      </c>
    </row>
    <row r="1062" spans="1:9" x14ac:dyDescent="0.25">
      <c r="A1062" t="s">
        <v>1964</v>
      </c>
      <c r="B1062" s="3" t="s">
        <v>136</v>
      </c>
      <c r="C1062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1062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1</v>
      </c>
      <c r="E1062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1062" s="3">
        <f>SUM(TS_ATHLETES[[#This Row],[GOLD MEDALS]:[BRONZE MEDALS]])</f>
        <v>1</v>
      </c>
      <c r="G1062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10000100</v>
      </c>
      <c r="H1062" s="3">
        <f>IF(TS_ATHLETES[[#This Row],[TOTAL]]=0,"",RANK(TS_ATHLETES[[#This Row],[RANK VALUE]],TS_ATHLETES[RANK VALUE]))</f>
        <v>660</v>
      </c>
      <c r="I1062" s="3">
        <f>IFERROR(IF(TS_ATHLETES[[#This Row],[TOTAL]]=0,"",RANK(TS_ATHLETES[[#This Row],[RANK VALUE]],TS_ATHLETES[RANK VALUE])+COUNTIF($H$1:H1061,H1062)),"")</f>
        <v>958</v>
      </c>
    </row>
    <row r="1063" spans="1:9" x14ac:dyDescent="0.25">
      <c r="A1063" t="s">
        <v>1965</v>
      </c>
      <c r="B1063" s="3" t="s">
        <v>136</v>
      </c>
      <c r="C1063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1063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1</v>
      </c>
      <c r="E1063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1063" s="3">
        <f>SUM(TS_ATHLETES[[#This Row],[GOLD MEDALS]:[BRONZE MEDALS]])</f>
        <v>1</v>
      </c>
      <c r="G1063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10000100</v>
      </c>
      <c r="H1063" s="3">
        <f>IF(TS_ATHLETES[[#This Row],[TOTAL]]=0,"",RANK(TS_ATHLETES[[#This Row],[RANK VALUE]],TS_ATHLETES[RANK VALUE]))</f>
        <v>660</v>
      </c>
      <c r="I1063" s="3">
        <f>IFERROR(IF(TS_ATHLETES[[#This Row],[TOTAL]]=0,"",RANK(TS_ATHLETES[[#This Row],[RANK VALUE]],TS_ATHLETES[RANK VALUE])+COUNTIF($H$1:H1062,H1063)),"")</f>
        <v>959</v>
      </c>
    </row>
    <row r="1064" spans="1:9" x14ac:dyDescent="0.25">
      <c r="A1064" t="s">
        <v>1966</v>
      </c>
      <c r="B1064" s="3" t="s">
        <v>136</v>
      </c>
      <c r="C1064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1064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1</v>
      </c>
      <c r="E1064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1064" s="3">
        <f>SUM(TS_ATHLETES[[#This Row],[GOLD MEDALS]:[BRONZE MEDALS]])</f>
        <v>1</v>
      </c>
      <c r="G1064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10000100</v>
      </c>
      <c r="H1064" s="3">
        <f>IF(TS_ATHLETES[[#This Row],[TOTAL]]=0,"",RANK(TS_ATHLETES[[#This Row],[RANK VALUE]],TS_ATHLETES[RANK VALUE]))</f>
        <v>660</v>
      </c>
      <c r="I1064" s="3">
        <f>IFERROR(IF(TS_ATHLETES[[#This Row],[TOTAL]]=0,"",RANK(TS_ATHLETES[[#This Row],[RANK VALUE]],TS_ATHLETES[RANK VALUE])+COUNTIF($H$1:H1063,H1064)),"")</f>
        <v>960</v>
      </c>
    </row>
    <row r="1065" spans="1:9" x14ac:dyDescent="0.25">
      <c r="A1065" t="s">
        <v>1967</v>
      </c>
      <c r="B1065" s="3" t="s">
        <v>136</v>
      </c>
      <c r="C1065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1065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1</v>
      </c>
      <c r="E1065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1065" s="3">
        <f>SUM(TS_ATHLETES[[#This Row],[GOLD MEDALS]:[BRONZE MEDALS]])</f>
        <v>1</v>
      </c>
      <c r="G1065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10000100</v>
      </c>
      <c r="H1065" s="3">
        <f>IF(TS_ATHLETES[[#This Row],[TOTAL]]=0,"",RANK(TS_ATHLETES[[#This Row],[RANK VALUE]],TS_ATHLETES[RANK VALUE]))</f>
        <v>660</v>
      </c>
      <c r="I1065" s="3">
        <f>IFERROR(IF(TS_ATHLETES[[#This Row],[TOTAL]]=0,"",RANK(TS_ATHLETES[[#This Row],[RANK VALUE]],TS_ATHLETES[RANK VALUE])+COUNTIF($H$1:H1064,H1065)),"")</f>
        <v>961</v>
      </c>
    </row>
    <row r="1066" spans="1:9" x14ac:dyDescent="0.25">
      <c r="A1066" t="s">
        <v>1968</v>
      </c>
      <c r="B1066" s="3" t="s">
        <v>136</v>
      </c>
      <c r="C1066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1066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1</v>
      </c>
      <c r="E1066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1066" s="3">
        <f>SUM(TS_ATHLETES[[#This Row],[GOLD MEDALS]:[BRONZE MEDALS]])</f>
        <v>1</v>
      </c>
      <c r="G1066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10000100</v>
      </c>
      <c r="H1066" s="3">
        <f>IF(TS_ATHLETES[[#This Row],[TOTAL]]=0,"",RANK(TS_ATHLETES[[#This Row],[RANK VALUE]],TS_ATHLETES[RANK VALUE]))</f>
        <v>660</v>
      </c>
      <c r="I1066" s="3">
        <f>IFERROR(IF(TS_ATHLETES[[#This Row],[TOTAL]]=0,"",RANK(TS_ATHLETES[[#This Row],[RANK VALUE]],TS_ATHLETES[RANK VALUE])+COUNTIF($H$1:H1065,H1066)),"")</f>
        <v>962</v>
      </c>
    </row>
    <row r="1067" spans="1:9" x14ac:dyDescent="0.25">
      <c r="A1067" t="s">
        <v>1969</v>
      </c>
      <c r="B1067" s="3" t="s">
        <v>136</v>
      </c>
      <c r="C1067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1067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1</v>
      </c>
      <c r="E1067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1067" s="3">
        <f>SUM(TS_ATHLETES[[#This Row],[GOLD MEDALS]:[BRONZE MEDALS]])</f>
        <v>1</v>
      </c>
      <c r="G1067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10000100</v>
      </c>
      <c r="H1067" s="3">
        <f>IF(TS_ATHLETES[[#This Row],[TOTAL]]=0,"",RANK(TS_ATHLETES[[#This Row],[RANK VALUE]],TS_ATHLETES[RANK VALUE]))</f>
        <v>660</v>
      </c>
      <c r="I1067" s="3">
        <f>IFERROR(IF(TS_ATHLETES[[#This Row],[TOTAL]]=0,"",RANK(TS_ATHLETES[[#This Row],[RANK VALUE]],TS_ATHLETES[RANK VALUE])+COUNTIF($H$1:H1066,H1067)),"")</f>
        <v>963</v>
      </c>
    </row>
    <row r="1068" spans="1:9" x14ac:dyDescent="0.25">
      <c r="A1068" t="s">
        <v>1970</v>
      </c>
      <c r="B1068" s="3" t="s">
        <v>136</v>
      </c>
      <c r="C1068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1068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1</v>
      </c>
      <c r="E1068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1068" s="3">
        <f>SUM(TS_ATHLETES[[#This Row],[GOLD MEDALS]:[BRONZE MEDALS]])</f>
        <v>1</v>
      </c>
      <c r="G1068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10000100</v>
      </c>
      <c r="H1068" s="3">
        <f>IF(TS_ATHLETES[[#This Row],[TOTAL]]=0,"",RANK(TS_ATHLETES[[#This Row],[RANK VALUE]],TS_ATHLETES[RANK VALUE]))</f>
        <v>660</v>
      </c>
      <c r="I1068" s="3">
        <f>IFERROR(IF(TS_ATHLETES[[#This Row],[TOTAL]]=0,"",RANK(TS_ATHLETES[[#This Row],[RANK VALUE]],TS_ATHLETES[RANK VALUE])+COUNTIF($H$1:H1067,H1068)),"")</f>
        <v>964</v>
      </c>
    </row>
    <row r="1069" spans="1:9" x14ac:dyDescent="0.25">
      <c r="A1069" t="s">
        <v>1971</v>
      </c>
      <c r="B1069" s="3" t="s">
        <v>136</v>
      </c>
      <c r="C1069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1069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1</v>
      </c>
      <c r="E1069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1069" s="3">
        <f>SUM(TS_ATHLETES[[#This Row],[GOLD MEDALS]:[BRONZE MEDALS]])</f>
        <v>1</v>
      </c>
      <c r="G1069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10000100</v>
      </c>
      <c r="H1069" s="3">
        <f>IF(TS_ATHLETES[[#This Row],[TOTAL]]=0,"",RANK(TS_ATHLETES[[#This Row],[RANK VALUE]],TS_ATHLETES[RANK VALUE]))</f>
        <v>660</v>
      </c>
      <c r="I1069" s="3">
        <f>IFERROR(IF(TS_ATHLETES[[#This Row],[TOTAL]]=0,"",RANK(TS_ATHLETES[[#This Row],[RANK VALUE]],TS_ATHLETES[RANK VALUE])+COUNTIF($H$1:H1068,H1069)),"")</f>
        <v>965</v>
      </c>
    </row>
    <row r="1070" spans="1:9" x14ac:dyDescent="0.25">
      <c r="A1070" t="s">
        <v>1972</v>
      </c>
      <c r="B1070" s="3" t="s">
        <v>136</v>
      </c>
      <c r="C1070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1070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1</v>
      </c>
      <c r="E1070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1070" s="3">
        <f>SUM(TS_ATHLETES[[#This Row],[GOLD MEDALS]:[BRONZE MEDALS]])</f>
        <v>1</v>
      </c>
      <c r="G1070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10000100</v>
      </c>
      <c r="H1070" s="3">
        <f>IF(TS_ATHLETES[[#This Row],[TOTAL]]=0,"",RANK(TS_ATHLETES[[#This Row],[RANK VALUE]],TS_ATHLETES[RANK VALUE]))</f>
        <v>660</v>
      </c>
      <c r="I1070" s="3">
        <f>IFERROR(IF(TS_ATHLETES[[#This Row],[TOTAL]]=0,"",RANK(TS_ATHLETES[[#This Row],[RANK VALUE]],TS_ATHLETES[RANK VALUE])+COUNTIF($H$1:H1069,H1070)),"")</f>
        <v>966</v>
      </c>
    </row>
    <row r="1071" spans="1:9" x14ac:dyDescent="0.25">
      <c r="A1071" t="s">
        <v>1973</v>
      </c>
      <c r="B1071" s="3" t="s">
        <v>136</v>
      </c>
      <c r="C1071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1071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1</v>
      </c>
      <c r="E1071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1071" s="3">
        <f>SUM(TS_ATHLETES[[#This Row],[GOLD MEDALS]:[BRONZE MEDALS]])</f>
        <v>1</v>
      </c>
      <c r="G1071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10000100</v>
      </c>
      <c r="H1071" s="3">
        <f>IF(TS_ATHLETES[[#This Row],[TOTAL]]=0,"",RANK(TS_ATHLETES[[#This Row],[RANK VALUE]],TS_ATHLETES[RANK VALUE]))</f>
        <v>660</v>
      </c>
      <c r="I1071" s="3">
        <f>IFERROR(IF(TS_ATHLETES[[#This Row],[TOTAL]]=0,"",RANK(TS_ATHLETES[[#This Row],[RANK VALUE]],TS_ATHLETES[RANK VALUE])+COUNTIF($H$1:H1070,H1071)),"")</f>
        <v>967</v>
      </c>
    </row>
    <row r="1072" spans="1:9" x14ac:dyDescent="0.25">
      <c r="A1072" t="s">
        <v>1974</v>
      </c>
      <c r="B1072" s="3" t="s">
        <v>136</v>
      </c>
      <c r="C1072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1072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1</v>
      </c>
      <c r="E1072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1072" s="3">
        <f>SUM(TS_ATHLETES[[#This Row],[GOLD MEDALS]:[BRONZE MEDALS]])</f>
        <v>1</v>
      </c>
      <c r="G1072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10000100</v>
      </c>
      <c r="H1072" s="3">
        <f>IF(TS_ATHLETES[[#This Row],[TOTAL]]=0,"",RANK(TS_ATHLETES[[#This Row],[RANK VALUE]],TS_ATHLETES[RANK VALUE]))</f>
        <v>660</v>
      </c>
      <c r="I1072" s="3">
        <f>IFERROR(IF(TS_ATHLETES[[#This Row],[TOTAL]]=0,"",RANK(TS_ATHLETES[[#This Row],[RANK VALUE]],TS_ATHLETES[RANK VALUE])+COUNTIF($H$1:H1071,H1072)),"")</f>
        <v>968</v>
      </c>
    </row>
    <row r="1073" spans="1:9" x14ac:dyDescent="0.25">
      <c r="A1073" t="s">
        <v>1975</v>
      </c>
      <c r="B1073" s="3" t="s">
        <v>136</v>
      </c>
      <c r="C1073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1073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1</v>
      </c>
      <c r="E1073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1073" s="3">
        <f>SUM(TS_ATHLETES[[#This Row],[GOLD MEDALS]:[BRONZE MEDALS]])</f>
        <v>1</v>
      </c>
      <c r="G1073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10000100</v>
      </c>
      <c r="H1073" s="3">
        <f>IF(TS_ATHLETES[[#This Row],[TOTAL]]=0,"",RANK(TS_ATHLETES[[#This Row],[RANK VALUE]],TS_ATHLETES[RANK VALUE]))</f>
        <v>660</v>
      </c>
      <c r="I1073" s="3">
        <f>IFERROR(IF(TS_ATHLETES[[#This Row],[TOTAL]]=0,"",RANK(TS_ATHLETES[[#This Row],[RANK VALUE]],TS_ATHLETES[RANK VALUE])+COUNTIF($H$1:H1072,H1073)),"")</f>
        <v>969</v>
      </c>
    </row>
    <row r="1074" spans="1:9" x14ac:dyDescent="0.25">
      <c r="A1074" t="s">
        <v>1976</v>
      </c>
      <c r="B1074" s="3" t="s">
        <v>136</v>
      </c>
      <c r="C1074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1074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1</v>
      </c>
      <c r="E1074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1074" s="3">
        <f>SUM(TS_ATHLETES[[#This Row],[GOLD MEDALS]:[BRONZE MEDALS]])</f>
        <v>1</v>
      </c>
      <c r="G1074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10000100</v>
      </c>
      <c r="H1074" s="3">
        <f>IF(TS_ATHLETES[[#This Row],[TOTAL]]=0,"",RANK(TS_ATHLETES[[#This Row],[RANK VALUE]],TS_ATHLETES[RANK VALUE]))</f>
        <v>660</v>
      </c>
      <c r="I1074" s="3">
        <f>IFERROR(IF(TS_ATHLETES[[#This Row],[TOTAL]]=0,"",RANK(TS_ATHLETES[[#This Row],[RANK VALUE]],TS_ATHLETES[RANK VALUE])+COUNTIF($H$1:H1073,H1074)),"")</f>
        <v>970</v>
      </c>
    </row>
    <row r="1075" spans="1:9" x14ac:dyDescent="0.25">
      <c r="A1075" t="s">
        <v>1977</v>
      </c>
      <c r="B1075" s="3" t="s">
        <v>136</v>
      </c>
      <c r="C1075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1075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1</v>
      </c>
      <c r="E1075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1075" s="3">
        <f>SUM(TS_ATHLETES[[#This Row],[GOLD MEDALS]:[BRONZE MEDALS]])</f>
        <v>1</v>
      </c>
      <c r="G1075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10000100</v>
      </c>
      <c r="H1075" s="3">
        <f>IF(TS_ATHLETES[[#This Row],[TOTAL]]=0,"",RANK(TS_ATHLETES[[#This Row],[RANK VALUE]],TS_ATHLETES[RANK VALUE]))</f>
        <v>660</v>
      </c>
      <c r="I1075" s="3">
        <f>IFERROR(IF(TS_ATHLETES[[#This Row],[TOTAL]]=0,"",RANK(TS_ATHLETES[[#This Row],[RANK VALUE]],TS_ATHLETES[RANK VALUE])+COUNTIF($H$1:H1074,H1075)),"")</f>
        <v>971</v>
      </c>
    </row>
    <row r="1076" spans="1:9" x14ac:dyDescent="0.25">
      <c r="A1076" t="s">
        <v>1978</v>
      </c>
      <c r="B1076" s="3" t="s">
        <v>136</v>
      </c>
      <c r="C1076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1076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1</v>
      </c>
      <c r="E1076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1076" s="3">
        <f>SUM(TS_ATHLETES[[#This Row],[GOLD MEDALS]:[BRONZE MEDALS]])</f>
        <v>1</v>
      </c>
      <c r="G1076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10000100</v>
      </c>
      <c r="H1076" s="3">
        <f>IF(TS_ATHLETES[[#This Row],[TOTAL]]=0,"",RANK(TS_ATHLETES[[#This Row],[RANK VALUE]],TS_ATHLETES[RANK VALUE]))</f>
        <v>660</v>
      </c>
      <c r="I1076" s="3">
        <f>IFERROR(IF(TS_ATHLETES[[#This Row],[TOTAL]]=0,"",RANK(TS_ATHLETES[[#This Row],[RANK VALUE]],TS_ATHLETES[RANK VALUE])+COUNTIF($H$1:H1075,H1076)),"")</f>
        <v>972</v>
      </c>
    </row>
    <row r="1077" spans="1:9" x14ac:dyDescent="0.25">
      <c r="A1077" t="s">
        <v>1979</v>
      </c>
      <c r="B1077" s="3" t="s">
        <v>136</v>
      </c>
      <c r="C1077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1077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1</v>
      </c>
      <c r="E1077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1077" s="3">
        <f>SUM(TS_ATHLETES[[#This Row],[GOLD MEDALS]:[BRONZE MEDALS]])</f>
        <v>1</v>
      </c>
      <c r="G1077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10000100</v>
      </c>
      <c r="H1077" s="3">
        <f>IF(TS_ATHLETES[[#This Row],[TOTAL]]=0,"",RANK(TS_ATHLETES[[#This Row],[RANK VALUE]],TS_ATHLETES[RANK VALUE]))</f>
        <v>660</v>
      </c>
      <c r="I1077" s="3">
        <f>IFERROR(IF(TS_ATHLETES[[#This Row],[TOTAL]]=0,"",RANK(TS_ATHLETES[[#This Row],[RANK VALUE]],TS_ATHLETES[RANK VALUE])+COUNTIF($H$1:H1076,H1077)),"")</f>
        <v>973</v>
      </c>
    </row>
    <row r="1078" spans="1:9" x14ac:dyDescent="0.25">
      <c r="A1078" t="s">
        <v>1980</v>
      </c>
      <c r="B1078" s="3" t="s">
        <v>259</v>
      </c>
      <c r="C1078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1078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1078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1</v>
      </c>
      <c r="F1078" s="3">
        <f>SUM(TS_ATHLETES[[#This Row],[GOLD MEDALS]:[BRONZE MEDALS]])</f>
        <v>1</v>
      </c>
      <c r="G1078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10000010</v>
      </c>
      <c r="H1078" s="3">
        <f>IF(TS_ATHLETES[[#This Row],[TOTAL]]=0,"",RANK(TS_ATHLETES[[#This Row],[RANK VALUE]],TS_ATHLETES[RANK VALUE]))</f>
        <v>1224</v>
      </c>
      <c r="I1078" s="3">
        <f>IFERROR(IF(TS_ATHLETES[[#This Row],[TOTAL]]=0,"",RANK(TS_ATHLETES[[#This Row],[RANK VALUE]],TS_ATHLETES[RANK VALUE])+COUNTIF($H$1:H1077,H1078)),"")</f>
        <v>1590</v>
      </c>
    </row>
    <row r="1079" spans="1:9" x14ac:dyDescent="0.25">
      <c r="A1079" t="s">
        <v>1981</v>
      </c>
      <c r="B1079" s="3" t="s">
        <v>259</v>
      </c>
      <c r="C1079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1079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1079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1</v>
      </c>
      <c r="F1079" s="3">
        <f>SUM(TS_ATHLETES[[#This Row],[GOLD MEDALS]:[BRONZE MEDALS]])</f>
        <v>1</v>
      </c>
      <c r="G1079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10000010</v>
      </c>
      <c r="H1079" s="3">
        <f>IF(TS_ATHLETES[[#This Row],[TOTAL]]=0,"",RANK(TS_ATHLETES[[#This Row],[RANK VALUE]],TS_ATHLETES[RANK VALUE]))</f>
        <v>1224</v>
      </c>
      <c r="I1079" s="3">
        <f>IFERROR(IF(TS_ATHLETES[[#This Row],[TOTAL]]=0,"",RANK(TS_ATHLETES[[#This Row],[RANK VALUE]],TS_ATHLETES[RANK VALUE])+COUNTIF($H$1:H1078,H1079)),"")</f>
        <v>1591</v>
      </c>
    </row>
    <row r="1080" spans="1:9" x14ac:dyDescent="0.25">
      <c r="A1080" t="s">
        <v>1982</v>
      </c>
      <c r="B1080" s="3" t="s">
        <v>259</v>
      </c>
      <c r="C1080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1080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1080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1</v>
      </c>
      <c r="F1080" s="3">
        <f>SUM(TS_ATHLETES[[#This Row],[GOLD MEDALS]:[BRONZE MEDALS]])</f>
        <v>1</v>
      </c>
      <c r="G1080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10000010</v>
      </c>
      <c r="H1080" s="3">
        <f>IF(TS_ATHLETES[[#This Row],[TOTAL]]=0,"",RANK(TS_ATHLETES[[#This Row],[RANK VALUE]],TS_ATHLETES[RANK VALUE]))</f>
        <v>1224</v>
      </c>
      <c r="I1080" s="3">
        <f>IFERROR(IF(TS_ATHLETES[[#This Row],[TOTAL]]=0,"",RANK(TS_ATHLETES[[#This Row],[RANK VALUE]],TS_ATHLETES[RANK VALUE])+COUNTIF($H$1:H1079,H1080)),"")</f>
        <v>1592</v>
      </c>
    </row>
    <row r="1081" spans="1:9" x14ac:dyDescent="0.25">
      <c r="A1081" t="s">
        <v>1983</v>
      </c>
      <c r="B1081" s="3" t="s">
        <v>259</v>
      </c>
      <c r="C1081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1081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1081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1</v>
      </c>
      <c r="F1081" s="3">
        <f>SUM(TS_ATHLETES[[#This Row],[GOLD MEDALS]:[BRONZE MEDALS]])</f>
        <v>1</v>
      </c>
      <c r="G1081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10000010</v>
      </c>
      <c r="H1081" s="3">
        <f>IF(TS_ATHLETES[[#This Row],[TOTAL]]=0,"",RANK(TS_ATHLETES[[#This Row],[RANK VALUE]],TS_ATHLETES[RANK VALUE]))</f>
        <v>1224</v>
      </c>
      <c r="I1081" s="3">
        <f>IFERROR(IF(TS_ATHLETES[[#This Row],[TOTAL]]=0,"",RANK(TS_ATHLETES[[#This Row],[RANK VALUE]],TS_ATHLETES[RANK VALUE])+COUNTIF($H$1:H1080,H1081)),"")</f>
        <v>1593</v>
      </c>
    </row>
    <row r="1082" spans="1:9" x14ac:dyDescent="0.25">
      <c r="A1082" t="s">
        <v>1984</v>
      </c>
      <c r="B1082" s="3" t="s">
        <v>259</v>
      </c>
      <c r="C1082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1082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1082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1</v>
      </c>
      <c r="F1082" s="3">
        <f>SUM(TS_ATHLETES[[#This Row],[GOLD MEDALS]:[BRONZE MEDALS]])</f>
        <v>1</v>
      </c>
      <c r="G1082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10000010</v>
      </c>
      <c r="H1082" s="3">
        <f>IF(TS_ATHLETES[[#This Row],[TOTAL]]=0,"",RANK(TS_ATHLETES[[#This Row],[RANK VALUE]],TS_ATHLETES[RANK VALUE]))</f>
        <v>1224</v>
      </c>
      <c r="I1082" s="3">
        <f>IFERROR(IF(TS_ATHLETES[[#This Row],[TOTAL]]=0,"",RANK(TS_ATHLETES[[#This Row],[RANK VALUE]],TS_ATHLETES[RANK VALUE])+COUNTIF($H$1:H1081,H1082)),"")</f>
        <v>1594</v>
      </c>
    </row>
    <row r="1083" spans="1:9" x14ac:dyDescent="0.25">
      <c r="A1083" t="s">
        <v>1985</v>
      </c>
      <c r="B1083" s="3" t="s">
        <v>259</v>
      </c>
      <c r="C1083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1083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1083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1</v>
      </c>
      <c r="F1083" s="3">
        <f>SUM(TS_ATHLETES[[#This Row],[GOLD MEDALS]:[BRONZE MEDALS]])</f>
        <v>1</v>
      </c>
      <c r="G1083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10000010</v>
      </c>
      <c r="H1083" s="3">
        <f>IF(TS_ATHLETES[[#This Row],[TOTAL]]=0,"",RANK(TS_ATHLETES[[#This Row],[RANK VALUE]],TS_ATHLETES[RANK VALUE]))</f>
        <v>1224</v>
      </c>
      <c r="I1083" s="3">
        <f>IFERROR(IF(TS_ATHLETES[[#This Row],[TOTAL]]=0,"",RANK(TS_ATHLETES[[#This Row],[RANK VALUE]],TS_ATHLETES[RANK VALUE])+COUNTIF($H$1:H1082,H1083)),"")</f>
        <v>1595</v>
      </c>
    </row>
    <row r="1084" spans="1:9" x14ac:dyDescent="0.25">
      <c r="A1084" t="s">
        <v>1986</v>
      </c>
      <c r="B1084" s="3" t="s">
        <v>259</v>
      </c>
      <c r="C1084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1084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1084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1</v>
      </c>
      <c r="F1084" s="3">
        <f>SUM(TS_ATHLETES[[#This Row],[GOLD MEDALS]:[BRONZE MEDALS]])</f>
        <v>1</v>
      </c>
      <c r="G1084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10000010</v>
      </c>
      <c r="H1084" s="3">
        <f>IF(TS_ATHLETES[[#This Row],[TOTAL]]=0,"",RANK(TS_ATHLETES[[#This Row],[RANK VALUE]],TS_ATHLETES[RANK VALUE]))</f>
        <v>1224</v>
      </c>
      <c r="I1084" s="3">
        <f>IFERROR(IF(TS_ATHLETES[[#This Row],[TOTAL]]=0,"",RANK(TS_ATHLETES[[#This Row],[RANK VALUE]],TS_ATHLETES[RANK VALUE])+COUNTIF($H$1:H1083,H1084)),"")</f>
        <v>1596</v>
      </c>
    </row>
    <row r="1085" spans="1:9" x14ac:dyDescent="0.25">
      <c r="A1085" t="s">
        <v>1987</v>
      </c>
      <c r="B1085" s="3" t="s">
        <v>259</v>
      </c>
      <c r="C1085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1085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1085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1</v>
      </c>
      <c r="F1085" s="3">
        <f>SUM(TS_ATHLETES[[#This Row],[GOLD MEDALS]:[BRONZE MEDALS]])</f>
        <v>1</v>
      </c>
      <c r="G1085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10000010</v>
      </c>
      <c r="H1085" s="3">
        <f>IF(TS_ATHLETES[[#This Row],[TOTAL]]=0,"",RANK(TS_ATHLETES[[#This Row],[RANK VALUE]],TS_ATHLETES[RANK VALUE]))</f>
        <v>1224</v>
      </c>
      <c r="I1085" s="3">
        <f>IFERROR(IF(TS_ATHLETES[[#This Row],[TOTAL]]=0,"",RANK(TS_ATHLETES[[#This Row],[RANK VALUE]],TS_ATHLETES[RANK VALUE])+COUNTIF($H$1:H1084,H1085)),"")</f>
        <v>1597</v>
      </c>
    </row>
    <row r="1086" spans="1:9" x14ac:dyDescent="0.25">
      <c r="A1086" t="s">
        <v>1988</v>
      </c>
      <c r="B1086" s="3" t="s">
        <v>259</v>
      </c>
      <c r="C1086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1086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1086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1</v>
      </c>
      <c r="F1086" s="3">
        <f>SUM(TS_ATHLETES[[#This Row],[GOLD MEDALS]:[BRONZE MEDALS]])</f>
        <v>1</v>
      </c>
      <c r="G1086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10000010</v>
      </c>
      <c r="H1086" s="3">
        <f>IF(TS_ATHLETES[[#This Row],[TOTAL]]=0,"",RANK(TS_ATHLETES[[#This Row],[RANK VALUE]],TS_ATHLETES[RANK VALUE]))</f>
        <v>1224</v>
      </c>
      <c r="I1086" s="3">
        <f>IFERROR(IF(TS_ATHLETES[[#This Row],[TOTAL]]=0,"",RANK(TS_ATHLETES[[#This Row],[RANK VALUE]],TS_ATHLETES[RANK VALUE])+COUNTIF($H$1:H1085,H1086)),"")</f>
        <v>1598</v>
      </c>
    </row>
    <row r="1087" spans="1:9" x14ac:dyDescent="0.25">
      <c r="A1087" t="s">
        <v>1989</v>
      </c>
      <c r="B1087" s="3" t="s">
        <v>259</v>
      </c>
      <c r="C1087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1087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1087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1</v>
      </c>
      <c r="F1087" s="3">
        <f>SUM(TS_ATHLETES[[#This Row],[GOLD MEDALS]:[BRONZE MEDALS]])</f>
        <v>1</v>
      </c>
      <c r="G1087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10000010</v>
      </c>
      <c r="H1087" s="3">
        <f>IF(TS_ATHLETES[[#This Row],[TOTAL]]=0,"",RANK(TS_ATHLETES[[#This Row],[RANK VALUE]],TS_ATHLETES[RANK VALUE]))</f>
        <v>1224</v>
      </c>
      <c r="I1087" s="3">
        <f>IFERROR(IF(TS_ATHLETES[[#This Row],[TOTAL]]=0,"",RANK(TS_ATHLETES[[#This Row],[RANK VALUE]],TS_ATHLETES[RANK VALUE])+COUNTIF($H$1:H1086,H1087)),"")</f>
        <v>1599</v>
      </c>
    </row>
    <row r="1088" spans="1:9" x14ac:dyDescent="0.25">
      <c r="A1088" t="s">
        <v>1990</v>
      </c>
      <c r="B1088" s="3" t="s">
        <v>259</v>
      </c>
      <c r="C1088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1088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1088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1</v>
      </c>
      <c r="F1088" s="3">
        <f>SUM(TS_ATHLETES[[#This Row],[GOLD MEDALS]:[BRONZE MEDALS]])</f>
        <v>1</v>
      </c>
      <c r="G1088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10000010</v>
      </c>
      <c r="H1088" s="3">
        <f>IF(TS_ATHLETES[[#This Row],[TOTAL]]=0,"",RANK(TS_ATHLETES[[#This Row],[RANK VALUE]],TS_ATHLETES[RANK VALUE]))</f>
        <v>1224</v>
      </c>
      <c r="I1088" s="3">
        <f>IFERROR(IF(TS_ATHLETES[[#This Row],[TOTAL]]=0,"",RANK(TS_ATHLETES[[#This Row],[RANK VALUE]],TS_ATHLETES[RANK VALUE])+COUNTIF($H$1:H1087,H1088)),"")</f>
        <v>1600</v>
      </c>
    </row>
    <row r="1089" spans="1:9" x14ac:dyDescent="0.25">
      <c r="A1089" t="s">
        <v>1991</v>
      </c>
      <c r="B1089" s="3" t="s">
        <v>259</v>
      </c>
      <c r="C1089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1089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1089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1</v>
      </c>
      <c r="F1089" s="3">
        <f>SUM(TS_ATHLETES[[#This Row],[GOLD MEDALS]:[BRONZE MEDALS]])</f>
        <v>1</v>
      </c>
      <c r="G1089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10000010</v>
      </c>
      <c r="H1089" s="3">
        <f>IF(TS_ATHLETES[[#This Row],[TOTAL]]=0,"",RANK(TS_ATHLETES[[#This Row],[RANK VALUE]],TS_ATHLETES[RANK VALUE]))</f>
        <v>1224</v>
      </c>
      <c r="I1089" s="3">
        <f>IFERROR(IF(TS_ATHLETES[[#This Row],[TOTAL]]=0,"",RANK(TS_ATHLETES[[#This Row],[RANK VALUE]],TS_ATHLETES[RANK VALUE])+COUNTIF($H$1:H1088,H1089)),"")</f>
        <v>1601</v>
      </c>
    </row>
    <row r="1090" spans="1:9" x14ac:dyDescent="0.25">
      <c r="A1090" t="s">
        <v>1992</v>
      </c>
      <c r="B1090" s="3" t="s">
        <v>259</v>
      </c>
      <c r="C1090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1090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1090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1</v>
      </c>
      <c r="F1090" s="3">
        <f>SUM(TS_ATHLETES[[#This Row],[GOLD MEDALS]:[BRONZE MEDALS]])</f>
        <v>1</v>
      </c>
      <c r="G1090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10000010</v>
      </c>
      <c r="H1090" s="3">
        <f>IF(TS_ATHLETES[[#This Row],[TOTAL]]=0,"",RANK(TS_ATHLETES[[#This Row],[RANK VALUE]],TS_ATHLETES[RANK VALUE]))</f>
        <v>1224</v>
      </c>
      <c r="I1090" s="3">
        <f>IFERROR(IF(TS_ATHLETES[[#This Row],[TOTAL]]=0,"",RANK(TS_ATHLETES[[#This Row],[RANK VALUE]],TS_ATHLETES[RANK VALUE])+COUNTIF($H$1:H1089,H1090)),"")</f>
        <v>1602</v>
      </c>
    </row>
    <row r="1091" spans="1:9" x14ac:dyDescent="0.25">
      <c r="A1091" t="s">
        <v>1993</v>
      </c>
      <c r="B1091" s="3" t="s">
        <v>259</v>
      </c>
      <c r="C1091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1091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1091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1</v>
      </c>
      <c r="F1091" s="3">
        <f>SUM(TS_ATHLETES[[#This Row],[GOLD MEDALS]:[BRONZE MEDALS]])</f>
        <v>1</v>
      </c>
      <c r="G1091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10000010</v>
      </c>
      <c r="H1091" s="3">
        <f>IF(TS_ATHLETES[[#This Row],[TOTAL]]=0,"",RANK(TS_ATHLETES[[#This Row],[RANK VALUE]],TS_ATHLETES[RANK VALUE]))</f>
        <v>1224</v>
      </c>
      <c r="I1091" s="3">
        <f>IFERROR(IF(TS_ATHLETES[[#This Row],[TOTAL]]=0,"",RANK(TS_ATHLETES[[#This Row],[RANK VALUE]],TS_ATHLETES[RANK VALUE])+COUNTIF($H$1:H1090,H1091)),"")</f>
        <v>1603</v>
      </c>
    </row>
    <row r="1092" spans="1:9" x14ac:dyDescent="0.25">
      <c r="A1092" t="s">
        <v>1994</v>
      </c>
      <c r="B1092" s="3" t="s">
        <v>259</v>
      </c>
      <c r="C1092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1092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1092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1</v>
      </c>
      <c r="F1092" s="3">
        <f>SUM(TS_ATHLETES[[#This Row],[GOLD MEDALS]:[BRONZE MEDALS]])</f>
        <v>1</v>
      </c>
      <c r="G1092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10000010</v>
      </c>
      <c r="H1092" s="3">
        <f>IF(TS_ATHLETES[[#This Row],[TOTAL]]=0,"",RANK(TS_ATHLETES[[#This Row],[RANK VALUE]],TS_ATHLETES[RANK VALUE]))</f>
        <v>1224</v>
      </c>
      <c r="I1092" s="3">
        <f>IFERROR(IF(TS_ATHLETES[[#This Row],[TOTAL]]=0,"",RANK(TS_ATHLETES[[#This Row],[RANK VALUE]],TS_ATHLETES[RANK VALUE])+COUNTIF($H$1:H1091,H1092)),"")</f>
        <v>1604</v>
      </c>
    </row>
    <row r="1093" spans="1:9" x14ac:dyDescent="0.25">
      <c r="A1093" t="s">
        <v>1995</v>
      </c>
      <c r="B1093" s="3" t="s">
        <v>259</v>
      </c>
      <c r="C1093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1093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1093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1</v>
      </c>
      <c r="F1093" s="3">
        <f>SUM(TS_ATHLETES[[#This Row],[GOLD MEDALS]:[BRONZE MEDALS]])</f>
        <v>1</v>
      </c>
      <c r="G1093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10000010</v>
      </c>
      <c r="H1093" s="3">
        <f>IF(TS_ATHLETES[[#This Row],[TOTAL]]=0,"",RANK(TS_ATHLETES[[#This Row],[RANK VALUE]],TS_ATHLETES[RANK VALUE]))</f>
        <v>1224</v>
      </c>
      <c r="I1093" s="3">
        <f>IFERROR(IF(TS_ATHLETES[[#This Row],[TOTAL]]=0,"",RANK(TS_ATHLETES[[#This Row],[RANK VALUE]],TS_ATHLETES[RANK VALUE])+COUNTIF($H$1:H1092,H1093)),"")</f>
        <v>1605</v>
      </c>
    </row>
    <row r="1094" spans="1:9" x14ac:dyDescent="0.25">
      <c r="A1094" t="s">
        <v>1996</v>
      </c>
      <c r="B1094" s="3" t="s">
        <v>259</v>
      </c>
      <c r="C1094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1094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1094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1</v>
      </c>
      <c r="F1094" s="3">
        <f>SUM(TS_ATHLETES[[#This Row],[GOLD MEDALS]:[BRONZE MEDALS]])</f>
        <v>1</v>
      </c>
      <c r="G1094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10000010</v>
      </c>
      <c r="H1094" s="3">
        <f>IF(TS_ATHLETES[[#This Row],[TOTAL]]=0,"",RANK(TS_ATHLETES[[#This Row],[RANK VALUE]],TS_ATHLETES[RANK VALUE]))</f>
        <v>1224</v>
      </c>
      <c r="I1094" s="3">
        <f>IFERROR(IF(TS_ATHLETES[[#This Row],[TOTAL]]=0,"",RANK(TS_ATHLETES[[#This Row],[RANK VALUE]],TS_ATHLETES[RANK VALUE])+COUNTIF($H$1:H1093,H1094)),"")</f>
        <v>1606</v>
      </c>
    </row>
    <row r="1095" spans="1:9" x14ac:dyDescent="0.25">
      <c r="A1095" t="s">
        <v>1997</v>
      </c>
      <c r="B1095" s="3" t="s">
        <v>259</v>
      </c>
      <c r="C1095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1095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1095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1</v>
      </c>
      <c r="F1095" s="3">
        <f>SUM(TS_ATHLETES[[#This Row],[GOLD MEDALS]:[BRONZE MEDALS]])</f>
        <v>1</v>
      </c>
      <c r="G1095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10000010</v>
      </c>
      <c r="H1095" s="3">
        <f>IF(TS_ATHLETES[[#This Row],[TOTAL]]=0,"",RANK(TS_ATHLETES[[#This Row],[RANK VALUE]],TS_ATHLETES[RANK VALUE]))</f>
        <v>1224</v>
      </c>
      <c r="I1095" s="3">
        <f>IFERROR(IF(TS_ATHLETES[[#This Row],[TOTAL]]=0,"",RANK(TS_ATHLETES[[#This Row],[RANK VALUE]],TS_ATHLETES[RANK VALUE])+COUNTIF($H$1:H1094,H1095)),"")</f>
        <v>1607</v>
      </c>
    </row>
    <row r="1096" spans="1:9" x14ac:dyDescent="0.25">
      <c r="A1096" t="s">
        <v>1998</v>
      </c>
      <c r="B1096" s="3" t="s">
        <v>136</v>
      </c>
      <c r="C1096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1</v>
      </c>
      <c r="D1096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1096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1096" s="3">
        <f>SUM(TS_ATHLETES[[#This Row],[GOLD MEDALS]:[BRONZE MEDALS]])</f>
        <v>1</v>
      </c>
      <c r="G1096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10100000</v>
      </c>
      <c r="H1096" s="3">
        <f>IF(TS_ATHLETES[[#This Row],[TOTAL]]=0,"",RANK(TS_ATHLETES[[#This Row],[RANK VALUE]],TS_ATHLETES[RANK VALUE]))</f>
        <v>129</v>
      </c>
      <c r="I1096" s="3">
        <f>IFERROR(IF(TS_ATHLETES[[#This Row],[TOTAL]]=0,"",RANK(TS_ATHLETES[[#This Row],[RANK VALUE]],TS_ATHLETES[RANK VALUE])+COUNTIF($H$1:H1095,H1096)),"")</f>
        <v>411</v>
      </c>
    </row>
    <row r="1097" spans="1:9" x14ac:dyDescent="0.25">
      <c r="A1097" t="s">
        <v>1999</v>
      </c>
      <c r="B1097" s="3" t="s">
        <v>136</v>
      </c>
      <c r="C1097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1</v>
      </c>
      <c r="D1097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1097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1097" s="3">
        <f>SUM(TS_ATHLETES[[#This Row],[GOLD MEDALS]:[BRONZE MEDALS]])</f>
        <v>1</v>
      </c>
      <c r="G1097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10100000</v>
      </c>
      <c r="H1097" s="3">
        <f>IF(TS_ATHLETES[[#This Row],[TOTAL]]=0,"",RANK(TS_ATHLETES[[#This Row],[RANK VALUE]],TS_ATHLETES[RANK VALUE]))</f>
        <v>129</v>
      </c>
      <c r="I1097" s="3">
        <f>IFERROR(IF(TS_ATHLETES[[#This Row],[TOTAL]]=0,"",RANK(TS_ATHLETES[[#This Row],[RANK VALUE]],TS_ATHLETES[RANK VALUE])+COUNTIF($H$1:H1096,H1097)),"")</f>
        <v>412</v>
      </c>
    </row>
    <row r="1098" spans="1:9" x14ac:dyDescent="0.25">
      <c r="A1098" t="s">
        <v>2000</v>
      </c>
      <c r="B1098" s="3" t="s">
        <v>136</v>
      </c>
      <c r="C1098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1</v>
      </c>
      <c r="D1098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1098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1098" s="3">
        <f>SUM(TS_ATHLETES[[#This Row],[GOLD MEDALS]:[BRONZE MEDALS]])</f>
        <v>1</v>
      </c>
      <c r="G1098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10100000</v>
      </c>
      <c r="H1098" s="3">
        <f>IF(TS_ATHLETES[[#This Row],[TOTAL]]=0,"",RANK(TS_ATHLETES[[#This Row],[RANK VALUE]],TS_ATHLETES[RANK VALUE]))</f>
        <v>129</v>
      </c>
      <c r="I1098" s="3">
        <f>IFERROR(IF(TS_ATHLETES[[#This Row],[TOTAL]]=0,"",RANK(TS_ATHLETES[[#This Row],[RANK VALUE]],TS_ATHLETES[RANK VALUE])+COUNTIF($H$1:H1097,H1098)),"")</f>
        <v>413</v>
      </c>
    </row>
    <row r="1099" spans="1:9" x14ac:dyDescent="0.25">
      <c r="A1099" t="s">
        <v>2001</v>
      </c>
      <c r="B1099" s="3" t="s">
        <v>136</v>
      </c>
      <c r="C1099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1</v>
      </c>
      <c r="D1099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1099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1099" s="3">
        <f>SUM(TS_ATHLETES[[#This Row],[GOLD MEDALS]:[BRONZE MEDALS]])</f>
        <v>1</v>
      </c>
      <c r="G1099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10100000</v>
      </c>
      <c r="H1099" s="3">
        <f>IF(TS_ATHLETES[[#This Row],[TOTAL]]=0,"",RANK(TS_ATHLETES[[#This Row],[RANK VALUE]],TS_ATHLETES[RANK VALUE]))</f>
        <v>129</v>
      </c>
      <c r="I1099" s="3">
        <f>IFERROR(IF(TS_ATHLETES[[#This Row],[TOTAL]]=0,"",RANK(TS_ATHLETES[[#This Row],[RANK VALUE]],TS_ATHLETES[RANK VALUE])+COUNTIF($H$1:H1098,H1099)),"")</f>
        <v>414</v>
      </c>
    </row>
    <row r="1100" spans="1:9" x14ac:dyDescent="0.25">
      <c r="A1100" t="s">
        <v>2002</v>
      </c>
      <c r="B1100" s="3" t="s">
        <v>136</v>
      </c>
      <c r="C1100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1</v>
      </c>
      <c r="D1100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1100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1100" s="3">
        <f>SUM(TS_ATHLETES[[#This Row],[GOLD MEDALS]:[BRONZE MEDALS]])</f>
        <v>1</v>
      </c>
      <c r="G1100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10100000</v>
      </c>
      <c r="H1100" s="3">
        <f>IF(TS_ATHLETES[[#This Row],[TOTAL]]=0,"",RANK(TS_ATHLETES[[#This Row],[RANK VALUE]],TS_ATHLETES[RANK VALUE]))</f>
        <v>129</v>
      </c>
      <c r="I1100" s="3">
        <f>IFERROR(IF(TS_ATHLETES[[#This Row],[TOTAL]]=0,"",RANK(TS_ATHLETES[[#This Row],[RANK VALUE]],TS_ATHLETES[RANK VALUE])+COUNTIF($H$1:H1099,H1100)),"")</f>
        <v>415</v>
      </c>
    </row>
    <row r="1101" spans="1:9" x14ac:dyDescent="0.25">
      <c r="A1101" t="s">
        <v>2003</v>
      </c>
      <c r="B1101" s="3" t="s">
        <v>136</v>
      </c>
      <c r="C1101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1</v>
      </c>
      <c r="D1101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1101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1101" s="3">
        <f>SUM(TS_ATHLETES[[#This Row],[GOLD MEDALS]:[BRONZE MEDALS]])</f>
        <v>1</v>
      </c>
      <c r="G1101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10100000</v>
      </c>
      <c r="H1101" s="3">
        <f>IF(TS_ATHLETES[[#This Row],[TOTAL]]=0,"",RANK(TS_ATHLETES[[#This Row],[RANK VALUE]],TS_ATHLETES[RANK VALUE]))</f>
        <v>129</v>
      </c>
      <c r="I1101" s="3">
        <f>IFERROR(IF(TS_ATHLETES[[#This Row],[TOTAL]]=0,"",RANK(TS_ATHLETES[[#This Row],[RANK VALUE]],TS_ATHLETES[RANK VALUE])+COUNTIF($H$1:H1100,H1101)),"")</f>
        <v>416</v>
      </c>
    </row>
    <row r="1102" spans="1:9" x14ac:dyDescent="0.25">
      <c r="A1102" t="s">
        <v>2004</v>
      </c>
      <c r="B1102" s="3" t="s">
        <v>136</v>
      </c>
      <c r="C1102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1</v>
      </c>
      <c r="D1102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1102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1102" s="3">
        <f>SUM(TS_ATHLETES[[#This Row],[GOLD MEDALS]:[BRONZE MEDALS]])</f>
        <v>1</v>
      </c>
      <c r="G1102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10100000</v>
      </c>
      <c r="H1102" s="3">
        <f>IF(TS_ATHLETES[[#This Row],[TOTAL]]=0,"",RANK(TS_ATHLETES[[#This Row],[RANK VALUE]],TS_ATHLETES[RANK VALUE]))</f>
        <v>129</v>
      </c>
      <c r="I1102" s="3">
        <f>IFERROR(IF(TS_ATHLETES[[#This Row],[TOTAL]]=0,"",RANK(TS_ATHLETES[[#This Row],[RANK VALUE]],TS_ATHLETES[RANK VALUE])+COUNTIF($H$1:H1101,H1102)),"")</f>
        <v>417</v>
      </c>
    </row>
    <row r="1103" spans="1:9" x14ac:dyDescent="0.25">
      <c r="A1103" t="s">
        <v>2005</v>
      </c>
      <c r="B1103" s="3" t="s">
        <v>136</v>
      </c>
      <c r="C1103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1</v>
      </c>
      <c r="D1103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1103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1103" s="3">
        <f>SUM(TS_ATHLETES[[#This Row],[GOLD MEDALS]:[BRONZE MEDALS]])</f>
        <v>1</v>
      </c>
      <c r="G1103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10100000</v>
      </c>
      <c r="H1103" s="3">
        <f>IF(TS_ATHLETES[[#This Row],[TOTAL]]=0,"",RANK(TS_ATHLETES[[#This Row],[RANK VALUE]],TS_ATHLETES[RANK VALUE]))</f>
        <v>129</v>
      </c>
      <c r="I1103" s="3">
        <f>IFERROR(IF(TS_ATHLETES[[#This Row],[TOTAL]]=0,"",RANK(TS_ATHLETES[[#This Row],[RANK VALUE]],TS_ATHLETES[RANK VALUE])+COUNTIF($H$1:H1102,H1103)),"")</f>
        <v>418</v>
      </c>
    </row>
    <row r="1104" spans="1:9" x14ac:dyDescent="0.25">
      <c r="A1104" t="s">
        <v>2006</v>
      </c>
      <c r="B1104" s="3" t="s">
        <v>136</v>
      </c>
      <c r="C1104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1</v>
      </c>
      <c r="D1104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1104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1104" s="3">
        <f>SUM(TS_ATHLETES[[#This Row],[GOLD MEDALS]:[BRONZE MEDALS]])</f>
        <v>1</v>
      </c>
      <c r="G1104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10100000</v>
      </c>
      <c r="H1104" s="3">
        <f>IF(TS_ATHLETES[[#This Row],[TOTAL]]=0,"",RANK(TS_ATHLETES[[#This Row],[RANK VALUE]],TS_ATHLETES[RANK VALUE]))</f>
        <v>129</v>
      </c>
      <c r="I1104" s="3">
        <f>IFERROR(IF(TS_ATHLETES[[#This Row],[TOTAL]]=0,"",RANK(TS_ATHLETES[[#This Row],[RANK VALUE]],TS_ATHLETES[RANK VALUE])+COUNTIF($H$1:H1103,H1104)),"")</f>
        <v>419</v>
      </c>
    </row>
    <row r="1105" spans="1:9" x14ac:dyDescent="0.25">
      <c r="A1105" t="s">
        <v>2007</v>
      </c>
      <c r="B1105" s="3" t="s">
        <v>136</v>
      </c>
      <c r="C1105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1</v>
      </c>
      <c r="D1105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1105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1105" s="3">
        <f>SUM(TS_ATHLETES[[#This Row],[GOLD MEDALS]:[BRONZE MEDALS]])</f>
        <v>1</v>
      </c>
      <c r="G1105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10100000</v>
      </c>
      <c r="H1105" s="3">
        <f>IF(TS_ATHLETES[[#This Row],[TOTAL]]=0,"",RANK(TS_ATHLETES[[#This Row],[RANK VALUE]],TS_ATHLETES[RANK VALUE]))</f>
        <v>129</v>
      </c>
      <c r="I1105" s="3">
        <f>IFERROR(IF(TS_ATHLETES[[#This Row],[TOTAL]]=0,"",RANK(TS_ATHLETES[[#This Row],[RANK VALUE]],TS_ATHLETES[RANK VALUE])+COUNTIF($H$1:H1104,H1105)),"")</f>
        <v>420</v>
      </c>
    </row>
    <row r="1106" spans="1:9" x14ac:dyDescent="0.25">
      <c r="A1106" t="s">
        <v>2008</v>
      </c>
      <c r="B1106" s="3" t="s">
        <v>136</v>
      </c>
      <c r="C1106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1</v>
      </c>
      <c r="D1106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1106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1106" s="3">
        <f>SUM(TS_ATHLETES[[#This Row],[GOLD MEDALS]:[BRONZE MEDALS]])</f>
        <v>1</v>
      </c>
      <c r="G1106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10100000</v>
      </c>
      <c r="H1106" s="3">
        <f>IF(TS_ATHLETES[[#This Row],[TOTAL]]=0,"",RANK(TS_ATHLETES[[#This Row],[RANK VALUE]],TS_ATHLETES[RANK VALUE]))</f>
        <v>129</v>
      </c>
      <c r="I1106" s="3">
        <f>IFERROR(IF(TS_ATHLETES[[#This Row],[TOTAL]]=0,"",RANK(TS_ATHLETES[[#This Row],[RANK VALUE]],TS_ATHLETES[RANK VALUE])+COUNTIF($H$1:H1105,H1106)),"")</f>
        <v>421</v>
      </c>
    </row>
    <row r="1107" spans="1:9" x14ac:dyDescent="0.25">
      <c r="A1107" t="s">
        <v>2009</v>
      </c>
      <c r="B1107" s="3" t="s">
        <v>136</v>
      </c>
      <c r="C1107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1</v>
      </c>
      <c r="D1107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1107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1107" s="3">
        <f>SUM(TS_ATHLETES[[#This Row],[GOLD MEDALS]:[BRONZE MEDALS]])</f>
        <v>1</v>
      </c>
      <c r="G1107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10100000</v>
      </c>
      <c r="H1107" s="3">
        <f>IF(TS_ATHLETES[[#This Row],[TOTAL]]=0,"",RANK(TS_ATHLETES[[#This Row],[RANK VALUE]],TS_ATHLETES[RANK VALUE]))</f>
        <v>129</v>
      </c>
      <c r="I1107" s="3">
        <f>IFERROR(IF(TS_ATHLETES[[#This Row],[TOTAL]]=0,"",RANK(TS_ATHLETES[[#This Row],[RANK VALUE]],TS_ATHLETES[RANK VALUE])+COUNTIF($H$1:H1106,H1107)),"")</f>
        <v>422</v>
      </c>
    </row>
    <row r="1108" spans="1:9" x14ac:dyDescent="0.25">
      <c r="A1108" t="s">
        <v>2010</v>
      </c>
      <c r="B1108" s="3" t="s">
        <v>136</v>
      </c>
      <c r="C1108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1</v>
      </c>
      <c r="D1108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1108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1108" s="3">
        <f>SUM(TS_ATHLETES[[#This Row],[GOLD MEDALS]:[BRONZE MEDALS]])</f>
        <v>1</v>
      </c>
      <c r="G1108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10100000</v>
      </c>
      <c r="H1108" s="3">
        <f>IF(TS_ATHLETES[[#This Row],[TOTAL]]=0,"",RANK(TS_ATHLETES[[#This Row],[RANK VALUE]],TS_ATHLETES[RANK VALUE]))</f>
        <v>129</v>
      </c>
      <c r="I1108" s="3">
        <f>IFERROR(IF(TS_ATHLETES[[#This Row],[TOTAL]]=0,"",RANK(TS_ATHLETES[[#This Row],[RANK VALUE]],TS_ATHLETES[RANK VALUE])+COUNTIF($H$1:H1107,H1108)),"")</f>
        <v>423</v>
      </c>
    </row>
    <row r="1109" spans="1:9" x14ac:dyDescent="0.25">
      <c r="A1109" t="s">
        <v>2011</v>
      </c>
      <c r="B1109" s="3" t="s">
        <v>136</v>
      </c>
      <c r="C1109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1</v>
      </c>
      <c r="D1109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1109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1109" s="3">
        <f>SUM(TS_ATHLETES[[#This Row],[GOLD MEDALS]:[BRONZE MEDALS]])</f>
        <v>1</v>
      </c>
      <c r="G1109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10100000</v>
      </c>
      <c r="H1109" s="3">
        <f>IF(TS_ATHLETES[[#This Row],[TOTAL]]=0,"",RANK(TS_ATHLETES[[#This Row],[RANK VALUE]],TS_ATHLETES[RANK VALUE]))</f>
        <v>129</v>
      </c>
      <c r="I1109" s="3">
        <f>IFERROR(IF(TS_ATHLETES[[#This Row],[TOTAL]]=0,"",RANK(TS_ATHLETES[[#This Row],[RANK VALUE]],TS_ATHLETES[RANK VALUE])+COUNTIF($H$1:H1108,H1109)),"")</f>
        <v>424</v>
      </c>
    </row>
    <row r="1110" spans="1:9" x14ac:dyDescent="0.25">
      <c r="A1110" t="s">
        <v>2012</v>
      </c>
      <c r="B1110" s="3" t="s">
        <v>136</v>
      </c>
      <c r="C1110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1</v>
      </c>
      <c r="D1110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1110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1110" s="3">
        <f>SUM(TS_ATHLETES[[#This Row],[GOLD MEDALS]:[BRONZE MEDALS]])</f>
        <v>1</v>
      </c>
      <c r="G1110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10100000</v>
      </c>
      <c r="H1110" s="3">
        <f>IF(TS_ATHLETES[[#This Row],[TOTAL]]=0,"",RANK(TS_ATHLETES[[#This Row],[RANK VALUE]],TS_ATHLETES[RANK VALUE]))</f>
        <v>129</v>
      </c>
      <c r="I1110" s="3">
        <f>IFERROR(IF(TS_ATHLETES[[#This Row],[TOTAL]]=0,"",RANK(TS_ATHLETES[[#This Row],[RANK VALUE]],TS_ATHLETES[RANK VALUE])+COUNTIF($H$1:H1109,H1110)),"")</f>
        <v>425</v>
      </c>
    </row>
    <row r="1111" spans="1:9" x14ac:dyDescent="0.25">
      <c r="A1111" t="s">
        <v>2013</v>
      </c>
      <c r="B1111" s="3" t="s">
        <v>136</v>
      </c>
      <c r="C1111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1</v>
      </c>
      <c r="D1111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1111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1111" s="3">
        <f>SUM(TS_ATHLETES[[#This Row],[GOLD MEDALS]:[BRONZE MEDALS]])</f>
        <v>1</v>
      </c>
      <c r="G1111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10100000</v>
      </c>
      <c r="H1111" s="3">
        <f>IF(TS_ATHLETES[[#This Row],[TOTAL]]=0,"",RANK(TS_ATHLETES[[#This Row],[RANK VALUE]],TS_ATHLETES[RANK VALUE]))</f>
        <v>129</v>
      </c>
      <c r="I1111" s="3">
        <f>IFERROR(IF(TS_ATHLETES[[#This Row],[TOTAL]]=0,"",RANK(TS_ATHLETES[[#This Row],[RANK VALUE]],TS_ATHLETES[RANK VALUE])+COUNTIF($H$1:H1110,H1111)),"")</f>
        <v>426</v>
      </c>
    </row>
    <row r="1112" spans="1:9" x14ac:dyDescent="0.25">
      <c r="A1112" t="s">
        <v>2014</v>
      </c>
      <c r="B1112" s="3" t="s">
        <v>136</v>
      </c>
      <c r="C1112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1</v>
      </c>
      <c r="D1112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1112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1112" s="3">
        <f>SUM(TS_ATHLETES[[#This Row],[GOLD MEDALS]:[BRONZE MEDALS]])</f>
        <v>1</v>
      </c>
      <c r="G1112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10100000</v>
      </c>
      <c r="H1112" s="3">
        <f>IF(TS_ATHLETES[[#This Row],[TOTAL]]=0,"",RANK(TS_ATHLETES[[#This Row],[RANK VALUE]],TS_ATHLETES[RANK VALUE]))</f>
        <v>129</v>
      </c>
      <c r="I1112" s="3">
        <f>IFERROR(IF(TS_ATHLETES[[#This Row],[TOTAL]]=0,"",RANK(TS_ATHLETES[[#This Row],[RANK VALUE]],TS_ATHLETES[RANK VALUE])+COUNTIF($H$1:H1111,H1112)),"")</f>
        <v>427</v>
      </c>
    </row>
    <row r="1113" spans="1:9" x14ac:dyDescent="0.25">
      <c r="A1113" t="s">
        <v>2015</v>
      </c>
      <c r="B1113" s="3" t="s">
        <v>136</v>
      </c>
      <c r="C1113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1</v>
      </c>
      <c r="D1113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1113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1113" s="3">
        <f>SUM(TS_ATHLETES[[#This Row],[GOLD MEDALS]:[BRONZE MEDALS]])</f>
        <v>1</v>
      </c>
      <c r="G1113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10100000</v>
      </c>
      <c r="H1113" s="3">
        <f>IF(TS_ATHLETES[[#This Row],[TOTAL]]=0,"",RANK(TS_ATHLETES[[#This Row],[RANK VALUE]],TS_ATHLETES[RANK VALUE]))</f>
        <v>129</v>
      </c>
      <c r="I1113" s="3">
        <f>IFERROR(IF(TS_ATHLETES[[#This Row],[TOTAL]]=0,"",RANK(TS_ATHLETES[[#This Row],[RANK VALUE]],TS_ATHLETES[RANK VALUE])+COUNTIF($H$1:H1112,H1113)),"")</f>
        <v>428</v>
      </c>
    </row>
    <row r="1114" spans="1:9" x14ac:dyDescent="0.25">
      <c r="A1114" t="s">
        <v>2016</v>
      </c>
      <c r="B1114" s="3" t="s">
        <v>331</v>
      </c>
      <c r="C1114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1114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1</v>
      </c>
      <c r="E1114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1114" s="3">
        <f>SUM(TS_ATHLETES[[#This Row],[GOLD MEDALS]:[BRONZE MEDALS]])</f>
        <v>1</v>
      </c>
      <c r="G1114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10000100</v>
      </c>
      <c r="H1114" s="3">
        <f>IF(TS_ATHLETES[[#This Row],[TOTAL]]=0,"",RANK(TS_ATHLETES[[#This Row],[RANK VALUE]],TS_ATHLETES[RANK VALUE]))</f>
        <v>660</v>
      </c>
      <c r="I1114" s="3">
        <f>IFERROR(IF(TS_ATHLETES[[#This Row],[TOTAL]]=0,"",RANK(TS_ATHLETES[[#This Row],[RANK VALUE]],TS_ATHLETES[RANK VALUE])+COUNTIF($H$1:H1113,H1114)),"")</f>
        <v>974</v>
      </c>
    </row>
    <row r="1115" spans="1:9" x14ac:dyDescent="0.25">
      <c r="A1115" t="s">
        <v>2017</v>
      </c>
      <c r="B1115" s="3" t="s">
        <v>331</v>
      </c>
      <c r="C1115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1115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1</v>
      </c>
      <c r="E1115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1115" s="3">
        <f>SUM(TS_ATHLETES[[#This Row],[GOLD MEDALS]:[BRONZE MEDALS]])</f>
        <v>1</v>
      </c>
      <c r="G1115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10000100</v>
      </c>
      <c r="H1115" s="3">
        <f>IF(TS_ATHLETES[[#This Row],[TOTAL]]=0,"",RANK(TS_ATHLETES[[#This Row],[RANK VALUE]],TS_ATHLETES[RANK VALUE]))</f>
        <v>660</v>
      </c>
      <c r="I1115" s="3">
        <f>IFERROR(IF(TS_ATHLETES[[#This Row],[TOTAL]]=0,"",RANK(TS_ATHLETES[[#This Row],[RANK VALUE]],TS_ATHLETES[RANK VALUE])+COUNTIF($H$1:H1114,H1115)),"")</f>
        <v>975</v>
      </c>
    </row>
    <row r="1116" spans="1:9" x14ac:dyDescent="0.25">
      <c r="A1116" t="s">
        <v>2018</v>
      </c>
      <c r="B1116" s="3" t="s">
        <v>331</v>
      </c>
      <c r="C1116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1116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1</v>
      </c>
      <c r="E1116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1116" s="3">
        <f>SUM(TS_ATHLETES[[#This Row],[GOLD MEDALS]:[BRONZE MEDALS]])</f>
        <v>1</v>
      </c>
      <c r="G1116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10000100</v>
      </c>
      <c r="H1116" s="3">
        <f>IF(TS_ATHLETES[[#This Row],[TOTAL]]=0,"",RANK(TS_ATHLETES[[#This Row],[RANK VALUE]],TS_ATHLETES[RANK VALUE]))</f>
        <v>660</v>
      </c>
      <c r="I1116" s="3">
        <f>IFERROR(IF(TS_ATHLETES[[#This Row],[TOTAL]]=0,"",RANK(TS_ATHLETES[[#This Row],[RANK VALUE]],TS_ATHLETES[RANK VALUE])+COUNTIF($H$1:H1115,H1116)),"")</f>
        <v>976</v>
      </c>
    </row>
    <row r="1117" spans="1:9" x14ac:dyDescent="0.25">
      <c r="A1117" t="s">
        <v>2019</v>
      </c>
      <c r="B1117" s="3" t="s">
        <v>331</v>
      </c>
      <c r="C1117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1117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1</v>
      </c>
      <c r="E1117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1117" s="3">
        <f>SUM(TS_ATHLETES[[#This Row],[GOLD MEDALS]:[BRONZE MEDALS]])</f>
        <v>1</v>
      </c>
      <c r="G1117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10000100</v>
      </c>
      <c r="H1117" s="3">
        <f>IF(TS_ATHLETES[[#This Row],[TOTAL]]=0,"",RANK(TS_ATHLETES[[#This Row],[RANK VALUE]],TS_ATHLETES[RANK VALUE]))</f>
        <v>660</v>
      </c>
      <c r="I1117" s="3">
        <f>IFERROR(IF(TS_ATHLETES[[#This Row],[TOTAL]]=0,"",RANK(TS_ATHLETES[[#This Row],[RANK VALUE]],TS_ATHLETES[RANK VALUE])+COUNTIF($H$1:H1116,H1117)),"")</f>
        <v>977</v>
      </c>
    </row>
    <row r="1118" spans="1:9" x14ac:dyDescent="0.25">
      <c r="A1118" t="s">
        <v>2020</v>
      </c>
      <c r="B1118" s="3" t="s">
        <v>331</v>
      </c>
      <c r="C1118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1118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1</v>
      </c>
      <c r="E1118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1118" s="3">
        <f>SUM(TS_ATHLETES[[#This Row],[GOLD MEDALS]:[BRONZE MEDALS]])</f>
        <v>1</v>
      </c>
      <c r="G1118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10000100</v>
      </c>
      <c r="H1118" s="3">
        <f>IF(TS_ATHLETES[[#This Row],[TOTAL]]=0,"",RANK(TS_ATHLETES[[#This Row],[RANK VALUE]],TS_ATHLETES[RANK VALUE]))</f>
        <v>660</v>
      </c>
      <c r="I1118" s="3">
        <f>IFERROR(IF(TS_ATHLETES[[#This Row],[TOTAL]]=0,"",RANK(TS_ATHLETES[[#This Row],[RANK VALUE]],TS_ATHLETES[RANK VALUE])+COUNTIF($H$1:H1117,H1118)),"")</f>
        <v>978</v>
      </c>
    </row>
    <row r="1119" spans="1:9" x14ac:dyDescent="0.25">
      <c r="A1119" t="s">
        <v>2021</v>
      </c>
      <c r="B1119" s="3" t="s">
        <v>331</v>
      </c>
      <c r="C1119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1119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1</v>
      </c>
      <c r="E1119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1119" s="3">
        <f>SUM(TS_ATHLETES[[#This Row],[GOLD MEDALS]:[BRONZE MEDALS]])</f>
        <v>1</v>
      </c>
      <c r="G1119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10000100</v>
      </c>
      <c r="H1119" s="3">
        <f>IF(TS_ATHLETES[[#This Row],[TOTAL]]=0,"",RANK(TS_ATHLETES[[#This Row],[RANK VALUE]],TS_ATHLETES[RANK VALUE]))</f>
        <v>660</v>
      </c>
      <c r="I1119" s="3">
        <f>IFERROR(IF(TS_ATHLETES[[#This Row],[TOTAL]]=0,"",RANK(TS_ATHLETES[[#This Row],[RANK VALUE]],TS_ATHLETES[RANK VALUE])+COUNTIF($H$1:H1118,H1119)),"")</f>
        <v>979</v>
      </c>
    </row>
    <row r="1120" spans="1:9" x14ac:dyDescent="0.25">
      <c r="A1120" t="s">
        <v>2022</v>
      </c>
      <c r="B1120" s="3" t="s">
        <v>331</v>
      </c>
      <c r="C1120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1120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1</v>
      </c>
      <c r="E1120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1120" s="3">
        <f>SUM(TS_ATHLETES[[#This Row],[GOLD MEDALS]:[BRONZE MEDALS]])</f>
        <v>1</v>
      </c>
      <c r="G1120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10000100</v>
      </c>
      <c r="H1120" s="3">
        <f>IF(TS_ATHLETES[[#This Row],[TOTAL]]=0,"",RANK(TS_ATHLETES[[#This Row],[RANK VALUE]],TS_ATHLETES[RANK VALUE]))</f>
        <v>660</v>
      </c>
      <c r="I1120" s="3">
        <f>IFERROR(IF(TS_ATHLETES[[#This Row],[TOTAL]]=0,"",RANK(TS_ATHLETES[[#This Row],[RANK VALUE]],TS_ATHLETES[RANK VALUE])+COUNTIF($H$1:H1119,H1120)),"")</f>
        <v>980</v>
      </c>
    </row>
    <row r="1121" spans="1:9" x14ac:dyDescent="0.25">
      <c r="A1121" t="s">
        <v>2023</v>
      </c>
      <c r="B1121" s="3" t="s">
        <v>331</v>
      </c>
      <c r="C1121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1121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1</v>
      </c>
      <c r="E1121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1121" s="3">
        <f>SUM(TS_ATHLETES[[#This Row],[GOLD MEDALS]:[BRONZE MEDALS]])</f>
        <v>1</v>
      </c>
      <c r="G1121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10000100</v>
      </c>
      <c r="H1121" s="3">
        <f>IF(TS_ATHLETES[[#This Row],[TOTAL]]=0,"",RANK(TS_ATHLETES[[#This Row],[RANK VALUE]],TS_ATHLETES[RANK VALUE]))</f>
        <v>660</v>
      </c>
      <c r="I1121" s="3">
        <f>IFERROR(IF(TS_ATHLETES[[#This Row],[TOTAL]]=0,"",RANK(TS_ATHLETES[[#This Row],[RANK VALUE]],TS_ATHLETES[RANK VALUE])+COUNTIF($H$1:H1120,H1121)),"")</f>
        <v>981</v>
      </c>
    </row>
    <row r="1122" spans="1:9" x14ac:dyDescent="0.25">
      <c r="A1122" t="s">
        <v>2024</v>
      </c>
      <c r="B1122" s="3" t="s">
        <v>331</v>
      </c>
      <c r="C1122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1122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1</v>
      </c>
      <c r="E1122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1122" s="3">
        <f>SUM(TS_ATHLETES[[#This Row],[GOLD MEDALS]:[BRONZE MEDALS]])</f>
        <v>1</v>
      </c>
      <c r="G1122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10000100</v>
      </c>
      <c r="H1122" s="3">
        <f>IF(TS_ATHLETES[[#This Row],[TOTAL]]=0,"",RANK(TS_ATHLETES[[#This Row],[RANK VALUE]],TS_ATHLETES[RANK VALUE]))</f>
        <v>660</v>
      </c>
      <c r="I1122" s="3">
        <f>IFERROR(IF(TS_ATHLETES[[#This Row],[TOTAL]]=0,"",RANK(TS_ATHLETES[[#This Row],[RANK VALUE]],TS_ATHLETES[RANK VALUE])+COUNTIF($H$1:H1121,H1122)),"")</f>
        <v>982</v>
      </c>
    </row>
    <row r="1123" spans="1:9" x14ac:dyDescent="0.25">
      <c r="A1123" t="s">
        <v>2025</v>
      </c>
      <c r="B1123" s="3" t="s">
        <v>331</v>
      </c>
      <c r="C1123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1123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1</v>
      </c>
      <c r="E1123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1123" s="3">
        <f>SUM(TS_ATHLETES[[#This Row],[GOLD MEDALS]:[BRONZE MEDALS]])</f>
        <v>1</v>
      </c>
      <c r="G1123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10000100</v>
      </c>
      <c r="H1123" s="3">
        <f>IF(TS_ATHLETES[[#This Row],[TOTAL]]=0,"",RANK(TS_ATHLETES[[#This Row],[RANK VALUE]],TS_ATHLETES[RANK VALUE]))</f>
        <v>660</v>
      </c>
      <c r="I1123" s="3">
        <f>IFERROR(IF(TS_ATHLETES[[#This Row],[TOTAL]]=0,"",RANK(TS_ATHLETES[[#This Row],[RANK VALUE]],TS_ATHLETES[RANK VALUE])+COUNTIF($H$1:H1122,H1123)),"")</f>
        <v>983</v>
      </c>
    </row>
    <row r="1124" spans="1:9" x14ac:dyDescent="0.25">
      <c r="A1124" t="s">
        <v>2026</v>
      </c>
      <c r="B1124" s="3" t="s">
        <v>331</v>
      </c>
      <c r="C1124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1124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1</v>
      </c>
      <c r="E1124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1124" s="3">
        <f>SUM(TS_ATHLETES[[#This Row],[GOLD MEDALS]:[BRONZE MEDALS]])</f>
        <v>1</v>
      </c>
      <c r="G1124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10000100</v>
      </c>
      <c r="H1124" s="3">
        <f>IF(TS_ATHLETES[[#This Row],[TOTAL]]=0,"",RANK(TS_ATHLETES[[#This Row],[RANK VALUE]],TS_ATHLETES[RANK VALUE]))</f>
        <v>660</v>
      </c>
      <c r="I1124" s="3">
        <f>IFERROR(IF(TS_ATHLETES[[#This Row],[TOTAL]]=0,"",RANK(TS_ATHLETES[[#This Row],[RANK VALUE]],TS_ATHLETES[RANK VALUE])+COUNTIF($H$1:H1123,H1124)),"")</f>
        <v>984</v>
      </c>
    </row>
    <row r="1125" spans="1:9" x14ac:dyDescent="0.25">
      <c r="A1125" t="s">
        <v>2027</v>
      </c>
      <c r="B1125" s="3" t="s">
        <v>331</v>
      </c>
      <c r="C1125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1125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1</v>
      </c>
      <c r="E1125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1125" s="3">
        <f>SUM(TS_ATHLETES[[#This Row],[GOLD MEDALS]:[BRONZE MEDALS]])</f>
        <v>1</v>
      </c>
      <c r="G1125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10000100</v>
      </c>
      <c r="H1125" s="3">
        <f>IF(TS_ATHLETES[[#This Row],[TOTAL]]=0,"",RANK(TS_ATHLETES[[#This Row],[RANK VALUE]],TS_ATHLETES[RANK VALUE]))</f>
        <v>660</v>
      </c>
      <c r="I1125" s="3">
        <f>IFERROR(IF(TS_ATHLETES[[#This Row],[TOTAL]]=0,"",RANK(TS_ATHLETES[[#This Row],[RANK VALUE]],TS_ATHLETES[RANK VALUE])+COUNTIF($H$1:H1124,H1125)),"")</f>
        <v>985</v>
      </c>
    </row>
    <row r="1126" spans="1:9" x14ac:dyDescent="0.25">
      <c r="A1126" t="s">
        <v>2028</v>
      </c>
      <c r="B1126" s="3" t="s">
        <v>331</v>
      </c>
      <c r="C1126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1126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1</v>
      </c>
      <c r="E1126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1126" s="3">
        <f>SUM(TS_ATHLETES[[#This Row],[GOLD MEDALS]:[BRONZE MEDALS]])</f>
        <v>1</v>
      </c>
      <c r="G1126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10000100</v>
      </c>
      <c r="H1126" s="3">
        <f>IF(TS_ATHLETES[[#This Row],[TOTAL]]=0,"",RANK(TS_ATHLETES[[#This Row],[RANK VALUE]],TS_ATHLETES[RANK VALUE]))</f>
        <v>660</v>
      </c>
      <c r="I1126" s="3">
        <f>IFERROR(IF(TS_ATHLETES[[#This Row],[TOTAL]]=0,"",RANK(TS_ATHLETES[[#This Row],[RANK VALUE]],TS_ATHLETES[RANK VALUE])+COUNTIF($H$1:H1125,H1126)),"")</f>
        <v>986</v>
      </c>
    </row>
    <row r="1127" spans="1:9" x14ac:dyDescent="0.25">
      <c r="A1127" t="s">
        <v>2029</v>
      </c>
      <c r="B1127" s="3" t="s">
        <v>331</v>
      </c>
      <c r="C1127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1127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1</v>
      </c>
      <c r="E1127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1127" s="3">
        <f>SUM(TS_ATHLETES[[#This Row],[GOLD MEDALS]:[BRONZE MEDALS]])</f>
        <v>1</v>
      </c>
      <c r="G1127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10000100</v>
      </c>
      <c r="H1127" s="3">
        <f>IF(TS_ATHLETES[[#This Row],[TOTAL]]=0,"",RANK(TS_ATHLETES[[#This Row],[RANK VALUE]],TS_ATHLETES[RANK VALUE]))</f>
        <v>660</v>
      </c>
      <c r="I1127" s="3">
        <f>IFERROR(IF(TS_ATHLETES[[#This Row],[TOTAL]]=0,"",RANK(TS_ATHLETES[[#This Row],[RANK VALUE]],TS_ATHLETES[RANK VALUE])+COUNTIF($H$1:H1126,H1127)),"")</f>
        <v>987</v>
      </c>
    </row>
    <row r="1128" spans="1:9" x14ac:dyDescent="0.25">
      <c r="A1128" t="s">
        <v>2030</v>
      </c>
      <c r="B1128" s="3" t="s">
        <v>331</v>
      </c>
      <c r="C1128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1128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1</v>
      </c>
      <c r="E1128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1128" s="3">
        <f>SUM(TS_ATHLETES[[#This Row],[GOLD MEDALS]:[BRONZE MEDALS]])</f>
        <v>1</v>
      </c>
      <c r="G1128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10000100</v>
      </c>
      <c r="H1128" s="3">
        <f>IF(TS_ATHLETES[[#This Row],[TOTAL]]=0,"",RANK(TS_ATHLETES[[#This Row],[RANK VALUE]],TS_ATHLETES[RANK VALUE]))</f>
        <v>660</v>
      </c>
      <c r="I1128" s="3">
        <f>IFERROR(IF(TS_ATHLETES[[#This Row],[TOTAL]]=0,"",RANK(TS_ATHLETES[[#This Row],[RANK VALUE]],TS_ATHLETES[RANK VALUE])+COUNTIF($H$1:H1127,H1128)),"")</f>
        <v>988</v>
      </c>
    </row>
    <row r="1129" spans="1:9" x14ac:dyDescent="0.25">
      <c r="A1129" t="s">
        <v>2031</v>
      </c>
      <c r="B1129" s="3" t="s">
        <v>331</v>
      </c>
      <c r="C1129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1129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1</v>
      </c>
      <c r="E1129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1129" s="3">
        <f>SUM(TS_ATHLETES[[#This Row],[GOLD MEDALS]:[BRONZE MEDALS]])</f>
        <v>1</v>
      </c>
      <c r="G1129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10000100</v>
      </c>
      <c r="H1129" s="3">
        <f>IF(TS_ATHLETES[[#This Row],[TOTAL]]=0,"",RANK(TS_ATHLETES[[#This Row],[RANK VALUE]],TS_ATHLETES[RANK VALUE]))</f>
        <v>660</v>
      </c>
      <c r="I1129" s="3">
        <f>IFERROR(IF(TS_ATHLETES[[#This Row],[TOTAL]]=0,"",RANK(TS_ATHLETES[[#This Row],[RANK VALUE]],TS_ATHLETES[RANK VALUE])+COUNTIF($H$1:H1128,H1129)),"")</f>
        <v>989</v>
      </c>
    </row>
    <row r="1130" spans="1:9" x14ac:dyDescent="0.25">
      <c r="A1130" t="s">
        <v>2032</v>
      </c>
      <c r="B1130" s="3" t="s">
        <v>331</v>
      </c>
      <c r="C1130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1130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1</v>
      </c>
      <c r="E1130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1130" s="3">
        <f>SUM(TS_ATHLETES[[#This Row],[GOLD MEDALS]:[BRONZE MEDALS]])</f>
        <v>1</v>
      </c>
      <c r="G1130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10000100</v>
      </c>
      <c r="H1130" s="3">
        <f>IF(TS_ATHLETES[[#This Row],[TOTAL]]=0,"",RANK(TS_ATHLETES[[#This Row],[RANK VALUE]],TS_ATHLETES[RANK VALUE]))</f>
        <v>660</v>
      </c>
      <c r="I1130" s="3">
        <f>IFERROR(IF(TS_ATHLETES[[#This Row],[TOTAL]]=0,"",RANK(TS_ATHLETES[[#This Row],[RANK VALUE]],TS_ATHLETES[RANK VALUE])+COUNTIF($H$1:H1129,H1130)),"")</f>
        <v>990</v>
      </c>
    </row>
    <row r="1131" spans="1:9" x14ac:dyDescent="0.25">
      <c r="A1131" t="s">
        <v>2033</v>
      </c>
      <c r="B1131" s="3" t="s">
        <v>331</v>
      </c>
      <c r="C1131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1131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1</v>
      </c>
      <c r="E1131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1131" s="3">
        <f>SUM(TS_ATHLETES[[#This Row],[GOLD MEDALS]:[BRONZE MEDALS]])</f>
        <v>1</v>
      </c>
      <c r="G1131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10000100</v>
      </c>
      <c r="H1131" s="3">
        <f>IF(TS_ATHLETES[[#This Row],[TOTAL]]=0,"",RANK(TS_ATHLETES[[#This Row],[RANK VALUE]],TS_ATHLETES[RANK VALUE]))</f>
        <v>660</v>
      </c>
      <c r="I1131" s="3">
        <f>IFERROR(IF(TS_ATHLETES[[#This Row],[TOTAL]]=0,"",RANK(TS_ATHLETES[[#This Row],[RANK VALUE]],TS_ATHLETES[RANK VALUE])+COUNTIF($H$1:H1130,H1131)),"")</f>
        <v>991</v>
      </c>
    </row>
    <row r="1132" spans="1:9" x14ac:dyDescent="0.25">
      <c r="A1132" t="s">
        <v>2034</v>
      </c>
      <c r="B1132" s="3" t="s">
        <v>66</v>
      </c>
      <c r="C1132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1132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1132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1</v>
      </c>
      <c r="F1132" s="3">
        <f>SUM(TS_ATHLETES[[#This Row],[GOLD MEDALS]:[BRONZE MEDALS]])</f>
        <v>1</v>
      </c>
      <c r="G1132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10000010</v>
      </c>
      <c r="H1132" s="3">
        <f>IF(TS_ATHLETES[[#This Row],[TOTAL]]=0,"",RANK(TS_ATHLETES[[#This Row],[RANK VALUE]],TS_ATHLETES[RANK VALUE]))</f>
        <v>1224</v>
      </c>
      <c r="I1132" s="3">
        <f>IFERROR(IF(TS_ATHLETES[[#This Row],[TOTAL]]=0,"",RANK(TS_ATHLETES[[#This Row],[RANK VALUE]],TS_ATHLETES[RANK VALUE])+COUNTIF($H$1:H1131,H1132)),"")</f>
        <v>1608</v>
      </c>
    </row>
    <row r="1133" spans="1:9" x14ac:dyDescent="0.25">
      <c r="A1133" t="s">
        <v>2035</v>
      </c>
      <c r="B1133" s="3" t="s">
        <v>66</v>
      </c>
      <c r="C1133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1133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1133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1</v>
      </c>
      <c r="F1133" s="3">
        <f>SUM(TS_ATHLETES[[#This Row],[GOLD MEDALS]:[BRONZE MEDALS]])</f>
        <v>1</v>
      </c>
      <c r="G1133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10000010</v>
      </c>
      <c r="H1133" s="3">
        <f>IF(TS_ATHLETES[[#This Row],[TOTAL]]=0,"",RANK(TS_ATHLETES[[#This Row],[RANK VALUE]],TS_ATHLETES[RANK VALUE]))</f>
        <v>1224</v>
      </c>
      <c r="I1133" s="3">
        <f>IFERROR(IF(TS_ATHLETES[[#This Row],[TOTAL]]=0,"",RANK(TS_ATHLETES[[#This Row],[RANK VALUE]],TS_ATHLETES[RANK VALUE])+COUNTIF($H$1:H1132,H1133)),"")</f>
        <v>1609</v>
      </c>
    </row>
    <row r="1134" spans="1:9" x14ac:dyDescent="0.25">
      <c r="A1134" t="s">
        <v>2036</v>
      </c>
      <c r="B1134" s="3" t="s">
        <v>66</v>
      </c>
      <c r="C1134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1134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1134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1</v>
      </c>
      <c r="F1134" s="3">
        <f>SUM(TS_ATHLETES[[#This Row],[GOLD MEDALS]:[BRONZE MEDALS]])</f>
        <v>1</v>
      </c>
      <c r="G1134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10000010</v>
      </c>
      <c r="H1134" s="3">
        <f>IF(TS_ATHLETES[[#This Row],[TOTAL]]=0,"",RANK(TS_ATHLETES[[#This Row],[RANK VALUE]],TS_ATHLETES[RANK VALUE]))</f>
        <v>1224</v>
      </c>
      <c r="I1134" s="3">
        <f>IFERROR(IF(TS_ATHLETES[[#This Row],[TOTAL]]=0,"",RANK(TS_ATHLETES[[#This Row],[RANK VALUE]],TS_ATHLETES[RANK VALUE])+COUNTIF($H$1:H1133,H1134)),"")</f>
        <v>1610</v>
      </c>
    </row>
    <row r="1135" spans="1:9" x14ac:dyDescent="0.25">
      <c r="A1135" t="s">
        <v>2037</v>
      </c>
      <c r="B1135" s="3" t="s">
        <v>66</v>
      </c>
      <c r="C1135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1135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1135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1</v>
      </c>
      <c r="F1135" s="3">
        <f>SUM(TS_ATHLETES[[#This Row],[GOLD MEDALS]:[BRONZE MEDALS]])</f>
        <v>1</v>
      </c>
      <c r="G1135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10000010</v>
      </c>
      <c r="H1135" s="3">
        <f>IF(TS_ATHLETES[[#This Row],[TOTAL]]=0,"",RANK(TS_ATHLETES[[#This Row],[RANK VALUE]],TS_ATHLETES[RANK VALUE]))</f>
        <v>1224</v>
      </c>
      <c r="I1135" s="3">
        <f>IFERROR(IF(TS_ATHLETES[[#This Row],[TOTAL]]=0,"",RANK(TS_ATHLETES[[#This Row],[RANK VALUE]],TS_ATHLETES[RANK VALUE])+COUNTIF($H$1:H1134,H1135)),"")</f>
        <v>1611</v>
      </c>
    </row>
    <row r="1136" spans="1:9" x14ac:dyDescent="0.25">
      <c r="A1136" t="s">
        <v>2038</v>
      </c>
      <c r="B1136" s="3" t="s">
        <v>66</v>
      </c>
      <c r="C1136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1136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1136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1</v>
      </c>
      <c r="F1136" s="3">
        <f>SUM(TS_ATHLETES[[#This Row],[GOLD MEDALS]:[BRONZE MEDALS]])</f>
        <v>1</v>
      </c>
      <c r="G1136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10000010</v>
      </c>
      <c r="H1136" s="3">
        <f>IF(TS_ATHLETES[[#This Row],[TOTAL]]=0,"",RANK(TS_ATHLETES[[#This Row],[RANK VALUE]],TS_ATHLETES[RANK VALUE]))</f>
        <v>1224</v>
      </c>
      <c r="I1136" s="3">
        <f>IFERROR(IF(TS_ATHLETES[[#This Row],[TOTAL]]=0,"",RANK(TS_ATHLETES[[#This Row],[RANK VALUE]],TS_ATHLETES[RANK VALUE])+COUNTIF($H$1:H1135,H1136)),"")</f>
        <v>1612</v>
      </c>
    </row>
    <row r="1137" spans="1:9" x14ac:dyDescent="0.25">
      <c r="A1137" t="s">
        <v>2039</v>
      </c>
      <c r="B1137" s="3" t="s">
        <v>66</v>
      </c>
      <c r="C1137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1137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1137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1</v>
      </c>
      <c r="F1137" s="3">
        <f>SUM(TS_ATHLETES[[#This Row],[GOLD MEDALS]:[BRONZE MEDALS]])</f>
        <v>1</v>
      </c>
      <c r="G1137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10000010</v>
      </c>
      <c r="H1137" s="3">
        <f>IF(TS_ATHLETES[[#This Row],[TOTAL]]=0,"",RANK(TS_ATHLETES[[#This Row],[RANK VALUE]],TS_ATHLETES[RANK VALUE]))</f>
        <v>1224</v>
      </c>
      <c r="I1137" s="3">
        <f>IFERROR(IF(TS_ATHLETES[[#This Row],[TOTAL]]=0,"",RANK(TS_ATHLETES[[#This Row],[RANK VALUE]],TS_ATHLETES[RANK VALUE])+COUNTIF($H$1:H1136,H1137)),"")</f>
        <v>1613</v>
      </c>
    </row>
    <row r="1138" spans="1:9" x14ac:dyDescent="0.25">
      <c r="A1138" t="s">
        <v>2040</v>
      </c>
      <c r="B1138" s="3" t="s">
        <v>66</v>
      </c>
      <c r="C1138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1138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1138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1</v>
      </c>
      <c r="F1138" s="3">
        <f>SUM(TS_ATHLETES[[#This Row],[GOLD MEDALS]:[BRONZE MEDALS]])</f>
        <v>1</v>
      </c>
      <c r="G1138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10000010</v>
      </c>
      <c r="H1138" s="3">
        <f>IF(TS_ATHLETES[[#This Row],[TOTAL]]=0,"",RANK(TS_ATHLETES[[#This Row],[RANK VALUE]],TS_ATHLETES[RANK VALUE]))</f>
        <v>1224</v>
      </c>
      <c r="I1138" s="3">
        <f>IFERROR(IF(TS_ATHLETES[[#This Row],[TOTAL]]=0,"",RANK(TS_ATHLETES[[#This Row],[RANK VALUE]],TS_ATHLETES[RANK VALUE])+COUNTIF($H$1:H1137,H1138)),"")</f>
        <v>1614</v>
      </c>
    </row>
    <row r="1139" spans="1:9" x14ac:dyDescent="0.25">
      <c r="A1139" t="s">
        <v>2041</v>
      </c>
      <c r="B1139" s="3" t="s">
        <v>66</v>
      </c>
      <c r="C1139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1139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1139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1</v>
      </c>
      <c r="F1139" s="3">
        <f>SUM(TS_ATHLETES[[#This Row],[GOLD MEDALS]:[BRONZE MEDALS]])</f>
        <v>1</v>
      </c>
      <c r="G1139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10000010</v>
      </c>
      <c r="H1139" s="3">
        <f>IF(TS_ATHLETES[[#This Row],[TOTAL]]=0,"",RANK(TS_ATHLETES[[#This Row],[RANK VALUE]],TS_ATHLETES[RANK VALUE]))</f>
        <v>1224</v>
      </c>
      <c r="I1139" s="3">
        <f>IFERROR(IF(TS_ATHLETES[[#This Row],[TOTAL]]=0,"",RANK(TS_ATHLETES[[#This Row],[RANK VALUE]],TS_ATHLETES[RANK VALUE])+COUNTIF($H$1:H1138,H1139)),"")</f>
        <v>1615</v>
      </c>
    </row>
    <row r="1140" spans="1:9" x14ac:dyDescent="0.25">
      <c r="A1140" t="s">
        <v>2042</v>
      </c>
      <c r="B1140" s="3" t="s">
        <v>66</v>
      </c>
      <c r="C1140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1140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1140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1</v>
      </c>
      <c r="F1140" s="3">
        <f>SUM(TS_ATHLETES[[#This Row],[GOLD MEDALS]:[BRONZE MEDALS]])</f>
        <v>1</v>
      </c>
      <c r="G1140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10000010</v>
      </c>
      <c r="H1140" s="3">
        <f>IF(TS_ATHLETES[[#This Row],[TOTAL]]=0,"",RANK(TS_ATHLETES[[#This Row],[RANK VALUE]],TS_ATHLETES[RANK VALUE]))</f>
        <v>1224</v>
      </c>
      <c r="I1140" s="3">
        <f>IFERROR(IF(TS_ATHLETES[[#This Row],[TOTAL]]=0,"",RANK(TS_ATHLETES[[#This Row],[RANK VALUE]],TS_ATHLETES[RANK VALUE])+COUNTIF($H$1:H1139,H1140)),"")</f>
        <v>1616</v>
      </c>
    </row>
    <row r="1141" spans="1:9" x14ac:dyDescent="0.25">
      <c r="A1141" t="s">
        <v>2043</v>
      </c>
      <c r="B1141" s="3" t="s">
        <v>66</v>
      </c>
      <c r="C1141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1141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1141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1</v>
      </c>
      <c r="F1141" s="3">
        <f>SUM(TS_ATHLETES[[#This Row],[GOLD MEDALS]:[BRONZE MEDALS]])</f>
        <v>1</v>
      </c>
      <c r="G1141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10000010</v>
      </c>
      <c r="H1141" s="3">
        <f>IF(TS_ATHLETES[[#This Row],[TOTAL]]=0,"",RANK(TS_ATHLETES[[#This Row],[RANK VALUE]],TS_ATHLETES[RANK VALUE]))</f>
        <v>1224</v>
      </c>
      <c r="I1141" s="3">
        <f>IFERROR(IF(TS_ATHLETES[[#This Row],[TOTAL]]=0,"",RANK(TS_ATHLETES[[#This Row],[RANK VALUE]],TS_ATHLETES[RANK VALUE])+COUNTIF($H$1:H1140,H1141)),"")</f>
        <v>1617</v>
      </c>
    </row>
    <row r="1142" spans="1:9" x14ac:dyDescent="0.25">
      <c r="A1142" t="s">
        <v>2044</v>
      </c>
      <c r="B1142" s="3" t="s">
        <v>66</v>
      </c>
      <c r="C1142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1142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1142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1</v>
      </c>
      <c r="F1142" s="3">
        <f>SUM(TS_ATHLETES[[#This Row],[GOLD MEDALS]:[BRONZE MEDALS]])</f>
        <v>1</v>
      </c>
      <c r="G1142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10000010</v>
      </c>
      <c r="H1142" s="3">
        <f>IF(TS_ATHLETES[[#This Row],[TOTAL]]=0,"",RANK(TS_ATHLETES[[#This Row],[RANK VALUE]],TS_ATHLETES[RANK VALUE]))</f>
        <v>1224</v>
      </c>
      <c r="I1142" s="3">
        <f>IFERROR(IF(TS_ATHLETES[[#This Row],[TOTAL]]=0,"",RANK(TS_ATHLETES[[#This Row],[RANK VALUE]],TS_ATHLETES[RANK VALUE])+COUNTIF($H$1:H1141,H1142)),"")</f>
        <v>1618</v>
      </c>
    </row>
    <row r="1143" spans="1:9" x14ac:dyDescent="0.25">
      <c r="A1143" t="s">
        <v>2045</v>
      </c>
      <c r="B1143" s="3" t="s">
        <v>66</v>
      </c>
      <c r="C1143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1143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1143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1</v>
      </c>
      <c r="F1143" s="3">
        <f>SUM(TS_ATHLETES[[#This Row],[GOLD MEDALS]:[BRONZE MEDALS]])</f>
        <v>1</v>
      </c>
      <c r="G1143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10000010</v>
      </c>
      <c r="H1143" s="3">
        <f>IF(TS_ATHLETES[[#This Row],[TOTAL]]=0,"",RANK(TS_ATHLETES[[#This Row],[RANK VALUE]],TS_ATHLETES[RANK VALUE]))</f>
        <v>1224</v>
      </c>
      <c r="I1143" s="3">
        <f>IFERROR(IF(TS_ATHLETES[[#This Row],[TOTAL]]=0,"",RANK(TS_ATHLETES[[#This Row],[RANK VALUE]],TS_ATHLETES[RANK VALUE])+COUNTIF($H$1:H1142,H1143)),"")</f>
        <v>1619</v>
      </c>
    </row>
    <row r="1144" spans="1:9" x14ac:dyDescent="0.25">
      <c r="A1144" t="s">
        <v>2046</v>
      </c>
      <c r="B1144" s="3" t="s">
        <v>66</v>
      </c>
      <c r="C1144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1144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1144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1</v>
      </c>
      <c r="F1144" s="3">
        <f>SUM(TS_ATHLETES[[#This Row],[GOLD MEDALS]:[BRONZE MEDALS]])</f>
        <v>1</v>
      </c>
      <c r="G1144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10000010</v>
      </c>
      <c r="H1144" s="3">
        <f>IF(TS_ATHLETES[[#This Row],[TOTAL]]=0,"",RANK(TS_ATHLETES[[#This Row],[RANK VALUE]],TS_ATHLETES[RANK VALUE]))</f>
        <v>1224</v>
      </c>
      <c r="I1144" s="3">
        <f>IFERROR(IF(TS_ATHLETES[[#This Row],[TOTAL]]=0,"",RANK(TS_ATHLETES[[#This Row],[RANK VALUE]],TS_ATHLETES[RANK VALUE])+COUNTIF($H$1:H1143,H1144)),"")</f>
        <v>1620</v>
      </c>
    </row>
    <row r="1145" spans="1:9" x14ac:dyDescent="0.25">
      <c r="A1145" t="s">
        <v>2047</v>
      </c>
      <c r="B1145" s="3" t="s">
        <v>66</v>
      </c>
      <c r="C1145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1145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1145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1</v>
      </c>
      <c r="F1145" s="3">
        <f>SUM(TS_ATHLETES[[#This Row],[GOLD MEDALS]:[BRONZE MEDALS]])</f>
        <v>1</v>
      </c>
      <c r="G1145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10000010</v>
      </c>
      <c r="H1145" s="3">
        <f>IF(TS_ATHLETES[[#This Row],[TOTAL]]=0,"",RANK(TS_ATHLETES[[#This Row],[RANK VALUE]],TS_ATHLETES[RANK VALUE]))</f>
        <v>1224</v>
      </c>
      <c r="I1145" s="3">
        <f>IFERROR(IF(TS_ATHLETES[[#This Row],[TOTAL]]=0,"",RANK(TS_ATHLETES[[#This Row],[RANK VALUE]],TS_ATHLETES[RANK VALUE])+COUNTIF($H$1:H1144,H1145)),"")</f>
        <v>1621</v>
      </c>
    </row>
    <row r="1146" spans="1:9" x14ac:dyDescent="0.25">
      <c r="A1146" t="s">
        <v>2048</v>
      </c>
      <c r="B1146" s="3" t="s">
        <v>66</v>
      </c>
      <c r="C1146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1146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1146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1</v>
      </c>
      <c r="F1146" s="3">
        <f>SUM(TS_ATHLETES[[#This Row],[GOLD MEDALS]:[BRONZE MEDALS]])</f>
        <v>1</v>
      </c>
      <c r="G1146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10000010</v>
      </c>
      <c r="H1146" s="3">
        <f>IF(TS_ATHLETES[[#This Row],[TOTAL]]=0,"",RANK(TS_ATHLETES[[#This Row],[RANK VALUE]],TS_ATHLETES[RANK VALUE]))</f>
        <v>1224</v>
      </c>
      <c r="I1146" s="3">
        <f>IFERROR(IF(TS_ATHLETES[[#This Row],[TOTAL]]=0,"",RANK(TS_ATHLETES[[#This Row],[RANK VALUE]],TS_ATHLETES[RANK VALUE])+COUNTIF($H$1:H1145,H1146)),"")</f>
        <v>1622</v>
      </c>
    </row>
    <row r="1147" spans="1:9" x14ac:dyDescent="0.25">
      <c r="A1147" t="s">
        <v>2049</v>
      </c>
      <c r="B1147" s="3" t="s">
        <v>66</v>
      </c>
      <c r="C1147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1147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1147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1</v>
      </c>
      <c r="F1147" s="3">
        <f>SUM(TS_ATHLETES[[#This Row],[GOLD MEDALS]:[BRONZE MEDALS]])</f>
        <v>1</v>
      </c>
      <c r="G1147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10000010</v>
      </c>
      <c r="H1147" s="3">
        <f>IF(TS_ATHLETES[[#This Row],[TOTAL]]=0,"",RANK(TS_ATHLETES[[#This Row],[RANK VALUE]],TS_ATHLETES[RANK VALUE]))</f>
        <v>1224</v>
      </c>
      <c r="I1147" s="3">
        <f>IFERROR(IF(TS_ATHLETES[[#This Row],[TOTAL]]=0,"",RANK(TS_ATHLETES[[#This Row],[RANK VALUE]],TS_ATHLETES[RANK VALUE])+COUNTIF($H$1:H1146,H1147)),"")</f>
        <v>1623</v>
      </c>
    </row>
    <row r="1148" spans="1:9" x14ac:dyDescent="0.25">
      <c r="A1148" t="s">
        <v>2050</v>
      </c>
      <c r="B1148" s="3" t="s">
        <v>66</v>
      </c>
      <c r="C1148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1148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1148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1</v>
      </c>
      <c r="F1148" s="3">
        <f>SUM(TS_ATHLETES[[#This Row],[GOLD MEDALS]:[BRONZE MEDALS]])</f>
        <v>1</v>
      </c>
      <c r="G1148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10000010</v>
      </c>
      <c r="H1148" s="3">
        <f>IF(TS_ATHLETES[[#This Row],[TOTAL]]=0,"",RANK(TS_ATHLETES[[#This Row],[RANK VALUE]],TS_ATHLETES[RANK VALUE]))</f>
        <v>1224</v>
      </c>
      <c r="I1148" s="3">
        <f>IFERROR(IF(TS_ATHLETES[[#This Row],[TOTAL]]=0,"",RANK(TS_ATHLETES[[#This Row],[RANK VALUE]],TS_ATHLETES[RANK VALUE])+COUNTIF($H$1:H1147,H1148)),"")</f>
        <v>1624</v>
      </c>
    </row>
    <row r="1149" spans="1:9" x14ac:dyDescent="0.25">
      <c r="A1149" t="s">
        <v>2051</v>
      </c>
      <c r="B1149" s="3" t="s">
        <v>66</v>
      </c>
      <c r="C1149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1149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1149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1</v>
      </c>
      <c r="F1149" s="3">
        <f>SUM(TS_ATHLETES[[#This Row],[GOLD MEDALS]:[BRONZE MEDALS]])</f>
        <v>1</v>
      </c>
      <c r="G1149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10000010</v>
      </c>
      <c r="H1149" s="3">
        <f>IF(TS_ATHLETES[[#This Row],[TOTAL]]=0,"",RANK(TS_ATHLETES[[#This Row],[RANK VALUE]],TS_ATHLETES[RANK VALUE]))</f>
        <v>1224</v>
      </c>
      <c r="I1149" s="3">
        <f>IFERROR(IF(TS_ATHLETES[[#This Row],[TOTAL]]=0,"",RANK(TS_ATHLETES[[#This Row],[RANK VALUE]],TS_ATHLETES[RANK VALUE])+COUNTIF($H$1:H1148,H1149)),"")</f>
        <v>1625</v>
      </c>
    </row>
    <row r="1150" spans="1:9" x14ac:dyDescent="0.25">
      <c r="A1150" t="s">
        <v>2052</v>
      </c>
      <c r="B1150" s="3" t="s">
        <v>100</v>
      </c>
      <c r="C1150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1</v>
      </c>
      <c r="D1150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1150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1150" s="3">
        <f>SUM(TS_ATHLETES[[#This Row],[GOLD MEDALS]:[BRONZE MEDALS]])</f>
        <v>1</v>
      </c>
      <c r="G1150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10100000</v>
      </c>
      <c r="H1150" s="3">
        <f>IF(TS_ATHLETES[[#This Row],[TOTAL]]=0,"",RANK(TS_ATHLETES[[#This Row],[RANK VALUE]],TS_ATHLETES[RANK VALUE]))</f>
        <v>129</v>
      </c>
      <c r="I1150" s="3">
        <f>IFERROR(IF(TS_ATHLETES[[#This Row],[TOTAL]]=0,"",RANK(TS_ATHLETES[[#This Row],[RANK VALUE]],TS_ATHLETES[RANK VALUE])+COUNTIF($H$1:H1149,H1150)),"")</f>
        <v>429</v>
      </c>
    </row>
    <row r="1151" spans="1:9" x14ac:dyDescent="0.25">
      <c r="A1151" t="s">
        <v>2053</v>
      </c>
      <c r="B1151" s="3" t="s">
        <v>100</v>
      </c>
      <c r="C1151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1</v>
      </c>
      <c r="D1151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1151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1151" s="3">
        <f>SUM(TS_ATHLETES[[#This Row],[GOLD MEDALS]:[BRONZE MEDALS]])</f>
        <v>1</v>
      </c>
      <c r="G1151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10100000</v>
      </c>
      <c r="H1151" s="3">
        <f>IF(TS_ATHLETES[[#This Row],[TOTAL]]=0,"",RANK(TS_ATHLETES[[#This Row],[RANK VALUE]],TS_ATHLETES[RANK VALUE]))</f>
        <v>129</v>
      </c>
      <c r="I1151" s="3">
        <f>IFERROR(IF(TS_ATHLETES[[#This Row],[TOTAL]]=0,"",RANK(TS_ATHLETES[[#This Row],[RANK VALUE]],TS_ATHLETES[RANK VALUE])+COUNTIF($H$1:H1150,H1151)),"")</f>
        <v>430</v>
      </c>
    </row>
    <row r="1152" spans="1:9" x14ac:dyDescent="0.25">
      <c r="A1152" t="s">
        <v>2054</v>
      </c>
      <c r="B1152" s="3" t="s">
        <v>100</v>
      </c>
      <c r="C1152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1</v>
      </c>
      <c r="D1152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1152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1152" s="3">
        <f>SUM(TS_ATHLETES[[#This Row],[GOLD MEDALS]:[BRONZE MEDALS]])</f>
        <v>1</v>
      </c>
      <c r="G1152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10100000</v>
      </c>
      <c r="H1152" s="3">
        <f>IF(TS_ATHLETES[[#This Row],[TOTAL]]=0,"",RANK(TS_ATHLETES[[#This Row],[RANK VALUE]],TS_ATHLETES[RANK VALUE]))</f>
        <v>129</v>
      </c>
      <c r="I1152" s="3">
        <f>IFERROR(IF(TS_ATHLETES[[#This Row],[TOTAL]]=0,"",RANK(TS_ATHLETES[[#This Row],[RANK VALUE]],TS_ATHLETES[RANK VALUE])+COUNTIF($H$1:H1151,H1152)),"")</f>
        <v>431</v>
      </c>
    </row>
    <row r="1153" spans="1:9" x14ac:dyDescent="0.25">
      <c r="A1153" t="s">
        <v>2055</v>
      </c>
      <c r="B1153" s="3" t="s">
        <v>100</v>
      </c>
      <c r="C1153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1</v>
      </c>
      <c r="D1153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1153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1153" s="3">
        <f>SUM(TS_ATHLETES[[#This Row],[GOLD MEDALS]:[BRONZE MEDALS]])</f>
        <v>1</v>
      </c>
      <c r="G1153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10100000</v>
      </c>
      <c r="H1153" s="3">
        <f>IF(TS_ATHLETES[[#This Row],[TOTAL]]=0,"",RANK(TS_ATHLETES[[#This Row],[RANK VALUE]],TS_ATHLETES[RANK VALUE]))</f>
        <v>129</v>
      </c>
      <c r="I1153" s="3">
        <f>IFERROR(IF(TS_ATHLETES[[#This Row],[TOTAL]]=0,"",RANK(TS_ATHLETES[[#This Row],[RANK VALUE]],TS_ATHLETES[RANK VALUE])+COUNTIF($H$1:H1152,H1153)),"")</f>
        <v>432</v>
      </c>
    </row>
    <row r="1154" spans="1:9" x14ac:dyDescent="0.25">
      <c r="A1154" t="s">
        <v>2056</v>
      </c>
      <c r="B1154" s="3" t="s">
        <v>100</v>
      </c>
      <c r="C1154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1</v>
      </c>
      <c r="D1154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1154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1154" s="3">
        <f>SUM(TS_ATHLETES[[#This Row],[GOLD MEDALS]:[BRONZE MEDALS]])</f>
        <v>1</v>
      </c>
      <c r="G1154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10100000</v>
      </c>
      <c r="H1154" s="3">
        <f>IF(TS_ATHLETES[[#This Row],[TOTAL]]=0,"",RANK(TS_ATHLETES[[#This Row],[RANK VALUE]],TS_ATHLETES[RANK VALUE]))</f>
        <v>129</v>
      </c>
      <c r="I1154" s="3">
        <f>IFERROR(IF(TS_ATHLETES[[#This Row],[TOTAL]]=0,"",RANK(TS_ATHLETES[[#This Row],[RANK VALUE]],TS_ATHLETES[RANK VALUE])+COUNTIF($H$1:H1153,H1154)),"")</f>
        <v>433</v>
      </c>
    </row>
    <row r="1155" spans="1:9" x14ac:dyDescent="0.25">
      <c r="A1155" t="s">
        <v>2057</v>
      </c>
      <c r="B1155" s="3" t="s">
        <v>100</v>
      </c>
      <c r="C1155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1</v>
      </c>
      <c r="D1155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1155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1155" s="3">
        <f>SUM(TS_ATHLETES[[#This Row],[GOLD MEDALS]:[BRONZE MEDALS]])</f>
        <v>1</v>
      </c>
      <c r="G1155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10100000</v>
      </c>
      <c r="H1155" s="3">
        <f>IF(TS_ATHLETES[[#This Row],[TOTAL]]=0,"",RANK(TS_ATHLETES[[#This Row],[RANK VALUE]],TS_ATHLETES[RANK VALUE]))</f>
        <v>129</v>
      </c>
      <c r="I1155" s="3">
        <f>IFERROR(IF(TS_ATHLETES[[#This Row],[TOTAL]]=0,"",RANK(TS_ATHLETES[[#This Row],[RANK VALUE]],TS_ATHLETES[RANK VALUE])+COUNTIF($H$1:H1154,H1155)),"")</f>
        <v>434</v>
      </c>
    </row>
    <row r="1156" spans="1:9" x14ac:dyDescent="0.25">
      <c r="A1156" t="s">
        <v>2058</v>
      </c>
      <c r="B1156" s="3" t="s">
        <v>100</v>
      </c>
      <c r="C1156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1</v>
      </c>
      <c r="D1156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1156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1156" s="3">
        <f>SUM(TS_ATHLETES[[#This Row],[GOLD MEDALS]:[BRONZE MEDALS]])</f>
        <v>1</v>
      </c>
      <c r="G1156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10100000</v>
      </c>
      <c r="H1156" s="3">
        <f>IF(TS_ATHLETES[[#This Row],[TOTAL]]=0,"",RANK(TS_ATHLETES[[#This Row],[RANK VALUE]],TS_ATHLETES[RANK VALUE]))</f>
        <v>129</v>
      </c>
      <c r="I1156" s="3">
        <f>IFERROR(IF(TS_ATHLETES[[#This Row],[TOTAL]]=0,"",RANK(TS_ATHLETES[[#This Row],[RANK VALUE]],TS_ATHLETES[RANK VALUE])+COUNTIF($H$1:H1155,H1156)),"")</f>
        <v>435</v>
      </c>
    </row>
    <row r="1157" spans="1:9" x14ac:dyDescent="0.25">
      <c r="A1157" t="s">
        <v>2059</v>
      </c>
      <c r="B1157" s="3" t="s">
        <v>100</v>
      </c>
      <c r="C1157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1</v>
      </c>
      <c r="D1157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1157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1157" s="3">
        <f>SUM(TS_ATHLETES[[#This Row],[GOLD MEDALS]:[BRONZE MEDALS]])</f>
        <v>1</v>
      </c>
      <c r="G1157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10100000</v>
      </c>
      <c r="H1157" s="3">
        <f>IF(TS_ATHLETES[[#This Row],[TOTAL]]=0,"",RANK(TS_ATHLETES[[#This Row],[RANK VALUE]],TS_ATHLETES[RANK VALUE]))</f>
        <v>129</v>
      </c>
      <c r="I1157" s="3">
        <f>IFERROR(IF(TS_ATHLETES[[#This Row],[TOTAL]]=0,"",RANK(TS_ATHLETES[[#This Row],[RANK VALUE]],TS_ATHLETES[RANK VALUE])+COUNTIF($H$1:H1156,H1157)),"")</f>
        <v>436</v>
      </c>
    </row>
    <row r="1158" spans="1:9" x14ac:dyDescent="0.25">
      <c r="A1158" t="s">
        <v>2060</v>
      </c>
      <c r="B1158" s="3" t="s">
        <v>100</v>
      </c>
      <c r="C1158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1</v>
      </c>
      <c r="D1158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1158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1158" s="3">
        <f>SUM(TS_ATHLETES[[#This Row],[GOLD MEDALS]:[BRONZE MEDALS]])</f>
        <v>1</v>
      </c>
      <c r="G1158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10100000</v>
      </c>
      <c r="H1158" s="3">
        <f>IF(TS_ATHLETES[[#This Row],[TOTAL]]=0,"",RANK(TS_ATHLETES[[#This Row],[RANK VALUE]],TS_ATHLETES[RANK VALUE]))</f>
        <v>129</v>
      </c>
      <c r="I1158" s="3">
        <f>IFERROR(IF(TS_ATHLETES[[#This Row],[TOTAL]]=0,"",RANK(TS_ATHLETES[[#This Row],[RANK VALUE]],TS_ATHLETES[RANK VALUE])+COUNTIF($H$1:H1157,H1158)),"")</f>
        <v>437</v>
      </c>
    </row>
    <row r="1159" spans="1:9" x14ac:dyDescent="0.25">
      <c r="A1159" t="s">
        <v>2061</v>
      </c>
      <c r="B1159" s="3" t="s">
        <v>100</v>
      </c>
      <c r="C1159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1</v>
      </c>
      <c r="D1159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1159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1159" s="3">
        <f>SUM(TS_ATHLETES[[#This Row],[GOLD MEDALS]:[BRONZE MEDALS]])</f>
        <v>1</v>
      </c>
      <c r="G1159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10100000</v>
      </c>
      <c r="H1159" s="3">
        <f>IF(TS_ATHLETES[[#This Row],[TOTAL]]=0,"",RANK(TS_ATHLETES[[#This Row],[RANK VALUE]],TS_ATHLETES[RANK VALUE]))</f>
        <v>129</v>
      </c>
      <c r="I1159" s="3">
        <f>IFERROR(IF(TS_ATHLETES[[#This Row],[TOTAL]]=0,"",RANK(TS_ATHLETES[[#This Row],[RANK VALUE]],TS_ATHLETES[RANK VALUE])+COUNTIF($H$1:H1158,H1159)),"")</f>
        <v>438</v>
      </c>
    </row>
    <row r="1160" spans="1:9" x14ac:dyDescent="0.25">
      <c r="A1160" t="s">
        <v>2062</v>
      </c>
      <c r="B1160" s="3" t="s">
        <v>100</v>
      </c>
      <c r="C1160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1</v>
      </c>
      <c r="D1160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1160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1160" s="3">
        <f>SUM(TS_ATHLETES[[#This Row],[GOLD MEDALS]:[BRONZE MEDALS]])</f>
        <v>1</v>
      </c>
      <c r="G1160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10100000</v>
      </c>
      <c r="H1160" s="3">
        <f>IF(TS_ATHLETES[[#This Row],[TOTAL]]=0,"",RANK(TS_ATHLETES[[#This Row],[RANK VALUE]],TS_ATHLETES[RANK VALUE]))</f>
        <v>129</v>
      </c>
      <c r="I1160" s="3">
        <f>IFERROR(IF(TS_ATHLETES[[#This Row],[TOTAL]]=0,"",RANK(TS_ATHLETES[[#This Row],[RANK VALUE]],TS_ATHLETES[RANK VALUE])+COUNTIF($H$1:H1159,H1160)),"")</f>
        <v>439</v>
      </c>
    </row>
    <row r="1161" spans="1:9" x14ac:dyDescent="0.25">
      <c r="A1161" t="s">
        <v>2063</v>
      </c>
      <c r="B1161" s="3" t="s">
        <v>100</v>
      </c>
      <c r="C1161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1</v>
      </c>
      <c r="D1161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1161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1161" s="3">
        <f>SUM(TS_ATHLETES[[#This Row],[GOLD MEDALS]:[BRONZE MEDALS]])</f>
        <v>1</v>
      </c>
      <c r="G1161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10100000</v>
      </c>
      <c r="H1161" s="3">
        <f>IF(TS_ATHLETES[[#This Row],[TOTAL]]=0,"",RANK(TS_ATHLETES[[#This Row],[RANK VALUE]],TS_ATHLETES[RANK VALUE]))</f>
        <v>129</v>
      </c>
      <c r="I1161" s="3">
        <f>IFERROR(IF(TS_ATHLETES[[#This Row],[TOTAL]]=0,"",RANK(TS_ATHLETES[[#This Row],[RANK VALUE]],TS_ATHLETES[RANK VALUE])+COUNTIF($H$1:H1160,H1161)),"")</f>
        <v>440</v>
      </c>
    </row>
    <row r="1162" spans="1:9" x14ac:dyDescent="0.25">
      <c r="A1162" t="s">
        <v>2064</v>
      </c>
      <c r="B1162" s="3" t="s">
        <v>100</v>
      </c>
      <c r="C1162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1</v>
      </c>
      <c r="D1162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1162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1162" s="3">
        <f>SUM(TS_ATHLETES[[#This Row],[GOLD MEDALS]:[BRONZE MEDALS]])</f>
        <v>1</v>
      </c>
      <c r="G1162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10100000</v>
      </c>
      <c r="H1162" s="3">
        <f>IF(TS_ATHLETES[[#This Row],[TOTAL]]=0,"",RANK(TS_ATHLETES[[#This Row],[RANK VALUE]],TS_ATHLETES[RANK VALUE]))</f>
        <v>129</v>
      </c>
      <c r="I1162" s="3">
        <f>IFERROR(IF(TS_ATHLETES[[#This Row],[TOTAL]]=0,"",RANK(TS_ATHLETES[[#This Row],[RANK VALUE]],TS_ATHLETES[RANK VALUE])+COUNTIF($H$1:H1161,H1162)),"")</f>
        <v>441</v>
      </c>
    </row>
    <row r="1163" spans="1:9" x14ac:dyDescent="0.25">
      <c r="A1163" t="s">
        <v>2065</v>
      </c>
      <c r="B1163" s="3" t="s">
        <v>100</v>
      </c>
      <c r="C1163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1</v>
      </c>
      <c r="D1163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1163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1163" s="3">
        <f>SUM(TS_ATHLETES[[#This Row],[GOLD MEDALS]:[BRONZE MEDALS]])</f>
        <v>1</v>
      </c>
      <c r="G1163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10100000</v>
      </c>
      <c r="H1163" s="3">
        <f>IF(TS_ATHLETES[[#This Row],[TOTAL]]=0,"",RANK(TS_ATHLETES[[#This Row],[RANK VALUE]],TS_ATHLETES[RANK VALUE]))</f>
        <v>129</v>
      </c>
      <c r="I1163" s="3">
        <f>IFERROR(IF(TS_ATHLETES[[#This Row],[TOTAL]]=0,"",RANK(TS_ATHLETES[[#This Row],[RANK VALUE]],TS_ATHLETES[RANK VALUE])+COUNTIF($H$1:H1162,H1163)),"")</f>
        <v>442</v>
      </c>
    </row>
    <row r="1164" spans="1:9" x14ac:dyDescent="0.25">
      <c r="A1164" t="s">
        <v>2066</v>
      </c>
      <c r="B1164" s="3" t="s">
        <v>128</v>
      </c>
      <c r="C1164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1164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1</v>
      </c>
      <c r="E1164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1164" s="3">
        <f>SUM(TS_ATHLETES[[#This Row],[GOLD MEDALS]:[BRONZE MEDALS]])</f>
        <v>1</v>
      </c>
      <c r="G1164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10000100</v>
      </c>
      <c r="H1164" s="3">
        <f>IF(TS_ATHLETES[[#This Row],[TOTAL]]=0,"",RANK(TS_ATHLETES[[#This Row],[RANK VALUE]],TS_ATHLETES[RANK VALUE]))</f>
        <v>660</v>
      </c>
      <c r="I1164" s="3">
        <f>IFERROR(IF(TS_ATHLETES[[#This Row],[TOTAL]]=0,"",RANK(TS_ATHLETES[[#This Row],[RANK VALUE]],TS_ATHLETES[RANK VALUE])+COUNTIF($H$1:H1163,H1164)),"")</f>
        <v>992</v>
      </c>
    </row>
    <row r="1165" spans="1:9" x14ac:dyDescent="0.25">
      <c r="A1165" t="s">
        <v>2067</v>
      </c>
      <c r="B1165" s="3" t="s">
        <v>128</v>
      </c>
      <c r="C1165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1165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1</v>
      </c>
      <c r="E1165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1165" s="3">
        <f>SUM(TS_ATHLETES[[#This Row],[GOLD MEDALS]:[BRONZE MEDALS]])</f>
        <v>1</v>
      </c>
      <c r="G1165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10000100</v>
      </c>
      <c r="H1165" s="3">
        <f>IF(TS_ATHLETES[[#This Row],[TOTAL]]=0,"",RANK(TS_ATHLETES[[#This Row],[RANK VALUE]],TS_ATHLETES[RANK VALUE]))</f>
        <v>660</v>
      </c>
      <c r="I1165" s="3">
        <f>IFERROR(IF(TS_ATHLETES[[#This Row],[TOTAL]]=0,"",RANK(TS_ATHLETES[[#This Row],[RANK VALUE]],TS_ATHLETES[RANK VALUE])+COUNTIF($H$1:H1164,H1165)),"")</f>
        <v>993</v>
      </c>
    </row>
    <row r="1166" spans="1:9" x14ac:dyDescent="0.25">
      <c r="A1166" t="s">
        <v>2068</v>
      </c>
      <c r="B1166" s="3" t="s">
        <v>128</v>
      </c>
      <c r="C1166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1166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1</v>
      </c>
      <c r="E1166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1166" s="3">
        <f>SUM(TS_ATHLETES[[#This Row],[GOLD MEDALS]:[BRONZE MEDALS]])</f>
        <v>1</v>
      </c>
      <c r="G1166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10000100</v>
      </c>
      <c r="H1166" s="3">
        <f>IF(TS_ATHLETES[[#This Row],[TOTAL]]=0,"",RANK(TS_ATHLETES[[#This Row],[RANK VALUE]],TS_ATHLETES[RANK VALUE]))</f>
        <v>660</v>
      </c>
      <c r="I1166" s="3">
        <f>IFERROR(IF(TS_ATHLETES[[#This Row],[TOTAL]]=0,"",RANK(TS_ATHLETES[[#This Row],[RANK VALUE]],TS_ATHLETES[RANK VALUE])+COUNTIF($H$1:H1165,H1166)),"")</f>
        <v>994</v>
      </c>
    </row>
    <row r="1167" spans="1:9" x14ac:dyDescent="0.25">
      <c r="A1167" t="s">
        <v>2069</v>
      </c>
      <c r="B1167" s="3" t="s">
        <v>128</v>
      </c>
      <c r="C1167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1167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1</v>
      </c>
      <c r="E1167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1167" s="3">
        <f>SUM(TS_ATHLETES[[#This Row],[GOLD MEDALS]:[BRONZE MEDALS]])</f>
        <v>1</v>
      </c>
      <c r="G1167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10000100</v>
      </c>
      <c r="H1167" s="3">
        <f>IF(TS_ATHLETES[[#This Row],[TOTAL]]=0,"",RANK(TS_ATHLETES[[#This Row],[RANK VALUE]],TS_ATHLETES[RANK VALUE]))</f>
        <v>660</v>
      </c>
      <c r="I1167" s="3">
        <f>IFERROR(IF(TS_ATHLETES[[#This Row],[TOTAL]]=0,"",RANK(TS_ATHLETES[[#This Row],[RANK VALUE]],TS_ATHLETES[RANK VALUE])+COUNTIF($H$1:H1166,H1167)),"")</f>
        <v>995</v>
      </c>
    </row>
    <row r="1168" spans="1:9" x14ac:dyDescent="0.25">
      <c r="A1168" t="s">
        <v>2070</v>
      </c>
      <c r="B1168" s="3" t="s">
        <v>128</v>
      </c>
      <c r="C1168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1168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1</v>
      </c>
      <c r="E1168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1168" s="3">
        <f>SUM(TS_ATHLETES[[#This Row],[GOLD MEDALS]:[BRONZE MEDALS]])</f>
        <v>1</v>
      </c>
      <c r="G1168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10000100</v>
      </c>
      <c r="H1168" s="3">
        <f>IF(TS_ATHLETES[[#This Row],[TOTAL]]=0,"",RANK(TS_ATHLETES[[#This Row],[RANK VALUE]],TS_ATHLETES[RANK VALUE]))</f>
        <v>660</v>
      </c>
      <c r="I1168" s="3">
        <f>IFERROR(IF(TS_ATHLETES[[#This Row],[TOTAL]]=0,"",RANK(TS_ATHLETES[[#This Row],[RANK VALUE]],TS_ATHLETES[RANK VALUE])+COUNTIF($H$1:H1167,H1168)),"")</f>
        <v>996</v>
      </c>
    </row>
    <row r="1169" spans="1:9" x14ac:dyDescent="0.25">
      <c r="A1169" t="s">
        <v>2071</v>
      </c>
      <c r="B1169" s="3" t="s">
        <v>128</v>
      </c>
      <c r="C1169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1169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1</v>
      </c>
      <c r="E1169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1169" s="3">
        <f>SUM(TS_ATHLETES[[#This Row],[GOLD MEDALS]:[BRONZE MEDALS]])</f>
        <v>1</v>
      </c>
      <c r="G1169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10000100</v>
      </c>
      <c r="H1169" s="3">
        <f>IF(TS_ATHLETES[[#This Row],[TOTAL]]=0,"",RANK(TS_ATHLETES[[#This Row],[RANK VALUE]],TS_ATHLETES[RANK VALUE]))</f>
        <v>660</v>
      </c>
      <c r="I1169" s="3">
        <f>IFERROR(IF(TS_ATHLETES[[#This Row],[TOTAL]]=0,"",RANK(TS_ATHLETES[[#This Row],[RANK VALUE]],TS_ATHLETES[RANK VALUE])+COUNTIF($H$1:H1168,H1169)),"")</f>
        <v>997</v>
      </c>
    </row>
    <row r="1170" spans="1:9" x14ac:dyDescent="0.25">
      <c r="A1170" t="s">
        <v>2072</v>
      </c>
      <c r="B1170" s="3" t="s">
        <v>128</v>
      </c>
      <c r="C1170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1170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1</v>
      </c>
      <c r="E1170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1170" s="3">
        <f>SUM(TS_ATHLETES[[#This Row],[GOLD MEDALS]:[BRONZE MEDALS]])</f>
        <v>1</v>
      </c>
      <c r="G1170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10000100</v>
      </c>
      <c r="H1170" s="3">
        <f>IF(TS_ATHLETES[[#This Row],[TOTAL]]=0,"",RANK(TS_ATHLETES[[#This Row],[RANK VALUE]],TS_ATHLETES[RANK VALUE]))</f>
        <v>660</v>
      </c>
      <c r="I1170" s="3">
        <f>IFERROR(IF(TS_ATHLETES[[#This Row],[TOTAL]]=0,"",RANK(TS_ATHLETES[[#This Row],[RANK VALUE]],TS_ATHLETES[RANK VALUE])+COUNTIF($H$1:H1169,H1170)),"")</f>
        <v>998</v>
      </c>
    </row>
    <row r="1171" spans="1:9" x14ac:dyDescent="0.25">
      <c r="A1171" t="s">
        <v>2073</v>
      </c>
      <c r="B1171" s="3" t="s">
        <v>128</v>
      </c>
      <c r="C1171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1171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1</v>
      </c>
      <c r="E1171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1171" s="3">
        <f>SUM(TS_ATHLETES[[#This Row],[GOLD MEDALS]:[BRONZE MEDALS]])</f>
        <v>1</v>
      </c>
      <c r="G1171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10000100</v>
      </c>
      <c r="H1171" s="3">
        <f>IF(TS_ATHLETES[[#This Row],[TOTAL]]=0,"",RANK(TS_ATHLETES[[#This Row],[RANK VALUE]],TS_ATHLETES[RANK VALUE]))</f>
        <v>660</v>
      </c>
      <c r="I1171" s="3">
        <f>IFERROR(IF(TS_ATHLETES[[#This Row],[TOTAL]]=0,"",RANK(TS_ATHLETES[[#This Row],[RANK VALUE]],TS_ATHLETES[RANK VALUE])+COUNTIF($H$1:H1170,H1171)),"")</f>
        <v>999</v>
      </c>
    </row>
    <row r="1172" spans="1:9" x14ac:dyDescent="0.25">
      <c r="A1172" t="s">
        <v>2074</v>
      </c>
      <c r="B1172" s="3" t="s">
        <v>128</v>
      </c>
      <c r="C1172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1172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1</v>
      </c>
      <c r="E1172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1172" s="3">
        <f>SUM(TS_ATHLETES[[#This Row],[GOLD MEDALS]:[BRONZE MEDALS]])</f>
        <v>1</v>
      </c>
      <c r="G1172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10000100</v>
      </c>
      <c r="H1172" s="3">
        <f>IF(TS_ATHLETES[[#This Row],[TOTAL]]=0,"",RANK(TS_ATHLETES[[#This Row],[RANK VALUE]],TS_ATHLETES[RANK VALUE]))</f>
        <v>660</v>
      </c>
      <c r="I1172" s="3">
        <f>IFERROR(IF(TS_ATHLETES[[#This Row],[TOTAL]]=0,"",RANK(TS_ATHLETES[[#This Row],[RANK VALUE]],TS_ATHLETES[RANK VALUE])+COUNTIF($H$1:H1171,H1172)),"")</f>
        <v>1000</v>
      </c>
    </row>
    <row r="1173" spans="1:9" x14ac:dyDescent="0.25">
      <c r="A1173" t="s">
        <v>2075</v>
      </c>
      <c r="B1173" s="3" t="s">
        <v>128</v>
      </c>
      <c r="C1173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1173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1</v>
      </c>
      <c r="E1173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1173" s="3">
        <f>SUM(TS_ATHLETES[[#This Row],[GOLD MEDALS]:[BRONZE MEDALS]])</f>
        <v>1</v>
      </c>
      <c r="G1173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10000100</v>
      </c>
      <c r="H1173" s="3">
        <f>IF(TS_ATHLETES[[#This Row],[TOTAL]]=0,"",RANK(TS_ATHLETES[[#This Row],[RANK VALUE]],TS_ATHLETES[RANK VALUE]))</f>
        <v>660</v>
      </c>
      <c r="I1173" s="3">
        <f>IFERROR(IF(TS_ATHLETES[[#This Row],[TOTAL]]=0,"",RANK(TS_ATHLETES[[#This Row],[RANK VALUE]],TS_ATHLETES[RANK VALUE])+COUNTIF($H$1:H1172,H1173)),"")</f>
        <v>1001</v>
      </c>
    </row>
    <row r="1174" spans="1:9" x14ac:dyDescent="0.25">
      <c r="A1174" t="s">
        <v>2076</v>
      </c>
      <c r="B1174" s="3" t="s">
        <v>128</v>
      </c>
      <c r="C1174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1174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1</v>
      </c>
      <c r="E1174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1174" s="3">
        <f>SUM(TS_ATHLETES[[#This Row],[GOLD MEDALS]:[BRONZE MEDALS]])</f>
        <v>1</v>
      </c>
      <c r="G1174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10000100</v>
      </c>
      <c r="H1174" s="3">
        <f>IF(TS_ATHLETES[[#This Row],[TOTAL]]=0,"",RANK(TS_ATHLETES[[#This Row],[RANK VALUE]],TS_ATHLETES[RANK VALUE]))</f>
        <v>660</v>
      </c>
      <c r="I1174" s="3">
        <f>IFERROR(IF(TS_ATHLETES[[#This Row],[TOTAL]]=0,"",RANK(TS_ATHLETES[[#This Row],[RANK VALUE]],TS_ATHLETES[RANK VALUE])+COUNTIF($H$1:H1173,H1174)),"")</f>
        <v>1002</v>
      </c>
    </row>
    <row r="1175" spans="1:9" x14ac:dyDescent="0.25">
      <c r="A1175" t="s">
        <v>2077</v>
      </c>
      <c r="B1175" s="3" t="s">
        <v>128</v>
      </c>
      <c r="C1175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1175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1</v>
      </c>
      <c r="E1175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1175" s="3">
        <f>SUM(TS_ATHLETES[[#This Row],[GOLD MEDALS]:[BRONZE MEDALS]])</f>
        <v>1</v>
      </c>
      <c r="G1175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10000100</v>
      </c>
      <c r="H1175" s="3">
        <f>IF(TS_ATHLETES[[#This Row],[TOTAL]]=0,"",RANK(TS_ATHLETES[[#This Row],[RANK VALUE]],TS_ATHLETES[RANK VALUE]))</f>
        <v>660</v>
      </c>
      <c r="I1175" s="3">
        <f>IFERROR(IF(TS_ATHLETES[[#This Row],[TOTAL]]=0,"",RANK(TS_ATHLETES[[#This Row],[RANK VALUE]],TS_ATHLETES[RANK VALUE])+COUNTIF($H$1:H1174,H1175)),"")</f>
        <v>1003</v>
      </c>
    </row>
    <row r="1176" spans="1:9" x14ac:dyDescent="0.25">
      <c r="A1176" t="s">
        <v>2078</v>
      </c>
      <c r="B1176" s="3" t="s">
        <v>128</v>
      </c>
      <c r="C1176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1176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1</v>
      </c>
      <c r="E1176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1176" s="3">
        <f>SUM(TS_ATHLETES[[#This Row],[GOLD MEDALS]:[BRONZE MEDALS]])</f>
        <v>1</v>
      </c>
      <c r="G1176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10000100</v>
      </c>
      <c r="H1176" s="3">
        <f>IF(TS_ATHLETES[[#This Row],[TOTAL]]=0,"",RANK(TS_ATHLETES[[#This Row],[RANK VALUE]],TS_ATHLETES[RANK VALUE]))</f>
        <v>660</v>
      </c>
      <c r="I1176" s="3">
        <f>IFERROR(IF(TS_ATHLETES[[#This Row],[TOTAL]]=0,"",RANK(TS_ATHLETES[[#This Row],[RANK VALUE]],TS_ATHLETES[RANK VALUE])+COUNTIF($H$1:H1175,H1176)),"")</f>
        <v>1004</v>
      </c>
    </row>
    <row r="1177" spans="1:9" x14ac:dyDescent="0.25">
      <c r="A1177" t="s">
        <v>2079</v>
      </c>
      <c r="B1177" s="3" t="s">
        <v>128</v>
      </c>
      <c r="C1177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1177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1</v>
      </c>
      <c r="E1177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1177" s="3">
        <f>SUM(TS_ATHLETES[[#This Row],[GOLD MEDALS]:[BRONZE MEDALS]])</f>
        <v>1</v>
      </c>
      <c r="G1177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10000100</v>
      </c>
      <c r="H1177" s="3">
        <f>IF(TS_ATHLETES[[#This Row],[TOTAL]]=0,"",RANK(TS_ATHLETES[[#This Row],[RANK VALUE]],TS_ATHLETES[RANK VALUE]))</f>
        <v>660</v>
      </c>
      <c r="I1177" s="3">
        <f>IFERROR(IF(TS_ATHLETES[[#This Row],[TOTAL]]=0,"",RANK(TS_ATHLETES[[#This Row],[RANK VALUE]],TS_ATHLETES[RANK VALUE])+COUNTIF($H$1:H1176,H1177)),"")</f>
        <v>1005</v>
      </c>
    </row>
    <row r="1178" spans="1:9" x14ac:dyDescent="0.25">
      <c r="A1178" t="s">
        <v>2080</v>
      </c>
      <c r="B1178" s="3" t="s">
        <v>128</v>
      </c>
      <c r="C1178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1178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1</v>
      </c>
      <c r="E1178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1178" s="3">
        <f>SUM(TS_ATHLETES[[#This Row],[GOLD MEDALS]:[BRONZE MEDALS]])</f>
        <v>1</v>
      </c>
      <c r="G1178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10000100</v>
      </c>
      <c r="H1178" s="3">
        <f>IF(TS_ATHLETES[[#This Row],[TOTAL]]=0,"",RANK(TS_ATHLETES[[#This Row],[RANK VALUE]],TS_ATHLETES[RANK VALUE]))</f>
        <v>660</v>
      </c>
      <c r="I1178" s="3">
        <f>IFERROR(IF(TS_ATHLETES[[#This Row],[TOTAL]]=0,"",RANK(TS_ATHLETES[[#This Row],[RANK VALUE]],TS_ATHLETES[RANK VALUE])+COUNTIF($H$1:H1177,H1178)),"")</f>
        <v>1006</v>
      </c>
    </row>
    <row r="1179" spans="1:9" x14ac:dyDescent="0.25">
      <c r="A1179" t="s">
        <v>2081</v>
      </c>
      <c r="B1179" s="3" t="s">
        <v>136</v>
      </c>
      <c r="C1179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1179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1179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1</v>
      </c>
      <c r="F1179" s="3">
        <f>SUM(TS_ATHLETES[[#This Row],[GOLD MEDALS]:[BRONZE MEDALS]])</f>
        <v>1</v>
      </c>
      <c r="G1179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10000010</v>
      </c>
      <c r="H1179" s="3">
        <f>IF(TS_ATHLETES[[#This Row],[TOTAL]]=0,"",RANK(TS_ATHLETES[[#This Row],[RANK VALUE]],TS_ATHLETES[RANK VALUE]))</f>
        <v>1224</v>
      </c>
      <c r="I1179" s="3">
        <f>IFERROR(IF(TS_ATHLETES[[#This Row],[TOTAL]]=0,"",RANK(TS_ATHLETES[[#This Row],[RANK VALUE]],TS_ATHLETES[RANK VALUE])+COUNTIF($H$1:H1178,H1179)),"")</f>
        <v>1626</v>
      </c>
    </row>
    <row r="1180" spans="1:9" x14ac:dyDescent="0.25">
      <c r="A1180" t="s">
        <v>2082</v>
      </c>
      <c r="B1180" s="3" t="s">
        <v>136</v>
      </c>
      <c r="C1180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1180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1180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1</v>
      </c>
      <c r="F1180" s="3">
        <f>SUM(TS_ATHLETES[[#This Row],[GOLD MEDALS]:[BRONZE MEDALS]])</f>
        <v>1</v>
      </c>
      <c r="G1180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10000010</v>
      </c>
      <c r="H1180" s="3">
        <f>IF(TS_ATHLETES[[#This Row],[TOTAL]]=0,"",RANK(TS_ATHLETES[[#This Row],[RANK VALUE]],TS_ATHLETES[RANK VALUE]))</f>
        <v>1224</v>
      </c>
      <c r="I1180" s="3">
        <f>IFERROR(IF(TS_ATHLETES[[#This Row],[TOTAL]]=0,"",RANK(TS_ATHLETES[[#This Row],[RANK VALUE]],TS_ATHLETES[RANK VALUE])+COUNTIF($H$1:H1179,H1180)),"")</f>
        <v>1627</v>
      </c>
    </row>
    <row r="1181" spans="1:9" x14ac:dyDescent="0.25">
      <c r="A1181" t="s">
        <v>2083</v>
      </c>
      <c r="B1181" s="3" t="s">
        <v>136</v>
      </c>
      <c r="C1181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1181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1181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1</v>
      </c>
      <c r="F1181" s="3">
        <f>SUM(TS_ATHLETES[[#This Row],[GOLD MEDALS]:[BRONZE MEDALS]])</f>
        <v>1</v>
      </c>
      <c r="G1181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10000010</v>
      </c>
      <c r="H1181" s="3">
        <f>IF(TS_ATHLETES[[#This Row],[TOTAL]]=0,"",RANK(TS_ATHLETES[[#This Row],[RANK VALUE]],TS_ATHLETES[RANK VALUE]))</f>
        <v>1224</v>
      </c>
      <c r="I1181" s="3">
        <f>IFERROR(IF(TS_ATHLETES[[#This Row],[TOTAL]]=0,"",RANK(TS_ATHLETES[[#This Row],[RANK VALUE]],TS_ATHLETES[RANK VALUE])+COUNTIF($H$1:H1180,H1181)),"")</f>
        <v>1628</v>
      </c>
    </row>
    <row r="1182" spans="1:9" x14ac:dyDescent="0.25">
      <c r="A1182" t="s">
        <v>2084</v>
      </c>
      <c r="B1182" s="3" t="s">
        <v>136</v>
      </c>
      <c r="C1182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1182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1182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1</v>
      </c>
      <c r="F1182" s="3">
        <f>SUM(TS_ATHLETES[[#This Row],[GOLD MEDALS]:[BRONZE MEDALS]])</f>
        <v>1</v>
      </c>
      <c r="G1182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10000010</v>
      </c>
      <c r="H1182" s="3">
        <f>IF(TS_ATHLETES[[#This Row],[TOTAL]]=0,"",RANK(TS_ATHLETES[[#This Row],[RANK VALUE]],TS_ATHLETES[RANK VALUE]))</f>
        <v>1224</v>
      </c>
      <c r="I1182" s="3">
        <f>IFERROR(IF(TS_ATHLETES[[#This Row],[TOTAL]]=0,"",RANK(TS_ATHLETES[[#This Row],[RANK VALUE]],TS_ATHLETES[RANK VALUE])+COUNTIF($H$1:H1181,H1182)),"")</f>
        <v>1629</v>
      </c>
    </row>
    <row r="1183" spans="1:9" x14ac:dyDescent="0.25">
      <c r="A1183" t="s">
        <v>2085</v>
      </c>
      <c r="B1183" s="3" t="s">
        <v>136</v>
      </c>
      <c r="C1183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1183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1183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1</v>
      </c>
      <c r="F1183" s="3">
        <f>SUM(TS_ATHLETES[[#This Row],[GOLD MEDALS]:[BRONZE MEDALS]])</f>
        <v>1</v>
      </c>
      <c r="G1183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10000010</v>
      </c>
      <c r="H1183" s="3">
        <f>IF(TS_ATHLETES[[#This Row],[TOTAL]]=0,"",RANK(TS_ATHLETES[[#This Row],[RANK VALUE]],TS_ATHLETES[RANK VALUE]))</f>
        <v>1224</v>
      </c>
      <c r="I1183" s="3">
        <f>IFERROR(IF(TS_ATHLETES[[#This Row],[TOTAL]]=0,"",RANK(TS_ATHLETES[[#This Row],[RANK VALUE]],TS_ATHLETES[RANK VALUE])+COUNTIF($H$1:H1182,H1183)),"")</f>
        <v>1630</v>
      </c>
    </row>
    <row r="1184" spans="1:9" x14ac:dyDescent="0.25">
      <c r="A1184" t="s">
        <v>2086</v>
      </c>
      <c r="B1184" s="3" t="s">
        <v>136</v>
      </c>
      <c r="C1184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1184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1184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1</v>
      </c>
      <c r="F1184" s="3">
        <f>SUM(TS_ATHLETES[[#This Row],[GOLD MEDALS]:[BRONZE MEDALS]])</f>
        <v>1</v>
      </c>
      <c r="G1184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10000010</v>
      </c>
      <c r="H1184" s="3">
        <f>IF(TS_ATHLETES[[#This Row],[TOTAL]]=0,"",RANK(TS_ATHLETES[[#This Row],[RANK VALUE]],TS_ATHLETES[RANK VALUE]))</f>
        <v>1224</v>
      </c>
      <c r="I1184" s="3">
        <f>IFERROR(IF(TS_ATHLETES[[#This Row],[TOTAL]]=0,"",RANK(TS_ATHLETES[[#This Row],[RANK VALUE]],TS_ATHLETES[RANK VALUE])+COUNTIF($H$1:H1183,H1184)),"")</f>
        <v>1631</v>
      </c>
    </row>
    <row r="1185" spans="1:9" x14ac:dyDescent="0.25">
      <c r="A1185" t="s">
        <v>2087</v>
      </c>
      <c r="B1185" s="3" t="s">
        <v>136</v>
      </c>
      <c r="C1185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1185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1185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1</v>
      </c>
      <c r="F1185" s="3">
        <f>SUM(TS_ATHLETES[[#This Row],[GOLD MEDALS]:[BRONZE MEDALS]])</f>
        <v>1</v>
      </c>
      <c r="G1185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10000010</v>
      </c>
      <c r="H1185" s="3">
        <f>IF(TS_ATHLETES[[#This Row],[TOTAL]]=0,"",RANK(TS_ATHLETES[[#This Row],[RANK VALUE]],TS_ATHLETES[RANK VALUE]))</f>
        <v>1224</v>
      </c>
      <c r="I1185" s="3">
        <f>IFERROR(IF(TS_ATHLETES[[#This Row],[TOTAL]]=0,"",RANK(TS_ATHLETES[[#This Row],[RANK VALUE]],TS_ATHLETES[RANK VALUE])+COUNTIF($H$1:H1184,H1185)),"")</f>
        <v>1632</v>
      </c>
    </row>
    <row r="1186" spans="1:9" x14ac:dyDescent="0.25">
      <c r="A1186" t="s">
        <v>2088</v>
      </c>
      <c r="B1186" s="3" t="s">
        <v>136</v>
      </c>
      <c r="C1186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1186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1186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1</v>
      </c>
      <c r="F1186" s="3">
        <f>SUM(TS_ATHLETES[[#This Row],[GOLD MEDALS]:[BRONZE MEDALS]])</f>
        <v>1</v>
      </c>
      <c r="G1186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10000010</v>
      </c>
      <c r="H1186" s="3">
        <f>IF(TS_ATHLETES[[#This Row],[TOTAL]]=0,"",RANK(TS_ATHLETES[[#This Row],[RANK VALUE]],TS_ATHLETES[RANK VALUE]))</f>
        <v>1224</v>
      </c>
      <c r="I1186" s="3">
        <f>IFERROR(IF(TS_ATHLETES[[#This Row],[TOTAL]]=0,"",RANK(TS_ATHLETES[[#This Row],[RANK VALUE]],TS_ATHLETES[RANK VALUE])+COUNTIF($H$1:H1185,H1186)),"")</f>
        <v>1633</v>
      </c>
    </row>
    <row r="1187" spans="1:9" x14ac:dyDescent="0.25">
      <c r="A1187" t="s">
        <v>2089</v>
      </c>
      <c r="B1187" s="3" t="s">
        <v>136</v>
      </c>
      <c r="C1187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1187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1187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1</v>
      </c>
      <c r="F1187" s="3">
        <f>SUM(TS_ATHLETES[[#This Row],[GOLD MEDALS]:[BRONZE MEDALS]])</f>
        <v>1</v>
      </c>
      <c r="G1187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10000010</v>
      </c>
      <c r="H1187" s="3">
        <f>IF(TS_ATHLETES[[#This Row],[TOTAL]]=0,"",RANK(TS_ATHLETES[[#This Row],[RANK VALUE]],TS_ATHLETES[RANK VALUE]))</f>
        <v>1224</v>
      </c>
      <c r="I1187" s="3">
        <f>IFERROR(IF(TS_ATHLETES[[#This Row],[TOTAL]]=0,"",RANK(TS_ATHLETES[[#This Row],[RANK VALUE]],TS_ATHLETES[RANK VALUE])+COUNTIF($H$1:H1186,H1187)),"")</f>
        <v>1634</v>
      </c>
    </row>
    <row r="1188" spans="1:9" x14ac:dyDescent="0.25">
      <c r="A1188" t="s">
        <v>2090</v>
      </c>
      <c r="B1188" s="3" t="s">
        <v>136</v>
      </c>
      <c r="C1188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1188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1188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1</v>
      </c>
      <c r="F1188" s="3">
        <f>SUM(TS_ATHLETES[[#This Row],[GOLD MEDALS]:[BRONZE MEDALS]])</f>
        <v>1</v>
      </c>
      <c r="G1188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10000010</v>
      </c>
      <c r="H1188" s="3">
        <f>IF(TS_ATHLETES[[#This Row],[TOTAL]]=0,"",RANK(TS_ATHLETES[[#This Row],[RANK VALUE]],TS_ATHLETES[RANK VALUE]))</f>
        <v>1224</v>
      </c>
      <c r="I1188" s="3">
        <f>IFERROR(IF(TS_ATHLETES[[#This Row],[TOTAL]]=0,"",RANK(TS_ATHLETES[[#This Row],[RANK VALUE]],TS_ATHLETES[RANK VALUE])+COUNTIF($H$1:H1187,H1188)),"")</f>
        <v>1635</v>
      </c>
    </row>
    <row r="1189" spans="1:9" x14ac:dyDescent="0.25">
      <c r="A1189" t="s">
        <v>2091</v>
      </c>
      <c r="B1189" s="3" t="s">
        <v>136</v>
      </c>
      <c r="C1189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1189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1189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1</v>
      </c>
      <c r="F1189" s="3">
        <f>SUM(TS_ATHLETES[[#This Row],[GOLD MEDALS]:[BRONZE MEDALS]])</f>
        <v>1</v>
      </c>
      <c r="G1189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10000010</v>
      </c>
      <c r="H1189" s="3">
        <f>IF(TS_ATHLETES[[#This Row],[TOTAL]]=0,"",RANK(TS_ATHLETES[[#This Row],[RANK VALUE]],TS_ATHLETES[RANK VALUE]))</f>
        <v>1224</v>
      </c>
      <c r="I1189" s="3">
        <f>IFERROR(IF(TS_ATHLETES[[#This Row],[TOTAL]]=0,"",RANK(TS_ATHLETES[[#This Row],[RANK VALUE]],TS_ATHLETES[RANK VALUE])+COUNTIF($H$1:H1188,H1189)),"")</f>
        <v>1636</v>
      </c>
    </row>
    <row r="1190" spans="1:9" x14ac:dyDescent="0.25">
      <c r="A1190" t="s">
        <v>2092</v>
      </c>
      <c r="B1190" s="3" t="s">
        <v>136</v>
      </c>
      <c r="C1190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1190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1190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1</v>
      </c>
      <c r="F1190" s="3">
        <f>SUM(TS_ATHLETES[[#This Row],[GOLD MEDALS]:[BRONZE MEDALS]])</f>
        <v>1</v>
      </c>
      <c r="G1190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10000010</v>
      </c>
      <c r="H1190" s="3">
        <f>IF(TS_ATHLETES[[#This Row],[TOTAL]]=0,"",RANK(TS_ATHLETES[[#This Row],[RANK VALUE]],TS_ATHLETES[RANK VALUE]))</f>
        <v>1224</v>
      </c>
      <c r="I1190" s="3">
        <f>IFERROR(IF(TS_ATHLETES[[#This Row],[TOTAL]]=0,"",RANK(TS_ATHLETES[[#This Row],[RANK VALUE]],TS_ATHLETES[RANK VALUE])+COUNTIF($H$1:H1189,H1190)),"")</f>
        <v>1637</v>
      </c>
    </row>
    <row r="1191" spans="1:9" x14ac:dyDescent="0.25">
      <c r="A1191" t="s">
        <v>2093</v>
      </c>
      <c r="B1191" s="3" t="s">
        <v>136</v>
      </c>
      <c r="C1191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1191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1191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1</v>
      </c>
      <c r="F1191" s="3">
        <f>SUM(TS_ATHLETES[[#This Row],[GOLD MEDALS]:[BRONZE MEDALS]])</f>
        <v>1</v>
      </c>
      <c r="G1191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10000010</v>
      </c>
      <c r="H1191" s="3">
        <f>IF(TS_ATHLETES[[#This Row],[TOTAL]]=0,"",RANK(TS_ATHLETES[[#This Row],[RANK VALUE]],TS_ATHLETES[RANK VALUE]))</f>
        <v>1224</v>
      </c>
      <c r="I1191" s="3">
        <f>IFERROR(IF(TS_ATHLETES[[#This Row],[TOTAL]]=0,"",RANK(TS_ATHLETES[[#This Row],[RANK VALUE]],TS_ATHLETES[RANK VALUE])+COUNTIF($H$1:H1190,H1191)),"")</f>
        <v>1638</v>
      </c>
    </row>
    <row r="1192" spans="1:9" x14ac:dyDescent="0.25">
      <c r="A1192" t="s">
        <v>2094</v>
      </c>
      <c r="B1192" s="3" t="s">
        <v>136</v>
      </c>
      <c r="C1192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1192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1192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1</v>
      </c>
      <c r="F1192" s="3">
        <f>SUM(TS_ATHLETES[[#This Row],[GOLD MEDALS]:[BRONZE MEDALS]])</f>
        <v>1</v>
      </c>
      <c r="G1192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10000010</v>
      </c>
      <c r="H1192" s="3">
        <f>IF(TS_ATHLETES[[#This Row],[TOTAL]]=0,"",RANK(TS_ATHLETES[[#This Row],[RANK VALUE]],TS_ATHLETES[RANK VALUE]))</f>
        <v>1224</v>
      </c>
      <c r="I1192" s="3">
        <f>IFERROR(IF(TS_ATHLETES[[#This Row],[TOTAL]]=0,"",RANK(TS_ATHLETES[[#This Row],[RANK VALUE]],TS_ATHLETES[RANK VALUE])+COUNTIF($H$1:H1191,H1192)),"")</f>
        <v>1639</v>
      </c>
    </row>
    <row r="1193" spans="1:9" x14ac:dyDescent="0.25">
      <c r="A1193" t="s">
        <v>2095</v>
      </c>
      <c r="B1193" s="3" t="s">
        <v>136</v>
      </c>
      <c r="C1193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1193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1193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1</v>
      </c>
      <c r="F1193" s="3">
        <f>SUM(TS_ATHLETES[[#This Row],[GOLD MEDALS]:[BRONZE MEDALS]])</f>
        <v>1</v>
      </c>
      <c r="G1193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10000010</v>
      </c>
      <c r="H1193" s="3">
        <f>IF(TS_ATHLETES[[#This Row],[TOTAL]]=0,"",RANK(TS_ATHLETES[[#This Row],[RANK VALUE]],TS_ATHLETES[RANK VALUE]))</f>
        <v>1224</v>
      </c>
      <c r="I1193" s="3">
        <f>IFERROR(IF(TS_ATHLETES[[#This Row],[TOTAL]]=0,"",RANK(TS_ATHLETES[[#This Row],[RANK VALUE]],TS_ATHLETES[RANK VALUE])+COUNTIF($H$1:H1192,H1193)),"")</f>
        <v>1640</v>
      </c>
    </row>
    <row r="1194" spans="1:9" x14ac:dyDescent="0.25">
      <c r="A1194" t="s">
        <v>2096</v>
      </c>
      <c r="B1194" s="3" t="s">
        <v>287</v>
      </c>
      <c r="C1194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1</v>
      </c>
      <c r="D1194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1194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1194" s="3">
        <f>SUM(TS_ATHLETES[[#This Row],[GOLD MEDALS]:[BRONZE MEDALS]])</f>
        <v>1</v>
      </c>
      <c r="G1194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10100000</v>
      </c>
      <c r="H1194" s="3">
        <f>IF(TS_ATHLETES[[#This Row],[TOTAL]]=0,"",RANK(TS_ATHLETES[[#This Row],[RANK VALUE]],TS_ATHLETES[RANK VALUE]))</f>
        <v>129</v>
      </c>
      <c r="I1194" s="3">
        <f>IFERROR(IF(TS_ATHLETES[[#This Row],[TOTAL]]=0,"",RANK(TS_ATHLETES[[#This Row],[RANK VALUE]],TS_ATHLETES[RANK VALUE])+COUNTIF($H$1:H1193,H1194)),"")</f>
        <v>443</v>
      </c>
    </row>
    <row r="1195" spans="1:9" x14ac:dyDescent="0.25">
      <c r="A1195" t="s">
        <v>2097</v>
      </c>
      <c r="B1195" s="3" t="s">
        <v>287</v>
      </c>
      <c r="C1195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1</v>
      </c>
      <c r="D1195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1195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1195" s="3">
        <f>SUM(TS_ATHLETES[[#This Row],[GOLD MEDALS]:[BRONZE MEDALS]])</f>
        <v>1</v>
      </c>
      <c r="G1195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10100000</v>
      </c>
      <c r="H1195" s="3">
        <f>IF(TS_ATHLETES[[#This Row],[TOTAL]]=0,"",RANK(TS_ATHLETES[[#This Row],[RANK VALUE]],TS_ATHLETES[RANK VALUE]))</f>
        <v>129</v>
      </c>
      <c r="I1195" s="3">
        <f>IFERROR(IF(TS_ATHLETES[[#This Row],[TOTAL]]=0,"",RANK(TS_ATHLETES[[#This Row],[RANK VALUE]],TS_ATHLETES[RANK VALUE])+COUNTIF($H$1:H1194,H1195)),"")</f>
        <v>444</v>
      </c>
    </row>
    <row r="1196" spans="1:9" x14ac:dyDescent="0.25">
      <c r="A1196" t="s">
        <v>2098</v>
      </c>
      <c r="B1196" s="3" t="s">
        <v>287</v>
      </c>
      <c r="C1196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1</v>
      </c>
      <c r="D1196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1196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1196" s="3">
        <f>SUM(TS_ATHLETES[[#This Row],[GOLD MEDALS]:[BRONZE MEDALS]])</f>
        <v>1</v>
      </c>
      <c r="G1196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10100000</v>
      </c>
      <c r="H1196" s="3">
        <f>IF(TS_ATHLETES[[#This Row],[TOTAL]]=0,"",RANK(TS_ATHLETES[[#This Row],[RANK VALUE]],TS_ATHLETES[RANK VALUE]))</f>
        <v>129</v>
      </c>
      <c r="I1196" s="3">
        <f>IFERROR(IF(TS_ATHLETES[[#This Row],[TOTAL]]=0,"",RANK(TS_ATHLETES[[#This Row],[RANK VALUE]],TS_ATHLETES[RANK VALUE])+COUNTIF($H$1:H1195,H1196)),"")</f>
        <v>445</v>
      </c>
    </row>
    <row r="1197" spans="1:9" x14ac:dyDescent="0.25">
      <c r="A1197" t="s">
        <v>2099</v>
      </c>
      <c r="B1197" s="3" t="s">
        <v>287</v>
      </c>
      <c r="C1197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1</v>
      </c>
      <c r="D1197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1197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1197" s="3">
        <f>SUM(TS_ATHLETES[[#This Row],[GOLD MEDALS]:[BRONZE MEDALS]])</f>
        <v>1</v>
      </c>
      <c r="G1197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10100000</v>
      </c>
      <c r="H1197" s="3">
        <f>IF(TS_ATHLETES[[#This Row],[TOTAL]]=0,"",RANK(TS_ATHLETES[[#This Row],[RANK VALUE]],TS_ATHLETES[RANK VALUE]))</f>
        <v>129</v>
      </c>
      <c r="I1197" s="3">
        <f>IFERROR(IF(TS_ATHLETES[[#This Row],[TOTAL]]=0,"",RANK(TS_ATHLETES[[#This Row],[RANK VALUE]],TS_ATHLETES[RANK VALUE])+COUNTIF($H$1:H1196,H1197)),"")</f>
        <v>446</v>
      </c>
    </row>
    <row r="1198" spans="1:9" x14ac:dyDescent="0.25">
      <c r="A1198" t="s">
        <v>2100</v>
      </c>
      <c r="B1198" s="3" t="s">
        <v>287</v>
      </c>
      <c r="C1198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1</v>
      </c>
      <c r="D1198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1198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1198" s="3">
        <f>SUM(TS_ATHLETES[[#This Row],[GOLD MEDALS]:[BRONZE MEDALS]])</f>
        <v>1</v>
      </c>
      <c r="G1198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10100000</v>
      </c>
      <c r="H1198" s="3">
        <f>IF(TS_ATHLETES[[#This Row],[TOTAL]]=0,"",RANK(TS_ATHLETES[[#This Row],[RANK VALUE]],TS_ATHLETES[RANK VALUE]))</f>
        <v>129</v>
      </c>
      <c r="I1198" s="3">
        <f>IFERROR(IF(TS_ATHLETES[[#This Row],[TOTAL]]=0,"",RANK(TS_ATHLETES[[#This Row],[RANK VALUE]],TS_ATHLETES[RANK VALUE])+COUNTIF($H$1:H1197,H1198)),"")</f>
        <v>447</v>
      </c>
    </row>
    <row r="1199" spans="1:9" x14ac:dyDescent="0.25">
      <c r="A1199" t="s">
        <v>2101</v>
      </c>
      <c r="B1199" s="3" t="s">
        <v>287</v>
      </c>
      <c r="C1199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1</v>
      </c>
      <c r="D1199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1199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1199" s="3">
        <f>SUM(TS_ATHLETES[[#This Row],[GOLD MEDALS]:[BRONZE MEDALS]])</f>
        <v>1</v>
      </c>
      <c r="G1199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10100000</v>
      </c>
      <c r="H1199" s="3">
        <f>IF(TS_ATHLETES[[#This Row],[TOTAL]]=0,"",RANK(TS_ATHLETES[[#This Row],[RANK VALUE]],TS_ATHLETES[RANK VALUE]))</f>
        <v>129</v>
      </c>
      <c r="I1199" s="3">
        <f>IFERROR(IF(TS_ATHLETES[[#This Row],[TOTAL]]=0,"",RANK(TS_ATHLETES[[#This Row],[RANK VALUE]],TS_ATHLETES[RANK VALUE])+COUNTIF($H$1:H1198,H1199)),"")</f>
        <v>448</v>
      </c>
    </row>
    <row r="1200" spans="1:9" x14ac:dyDescent="0.25">
      <c r="A1200" t="s">
        <v>2102</v>
      </c>
      <c r="B1200" s="3" t="s">
        <v>287</v>
      </c>
      <c r="C1200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1</v>
      </c>
      <c r="D1200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1200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1200" s="3">
        <f>SUM(TS_ATHLETES[[#This Row],[GOLD MEDALS]:[BRONZE MEDALS]])</f>
        <v>1</v>
      </c>
      <c r="G1200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10100000</v>
      </c>
      <c r="H1200" s="3">
        <f>IF(TS_ATHLETES[[#This Row],[TOTAL]]=0,"",RANK(TS_ATHLETES[[#This Row],[RANK VALUE]],TS_ATHLETES[RANK VALUE]))</f>
        <v>129</v>
      </c>
      <c r="I1200" s="3">
        <f>IFERROR(IF(TS_ATHLETES[[#This Row],[TOTAL]]=0,"",RANK(TS_ATHLETES[[#This Row],[RANK VALUE]],TS_ATHLETES[RANK VALUE])+COUNTIF($H$1:H1199,H1200)),"")</f>
        <v>449</v>
      </c>
    </row>
    <row r="1201" spans="1:9" x14ac:dyDescent="0.25">
      <c r="A1201" t="s">
        <v>2103</v>
      </c>
      <c r="B1201" s="3" t="s">
        <v>287</v>
      </c>
      <c r="C1201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1</v>
      </c>
      <c r="D1201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1201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1201" s="3">
        <f>SUM(TS_ATHLETES[[#This Row],[GOLD MEDALS]:[BRONZE MEDALS]])</f>
        <v>1</v>
      </c>
      <c r="G1201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10100000</v>
      </c>
      <c r="H1201" s="3">
        <f>IF(TS_ATHLETES[[#This Row],[TOTAL]]=0,"",RANK(TS_ATHLETES[[#This Row],[RANK VALUE]],TS_ATHLETES[RANK VALUE]))</f>
        <v>129</v>
      </c>
      <c r="I1201" s="3">
        <f>IFERROR(IF(TS_ATHLETES[[#This Row],[TOTAL]]=0,"",RANK(TS_ATHLETES[[#This Row],[RANK VALUE]],TS_ATHLETES[RANK VALUE])+COUNTIF($H$1:H1200,H1201)),"")</f>
        <v>450</v>
      </c>
    </row>
    <row r="1202" spans="1:9" x14ac:dyDescent="0.25">
      <c r="A1202" t="s">
        <v>2104</v>
      </c>
      <c r="B1202" s="3" t="s">
        <v>287</v>
      </c>
      <c r="C1202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1</v>
      </c>
      <c r="D1202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1202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1202" s="3">
        <f>SUM(TS_ATHLETES[[#This Row],[GOLD MEDALS]:[BRONZE MEDALS]])</f>
        <v>1</v>
      </c>
      <c r="G1202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10100000</v>
      </c>
      <c r="H1202" s="3">
        <f>IF(TS_ATHLETES[[#This Row],[TOTAL]]=0,"",RANK(TS_ATHLETES[[#This Row],[RANK VALUE]],TS_ATHLETES[RANK VALUE]))</f>
        <v>129</v>
      </c>
      <c r="I1202" s="3">
        <f>IFERROR(IF(TS_ATHLETES[[#This Row],[TOTAL]]=0,"",RANK(TS_ATHLETES[[#This Row],[RANK VALUE]],TS_ATHLETES[RANK VALUE])+COUNTIF($H$1:H1201,H1202)),"")</f>
        <v>451</v>
      </c>
    </row>
    <row r="1203" spans="1:9" x14ac:dyDescent="0.25">
      <c r="A1203" t="s">
        <v>2105</v>
      </c>
      <c r="B1203" s="3" t="s">
        <v>287</v>
      </c>
      <c r="C1203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1</v>
      </c>
      <c r="D1203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1203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1203" s="3">
        <f>SUM(TS_ATHLETES[[#This Row],[GOLD MEDALS]:[BRONZE MEDALS]])</f>
        <v>1</v>
      </c>
      <c r="G1203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10100000</v>
      </c>
      <c r="H1203" s="3">
        <f>IF(TS_ATHLETES[[#This Row],[TOTAL]]=0,"",RANK(TS_ATHLETES[[#This Row],[RANK VALUE]],TS_ATHLETES[RANK VALUE]))</f>
        <v>129</v>
      </c>
      <c r="I1203" s="3">
        <f>IFERROR(IF(TS_ATHLETES[[#This Row],[TOTAL]]=0,"",RANK(TS_ATHLETES[[#This Row],[RANK VALUE]],TS_ATHLETES[RANK VALUE])+COUNTIF($H$1:H1202,H1203)),"")</f>
        <v>452</v>
      </c>
    </row>
    <row r="1204" spans="1:9" x14ac:dyDescent="0.25">
      <c r="A1204" t="s">
        <v>2106</v>
      </c>
      <c r="B1204" s="3" t="s">
        <v>287</v>
      </c>
      <c r="C1204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1</v>
      </c>
      <c r="D1204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1204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1204" s="3">
        <f>SUM(TS_ATHLETES[[#This Row],[GOLD MEDALS]:[BRONZE MEDALS]])</f>
        <v>1</v>
      </c>
      <c r="G1204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10100000</v>
      </c>
      <c r="H1204" s="3">
        <f>IF(TS_ATHLETES[[#This Row],[TOTAL]]=0,"",RANK(TS_ATHLETES[[#This Row],[RANK VALUE]],TS_ATHLETES[RANK VALUE]))</f>
        <v>129</v>
      </c>
      <c r="I1204" s="3">
        <f>IFERROR(IF(TS_ATHLETES[[#This Row],[TOTAL]]=0,"",RANK(TS_ATHLETES[[#This Row],[RANK VALUE]],TS_ATHLETES[RANK VALUE])+COUNTIF($H$1:H1203,H1204)),"")</f>
        <v>453</v>
      </c>
    </row>
    <row r="1205" spans="1:9" x14ac:dyDescent="0.25">
      <c r="A1205" t="s">
        <v>2107</v>
      </c>
      <c r="B1205" s="3" t="s">
        <v>287</v>
      </c>
      <c r="C1205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1</v>
      </c>
      <c r="D1205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1205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1205" s="3">
        <f>SUM(TS_ATHLETES[[#This Row],[GOLD MEDALS]:[BRONZE MEDALS]])</f>
        <v>1</v>
      </c>
      <c r="G1205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10100000</v>
      </c>
      <c r="H1205" s="3">
        <f>IF(TS_ATHLETES[[#This Row],[TOTAL]]=0,"",RANK(TS_ATHLETES[[#This Row],[RANK VALUE]],TS_ATHLETES[RANK VALUE]))</f>
        <v>129</v>
      </c>
      <c r="I1205" s="3">
        <f>IFERROR(IF(TS_ATHLETES[[#This Row],[TOTAL]]=0,"",RANK(TS_ATHLETES[[#This Row],[RANK VALUE]],TS_ATHLETES[RANK VALUE])+COUNTIF($H$1:H1204,H1205)),"")</f>
        <v>454</v>
      </c>
    </row>
    <row r="1206" spans="1:9" x14ac:dyDescent="0.25">
      <c r="A1206" t="s">
        <v>2108</v>
      </c>
      <c r="B1206" s="3" t="s">
        <v>287</v>
      </c>
      <c r="C1206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1</v>
      </c>
      <c r="D1206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1206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1206" s="3">
        <f>SUM(TS_ATHLETES[[#This Row],[GOLD MEDALS]:[BRONZE MEDALS]])</f>
        <v>1</v>
      </c>
      <c r="G1206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10100000</v>
      </c>
      <c r="H1206" s="3">
        <f>IF(TS_ATHLETES[[#This Row],[TOTAL]]=0,"",RANK(TS_ATHLETES[[#This Row],[RANK VALUE]],TS_ATHLETES[RANK VALUE]))</f>
        <v>129</v>
      </c>
      <c r="I1206" s="3">
        <f>IFERROR(IF(TS_ATHLETES[[#This Row],[TOTAL]]=0,"",RANK(TS_ATHLETES[[#This Row],[RANK VALUE]],TS_ATHLETES[RANK VALUE])+COUNTIF($H$1:H1205,H1206)),"")</f>
        <v>455</v>
      </c>
    </row>
    <row r="1207" spans="1:9" x14ac:dyDescent="0.25">
      <c r="A1207" t="s">
        <v>2109</v>
      </c>
      <c r="B1207" s="3" t="s">
        <v>287</v>
      </c>
      <c r="C1207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1</v>
      </c>
      <c r="D1207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1207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1207" s="3">
        <f>SUM(TS_ATHLETES[[#This Row],[GOLD MEDALS]:[BRONZE MEDALS]])</f>
        <v>1</v>
      </c>
      <c r="G1207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10100000</v>
      </c>
      <c r="H1207" s="3">
        <f>IF(TS_ATHLETES[[#This Row],[TOTAL]]=0,"",RANK(TS_ATHLETES[[#This Row],[RANK VALUE]],TS_ATHLETES[RANK VALUE]))</f>
        <v>129</v>
      </c>
      <c r="I1207" s="3">
        <f>IFERROR(IF(TS_ATHLETES[[#This Row],[TOTAL]]=0,"",RANK(TS_ATHLETES[[#This Row],[RANK VALUE]],TS_ATHLETES[RANK VALUE])+COUNTIF($H$1:H1206,H1207)),"")</f>
        <v>456</v>
      </c>
    </row>
    <row r="1208" spans="1:9" x14ac:dyDescent="0.25">
      <c r="A1208" t="s">
        <v>2110</v>
      </c>
      <c r="B1208" s="3" t="s">
        <v>287</v>
      </c>
      <c r="C1208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1</v>
      </c>
      <c r="D1208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1208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1208" s="3">
        <f>SUM(TS_ATHLETES[[#This Row],[GOLD MEDALS]:[BRONZE MEDALS]])</f>
        <v>1</v>
      </c>
      <c r="G1208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10100000</v>
      </c>
      <c r="H1208" s="3">
        <f>IF(TS_ATHLETES[[#This Row],[TOTAL]]=0,"",RANK(TS_ATHLETES[[#This Row],[RANK VALUE]],TS_ATHLETES[RANK VALUE]))</f>
        <v>129</v>
      </c>
      <c r="I1208" s="3">
        <f>IFERROR(IF(TS_ATHLETES[[#This Row],[TOTAL]]=0,"",RANK(TS_ATHLETES[[#This Row],[RANK VALUE]],TS_ATHLETES[RANK VALUE])+COUNTIF($H$1:H1207,H1208)),"")</f>
        <v>457</v>
      </c>
    </row>
    <row r="1209" spans="1:9" x14ac:dyDescent="0.25">
      <c r="A1209" t="s">
        <v>2111</v>
      </c>
      <c r="B1209" s="3" t="s">
        <v>128</v>
      </c>
      <c r="C1209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1209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1</v>
      </c>
      <c r="E1209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1209" s="3">
        <f>SUM(TS_ATHLETES[[#This Row],[GOLD MEDALS]:[BRONZE MEDALS]])</f>
        <v>1</v>
      </c>
      <c r="G1209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10000100</v>
      </c>
      <c r="H1209" s="3">
        <f>IF(TS_ATHLETES[[#This Row],[TOTAL]]=0,"",RANK(TS_ATHLETES[[#This Row],[RANK VALUE]],TS_ATHLETES[RANK VALUE]))</f>
        <v>660</v>
      </c>
      <c r="I1209" s="3">
        <f>IFERROR(IF(TS_ATHLETES[[#This Row],[TOTAL]]=0,"",RANK(TS_ATHLETES[[#This Row],[RANK VALUE]],TS_ATHLETES[RANK VALUE])+COUNTIF($H$1:H1208,H1209)),"")</f>
        <v>1007</v>
      </c>
    </row>
    <row r="1210" spans="1:9" x14ac:dyDescent="0.25">
      <c r="A1210" t="s">
        <v>2112</v>
      </c>
      <c r="B1210" s="3" t="s">
        <v>128</v>
      </c>
      <c r="C1210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1210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1</v>
      </c>
      <c r="E1210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1210" s="3">
        <f>SUM(TS_ATHLETES[[#This Row],[GOLD MEDALS]:[BRONZE MEDALS]])</f>
        <v>1</v>
      </c>
      <c r="G1210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10000100</v>
      </c>
      <c r="H1210" s="3">
        <f>IF(TS_ATHLETES[[#This Row],[TOTAL]]=0,"",RANK(TS_ATHLETES[[#This Row],[RANK VALUE]],TS_ATHLETES[RANK VALUE]))</f>
        <v>660</v>
      </c>
      <c r="I1210" s="3">
        <f>IFERROR(IF(TS_ATHLETES[[#This Row],[TOTAL]]=0,"",RANK(TS_ATHLETES[[#This Row],[RANK VALUE]],TS_ATHLETES[RANK VALUE])+COUNTIF($H$1:H1209,H1210)),"")</f>
        <v>1008</v>
      </c>
    </row>
    <row r="1211" spans="1:9" x14ac:dyDescent="0.25">
      <c r="A1211" t="s">
        <v>2113</v>
      </c>
      <c r="B1211" s="3" t="s">
        <v>128</v>
      </c>
      <c r="C1211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1211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1</v>
      </c>
      <c r="E1211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1211" s="3">
        <f>SUM(TS_ATHLETES[[#This Row],[GOLD MEDALS]:[BRONZE MEDALS]])</f>
        <v>1</v>
      </c>
      <c r="G1211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10000100</v>
      </c>
      <c r="H1211" s="3">
        <f>IF(TS_ATHLETES[[#This Row],[TOTAL]]=0,"",RANK(TS_ATHLETES[[#This Row],[RANK VALUE]],TS_ATHLETES[RANK VALUE]))</f>
        <v>660</v>
      </c>
      <c r="I1211" s="3">
        <f>IFERROR(IF(TS_ATHLETES[[#This Row],[TOTAL]]=0,"",RANK(TS_ATHLETES[[#This Row],[RANK VALUE]],TS_ATHLETES[RANK VALUE])+COUNTIF($H$1:H1210,H1211)),"")</f>
        <v>1009</v>
      </c>
    </row>
    <row r="1212" spans="1:9" x14ac:dyDescent="0.25">
      <c r="A1212" t="s">
        <v>2114</v>
      </c>
      <c r="B1212" s="3" t="s">
        <v>128</v>
      </c>
      <c r="C1212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1212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1</v>
      </c>
      <c r="E1212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1212" s="3">
        <f>SUM(TS_ATHLETES[[#This Row],[GOLD MEDALS]:[BRONZE MEDALS]])</f>
        <v>1</v>
      </c>
      <c r="G1212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10000100</v>
      </c>
      <c r="H1212" s="3">
        <f>IF(TS_ATHLETES[[#This Row],[TOTAL]]=0,"",RANK(TS_ATHLETES[[#This Row],[RANK VALUE]],TS_ATHLETES[RANK VALUE]))</f>
        <v>660</v>
      </c>
      <c r="I1212" s="3">
        <f>IFERROR(IF(TS_ATHLETES[[#This Row],[TOTAL]]=0,"",RANK(TS_ATHLETES[[#This Row],[RANK VALUE]],TS_ATHLETES[RANK VALUE])+COUNTIF($H$1:H1211,H1212)),"")</f>
        <v>1010</v>
      </c>
    </row>
    <row r="1213" spans="1:9" x14ac:dyDescent="0.25">
      <c r="A1213" t="s">
        <v>2115</v>
      </c>
      <c r="B1213" s="3" t="s">
        <v>128</v>
      </c>
      <c r="C1213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1213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1</v>
      </c>
      <c r="E1213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1213" s="3">
        <f>SUM(TS_ATHLETES[[#This Row],[GOLD MEDALS]:[BRONZE MEDALS]])</f>
        <v>1</v>
      </c>
      <c r="G1213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10000100</v>
      </c>
      <c r="H1213" s="3">
        <f>IF(TS_ATHLETES[[#This Row],[TOTAL]]=0,"",RANK(TS_ATHLETES[[#This Row],[RANK VALUE]],TS_ATHLETES[RANK VALUE]))</f>
        <v>660</v>
      </c>
      <c r="I1213" s="3">
        <f>IFERROR(IF(TS_ATHLETES[[#This Row],[TOTAL]]=0,"",RANK(TS_ATHLETES[[#This Row],[RANK VALUE]],TS_ATHLETES[RANK VALUE])+COUNTIF($H$1:H1212,H1213)),"")</f>
        <v>1011</v>
      </c>
    </row>
    <row r="1214" spans="1:9" x14ac:dyDescent="0.25">
      <c r="A1214" t="s">
        <v>2116</v>
      </c>
      <c r="B1214" s="3" t="s">
        <v>128</v>
      </c>
      <c r="C1214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1214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1</v>
      </c>
      <c r="E1214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1214" s="3">
        <f>SUM(TS_ATHLETES[[#This Row],[GOLD MEDALS]:[BRONZE MEDALS]])</f>
        <v>1</v>
      </c>
      <c r="G1214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10000100</v>
      </c>
      <c r="H1214" s="3">
        <f>IF(TS_ATHLETES[[#This Row],[TOTAL]]=0,"",RANK(TS_ATHLETES[[#This Row],[RANK VALUE]],TS_ATHLETES[RANK VALUE]))</f>
        <v>660</v>
      </c>
      <c r="I1214" s="3">
        <f>IFERROR(IF(TS_ATHLETES[[#This Row],[TOTAL]]=0,"",RANK(TS_ATHLETES[[#This Row],[RANK VALUE]],TS_ATHLETES[RANK VALUE])+COUNTIF($H$1:H1213,H1214)),"")</f>
        <v>1012</v>
      </c>
    </row>
    <row r="1215" spans="1:9" x14ac:dyDescent="0.25">
      <c r="A1215" t="s">
        <v>2117</v>
      </c>
      <c r="B1215" s="3" t="s">
        <v>128</v>
      </c>
      <c r="C1215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1215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1</v>
      </c>
      <c r="E1215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1215" s="3">
        <f>SUM(TS_ATHLETES[[#This Row],[GOLD MEDALS]:[BRONZE MEDALS]])</f>
        <v>1</v>
      </c>
      <c r="G1215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10000100</v>
      </c>
      <c r="H1215" s="3">
        <f>IF(TS_ATHLETES[[#This Row],[TOTAL]]=0,"",RANK(TS_ATHLETES[[#This Row],[RANK VALUE]],TS_ATHLETES[RANK VALUE]))</f>
        <v>660</v>
      </c>
      <c r="I1215" s="3">
        <f>IFERROR(IF(TS_ATHLETES[[#This Row],[TOTAL]]=0,"",RANK(TS_ATHLETES[[#This Row],[RANK VALUE]],TS_ATHLETES[RANK VALUE])+COUNTIF($H$1:H1214,H1215)),"")</f>
        <v>1013</v>
      </c>
    </row>
    <row r="1216" spans="1:9" x14ac:dyDescent="0.25">
      <c r="A1216" t="s">
        <v>2118</v>
      </c>
      <c r="B1216" s="3" t="s">
        <v>128</v>
      </c>
      <c r="C1216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1216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1</v>
      </c>
      <c r="E1216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1216" s="3">
        <f>SUM(TS_ATHLETES[[#This Row],[GOLD MEDALS]:[BRONZE MEDALS]])</f>
        <v>1</v>
      </c>
      <c r="G1216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10000100</v>
      </c>
      <c r="H1216" s="3">
        <f>IF(TS_ATHLETES[[#This Row],[TOTAL]]=0,"",RANK(TS_ATHLETES[[#This Row],[RANK VALUE]],TS_ATHLETES[RANK VALUE]))</f>
        <v>660</v>
      </c>
      <c r="I1216" s="3">
        <f>IFERROR(IF(TS_ATHLETES[[#This Row],[TOTAL]]=0,"",RANK(TS_ATHLETES[[#This Row],[RANK VALUE]],TS_ATHLETES[RANK VALUE])+COUNTIF($H$1:H1215,H1216)),"")</f>
        <v>1014</v>
      </c>
    </row>
    <row r="1217" spans="1:9" x14ac:dyDescent="0.25">
      <c r="A1217" t="s">
        <v>2119</v>
      </c>
      <c r="B1217" s="3" t="s">
        <v>128</v>
      </c>
      <c r="C1217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1217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1</v>
      </c>
      <c r="E1217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1217" s="3">
        <f>SUM(TS_ATHLETES[[#This Row],[GOLD MEDALS]:[BRONZE MEDALS]])</f>
        <v>1</v>
      </c>
      <c r="G1217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10000100</v>
      </c>
      <c r="H1217" s="3">
        <f>IF(TS_ATHLETES[[#This Row],[TOTAL]]=0,"",RANK(TS_ATHLETES[[#This Row],[RANK VALUE]],TS_ATHLETES[RANK VALUE]))</f>
        <v>660</v>
      </c>
      <c r="I1217" s="3">
        <f>IFERROR(IF(TS_ATHLETES[[#This Row],[TOTAL]]=0,"",RANK(TS_ATHLETES[[#This Row],[RANK VALUE]],TS_ATHLETES[RANK VALUE])+COUNTIF($H$1:H1216,H1217)),"")</f>
        <v>1015</v>
      </c>
    </row>
    <row r="1218" spans="1:9" x14ac:dyDescent="0.25">
      <c r="A1218" t="s">
        <v>2120</v>
      </c>
      <c r="B1218" s="3" t="s">
        <v>128</v>
      </c>
      <c r="C1218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1218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1</v>
      </c>
      <c r="E1218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1218" s="3">
        <f>SUM(TS_ATHLETES[[#This Row],[GOLD MEDALS]:[BRONZE MEDALS]])</f>
        <v>1</v>
      </c>
      <c r="G1218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10000100</v>
      </c>
      <c r="H1218" s="3">
        <f>IF(TS_ATHLETES[[#This Row],[TOTAL]]=0,"",RANK(TS_ATHLETES[[#This Row],[RANK VALUE]],TS_ATHLETES[RANK VALUE]))</f>
        <v>660</v>
      </c>
      <c r="I1218" s="3">
        <f>IFERROR(IF(TS_ATHLETES[[#This Row],[TOTAL]]=0,"",RANK(TS_ATHLETES[[#This Row],[RANK VALUE]],TS_ATHLETES[RANK VALUE])+COUNTIF($H$1:H1217,H1218)),"")</f>
        <v>1016</v>
      </c>
    </row>
    <row r="1219" spans="1:9" x14ac:dyDescent="0.25">
      <c r="A1219" t="s">
        <v>2121</v>
      </c>
      <c r="B1219" s="3" t="s">
        <v>128</v>
      </c>
      <c r="C1219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1219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1</v>
      </c>
      <c r="E1219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1219" s="3">
        <f>SUM(TS_ATHLETES[[#This Row],[GOLD MEDALS]:[BRONZE MEDALS]])</f>
        <v>1</v>
      </c>
      <c r="G1219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10000100</v>
      </c>
      <c r="H1219" s="3">
        <f>IF(TS_ATHLETES[[#This Row],[TOTAL]]=0,"",RANK(TS_ATHLETES[[#This Row],[RANK VALUE]],TS_ATHLETES[RANK VALUE]))</f>
        <v>660</v>
      </c>
      <c r="I1219" s="3">
        <f>IFERROR(IF(TS_ATHLETES[[#This Row],[TOTAL]]=0,"",RANK(TS_ATHLETES[[#This Row],[RANK VALUE]],TS_ATHLETES[RANK VALUE])+COUNTIF($H$1:H1218,H1219)),"")</f>
        <v>1017</v>
      </c>
    </row>
    <row r="1220" spans="1:9" x14ac:dyDescent="0.25">
      <c r="A1220" t="s">
        <v>2122</v>
      </c>
      <c r="B1220" s="3" t="s">
        <v>128</v>
      </c>
      <c r="C1220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1220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1</v>
      </c>
      <c r="E1220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1220" s="3">
        <f>SUM(TS_ATHLETES[[#This Row],[GOLD MEDALS]:[BRONZE MEDALS]])</f>
        <v>1</v>
      </c>
      <c r="G1220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10000100</v>
      </c>
      <c r="H1220" s="3">
        <f>IF(TS_ATHLETES[[#This Row],[TOTAL]]=0,"",RANK(TS_ATHLETES[[#This Row],[RANK VALUE]],TS_ATHLETES[RANK VALUE]))</f>
        <v>660</v>
      </c>
      <c r="I1220" s="3">
        <f>IFERROR(IF(TS_ATHLETES[[#This Row],[TOTAL]]=0,"",RANK(TS_ATHLETES[[#This Row],[RANK VALUE]],TS_ATHLETES[RANK VALUE])+COUNTIF($H$1:H1219,H1220)),"")</f>
        <v>1018</v>
      </c>
    </row>
    <row r="1221" spans="1:9" x14ac:dyDescent="0.25">
      <c r="A1221" t="s">
        <v>2123</v>
      </c>
      <c r="B1221" s="3" t="s">
        <v>128</v>
      </c>
      <c r="C1221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1221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1</v>
      </c>
      <c r="E1221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1221" s="3">
        <f>SUM(TS_ATHLETES[[#This Row],[GOLD MEDALS]:[BRONZE MEDALS]])</f>
        <v>1</v>
      </c>
      <c r="G1221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10000100</v>
      </c>
      <c r="H1221" s="3">
        <f>IF(TS_ATHLETES[[#This Row],[TOTAL]]=0,"",RANK(TS_ATHLETES[[#This Row],[RANK VALUE]],TS_ATHLETES[RANK VALUE]))</f>
        <v>660</v>
      </c>
      <c r="I1221" s="3">
        <f>IFERROR(IF(TS_ATHLETES[[#This Row],[TOTAL]]=0,"",RANK(TS_ATHLETES[[#This Row],[RANK VALUE]],TS_ATHLETES[RANK VALUE])+COUNTIF($H$1:H1220,H1221)),"")</f>
        <v>1019</v>
      </c>
    </row>
    <row r="1222" spans="1:9" x14ac:dyDescent="0.25">
      <c r="A1222" t="s">
        <v>2124</v>
      </c>
      <c r="B1222" s="3" t="s">
        <v>128</v>
      </c>
      <c r="C1222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1222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1</v>
      </c>
      <c r="E1222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1222" s="3">
        <f>SUM(TS_ATHLETES[[#This Row],[GOLD MEDALS]:[BRONZE MEDALS]])</f>
        <v>1</v>
      </c>
      <c r="G1222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10000100</v>
      </c>
      <c r="H1222" s="3">
        <f>IF(TS_ATHLETES[[#This Row],[TOTAL]]=0,"",RANK(TS_ATHLETES[[#This Row],[RANK VALUE]],TS_ATHLETES[RANK VALUE]))</f>
        <v>660</v>
      </c>
      <c r="I1222" s="3">
        <f>IFERROR(IF(TS_ATHLETES[[#This Row],[TOTAL]]=0,"",RANK(TS_ATHLETES[[#This Row],[RANK VALUE]],TS_ATHLETES[RANK VALUE])+COUNTIF($H$1:H1221,H1222)),"")</f>
        <v>1020</v>
      </c>
    </row>
    <row r="1223" spans="1:9" x14ac:dyDescent="0.25">
      <c r="A1223" t="s">
        <v>2125</v>
      </c>
      <c r="B1223" s="3" t="s">
        <v>128</v>
      </c>
      <c r="C1223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1223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1</v>
      </c>
      <c r="E1223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1223" s="3">
        <f>SUM(TS_ATHLETES[[#This Row],[GOLD MEDALS]:[BRONZE MEDALS]])</f>
        <v>1</v>
      </c>
      <c r="G1223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10000100</v>
      </c>
      <c r="H1223" s="3">
        <f>IF(TS_ATHLETES[[#This Row],[TOTAL]]=0,"",RANK(TS_ATHLETES[[#This Row],[RANK VALUE]],TS_ATHLETES[RANK VALUE]))</f>
        <v>660</v>
      </c>
      <c r="I1223" s="3">
        <f>IFERROR(IF(TS_ATHLETES[[#This Row],[TOTAL]]=0,"",RANK(TS_ATHLETES[[#This Row],[RANK VALUE]],TS_ATHLETES[RANK VALUE])+COUNTIF($H$1:H1222,H1223)),"")</f>
        <v>1021</v>
      </c>
    </row>
    <row r="1224" spans="1:9" x14ac:dyDescent="0.25">
      <c r="A1224" t="s">
        <v>2126</v>
      </c>
      <c r="B1224" s="3" t="s">
        <v>261</v>
      </c>
      <c r="C1224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1224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1224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1</v>
      </c>
      <c r="F1224" s="3">
        <f>SUM(TS_ATHLETES[[#This Row],[GOLD MEDALS]:[BRONZE MEDALS]])</f>
        <v>1</v>
      </c>
      <c r="G1224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10000010</v>
      </c>
      <c r="H1224" s="3">
        <f>IF(TS_ATHLETES[[#This Row],[TOTAL]]=0,"",RANK(TS_ATHLETES[[#This Row],[RANK VALUE]],TS_ATHLETES[RANK VALUE]))</f>
        <v>1224</v>
      </c>
      <c r="I1224" s="3">
        <f>IFERROR(IF(TS_ATHLETES[[#This Row],[TOTAL]]=0,"",RANK(TS_ATHLETES[[#This Row],[RANK VALUE]],TS_ATHLETES[RANK VALUE])+COUNTIF($H$1:H1223,H1224)),"")</f>
        <v>1641</v>
      </c>
    </row>
    <row r="1225" spans="1:9" x14ac:dyDescent="0.25">
      <c r="A1225" t="s">
        <v>2127</v>
      </c>
      <c r="B1225" s="3" t="s">
        <v>261</v>
      </c>
      <c r="C1225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1225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1225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1</v>
      </c>
      <c r="F1225" s="3">
        <f>SUM(TS_ATHLETES[[#This Row],[GOLD MEDALS]:[BRONZE MEDALS]])</f>
        <v>1</v>
      </c>
      <c r="G1225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10000010</v>
      </c>
      <c r="H1225" s="3">
        <f>IF(TS_ATHLETES[[#This Row],[TOTAL]]=0,"",RANK(TS_ATHLETES[[#This Row],[RANK VALUE]],TS_ATHLETES[RANK VALUE]))</f>
        <v>1224</v>
      </c>
      <c r="I1225" s="3">
        <f>IFERROR(IF(TS_ATHLETES[[#This Row],[TOTAL]]=0,"",RANK(TS_ATHLETES[[#This Row],[RANK VALUE]],TS_ATHLETES[RANK VALUE])+COUNTIF($H$1:H1224,H1225)),"")</f>
        <v>1642</v>
      </c>
    </row>
    <row r="1226" spans="1:9" x14ac:dyDescent="0.25">
      <c r="A1226" t="s">
        <v>2128</v>
      </c>
      <c r="B1226" s="3" t="s">
        <v>261</v>
      </c>
      <c r="C1226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1226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1226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1</v>
      </c>
      <c r="F1226" s="3">
        <f>SUM(TS_ATHLETES[[#This Row],[GOLD MEDALS]:[BRONZE MEDALS]])</f>
        <v>1</v>
      </c>
      <c r="G1226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10000010</v>
      </c>
      <c r="H1226" s="3">
        <f>IF(TS_ATHLETES[[#This Row],[TOTAL]]=0,"",RANK(TS_ATHLETES[[#This Row],[RANK VALUE]],TS_ATHLETES[RANK VALUE]))</f>
        <v>1224</v>
      </c>
      <c r="I1226" s="3">
        <f>IFERROR(IF(TS_ATHLETES[[#This Row],[TOTAL]]=0,"",RANK(TS_ATHLETES[[#This Row],[RANK VALUE]],TS_ATHLETES[RANK VALUE])+COUNTIF($H$1:H1225,H1226)),"")</f>
        <v>1643</v>
      </c>
    </row>
    <row r="1227" spans="1:9" x14ac:dyDescent="0.25">
      <c r="A1227" t="s">
        <v>2129</v>
      </c>
      <c r="B1227" s="3" t="s">
        <v>261</v>
      </c>
      <c r="C1227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1227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1227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1</v>
      </c>
      <c r="F1227" s="3">
        <f>SUM(TS_ATHLETES[[#This Row],[GOLD MEDALS]:[BRONZE MEDALS]])</f>
        <v>1</v>
      </c>
      <c r="G1227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10000010</v>
      </c>
      <c r="H1227" s="3">
        <f>IF(TS_ATHLETES[[#This Row],[TOTAL]]=0,"",RANK(TS_ATHLETES[[#This Row],[RANK VALUE]],TS_ATHLETES[RANK VALUE]))</f>
        <v>1224</v>
      </c>
      <c r="I1227" s="3">
        <f>IFERROR(IF(TS_ATHLETES[[#This Row],[TOTAL]]=0,"",RANK(TS_ATHLETES[[#This Row],[RANK VALUE]],TS_ATHLETES[RANK VALUE])+COUNTIF($H$1:H1226,H1227)),"")</f>
        <v>1644</v>
      </c>
    </row>
    <row r="1228" spans="1:9" x14ac:dyDescent="0.25">
      <c r="A1228" t="s">
        <v>2130</v>
      </c>
      <c r="B1228" s="3" t="s">
        <v>261</v>
      </c>
      <c r="C1228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1228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1228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1</v>
      </c>
      <c r="F1228" s="3">
        <f>SUM(TS_ATHLETES[[#This Row],[GOLD MEDALS]:[BRONZE MEDALS]])</f>
        <v>1</v>
      </c>
      <c r="G1228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10000010</v>
      </c>
      <c r="H1228" s="3">
        <f>IF(TS_ATHLETES[[#This Row],[TOTAL]]=0,"",RANK(TS_ATHLETES[[#This Row],[RANK VALUE]],TS_ATHLETES[RANK VALUE]))</f>
        <v>1224</v>
      </c>
      <c r="I1228" s="3">
        <f>IFERROR(IF(TS_ATHLETES[[#This Row],[TOTAL]]=0,"",RANK(TS_ATHLETES[[#This Row],[RANK VALUE]],TS_ATHLETES[RANK VALUE])+COUNTIF($H$1:H1227,H1228)),"")</f>
        <v>1645</v>
      </c>
    </row>
    <row r="1229" spans="1:9" x14ac:dyDescent="0.25">
      <c r="A1229" t="s">
        <v>2131</v>
      </c>
      <c r="B1229" s="3" t="s">
        <v>261</v>
      </c>
      <c r="C1229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1229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1229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1</v>
      </c>
      <c r="F1229" s="3">
        <f>SUM(TS_ATHLETES[[#This Row],[GOLD MEDALS]:[BRONZE MEDALS]])</f>
        <v>1</v>
      </c>
      <c r="G1229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10000010</v>
      </c>
      <c r="H1229" s="3">
        <f>IF(TS_ATHLETES[[#This Row],[TOTAL]]=0,"",RANK(TS_ATHLETES[[#This Row],[RANK VALUE]],TS_ATHLETES[RANK VALUE]))</f>
        <v>1224</v>
      </c>
      <c r="I1229" s="3">
        <f>IFERROR(IF(TS_ATHLETES[[#This Row],[TOTAL]]=0,"",RANK(TS_ATHLETES[[#This Row],[RANK VALUE]],TS_ATHLETES[RANK VALUE])+COUNTIF($H$1:H1228,H1229)),"")</f>
        <v>1646</v>
      </c>
    </row>
    <row r="1230" spans="1:9" x14ac:dyDescent="0.25">
      <c r="A1230" t="s">
        <v>2132</v>
      </c>
      <c r="B1230" s="3" t="s">
        <v>261</v>
      </c>
      <c r="C1230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1230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1230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1</v>
      </c>
      <c r="F1230" s="3">
        <f>SUM(TS_ATHLETES[[#This Row],[GOLD MEDALS]:[BRONZE MEDALS]])</f>
        <v>1</v>
      </c>
      <c r="G1230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10000010</v>
      </c>
      <c r="H1230" s="3">
        <f>IF(TS_ATHLETES[[#This Row],[TOTAL]]=0,"",RANK(TS_ATHLETES[[#This Row],[RANK VALUE]],TS_ATHLETES[RANK VALUE]))</f>
        <v>1224</v>
      </c>
      <c r="I1230" s="3">
        <f>IFERROR(IF(TS_ATHLETES[[#This Row],[TOTAL]]=0,"",RANK(TS_ATHLETES[[#This Row],[RANK VALUE]],TS_ATHLETES[RANK VALUE])+COUNTIF($H$1:H1229,H1230)),"")</f>
        <v>1647</v>
      </c>
    </row>
    <row r="1231" spans="1:9" x14ac:dyDescent="0.25">
      <c r="A1231" t="s">
        <v>2133</v>
      </c>
      <c r="B1231" s="3" t="s">
        <v>261</v>
      </c>
      <c r="C1231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1231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1231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1</v>
      </c>
      <c r="F1231" s="3">
        <f>SUM(TS_ATHLETES[[#This Row],[GOLD MEDALS]:[BRONZE MEDALS]])</f>
        <v>1</v>
      </c>
      <c r="G1231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10000010</v>
      </c>
      <c r="H1231" s="3">
        <f>IF(TS_ATHLETES[[#This Row],[TOTAL]]=0,"",RANK(TS_ATHLETES[[#This Row],[RANK VALUE]],TS_ATHLETES[RANK VALUE]))</f>
        <v>1224</v>
      </c>
      <c r="I1231" s="3">
        <f>IFERROR(IF(TS_ATHLETES[[#This Row],[TOTAL]]=0,"",RANK(TS_ATHLETES[[#This Row],[RANK VALUE]],TS_ATHLETES[RANK VALUE])+COUNTIF($H$1:H1230,H1231)),"")</f>
        <v>1648</v>
      </c>
    </row>
    <row r="1232" spans="1:9" x14ac:dyDescent="0.25">
      <c r="A1232" t="s">
        <v>2134</v>
      </c>
      <c r="B1232" s="3" t="s">
        <v>261</v>
      </c>
      <c r="C1232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1232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1232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1</v>
      </c>
      <c r="F1232" s="3">
        <f>SUM(TS_ATHLETES[[#This Row],[GOLD MEDALS]:[BRONZE MEDALS]])</f>
        <v>1</v>
      </c>
      <c r="G1232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10000010</v>
      </c>
      <c r="H1232" s="3">
        <f>IF(TS_ATHLETES[[#This Row],[TOTAL]]=0,"",RANK(TS_ATHLETES[[#This Row],[RANK VALUE]],TS_ATHLETES[RANK VALUE]))</f>
        <v>1224</v>
      </c>
      <c r="I1232" s="3">
        <f>IFERROR(IF(TS_ATHLETES[[#This Row],[TOTAL]]=0,"",RANK(TS_ATHLETES[[#This Row],[RANK VALUE]],TS_ATHLETES[RANK VALUE])+COUNTIF($H$1:H1231,H1232)),"")</f>
        <v>1649</v>
      </c>
    </row>
    <row r="1233" spans="1:9" x14ac:dyDescent="0.25">
      <c r="A1233" t="s">
        <v>2135</v>
      </c>
      <c r="B1233" s="3" t="s">
        <v>261</v>
      </c>
      <c r="C1233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1233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1233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1</v>
      </c>
      <c r="F1233" s="3">
        <f>SUM(TS_ATHLETES[[#This Row],[GOLD MEDALS]:[BRONZE MEDALS]])</f>
        <v>1</v>
      </c>
      <c r="G1233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10000010</v>
      </c>
      <c r="H1233" s="3">
        <f>IF(TS_ATHLETES[[#This Row],[TOTAL]]=0,"",RANK(TS_ATHLETES[[#This Row],[RANK VALUE]],TS_ATHLETES[RANK VALUE]))</f>
        <v>1224</v>
      </c>
      <c r="I1233" s="3">
        <f>IFERROR(IF(TS_ATHLETES[[#This Row],[TOTAL]]=0,"",RANK(TS_ATHLETES[[#This Row],[RANK VALUE]],TS_ATHLETES[RANK VALUE])+COUNTIF($H$1:H1232,H1233)),"")</f>
        <v>1650</v>
      </c>
    </row>
    <row r="1234" spans="1:9" x14ac:dyDescent="0.25">
      <c r="A1234" t="s">
        <v>2136</v>
      </c>
      <c r="B1234" s="3" t="s">
        <v>261</v>
      </c>
      <c r="C1234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1234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1234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1</v>
      </c>
      <c r="F1234" s="3">
        <f>SUM(TS_ATHLETES[[#This Row],[GOLD MEDALS]:[BRONZE MEDALS]])</f>
        <v>1</v>
      </c>
      <c r="G1234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10000010</v>
      </c>
      <c r="H1234" s="3">
        <f>IF(TS_ATHLETES[[#This Row],[TOTAL]]=0,"",RANK(TS_ATHLETES[[#This Row],[RANK VALUE]],TS_ATHLETES[RANK VALUE]))</f>
        <v>1224</v>
      </c>
      <c r="I1234" s="3">
        <f>IFERROR(IF(TS_ATHLETES[[#This Row],[TOTAL]]=0,"",RANK(TS_ATHLETES[[#This Row],[RANK VALUE]],TS_ATHLETES[RANK VALUE])+COUNTIF($H$1:H1233,H1234)),"")</f>
        <v>1651</v>
      </c>
    </row>
    <row r="1235" spans="1:9" x14ac:dyDescent="0.25">
      <c r="A1235" t="s">
        <v>2137</v>
      </c>
      <c r="B1235" s="3" t="s">
        <v>261</v>
      </c>
      <c r="C1235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1235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1235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1</v>
      </c>
      <c r="F1235" s="3">
        <f>SUM(TS_ATHLETES[[#This Row],[GOLD MEDALS]:[BRONZE MEDALS]])</f>
        <v>1</v>
      </c>
      <c r="G1235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10000010</v>
      </c>
      <c r="H1235" s="3">
        <f>IF(TS_ATHLETES[[#This Row],[TOTAL]]=0,"",RANK(TS_ATHLETES[[#This Row],[RANK VALUE]],TS_ATHLETES[RANK VALUE]))</f>
        <v>1224</v>
      </c>
      <c r="I1235" s="3">
        <f>IFERROR(IF(TS_ATHLETES[[#This Row],[TOTAL]]=0,"",RANK(TS_ATHLETES[[#This Row],[RANK VALUE]],TS_ATHLETES[RANK VALUE])+COUNTIF($H$1:H1234,H1235)),"")</f>
        <v>1652</v>
      </c>
    </row>
    <row r="1236" spans="1:9" x14ac:dyDescent="0.25">
      <c r="A1236" t="s">
        <v>2138</v>
      </c>
      <c r="B1236" s="3" t="s">
        <v>261</v>
      </c>
      <c r="C1236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1236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1236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1</v>
      </c>
      <c r="F1236" s="3">
        <f>SUM(TS_ATHLETES[[#This Row],[GOLD MEDALS]:[BRONZE MEDALS]])</f>
        <v>1</v>
      </c>
      <c r="G1236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10000010</v>
      </c>
      <c r="H1236" s="3">
        <f>IF(TS_ATHLETES[[#This Row],[TOTAL]]=0,"",RANK(TS_ATHLETES[[#This Row],[RANK VALUE]],TS_ATHLETES[RANK VALUE]))</f>
        <v>1224</v>
      </c>
      <c r="I1236" s="3">
        <f>IFERROR(IF(TS_ATHLETES[[#This Row],[TOTAL]]=0,"",RANK(TS_ATHLETES[[#This Row],[RANK VALUE]],TS_ATHLETES[RANK VALUE])+COUNTIF($H$1:H1235,H1236)),"")</f>
        <v>1653</v>
      </c>
    </row>
    <row r="1237" spans="1:9" x14ac:dyDescent="0.25">
      <c r="A1237" t="s">
        <v>2139</v>
      </c>
      <c r="B1237" s="3" t="s">
        <v>261</v>
      </c>
      <c r="C1237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1237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1237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1</v>
      </c>
      <c r="F1237" s="3">
        <f>SUM(TS_ATHLETES[[#This Row],[GOLD MEDALS]:[BRONZE MEDALS]])</f>
        <v>1</v>
      </c>
      <c r="G1237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10000010</v>
      </c>
      <c r="H1237" s="3">
        <f>IF(TS_ATHLETES[[#This Row],[TOTAL]]=0,"",RANK(TS_ATHLETES[[#This Row],[RANK VALUE]],TS_ATHLETES[RANK VALUE]))</f>
        <v>1224</v>
      </c>
      <c r="I1237" s="3">
        <f>IFERROR(IF(TS_ATHLETES[[#This Row],[TOTAL]]=0,"",RANK(TS_ATHLETES[[#This Row],[RANK VALUE]],TS_ATHLETES[RANK VALUE])+COUNTIF($H$1:H1236,H1237)),"")</f>
        <v>1654</v>
      </c>
    </row>
    <row r="1238" spans="1:9" x14ac:dyDescent="0.25">
      <c r="A1238" t="s">
        <v>2140</v>
      </c>
      <c r="B1238" s="3" t="s">
        <v>16</v>
      </c>
      <c r="C1238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1</v>
      </c>
      <c r="D1238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1238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1238" s="3">
        <f>SUM(TS_ATHLETES[[#This Row],[GOLD MEDALS]:[BRONZE MEDALS]])</f>
        <v>1</v>
      </c>
      <c r="G1238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10100000</v>
      </c>
      <c r="H1238" s="3">
        <f>IF(TS_ATHLETES[[#This Row],[TOTAL]]=0,"",RANK(TS_ATHLETES[[#This Row],[RANK VALUE]],TS_ATHLETES[RANK VALUE]))</f>
        <v>129</v>
      </c>
      <c r="I1238" s="3">
        <f>IFERROR(IF(TS_ATHLETES[[#This Row],[TOTAL]]=0,"",RANK(TS_ATHLETES[[#This Row],[RANK VALUE]],TS_ATHLETES[RANK VALUE])+COUNTIF($H$1:H1237,H1238)),"")</f>
        <v>458</v>
      </c>
    </row>
    <row r="1239" spans="1:9" x14ac:dyDescent="0.25">
      <c r="A1239" t="s">
        <v>2141</v>
      </c>
      <c r="B1239" s="3" t="s">
        <v>16</v>
      </c>
      <c r="C1239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1</v>
      </c>
      <c r="D1239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1239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1239" s="3">
        <f>SUM(TS_ATHLETES[[#This Row],[GOLD MEDALS]:[BRONZE MEDALS]])</f>
        <v>1</v>
      </c>
      <c r="G1239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10100000</v>
      </c>
      <c r="H1239" s="3">
        <f>IF(TS_ATHLETES[[#This Row],[TOTAL]]=0,"",RANK(TS_ATHLETES[[#This Row],[RANK VALUE]],TS_ATHLETES[RANK VALUE]))</f>
        <v>129</v>
      </c>
      <c r="I1239" s="3">
        <f>IFERROR(IF(TS_ATHLETES[[#This Row],[TOTAL]]=0,"",RANK(TS_ATHLETES[[#This Row],[RANK VALUE]],TS_ATHLETES[RANK VALUE])+COUNTIF($H$1:H1238,H1239)),"")</f>
        <v>459</v>
      </c>
    </row>
    <row r="1240" spans="1:9" x14ac:dyDescent="0.25">
      <c r="A1240" t="s">
        <v>2142</v>
      </c>
      <c r="B1240" s="3" t="s">
        <v>16</v>
      </c>
      <c r="C1240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1</v>
      </c>
      <c r="D1240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1240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1240" s="3">
        <f>SUM(TS_ATHLETES[[#This Row],[GOLD MEDALS]:[BRONZE MEDALS]])</f>
        <v>1</v>
      </c>
      <c r="G1240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10100000</v>
      </c>
      <c r="H1240" s="3">
        <f>IF(TS_ATHLETES[[#This Row],[TOTAL]]=0,"",RANK(TS_ATHLETES[[#This Row],[RANK VALUE]],TS_ATHLETES[RANK VALUE]))</f>
        <v>129</v>
      </c>
      <c r="I1240" s="3">
        <f>IFERROR(IF(TS_ATHLETES[[#This Row],[TOTAL]]=0,"",RANK(TS_ATHLETES[[#This Row],[RANK VALUE]],TS_ATHLETES[RANK VALUE])+COUNTIF($H$1:H1239,H1240)),"")</f>
        <v>460</v>
      </c>
    </row>
    <row r="1241" spans="1:9" x14ac:dyDescent="0.25">
      <c r="A1241" t="s">
        <v>2143</v>
      </c>
      <c r="B1241" s="3" t="s">
        <v>16</v>
      </c>
      <c r="C1241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1</v>
      </c>
      <c r="D1241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1241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1241" s="3">
        <f>SUM(TS_ATHLETES[[#This Row],[GOLD MEDALS]:[BRONZE MEDALS]])</f>
        <v>1</v>
      </c>
      <c r="G1241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10100000</v>
      </c>
      <c r="H1241" s="3">
        <f>IF(TS_ATHLETES[[#This Row],[TOTAL]]=0,"",RANK(TS_ATHLETES[[#This Row],[RANK VALUE]],TS_ATHLETES[RANK VALUE]))</f>
        <v>129</v>
      </c>
      <c r="I1241" s="3">
        <f>IFERROR(IF(TS_ATHLETES[[#This Row],[TOTAL]]=0,"",RANK(TS_ATHLETES[[#This Row],[RANK VALUE]],TS_ATHLETES[RANK VALUE])+COUNTIF($H$1:H1240,H1241)),"")</f>
        <v>461</v>
      </c>
    </row>
    <row r="1242" spans="1:9" x14ac:dyDescent="0.25">
      <c r="A1242" t="s">
        <v>2144</v>
      </c>
      <c r="B1242" s="3" t="s">
        <v>16</v>
      </c>
      <c r="C1242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1</v>
      </c>
      <c r="D1242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1242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1242" s="3">
        <f>SUM(TS_ATHLETES[[#This Row],[GOLD MEDALS]:[BRONZE MEDALS]])</f>
        <v>1</v>
      </c>
      <c r="G1242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10100000</v>
      </c>
      <c r="H1242" s="3">
        <f>IF(TS_ATHLETES[[#This Row],[TOTAL]]=0,"",RANK(TS_ATHLETES[[#This Row],[RANK VALUE]],TS_ATHLETES[RANK VALUE]))</f>
        <v>129</v>
      </c>
      <c r="I1242" s="3">
        <f>IFERROR(IF(TS_ATHLETES[[#This Row],[TOTAL]]=0,"",RANK(TS_ATHLETES[[#This Row],[RANK VALUE]],TS_ATHLETES[RANK VALUE])+COUNTIF($H$1:H1241,H1242)),"")</f>
        <v>462</v>
      </c>
    </row>
    <row r="1243" spans="1:9" x14ac:dyDescent="0.25">
      <c r="A1243" t="s">
        <v>2145</v>
      </c>
      <c r="B1243" s="3" t="s">
        <v>16</v>
      </c>
      <c r="C1243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1</v>
      </c>
      <c r="D1243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1243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1243" s="3">
        <f>SUM(TS_ATHLETES[[#This Row],[GOLD MEDALS]:[BRONZE MEDALS]])</f>
        <v>1</v>
      </c>
      <c r="G1243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10100000</v>
      </c>
      <c r="H1243" s="3">
        <f>IF(TS_ATHLETES[[#This Row],[TOTAL]]=0,"",RANK(TS_ATHLETES[[#This Row],[RANK VALUE]],TS_ATHLETES[RANK VALUE]))</f>
        <v>129</v>
      </c>
      <c r="I1243" s="3">
        <f>IFERROR(IF(TS_ATHLETES[[#This Row],[TOTAL]]=0,"",RANK(TS_ATHLETES[[#This Row],[RANK VALUE]],TS_ATHLETES[RANK VALUE])+COUNTIF($H$1:H1242,H1243)),"")</f>
        <v>463</v>
      </c>
    </row>
    <row r="1244" spans="1:9" x14ac:dyDescent="0.25">
      <c r="A1244" t="s">
        <v>2146</v>
      </c>
      <c r="B1244" s="3" t="s">
        <v>16</v>
      </c>
      <c r="C1244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1</v>
      </c>
      <c r="D1244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1244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1244" s="3">
        <f>SUM(TS_ATHLETES[[#This Row],[GOLD MEDALS]:[BRONZE MEDALS]])</f>
        <v>1</v>
      </c>
      <c r="G1244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10100000</v>
      </c>
      <c r="H1244" s="3">
        <f>IF(TS_ATHLETES[[#This Row],[TOTAL]]=0,"",RANK(TS_ATHLETES[[#This Row],[RANK VALUE]],TS_ATHLETES[RANK VALUE]))</f>
        <v>129</v>
      </c>
      <c r="I1244" s="3">
        <f>IFERROR(IF(TS_ATHLETES[[#This Row],[TOTAL]]=0,"",RANK(TS_ATHLETES[[#This Row],[RANK VALUE]],TS_ATHLETES[RANK VALUE])+COUNTIF($H$1:H1243,H1244)),"")</f>
        <v>464</v>
      </c>
    </row>
    <row r="1245" spans="1:9" x14ac:dyDescent="0.25">
      <c r="A1245" t="s">
        <v>2147</v>
      </c>
      <c r="B1245" s="3" t="s">
        <v>16</v>
      </c>
      <c r="C1245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1</v>
      </c>
      <c r="D1245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1245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1245" s="3">
        <f>SUM(TS_ATHLETES[[#This Row],[GOLD MEDALS]:[BRONZE MEDALS]])</f>
        <v>1</v>
      </c>
      <c r="G1245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10100000</v>
      </c>
      <c r="H1245" s="3">
        <f>IF(TS_ATHLETES[[#This Row],[TOTAL]]=0,"",RANK(TS_ATHLETES[[#This Row],[RANK VALUE]],TS_ATHLETES[RANK VALUE]))</f>
        <v>129</v>
      </c>
      <c r="I1245" s="3">
        <f>IFERROR(IF(TS_ATHLETES[[#This Row],[TOTAL]]=0,"",RANK(TS_ATHLETES[[#This Row],[RANK VALUE]],TS_ATHLETES[RANK VALUE])+COUNTIF($H$1:H1244,H1245)),"")</f>
        <v>465</v>
      </c>
    </row>
    <row r="1246" spans="1:9" x14ac:dyDescent="0.25">
      <c r="A1246" t="s">
        <v>2148</v>
      </c>
      <c r="B1246" s="3" t="s">
        <v>16</v>
      </c>
      <c r="C1246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1</v>
      </c>
      <c r="D1246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1246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1246" s="3">
        <f>SUM(TS_ATHLETES[[#This Row],[GOLD MEDALS]:[BRONZE MEDALS]])</f>
        <v>1</v>
      </c>
      <c r="G1246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10100000</v>
      </c>
      <c r="H1246" s="3">
        <f>IF(TS_ATHLETES[[#This Row],[TOTAL]]=0,"",RANK(TS_ATHLETES[[#This Row],[RANK VALUE]],TS_ATHLETES[RANK VALUE]))</f>
        <v>129</v>
      </c>
      <c r="I1246" s="3">
        <f>IFERROR(IF(TS_ATHLETES[[#This Row],[TOTAL]]=0,"",RANK(TS_ATHLETES[[#This Row],[RANK VALUE]],TS_ATHLETES[RANK VALUE])+COUNTIF($H$1:H1245,H1246)),"")</f>
        <v>466</v>
      </c>
    </row>
    <row r="1247" spans="1:9" x14ac:dyDescent="0.25">
      <c r="A1247" t="s">
        <v>2149</v>
      </c>
      <c r="B1247" s="3" t="s">
        <v>16</v>
      </c>
      <c r="C1247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1</v>
      </c>
      <c r="D1247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1247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1247" s="3">
        <f>SUM(TS_ATHLETES[[#This Row],[GOLD MEDALS]:[BRONZE MEDALS]])</f>
        <v>1</v>
      </c>
      <c r="G1247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10100000</v>
      </c>
      <c r="H1247" s="3">
        <f>IF(TS_ATHLETES[[#This Row],[TOTAL]]=0,"",RANK(TS_ATHLETES[[#This Row],[RANK VALUE]],TS_ATHLETES[RANK VALUE]))</f>
        <v>129</v>
      </c>
      <c r="I1247" s="3">
        <f>IFERROR(IF(TS_ATHLETES[[#This Row],[TOTAL]]=0,"",RANK(TS_ATHLETES[[#This Row],[RANK VALUE]],TS_ATHLETES[RANK VALUE])+COUNTIF($H$1:H1246,H1247)),"")</f>
        <v>467</v>
      </c>
    </row>
    <row r="1248" spans="1:9" x14ac:dyDescent="0.25">
      <c r="A1248" t="s">
        <v>2150</v>
      </c>
      <c r="B1248" s="3" t="s">
        <v>16</v>
      </c>
      <c r="C1248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1</v>
      </c>
      <c r="D1248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1248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1248" s="3">
        <f>SUM(TS_ATHLETES[[#This Row],[GOLD MEDALS]:[BRONZE MEDALS]])</f>
        <v>1</v>
      </c>
      <c r="G1248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10100000</v>
      </c>
      <c r="H1248" s="3">
        <f>IF(TS_ATHLETES[[#This Row],[TOTAL]]=0,"",RANK(TS_ATHLETES[[#This Row],[RANK VALUE]],TS_ATHLETES[RANK VALUE]))</f>
        <v>129</v>
      </c>
      <c r="I1248" s="3">
        <f>IFERROR(IF(TS_ATHLETES[[#This Row],[TOTAL]]=0,"",RANK(TS_ATHLETES[[#This Row],[RANK VALUE]],TS_ATHLETES[RANK VALUE])+COUNTIF($H$1:H1247,H1248)),"")</f>
        <v>468</v>
      </c>
    </row>
    <row r="1249" spans="1:9" x14ac:dyDescent="0.25">
      <c r="A1249" t="s">
        <v>2151</v>
      </c>
      <c r="B1249" s="3" t="s">
        <v>16</v>
      </c>
      <c r="C1249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1</v>
      </c>
      <c r="D1249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1249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1249" s="3">
        <f>SUM(TS_ATHLETES[[#This Row],[GOLD MEDALS]:[BRONZE MEDALS]])</f>
        <v>1</v>
      </c>
      <c r="G1249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10100000</v>
      </c>
      <c r="H1249" s="3">
        <f>IF(TS_ATHLETES[[#This Row],[TOTAL]]=0,"",RANK(TS_ATHLETES[[#This Row],[RANK VALUE]],TS_ATHLETES[RANK VALUE]))</f>
        <v>129</v>
      </c>
      <c r="I1249" s="3">
        <f>IFERROR(IF(TS_ATHLETES[[#This Row],[TOTAL]]=0,"",RANK(TS_ATHLETES[[#This Row],[RANK VALUE]],TS_ATHLETES[RANK VALUE])+COUNTIF($H$1:H1248,H1249)),"")</f>
        <v>469</v>
      </c>
    </row>
    <row r="1250" spans="1:9" x14ac:dyDescent="0.25">
      <c r="A1250" t="s">
        <v>2152</v>
      </c>
      <c r="B1250" s="3" t="s">
        <v>16</v>
      </c>
      <c r="C1250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1</v>
      </c>
      <c r="D1250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1250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1250" s="3">
        <f>SUM(TS_ATHLETES[[#This Row],[GOLD MEDALS]:[BRONZE MEDALS]])</f>
        <v>1</v>
      </c>
      <c r="G1250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10100000</v>
      </c>
      <c r="H1250" s="3">
        <f>IF(TS_ATHLETES[[#This Row],[TOTAL]]=0,"",RANK(TS_ATHLETES[[#This Row],[RANK VALUE]],TS_ATHLETES[RANK VALUE]))</f>
        <v>129</v>
      </c>
      <c r="I1250" s="3">
        <f>IFERROR(IF(TS_ATHLETES[[#This Row],[TOTAL]]=0,"",RANK(TS_ATHLETES[[#This Row],[RANK VALUE]],TS_ATHLETES[RANK VALUE])+COUNTIF($H$1:H1249,H1250)),"")</f>
        <v>470</v>
      </c>
    </row>
    <row r="1251" spans="1:9" x14ac:dyDescent="0.25">
      <c r="A1251" t="s">
        <v>2153</v>
      </c>
      <c r="B1251" s="3" t="s">
        <v>16</v>
      </c>
      <c r="C1251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1</v>
      </c>
      <c r="D1251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1251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1251" s="3">
        <f>SUM(TS_ATHLETES[[#This Row],[GOLD MEDALS]:[BRONZE MEDALS]])</f>
        <v>1</v>
      </c>
      <c r="G1251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10100000</v>
      </c>
      <c r="H1251" s="3">
        <f>IF(TS_ATHLETES[[#This Row],[TOTAL]]=0,"",RANK(TS_ATHLETES[[#This Row],[RANK VALUE]],TS_ATHLETES[RANK VALUE]))</f>
        <v>129</v>
      </c>
      <c r="I1251" s="3">
        <f>IFERROR(IF(TS_ATHLETES[[#This Row],[TOTAL]]=0,"",RANK(TS_ATHLETES[[#This Row],[RANK VALUE]],TS_ATHLETES[RANK VALUE])+COUNTIF($H$1:H1250,H1251)),"")</f>
        <v>471</v>
      </c>
    </row>
    <row r="1252" spans="1:9" x14ac:dyDescent="0.25">
      <c r="A1252" t="s">
        <v>2154</v>
      </c>
      <c r="B1252" s="3" t="s">
        <v>16</v>
      </c>
      <c r="C1252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1</v>
      </c>
      <c r="D1252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1252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1252" s="3">
        <f>SUM(TS_ATHLETES[[#This Row],[GOLD MEDALS]:[BRONZE MEDALS]])</f>
        <v>1</v>
      </c>
      <c r="G1252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10100000</v>
      </c>
      <c r="H1252" s="3">
        <f>IF(TS_ATHLETES[[#This Row],[TOTAL]]=0,"",RANK(TS_ATHLETES[[#This Row],[RANK VALUE]],TS_ATHLETES[RANK VALUE]))</f>
        <v>129</v>
      </c>
      <c r="I1252" s="3">
        <f>IFERROR(IF(TS_ATHLETES[[#This Row],[TOTAL]]=0,"",RANK(TS_ATHLETES[[#This Row],[RANK VALUE]],TS_ATHLETES[RANK VALUE])+COUNTIF($H$1:H1251,H1252)),"")</f>
        <v>472</v>
      </c>
    </row>
    <row r="1253" spans="1:9" x14ac:dyDescent="0.25">
      <c r="A1253" t="s">
        <v>2155</v>
      </c>
      <c r="B1253" s="3" t="s">
        <v>16</v>
      </c>
      <c r="C1253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1</v>
      </c>
      <c r="D1253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1253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1253" s="3">
        <f>SUM(TS_ATHLETES[[#This Row],[GOLD MEDALS]:[BRONZE MEDALS]])</f>
        <v>1</v>
      </c>
      <c r="G1253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10100000</v>
      </c>
      <c r="H1253" s="3">
        <f>IF(TS_ATHLETES[[#This Row],[TOTAL]]=0,"",RANK(TS_ATHLETES[[#This Row],[RANK VALUE]],TS_ATHLETES[RANK VALUE]))</f>
        <v>129</v>
      </c>
      <c r="I1253" s="3">
        <f>IFERROR(IF(TS_ATHLETES[[#This Row],[TOTAL]]=0,"",RANK(TS_ATHLETES[[#This Row],[RANK VALUE]],TS_ATHLETES[RANK VALUE])+COUNTIF($H$1:H1252,H1253)),"")</f>
        <v>473</v>
      </c>
    </row>
    <row r="1254" spans="1:9" x14ac:dyDescent="0.25">
      <c r="A1254" t="s">
        <v>2156</v>
      </c>
      <c r="B1254" s="3" t="s">
        <v>16</v>
      </c>
      <c r="C1254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1</v>
      </c>
      <c r="D1254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1254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1254" s="3">
        <f>SUM(TS_ATHLETES[[#This Row],[GOLD MEDALS]:[BRONZE MEDALS]])</f>
        <v>1</v>
      </c>
      <c r="G1254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10100000</v>
      </c>
      <c r="H1254" s="3">
        <f>IF(TS_ATHLETES[[#This Row],[TOTAL]]=0,"",RANK(TS_ATHLETES[[#This Row],[RANK VALUE]],TS_ATHLETES[RANK VALUE]))</f>
        <v>129</v>
      </c>
      <c r="I1254" s="3">
        <f>IFERROR(IF(TS_ATHLETES[[#This Row],[TOTAL]]=0,"",RANK(TS_ATHLETES[[#This Row],[RANK VALUE]],TS_ATHLETES[RANK VALUE])+COUNTIF($H$1:H1253,H1254)),"")</f>
        <v>474</v>
      </c>
    </row>
    <row r="1255" spans="1:9" x14ac:dyDescent="0.25">
      <c r="A1255" t="s">
        <v>2157</v>
      </c>
      <c r="B1255" s="3" t="s">
        <v>16</v>
      </c>
      <c r="C1255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1</v>
      </c>
      <c r="D1255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1255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1255" s="3">
        <f>SUM(TS_ATHLETES[[#This Row],[GOLD MEDALS]:[BRONZE MEDALS]])</f>
        <v>1</v>
      </c>
      <c r="G1255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10100000</v>
      </c>
      <c r="H1255" s="3">
        <f>IF(TS_ATHLETES[[#This Row],[TOTAL]]=0,"",RANK(TS_ATHLETES[[#This Row],[RANK VALUE]],TS_ATHLETES[RANK VALUE]))</f>
        <v>129</v>
      </c>
      <c r="I1255" s="3">
        <f>IFERROR(IF(TS_ATHLETES[[#This Row],[TOTAL]]=0,"",RANK(TS_ATHLETES[[#This Row],[RANK VALUE]],TS_ATHLETES[RANK VALUE])+COUNTIF($H$1:H1254,H1255)),"")</f>
        <v>475</v>
      </c>
    </row>
    <row r="1256" spans="1:9" x14ac:dyDescent="0.25">
      <c r="A1256" t="s">
        <v>2158</v>
      </c>
      <c r="B1256" s="3" t="s">
        <v>37</v>
      </c>
      <c r="C1256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1256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1</v>
      </c>
      <c r="E1256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1256" s="3">
        <f>SUM(TS_ATHLETES[[#This Row],[GOLD MEDALS]:[BRONZE MEDALS]])</f>
        <v>1</v>
      </c>
      <c r="G1256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10000100</v>
      </c>
      <c r="H1256" s="3">
        <f>IF(TS_ATHLETES[[#This Row],[TOTAL]]=0,"",RANK(TS_ATHLETES[[#This Row],[RANK VALUE]],TS_ATHLETES[RANK VALUE]))</f>
        <v>660</v>
      </c>
      <c r="I1256" s="3">
        <f>IFERROR(IF(TS_ATHLETES[[#This Row],[TOTAL]]=0,"",RANK(TS_ATHLETES[[#This Row],[RANK VALUE]],TS_ATHLETES[RANK VALUE])+COUNTIF($H$1:H1255,H1256)),"")</f>
        <v>1022</v>
      </c>
    </row>
    <row r="1257" spans="1:9" x14ac:dyDescent="0.25">
      <c r="A1257" t="s">
        <v>2159</v>
      </c>
      <c r="B1257" s="3" t="s">
        <v>37</v>
      </c>
      <c r="C1257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1257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1</v>
      </c>
      <c r="E1257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1257" s="3">
        <f>SUM(TS_ATHLETES[[#This Row],[GOLD MEDALS]:[BRONZE MEDALS]])</f>
        <v>1</v>
      </c>
      <c r="G1257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10000100</v>
      </c>
      <c r="H1257" s="3">
        <f>IF(TS_ATHLETES[[#This Row],[TOTAL]]=0,"",RANK(TS_ATHLETES[[#This Row],[RANK VALUE]],TS_ATHLETES[RANK VALUE]))</f>
        <v>660</v>
      </c>
      <c r="I1257" s="3">
        <f>IFERROR(IF(TS_ATHLETES[[#This Row],[TOTAL]]=0,"",RANK(TS_ATHLETES[[#This Row],[RANK VALUE]],TS_ATHLETES[RANK VALUE])+COUNTIF($H$1:H1256,H1257)),"")</f>
        <v>1023</v>
      </c>
    </row>
    <row r="1258" spans="1:9" x14ac:dyDescent="0.25">
      <c r="A1258" t="s">
        <v>2160</v>
      </c>
      <c r="B1258" s="3" t="s">
        <v>37</v>
      </c>
      <c r="C1258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1258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1</v>
      </c>
      <c r="E1258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1258" s="3">
        <f>SUM(TS_ATHLETES[[#This Row],[GOLD MEDALS]:[BRONZE MEDALS]])</f>
        <v>1</v>
      </c>
      <c r="G1258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10000100</v>
      </c>
      <c r="H1258" s="3">
        <f>IF(TS_ATHLETES[[#This Row],[TOTAL]]=0,"",RANK(TS_ATHLETES[[#This Row],[RANK VALUE]],TS_ATHLETES[RANK VALUE]))</f>
        <v>660</v>
      </c>
      <c r="I1258" s="3">
        <f>IFERROR(IF(TS_ATHLETES[[#This Row],[TOTAL]]=0,"",RANK(TS_ATHLETES[[#This Row],[RANK VALUE]],TS_ATHLETES[RANK VALUE])+COUNTIF($H$1:H1257,H1258)),"")</f>
        <v>1024</v>
      </c>
    </row>
    <row r="1259" spans="1:9" x14ac:dyDescent="0.25">
      <c r="A1259" t="s">
        <v>2161</v>
      </c>
      <c r="B1259" s="3" t="s">
        <v>37</v>
      </c>
      <c r="C1259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1259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1</v>
      </c>
      <c r="E1259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1259" s="3">
        <f>SUM(TS_ATHLETES[[#This Row],[GOLD MEDALS]:[BRONZE MEDALS]])</f>
        <v>1</v>
      </c>
      <c r="G1259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10000100</v>
      </c>
      <c r="H1259" s="3">
        <f>IF(TS_ATHLETES[[#This Row],[TOTAL]]=0,"",RANK(TS_ATHLETES[[#This Row],[RANK VALUE]],TS_ATHLETES[RANK VALUE]))</f>
        <v>660</v>
      </c>
      <c r="I1259" s="3">
        <f>IFERROR(IF(TS_ATHLETES[[#This Row],[TOTAL]]=0,"",RANK(TS_ATHLETES[[#This Row],[RANK VALUE]],TS_ATHLETES[RANK VALUE])+COUNTIF($H$1:H1258,H1259)),"")</f>
        <v>1025</v>
      </c>
    </row>
    <row r="1260" spans="1:9" x14ac:dyDescent="0.25">
      <c r="A1260" t="s">
        <v>2162</v>
      </c>
      <c r="B1260" s="3" t="s">
        <v>37</v>
      </c>
      <c r="C1260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1260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1</v>
      </c>
      <c r="E1260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1260" s="3">
        <f>SUM(TS_ATHLETES[[#This Row],[GOLD MEDALS]:[BRONZE MEDALS]])</f>
        <v>1</v>
      </c>
      <c r="G1260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10000100</v>
      </c>
      <c r="H1260" s="3">
        <f>IF(TS_ATHLETES[[#This Row],[TOTAL]]=0,"",RANK(TS_ATHLETES[[#This Row],[RANK VALUE]],TS_ATHLETES[RANK VALUE]))</f>
        <v>660</v>
      </c>
      <c r="I1260" s="3">
        <f>IFERROR(IF(TS_ATHLETES[[#This Row],[TOTAL]]=0,"",RANK(TS_ATHLETES[[#This Row],[RANK VALUE]],TS_ATHLETES[RANK VALUE])+COUNTIF($H$1:H1259,H1260)),"")</f>
        <v>1026</v>
      </c>
    </row>
    <row r="1261" spans="1:9" x14ac:dyDescent="0.25">
      <c r="A1261" t="s">
        <v>2163</v>
      </c>
      <c r="B1261" s="3" t="s">
        <v>37</v>
      </c>
      <c r="C1261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1261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1</v>
      </c>
      <c r="E1261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1261" s="3">
        <f>SUM(TS_ATHLETES[[#This Row],[GOLD MEDALS]:[BRONZE MEDALS]])</f>
        <v>1</v>
      </c>
      <c r="G1261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10000100</v>
      </c>
      <c r="H1261" s="3">
        <f>IF(TS_ATHLETES[[#This Row],[TOTAL]]=0,"",RANK(TS_ATHLETES[[#This Row],[RANK VALUE]],TS_ATHLETES[RANK VALUE]))</f>
        <v>660</v>
      </c>
      <c r="I1261" s="3">
        <f>IFERROR(IF(TS_ATHLETES[[#This Row],[TOTAL]]=0,"",RANK(TS_ATHLETES[[#This Row],[RANK VALUE]],TS_ATHLETES[RANK VALUE])+COUNTIF($H$1:H1260,H1261)),"")</f>
        <v>1027</v>
      </c>
    </row>
    <row r="1262" spans="1:9" x14ac:dyDescent="0.25">
      <c r="A1262" t="s">
        <v>2164</v>
      </c>
      <c r="B1262" s="3" t="s">
        <v>37</v>
      </c>
      <c r="C1262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1262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1</v>
      </c>
      <c r="E1262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1262" s="3">
        <f>SUM(TS_ATHLETES[[#This Row],[GOLD MEDALS]:[BRONZE MEDALS]])</f>
        <v>1</v>
      </c>
      <c r="G1262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10000100</v>
      </c>
      <c r="H1262" s="3">
        <f>IF(TS_ATHLETES[[#This Row],[TOTAL]]=0,"",RANK(TS_ATHLETES[[#This Row],[RANK VALUE]],TS_ATHLETES[RANK VALUE]))</f>
        <v>660</v>
      </c>
      <c r="I1262" s="3">
        <f>IFERROR(IF(TS_ATHLETES[[#This Row],[TOTAL]]=0,"",RANK(TS_ATHLETES[[#This Row],[RANK VALUE]],TS_ATHLETES[RANK VALUE])+COUNTIF($H$1:H1261,H1262)),"")</f>
        <v>1028</v>
      </c>
    </row>
    <row r="1263" spans="1:9" x14ac:dyDescent="0.25">
      <c r="A1263" t="s">
        <v>2165</v>
      </c>
      <c r="B1263" s="3" t="s">
        <v>37</v>
      </c>
      <c r="C1263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1263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1</v>
      </c>
      <c r="E1263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1263" s="3">
        <f>SUM(TS_ATHLETES[[#This Row],[GOLD MEDALS]:[BRONZE MEDALS]])</f>
        <v>1</v>
      </c>
      <c r="G1263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10000100</v>
      </c>
      <c r="H1263" s="3">
        <f>IF(TS_ATHLETES[[#This Row],[TOTAL]]=0,"",RANK(TS_ATHLETES[[#This Row],[RANK VALUE]],TS_ATHLETES[RANK VALUE]))</f>
        <v>660</v>
      </c>
      <c r="I1263" s="3">
        <f>IFERROR(IF(TS_ATHLETES[[#This Row],[TOTAL]]=0,"",RANK(TS_ATHLETES[[#This Row],[RANK VALUE]],TS_ATHLETES[RANK VALUE])+COUNTIF($H$1:H1262,H1263)),"")</f>
        <v>1029</v>
      </c>
    </row>
    <row r="1264" spans="1:9" x14ac:dyDescent="0.25">
      <c r="A1264" t="s">
        <v>2166</v>
      </c>
      <c r="B1264" s="3" t="s">
        <v>37</v>
      </c>
      <c r="C1264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1264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1</v>
      </c>
      <c r="E1264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1264" s="3">
        <f>SUM(TS_ATHLETES[[#This Row],[GOLD MEDALS]:[BRONZE MEDALS]])</f>
        <v>1</v>
      </c>
      <c r="G1264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10000100</v>
      </c>
      <c r="H1264" s="3">
        <f>IF(TS_ATHLETES[[#This Row],[TOTAL]]=0,"",RANK(TS_ATHLETES[[#This Row],[RANK VALUE]],TS_ATHLETES[RANK VALUE]))</f>
        <v>660</v>
      </c>
      <c r="I1264" s="3">
        <f>IFERROR(IF(TS_ATHLETES[[#This Row],[TOTAL]]=0,"",RANK(TS_ATHLETES[[#This Row],[RANK VALUE]],TS_ATHLETES[RANK VALUE])+COUNTIF($H$1:H1263,H1264)),"")</f>
        <v>1030</v>
      </c>
    </row>
    <row r="1265" spans="1:9" x14ac:dyDescent="0.25">
      <c r="A1265" t="s">
        <v>2167</v>
      </c>
      <c r="B1265" s="3" t="s">
        <v>37</v>
      </c>
      <c r="C1265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1265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1</v>
      </c>
      <c r="E1265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1265" s="3">
        <f>SUM(TS_ATHLETES[[#This Row],[GOLD MEDALS]:[BRONZE MEDALS]])</f>
        <v>1</v>
      </c>
      <c r="G1265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10000100</v>
      </c>
      <c r="H1265" s="3">
        <f>IF(TS_ATHLETES[[#This Row],[TOTAL]]=0,"",RANK(TS_ATHLETES[[#This Row],[RANK VALUE]],TS_ATHLETES[RANK VALUE]))</f>
        <v>660</v>
      </c>
      <c r="I1265" s="3">
        <f>IFERROR(IF(TS_ATHLETES[[#This Row],[TOTAL]]=0,"",RANK(TS_ATHLETES[[#This Row],[RANK VALUE]],TS_ATHLETES[RANK VALUE])+COUNTIF($H$1:H1264,H1265)),"")</f>
        <v>1031</v>
      </c>
    </row>
    <row r="1266" spans="1:9" x14ac:dyDescent="0.25">
      <c r="A1266" t="s">
        <v>2168</v>
      </c>
      <c r="B1266" s="3" t="s">
        <v>37</v>
      </c>
      <c r="C1266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1266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1</v>
      </c>
      <c r="E1266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1266" s="3">
        <f>SUM(TS_ATHLETES[[#This Row],[GOLD MEDALS]:[BRONZE MEDALS]])</f>
        <v>1</v>
      </c>
      <c r="G1266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10000100</v>
      </c>
      <c r="H1266" s="3">
        <f>IF(TS_ATHLETES[[#This Row],[TOTAL]]=0,"",RANK(TS_ATHLETES[[#This Row],[RANK VALUE]],TS_ATHLETES[RANK VALUE]))</f>
        <v>660</v>
      </c>
      <c r="I1266" s="3">
        <f>IFERROR(IF(TS_ATHLETES[[#This Row],[TOTAL]]=0,"",RANK(TS_ATHLETES[[#This Row],[RANK VALUE]],TS_ATHLETES[RANK VALUE])+COUNTIF($H$1:H1265,H1266)),"")</f>
        <v>1032</v>
      </c>
    </row>
    <row r="1267" spans="1:9" x14ac:dyDescent="0.25">
      <c r="A1267" t="s">
        <v>2169</v>
      </c>
      <c r="B1267" s="3" t="s">
        <v>37</v>
      </c>
      <c r="C1267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1267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1</v>
      </c>
      <c r="E1267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1267" s="3">
        <f>SUM(TS_ATHLETES[[#This Row],[GOLD MEDALS]:[BRONZE MEDALS]])</f>
        <v>1</v>
      </c>
      <c r="G1267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10000100</v>
      </c>
      <c r="H1267" s="3">
        <f>IF(TS_ATHLETES[[#This Row],[TOTAL]]=0,"",RANK(TS_ATHLETES[[#This Row],[RANK VALUE]],TS_ATHLETES[RANK VALUE]))</f>
        <v>660</v>
      </c>
      <c r="I1267" s="3">
        <f>IFERROR(IF(TS_ATHLETES[[#This Row],[TOTAL]]=0,"",RANK(TS_ATHLETES[[#This Row],[RANK VALUE]],TS_ATHLETES[RANK VALUE])+COUNTIF($H$1:H1266,H1267)),"")</f>
        <v>1033</v>
      </c>
    </row>
    <row r="1268" spans="1:9" x14ac:dyDescent="0.25">
      <c r="A1268" t="s">
        <v>2170</v>
      </c>
      <c r="B1268" s="3" t="s">
        <v>37</v>
      </c>
      <c r="C1268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1268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1</v>
      </c>
      <c r="E1268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1268" s="3">
        <f>SUM(TS_ATHLETES[[#This Row],[GOLD MEDALS]:[BRONZE MEDALS]])</f>
        <v>1</v>
      </c>
      <c r="G1268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10000100</v>
      </c>
      <c r="H1268" s="3">
        <f>IF(TS_ATHLETES[[#This Row],[TOTAL]]=0,"",RANK(TS_ATHLETES[[#This Row],[RANK VALUE]],TS_ATHLETES[RANK VALUE]))</f>
        <v>660</v>
      </c>
      <c r="I1268" s="3">
        <f>IFERROR(IF(TS_ATHLETES[[#This Row],[TOTAL]]=0,"",RANK(TS_ATHLETES[[#This Row],[RANK VALUE]],TS_ATHLETES[RANK VALUE])+COUNTIF($H$1:H1267,H1268)),"")</f>
        <v>1034</v>
      </c>
    </row>
    <row r="1269" spans="1:9" x14ac:dyDescent="0.25">
      <c r="A1269" t="s">
        <v>2171</v>
      </c>
      <c r="B1269" s="3" t="s">
        <v>37</v>
      </c>
      <c r="C1269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1269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1</v>
      </c>
      <c r="E1269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1269" s="3">
        <f>SUM(TS_ATHLETES[[#This Row],[GOLD MEDALS]:[BRONZE MEDALS]])</f>
        <v>1</v>
      </c>
      <c r="G1269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10000100</v>
      </c>
      <c r="H1269" s="3">
        <f>IF(TS_ATHLETES[[#This Row],[TOTAL]]=0,"",RANK(TS_ATHLETES[[#This Row],[RANK VALUE]],TS_ATHLETES[RANK VALUE]))</f>
        <v>660</v>
      </c>
      <c r="I1269" s="3">
        <f>IFERROR(IF(TS_ATHLETES[[#This Row],[TOTAL]]=0,"",RANK(TS_ATHLETES[[#This Row],[RANK VALUE]],TS_ATHLETES[RANK VALUE])+COUNTIF($H$1:H1268,H1269)),"")</f>
        <v>1035</v>
      </c>
    </row>
    <row r="1270" spans="1:9" x14ac:dyDescent="0.25">
      <c r="A1270" t="s">
        <v>2172</v>
      </c>
      <c r="B1270" s="3" t="s">
        <v>37</v>
      </c>
      <c r="C1270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1270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1</v>
      </c>
      <c r="E1270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1270" s="3">
        <f>SUM(TS_ATHLETES[[#This Row],[GOLD MEDALS]:[BRONZE MEDALS]])</f>
        <v>1</v>
      </c>
      <c r="G1270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10000100</v>
      </c>
      <c r="H1270" s="3">
        <f>IF(TS_ATHLETES[[#This Row],[TOTAL]]=0,"",RANK(TS_ATHLETES[[#This Row],[RANK VALUE]],TS_ATHLETES[RANK VALUE]))</f>
        <v>660</v>
      </c>
      <c r="I1270" s="3">
        <f>IFERROR(IF(TS_ATHLETES[[#This Row],[TOTAL]]=0,"",RANK(TS_ATHLETES[[#This Row],[RANK VALUE]],TS_ATHLETES[RANK VALUE])+COUNTIF($H$1:H1269,H1270)),"")</f>
        <v>1036</v>
      </c>
    </row>
    <row r="1271" spans="1:9" x14ac:dyDescent="0.25">
      <c r="A1271" t="s">
        <v>2173</v>
      </c>
      <c r="B1271" s="3" t="s">
        <v>37</v>
      </c>
      <c r="C1271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1271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1</v>
      </c>
      <c r="E1271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1271" s="3">
        <f>SUM(TS_ATHLETES[[#This Row],[GOLD MEDALS]:[BRONZE MEDALS]])</f>
        <v>1</v>
      </c>
      <c r="G1271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10000100</v>
      </c>
      <c r="H1271" s="3">
        <f>IF(TS_ATHLETES[[#This Row],[TOTAL]]=0,"",RANK(TS_ATHLETES[[#This Row],[RANK VALUE]],TS_ATHLETES[RANK VALUE]))</f>
        <v>660</v>
      </c>
      <c r="I1271" s="3">
        <f>IFERROR(IF(TS_ATHLETES[[#This Row],[TOTAL]]=0,"",RANK(TS_ATHLETES[[#This Row],[RANK VALUE]],TS_ATHLETES[RANK VALUE])+COUNTIF($H$1:H1270,H1271)),"")</f>
        <v>1037</v>
      </c>
    </row>
    <row r="1272" spans="1:9" x14ac:dyDescent="0.25">
      <c r="A1272" t="s">
        <v>2174</v>
      </c>
      <c r="B1272" s="3" t="s">
        <v>136</v>
      </c>
      <c r="C1272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1272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1272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1</v>
      </c>
      <c r="F1272" s="3">
        <f>SUM(TS_ATHLETES[[#This Row],[GOLD MEDALS]:[BRONZE MEDALS]])</f>
        <v>1</v>
      </c>
      <c r="G1272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10000010</v>
      </c>
      <c r="H1272" s="3">
        <f>IF(TS_ATHLETES[[#This Row],[TOTAL]]=0,"",RANK(TS_ATHLETES[[#This Row],[RANK VALUE]],TS_ATHLETES[RANK VALUE]))</f>
        <v>1224</v>
      </c>
      <c r="I1272" s="3">
        <f>IFERROR(IF(TS_ATHLETES[[#This Row],[TOTAL]]=0,"",RANK(TS_ATHLETES[[#This Row],[RANK VALUE]],TS_ATHLETES[RANK VALUE])+COUNTIF($H$1:H1271,H1272)),"")</f>
        <v>1655</v>
      </c>
    </row>
    <row r="1273" spans="1:9" x14ac:dyDescent="0.25">
      <c r="A1273" t="s">
        <v>2175</v>
      </c>
      <c r="B1273" s="3" t="s">
        <v>136</v>
      </c>
      <c r="C1273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1273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1273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1</v>
      </c>
      <c r="F1273" s="3">
        <f>SUM(TS_ATHLETES[[#This Row],[GOLD MEDALS]:[BRONZE MEDALS]])</f>
        <v>1</v>
      </c>
      <c r="G1273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10000010</v>
      </c>
      <c r="H1273" s="3">
        <f>IF(TS_ATHLETES[[#This Row],[TOTAL]]=0,"",RANK(TS_ATHLETES[[#This Row],[RANK VALUE]],TS_ATHLETES[RANK VALUE]))</f>
        <v>1224</v>
      </c>
      <c r="I1273" s="3">
        <f>IFERROR(IF(TS_ATHLETES[[#This Row],[TOTAL]]=0,"",RANK(TS_ATHLETES[[#This Row],[RANK VALUE]],TS_ATHLETES[RANK VALUE])+COUNTIF($H$1:H1272,H1273)),"")</f>
        <v>1656</v>
      </c>
    </row>
    <row r="1274" spans="1:9" x14ac:dyDescent="0.25">
      <c r="A1274" t="s">
        <v>2176</v>
      </c>
      <c r="B1274" s="3" t="s">
        <v>136</v>
      </c>
      <c r="C1274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1274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1274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1</v>
      </c>
      <c r="F1274" s="3">
        <f>SUM(TS_ATHLETES[[#This Row],[GOLD MEDALS]:[BRONZE MEDALS]])</f>
        <v>1</v>
      </c>
      <c r="G1274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10000010</v>
      </c>
      <c r="H1274" s="3">
        <f>IF(TS_ATHLETES[[#This Row],[TOTAL]]=0,"",RANK(TS_ATHLETES[[#This Row],[RANK VALUE]],TS_ATHLETES[RANK VALUE]))</f>
        <v>1224</v>
      </c>
      <c r="I1274" s="3">
        <f>IFERROR(IF(TS_ATHLETES[[#This Row],[TOTAL]]=0,"",RANK(TS_ATHLETES[[#This Row],[RANK VALUE]],TS_ATHLETES[RANK VALUE])+COUNTIF($H$1:H1273,H1274)),"")</f>
        <v>1657</v>
      </c>
    </row>
    <row r="1275" spans="1:9" x14ac:dyDescent="0.25">
      <c r="A1275" t="s">
        <v>2177</v>
      </c>
      <c r="B1275" s="3" t="s">
        <v>136</v>
      </c>
      <c r="C1275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1275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1275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1</v>
      </c>
      <c r="F1275" s="3">
        <f>SUM(TS_ATHLETES[[#This Row],[GOLD MEDALS]:[BRONZE MEDALS]])</f>
        <v>1</v>
      </c>
      <c r="G1275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10000010</v>
      </c>
      <c r="H1275" s="3">
        <f>IF(TS_ATHLETES[[#This Row],[TOTAL]]=0,"",RANK(TS_ATHLETES[[#This Row],[RANK VALUE]],TS_ATHLETES[RANK VALUE]))</f>
        <v>1224</v>
      </c>
      <c r="I1275" s="3">
        <f>IFERROR(IF(TS_ATHLETES[[#This Row],[TOTAL]]=0,"",RANK(TS_ATHLETES[[#This Row],[RANK VALUE]],TS_ATHLETES[RANK VALUE])+COUNTIF($H$1:H1274,H1275)),"")</f>
        <v>1658</v>
      </c>
    </row>
    <row r="1276" spans="1:9" x14ac:dyDescent="0.25">
      <c r="A1276" t="s">
        <v>2178</v>
      </c>
      <c r="B1276" s="3" t="s">
        <v>136</v>
      </c>
      <c r="C1276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1276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1276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1</v>
      </c>
      <c r="F1276" s="3">
        <f>SUM(TS_ATHLETES[[#This Row],[GOLD MEDALS]:[BRONZE MEDALS]])</f>
        <v>1</v>
      </c>
      <c r="G1276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10000010</v>
      </c>
      <c r="H1276" s="3">
        <f>IF(TS_ATHLETES[[#This Row],[TOTAL]]=0,"",RANK(TS_ATHLETES[[#This Row],[RANK VALUE]],TS_ATHLETES[RANK VALUE]))</f>
        <v>1224</v>
      </c>
      <c r="I1276" s="3">
        <f>IFERROR(IF(TS_ATHLETES[[#This Row],[TOTAL]]=0,"",RANK(TS_ATHLETES[[#This Row],[RANK VALUE]],TS_ATHLETES[RANK VALUE])+COUNTIF($H$1:H1275,H1276)),"")</f>
        <v>1659</v>
      </c>
    </row>
    <row r="1277" spans="1:9" x14ac:dyDescent="0.25">
      <c r="A1277" t="s">
        <v>2179</v>
      </c>
      <c r="B1277" s="3" t="s">
        <v>136</v>
      </c>
      <c r="C1277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1277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1277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1</v>
      </c>
      <c r="F1277" s="3">
        <f>SUM(TS_ATHLETES[[#This Row],[GOLD MEDALS]:[BRONZE MEDALS]])</f>
        <v>1</v>
      </c>
      <c r="G1277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10000010</v>
      </c>
      <c r="H1277" s="3">
        <f>IF(TS_ATHLETES[[#This Row],[TOTAL]]=0,"",RANK(TS_ATHLETES[[#This Row],[RANK VALUE]],TS_ATHLETES[RANK VALUE]))</f>
        <v>1224</v>
      </c>
      <c r="I1277" s="3">
        <f>IFERROR(IF(TS_ATHLETES[[#This Row],[TOTAL]]=0,"",RANK(TS_ATHLETES[[#This Row],[RANK VALUE]],TS_ATHLETES[RANK VALUE])+COUNTIF($H$1:H1276,H1277)),"")</f>
        <v>1660</v>
      </c>
    </row>
    <row r="1278" spans="1:9" x14ac:dyDescent="0.25">
      <c r="A1278" t="s">
        <v>2180</v>
      </c>
      <c r="B1278" s="3" t="s">
        <v>136</v>
      </c>
      <c r="C1278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1278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1278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1</v>
      </c>
      <c r="F1278" s="3">
        <f>SUM(TS_ATHLETES[[#This Row],[GOLD MEDALS]:[BRONZE MEDALS]])</f>
        <v>1</v>
      </c>
      <c r="G1278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10000010</v>
      </c>
      <c r="H1278" s="3">
        <f>IF(TS_ATHLETES[[#This Row],[TOTAL]]=0,"",RANK(TS_ATHLETES[[#This Row],[RANK VALUE]],TS_ATHLETES[RANK VALUE]))</f>
        <v>1224</v>
      </c>
      <c r="I1278" s="3">
        <f>IFERROR(IF(TS_ATHLETES[[#This Row],[TOTAL]]=0,"",RANK(TS_ATHLETES[[#This Row],[RANK VALUE]],TS_ATHLETES[RANK VALUE])+COUNTIF($H$1:H1277,H1278)),"")</f>
        <v>1661</v>
      </c>
    </row>
    <row r="1279" spans="1:9" x14ac:dyDescent="0.25">
      <c r="A1279" t="s">
        <v>2181</v>
      </c>
      <c r="B1279" s="3" t="s">
        <v>136</v>
      </c>
      <c r="C1279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1279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1279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1</v>
      </c>
      <c r="F1279" s="3">
        <f>SUM(TS_ATHLETES[[#This Row],[GOLD MEDALS]:[BRONZE MEDALS]])</f>
        <v>1</v>
      </c>
      <c r="G1279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10000010</v>
      </c>
      <c r="H1279" s="3">
        <f>IF(TS_ATHLETES[[#This Row],[TOTAL]]=0,"",RANK(TS_ATHLETES[[#This Row],[RANK VALUE]],TS_ATHLETES[RANK VALUE]))</f>
        <v>1224</v>
      </c>
      <c r="I1279" s="3">
        <f>IFERROR(IF(TS_ATHLETES[[#This Row],[TOTAL]]=0,"",RANK(TS_ATHLETES[[#This Row],[RANK VALUE]],TS_ATHLETES[RANK VALUE])+COUNTIF($H$1:H1278,H1279)),"")</f>
        <v>1662</v>
      </c>
    </row>
    <row r="1280" spans="1:9" x14ac:dyDescent="0.25">
      <c r="A1280" t="s">
        <v>2182</v>
      </c>
      <c r="B1280" s="3" t="s">
        <v>136</v>
      </c>
      <c r="C1280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1280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1280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1</v>
      </c>
      <c r="F1280" s="3">
        <f>SUM(TS_ATHLETES[[#This Row],[GOLD MEDALS]:[BRONZE MEDALS]])</f>
        <v>1</v>
      </c>
      <c r="G1280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10000010</v>
      </c>
      <c r="H1280" s="3">
        <f>IF(TS_ATHLETES[[#This Row],[TOTAL]]=0,"",RANK(TS_ATHLETES[[#This Row],[RANK VALUE]],TS_ATHLETES[RANK VALUE]))</f>
        <v>1224</v>
      </c>
      <c r="I1280" s="3">
        <f>IFERROR(IF(TS_ATHLETES[[#This Row],[TOTAL]]=0,"",RANK(TS_ATHLETES[[#This Row],[RANK VALUE]],TS_ATHLETES[RANK VALUE])+COUNTIF($H$1:H1279,H1280)),"")</f>
        <v>1663</v>
      </c>
    </row>
    <row r="1281" spans="1:9" x14ac:dyDescent="0.25">
      <c r="A1281" t="s">
        <v>2183</v>
      </c>
      <c r="B1281" s="3" t="s">
        <v>136</v>
      </c>
      <c r="C1281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1281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1281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1</v>
      </c>
      <c r="F1281" s="3">
        <f>SUM(TS_ATHLETES[[#This Row],[GOLD MEDALS]:[BRONZE MEDALS]])</f>
        <v>1</v>
      </c>
      <c r="G1281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10000010</v>
      </c>
      <c r="H1281" s="3">
        <f>IF(TS_ATHLETES[[#This Row],[TOTAL]]=0,"",RANK(TS_ATHLETES[[#This Row],[RANK VALUE]],TS_ATHLETES[RANK VALUE]))</f>
        <v>1224</v>
      </c>
      <c r="I1281" s="3">
        <f>IFERROR(IF(TS_ATHLETES[[#This Row],[TOTAL]]=0,"",RANK(TS_ATHLETES[[#This Row],[RANK VALUE]],TS_ATHLETES[RANK VALUE])+COUNTIF($H$1:H1280,H1281)),"")</f>
        <v>1664</v>
      </c>
    </row>
    <row r="1282" spans="1:9" x14ac:dyDescent="0.25">
      <c r="A1282" t="s">
        <v>2184</v>
      </c>
      <c r="B1282" s="3" t="s">
        <v>136</v>
      </c>
      <c r="C1282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1282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1282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1</v>
      </c>
      <c r="F1282" s="3">
        <f>SUM(TS_ATHLETES[[#This Row],[GOLD MEDALS]:[BRONZE MEDALS]])</f>
        <v>1</v>
      </c>
      <c r="G1282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10000010</v>
      </c>
      <c r="H1282" s="3">
        <f>IF(TS_ATHLETES[[#This Row],[TOTAL]]=0,"",RANK(TS_ATHLETES[[#This Row],[RANK VALUE]],TS_ATHLETES[RANK VALUE]))</f>
        <v>1224</v>
      </c>
      <c r="I1282" s="3">
        <f>IFERROR(IF(TS_ATHLETES[[#This Row],[TOTAL]]=0,"",RANK(TS_ATHLETES[[#This Row],[RANK VALUE]],TS_ATHLETES[RANK VALUE])+COUNTIF($H$1:H1281,H1282)),"")</f>
        <v>1665</v>
      </c>
    </row>
    <row r="1283" spans="1:9" x14ac:dyDescent="0.25">
      <c r="A1283" t="s">
        <v>2185</v>
      </c>
      <c r="B1283" s="3" t="s">
        <v>136</v>
      </c>
      <c r="C1283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1283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1283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1</v>
      </c>
      <c r="F1283" s="3">
        <f>SUM(TS_ATHLETES[[#This Row],[GOLD MEDALS]:[BRONZE MEDALS]])</f>
        <v>1</v>
      </c>
      <c r="G1283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10000010</v>
      </c>
      <c r="H1283" s="3">
        <f>IF(TS_ATHLETES[[#This Row],[TOTAL]]=0,"",RANK(TS_ATHLETES[[#This Row],[RANK VALUE]],TS_ATHLETES[RANK VALUE]))</f>
        <v>1224</v>
      </c>
      <c r="I1283" s="3">
        <f>IFERROR(IF(TS_ATHLETES[[#This Row],[TOTAL]]=0,"",RANK(TS_ATHLETES[[#This Row],[RANK VALUE]],TS_ATHLETES[RANK VALUE])+COUNTIF($H$1:H1282,H1283)),"")</f>
        <v>1666</v>
      </c>
    </row>
    <row r="1284" spans="1:9" x14ac:dyDescent="0.25">
      <c r="A1284" t="s">
        <v>2186</v>
      </c>
      <c r="B1284" s="3" t="s">
        <v>136</v>
      </c>
      <c r="C1284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1284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1284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1</v>
      </c>
      <c r="F1284" s="3">
        <f>SUM(TS_ATHLETES[[#This Row],[GOLD MEDALS]:[BRONZE MEDALS]])</f>
        <v>1</v>
      </c>
      <c r="G1284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10000010</v>
      </c>
      <c r="H1284" s="3">
        <f>IF(TS_ATHLETES[[#This Row],[TOTAL]]=0,"",RANK(TS_ATHLETES[[#This Row],[RANK VALUE]],TS_ATHLETES[RANK VALUE]))</f>
        <v>1224</v>
      </c>
      <c r="I1284" s="3">
        <f>IFERROR(IF(TS_ATHLETES[[#This Row],[TOTAL]]=0,"",RANK(TS_ATHLETES[[#This Row],[RANK VALUE]],TS_ATHLETES[RANK VALUE])+COUNTIF($H$1:H1283,H1284)),"")</f>
        <v>1667</v>
      </c>
    </row>
    <row r="1285" spans="1:9" x14ac:dyDescent="0.25">
      <c r="A1285" t="s">
        <v>2187</v>
      </c>
      <c r="B1285" s="3" t="s">
        <v>136</v>
      </c>
      <c r="C1285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1285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1285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1</v>
      </c>
      <c r="F1285" s="3">
        <f>SUM(TS_ATHLETES[[#This Row],[GOLD MEDALS]:[BRONZE MEDALS]])</f>
        <v>1</v>
      </c>
      <c r="G1285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10000010</v>
      </c>
      <c r="H1285" s="3">
        <f>IF(TS_ATHLETES[[#This Row],[TOTAL]]=0,"",RANK(TS_ATHLETES[[#This Row],[RANK VALUE]],TS_ATHLETES[RANK VALUE]))</f>
        <v>1224</v>
      </c>
      <c r="I1285" s="3">
        <f>IFERROR(IF(TS_ATHLETES[[#This Row],[TOTAL]]=0,"",RANK(TS_ATHLETES[[#This Row],[RANK VALUE]],TS_ATHLETES[RANK VALUE])+COUNTIF($H$1:H1284,H1285)),"")</f>
        <v>1668</v>
      </c>
    </row>
    <row r="1286" spans="1:9" x14ac:dyDescent="0.25">
      <c r="A1286" t="s">
        <v>2188</v>
      </c>
      <c r="B1286" s="3" t="s">
        <v>136</v>
      </c>
      <c r="C1286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1286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1286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1</v>
      </c>
      <c r="F1286" s="3">
        <f>SUM(TS_ATHLETES[[#This Row],[GOLD MEDALS]:[BRONZE MEDALS]])</f>
        <v>1</v>
      </c>
      <c r="G1286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10000010</v>
      </c>
      <c r="H1286" s="3">
        <f>IF(TS_ATHLETES[[#This Row],[TOTAL]]=0,"",RANK(TS_ATHLETES[[#This Row],[RANK VALUE]],TS_ATHLETES[RANK VALUE]))</f>
        <v>1224</v>
      </c>
      <c r="I1286" s="3">
        <f>IFERROR(IF(TS_ATHLETES[[#This Row],[TOTAL]]=0,"",RANK(TS_ATHLETES[[#This Row],[RANK VALUE]],TS_ATHLETES[RANK VALUE])+COUNTIF($H$1:H1285,H1286)),"")</f>
        <v>1669</v>
      </c>
    </row>
    <row r="1287" spans="1:9" x14ac:dyDescent="0.25">
      <c r="A1287" t="s">
        <v>2189</v>
      </c>
      <c r="B1287" s="3" t="s">
        <v>136</v>
      </c>
      <c r="C1287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1287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1287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1</v>
      </c>
      <c r="F1287" s="3">
        <f>SUM(TS_ATHLETES[[#This Row],[GOLD MEDALS]:[BRONZE MEDALS]])</f>
        <v>1</v>
      </c>
      <c r="G1287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10000010</v>
      </c>
      <c r="H1287" s="3">
        <f>IF(TS_ATHLETES[[#This Row],[TOTAL]]=0,"",RANK(TS_ATHLETES[[#This Row],[RANK VALUE]],TS_ATHLETES[RANK VALUE]))</f>
        <v>1224</v>
      </c>
      <c r="I1287" s="3">
        <f>IFERROR(IF(TS_ATHLETES[[#This Row],[TOTAL]]=0,"",RANK(TS_ATHLETES[[#This Row],[RANK VALUE]],TS_ATHLETES[RANK VALUE])+COUNTIF($H$1:H1286,H1287)),"")</f>
        <v>1670</v>
      </c>
    </row>
    <row r="1288" spans="1:9" x14ac:dyDescent="0.25">
      <c r="A1288" t="s">
        <v>2190</v>
      </c>
      <c r="B1288" s="3" t="s">
        <v>361</v>
      </c>
      <c r="C1288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1</v>
      </c>
      <c r="D1288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1288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1288" s="3">
        <f>SUM(TS_ATHLETES[[#This Row],[GOLD MEDALS]:[BRONZE MEDALS]])</f>
        <v>1</v>
      </c>
      <c r="G1288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10100000</v>
      </c>
      <c r="H1288" s="3">
        <f>IF(TS_ATHLETES[[#This Row],[TOTAL]]=0,"",RANK(TS_ATHLETES[[#This Row],[RANK VALUE]],TS_ATHLETES[RANK VALUE]))</f>
        <v>129</v>
      </c>
      <c r="I1288" s="3">
        <f>IFERROR(IF(TS_ATHLETES[[#This Row],[TOTAL]]=0,"",RANK(TS_ATHLETES[[#This Row],[RANK VALUE]],TS_ATHLETES[RANK VALUE])+COUNTIF($H$1:H1287,H1288)),"")</f>
        <v>476</v>
      </c>
    </row>
    <row r="1289" spans="1:9" x14ac:dyDescent="0.25">
      <c r="A1289" t="s">
        <v>2191</v>
      </c>
      <c r="B1289" s="3" t="s">
        <v>361</v>
      </c>
      <c r="C1289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1</v>
      </c>
      <c r="D1289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1289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1289" s="3">
        <f>SUM(TS_ATHLETES[[#This Row],[GOLD MEDALS]:[BRONZE MEDALS]])</f>
        <v>1</v>
      </c>
      <c r="G1289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10100000</v>
      </c>
      <c r="H1289" s="3">
        <f>IF(TS_ATHLETES[[#This Row],[TOTAL]]=0,"",RANK(TS_ATHLETES[[#This Row],[RANK VALUE]],TS_ATHLETES[RANK VALUE]))</f>
        <v>129</v>
      </c>
      <c r="I1289" s="3">
        <f>IFERROR(IF(TS_ATHLETES[[#This Row],[TOTAL]]=0,"",RANK(TS_ATHLETES[[#This Row],[RANK VALUE]],TS_ATHLETES[RANK VALUE])+COUNTIF($H$1:H1288,H1289)),"")</f>
        <v>477</v>
      </c>
    </row>
    <row r="1290" spans="1:9" x14ac:dyDescent="0.25">
      <c r="A1290" t="s">
        <v>2192</v>
      </c>
      <c r="B1290" s="3" t="s">
        <v>361</v>
      </c>
      <c r="C1290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1</v>
      </c>
      <c r="D1290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1290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1290" s="3">
        <f>SUM(TS_ATHLETES[[#This Row],[GOLD MEDALS]:[BRONZE MEDALS]])</f>
        <v>1</v>
      </c>
      <c r="G1290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10100000</v>
      </c>
      <c r="H1290" s="3">
        <f>IF(TS_ATHLETES[[#This Row],[TOTAL]]=0,"",RANK(TS_ATHLETES[[#This Row],[RANK VALUE]],TS_ATHLETES[RANK VALUE]))</f>
        <v>129</v>
      </c>
      <c r="I1290" s="3">
        <f>IFERROR(IF(TS_ATHLETES[[#This Row],[TOTAL]]=0,"",RANK(TS_ATHLETES[[#This Row],[RANK VALUE]],TS_ATHLETES[RANK VALUE])+COUNTIF($H$1:H1289,H1290)),"")</f>
        <v>478</v>
      </c>
    </row>
    <row r="1291" spans="1:9" x14ac:dyDescent="0.25">
      <c r="A1291" t="s">
        <v>2193</v>
      </c>
      <c r="B1291" s="3" t="s">
        <v>361</v>
      </c>
      <c r="C1291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1</v>
      </c>
      <c r="D1291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1291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1291" s="3">
        <f>SUM(TS_ATHLETES[[#This Row],[GOLD MEDALS]:[BRONZE MEDALS]])</f>
        <v>1</v>
      </c>
      <c r="G1291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10100000</v>
      </c>
      <c r="H1291" s="3">
        <f>IF(TS_ATHLETES[[#This Row],[TOTAL]]=0,"",RANK(TS_ATHLETES[[#This Row],[RANK VALUE]],TS_ATHLETES[RANK VALUE]))</f>
        <v>129</v>
      </c>
      <c r="I1291" s="3">
        <f>IFERROR(IF(TS_ATHLETES[[#This Row],[TOTAL]]=0,"",RANK(TS_ATHLETES[[#This Row],[RANK VALUE]],TS_ATHLETES[RANK VALUE])+COUNTIF($H$1:H1290,H1291)),"")</f>
        <v>479</v>
      </c>
    </row>
    <row r="1292" spans="1:9" x14ac:dyDescent="0.25">
      <c r="A1292" t="s">
        <v>2194</v>
      </c>
      <c r="B1292" s="3" t="s">
        <v>361</v>
      </c>
      <c r="C1292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1</v>
      </c>
      <c r="D1292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1292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1292" s="3">
        <f>SUM(TS_ATHLETES[[#This Row],[GOLD MEDALS]:[BRONZE MEDALS]])</f>
        <v>1</v>
      </c>
      <c r="G1292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10100000</v>
      </c>
      <c r="H1292" s="3">
        <f>IF(TS_ATHLETES[[#This Row],[TOTAL]]=0,"",RANK(TS_ATHLETES[[#This Row],[RANK VALUE]],TS_ATHLETES[RANK VALUE]))</f>
        <v>129</v>
      </c>
      <c r="I1292" s="3">
        <f>IFERROR(IF(TS_ATHLETES[[#This Row],[TOTAL]]=0,"",RANK(TS_ATHLETES[[#This Row],[RANK VALUE]],TS_ATHLETES[RANK VALUE])+COUNTIF($H$1:H1291,H1292)),"")</f>
        <v>480</v>
      </c>
    </row>
    <row r="1293" spans="1:9" x14ac:dyDescent="0.25">
      <c r="A1293" t="s">
        <v>2195</v>
      </c>
      <c r="B1293" s="3" t="s">
        <v>361</v>
      </c>
      <c r="C1293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1</v>
      </c>
      <c r="D1293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1293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1293" s="3">
        <f>SUM(TS_ATHLETES[[#This Row],[GOLD MEDALS]:[BRONZE MEDALS]])</f>
        <v>1</v>
      </c>
      <c r="G1293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10100000</v>
      </c>
      <c r="H1293" s="3">
        <f>IF(TS_ATHLETES[[#This Row],[TOTAL]]=0,"",RANK(TS_ATHLETES[[#This Row],[RANK VALUE]],TS_ATHLETES[RANK VALUE]))</f>
        <v>129</v>
      </c>
      <c r="I1293" s="3">
        <f>IFERROR(IF(TS_ATHLETES[[#This Row],[TOTAL]]=0,"",RANK(TS_ATHLETES[[#This Row],[RANK VALUE]],TS_ATHLETES[RANK VALUE])+COUNTIF($H$1:H1292,H1293)),"")</f>
        <v>481</v>
      </c>
    </row>
    <row r="1294" spans="1:9" x14ac:dyDescent="0.25">
      <c r="A1294" t="s">
        <v>2196</v>
      </c>
      <c r="B1294" s="3" t="s">
        <v>361</v>
      </c>
      <c r="C1294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1</v>
      </c>
      <c r="D1294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1294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1294" s="3">
        <f>SUM(TS_ATHLETES[[#This Row],[GOLD MEDALS]:[BRONZE MEDALS]])</f>
        <v>1</v>
      </c>
      <c r="G1294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10100000</v>
      </c>
      <c r="H1294" s="3">
        <f>IF(TS_ATHLETES[[#This Row],[TOTAL]]=0,"",RANK(TS_ATHLETES[[#This Row],[RANK VALUE]],TS_ATHLETES[RANK VALUE]))</f>
        <v>129</v>
      </c>
      <c r="I1294" s="3">
        <f>IFERROR(IF(TS_ATHLETES[[#This Row],[TOTAL]]=0,"",RANK(TS_ATHLETES[[#This Row],[RANK VALUE]],TS_ATHLETES[RANK VALUE])+COUNTIF($H$1:H1293,H1294)),"")</f>
        <v>482</v>
      </c>
    </row>
    <row r="1295" spans="1:9" x14ac:dyDescent="0.25">
      <c r="A1295" t="s">
        <v>2197</v>
      </c>
      <c r="B1295" s="3" t="s">
        <v>361</v>
      </c>
      <c r="C1295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1</v>
      </c>
      <c r="D1295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1295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1295" s="3">
        <f>SUM(TS_ATHLETES[[#This Row],[GOLD MEDALS]:[BRONZE MEDALS]])</f>
        <v>1</v>
      </c>
      <c r="G1295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10100000</v>
      </c>
      <c r="H1295" s="3">
        <f>IF(TS_ATHLETES[[#This Row],[TOTAL]]=0,"",RANK(TS_ATHLETES[[#This Row],[RANK VALUE]],TS_ATHLETES[RANK VALUE]))</f>
        <v>129</v>
      </c>
      <c r="I1295" s="3">
        <f>IFERROR(IF(TS_ATHLETES[[#This Row],[TOTAL]]=0,"",RANK(TS_ATHLETES[[#This Row],[RANK VALUE]],TS_ATHLETES[RANK VALUE])+COUNTIF($H$1:H1294,H1295)),"")</f>
        <v>483</v>
      </c>
    </row>
    <row r="1296" spans="1:9" x14ac:dyDescent="0.25">
      <c r="A1296" t="s">
        <v>2198</v>
      </c>
      <c r="B1296" s="3" t="s">
        <v>361</v>
      </c>
      <c r="C1296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1</v>
      </c>
      <c r="D1296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1296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1296" s="3">
        <f>SUM(TS_ATHLETES[[#This Row],[GOLD MEDALS]:[BRONZE MEDALS]])</f>
        <v>1</v>
      </c>
      <c r="G1296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10100000</v>
      </c>
      <c r="H1296" s="3">
        <f>IF(TS_ATHLETES[[#This Row],[TOTAL]]=0,"",RANK(TS_ATHLETES[[#This Row],[RANK VALUE]],TS_ATHLETES[RANK VALUE]))</f>
        <v>129</v>
      </c>
      <c r="I1296" s="3">
        <f>IFERROR(IF(TS_ATHLETES[[#This Row],[TOTAL]]=0,"",RANK(TS_ATHLETES[[#This Row],[RANK VALUE]],TS_ATHLETES[RANK VALUE])+COUNTIF($H$1:H1295,H1296)),"")</f>
        <v>484</v>
      </c>
    </row>
    <row r="1297" spans="1:9" x14ac:dyDescent="0.25">
      <c r="A1297" t="s">
        <v>2199</v>
      </c>
      <c r="B1297" s="3" t="s">
        <v>361</v>
      </c>
      <c r="C1297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1</v>
      </c>
      <c r="D1297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1297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1297" s="3">
        <f>SUM(TS_ATHLETES[[#This Row],[GOLD MEDALS]:[BRONZE MEDALS]])</f>
        <v>1</v>
      </c>
      <c r="G1297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10100000</v>
      </c>
      <c r="H1297" s="3">
        <f>IF(TS_ATHLETES[[#This Row],[TOTAL]]=0,"",RANK(TS_ATHLETES[[#This Row],[RANK VALUE]],TS_ATHLETES[RANK VALUE]))</f>
        <v>129</v>
      </c>
      <c r="I1297" s="3">
        <f>IFERROR(IF(TS_ATHLETES[[#This Row],[TOTAL]]=0,"",RANK(TS_ATHLETES[[#This Row],[RANK VALUE]],TS_ATHLETES[RANK VALUE])+COUNTIF($H$1:H1296,H1297)),"")</f>
        <v>485</v>
      </c>
    </row>
    <row r="1298" spans="1:9" x14ac:dyDescent="0.25">
      <c r="A1298" t="s">
        <v>2200</v>
      </c>
      <c r="B1298" s="3" t="s">
        <v>361</v>
      </c>
      <c r="C1298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1</v>
      </c>
      <c r="D1298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1298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1298" s="3">
        <f>SUM(TS_ATHLETES[[#This Row],[GOLD MEDALS]:[BRONZE MEDALS]])</f>
        <v>1</v>
      </c>
      <c r="G1298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10100000</v>
      </c>
      <c r="H1298" s="3">
        <f>IF(TS_ATHLETES[[#This Row],[TOTAL]]=0,"",RANK(TS_ATHLETES[[#This Row],[RANK VALUE]],TS_ATHLETES[RANK VALUE]))</f>
        <v>129</v>
      </c>
      <c r="I1298" s="3">
        <f>IFERROR(IF(TS_ATHLETES[[#This Row],[TOTAL]]=0,"",RANK(TS_ATHLETES[[#This Row],[RANK VALUE]],TS_ATHLETES[RANK VALUE])+COUNTIF($H$1:H1297,H1298)),"")</f>
        <v>486</v>
      </c>
    </row>
    <row r="1299" spans="1:9" x14ac:dyDescent="0.25">
      <c r="A1299" t="s">
        <v>2201</v>
      </c>
      <c r="B1299" s="3" t="s">
        <v>361</v>
      </c>
      <c r="C1299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1</v>
      </c>
      <c r="D1299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1299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1299" s="3">
        <f>SUM(TS_ATHLETES[[#This Row],[GOLD MEDALS]:[BRONZE MEDALS]])</f>
        <v>1</v>
      </c>
      <c r="G1299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10100000</v>
      </c>
      <c r="H1299" s="3">
        <f>IF(TS_ATHLETES[[#This Row],[TOTAL]]=0,"",RANK(TS_ATHLETES[[#This Row],[RANK VALUE]],TS_ATHLETES[RANK VALUE]))</f>
        <v>129</v>
      </c>
      <c r="I1299" s="3">
        <f>IFERROR(IF(TS_ATHLETES[[#This Row],[TOTAL]]=0,"",RANK(TS_ATHLETES[[#This Row],[RANK VALUE]],TS_ATHLETES[RANK VALUE])+COUNTIF($H$1:H1298,H1299)),"")</f>
        <v>487</v>
      </c>
    </row>
    <row r="1300" spans="1:9" x14ac:dyDescent="0.25">
      <c r="A1300" t="s">
        <v>2202</v>
      </c>
      <c r="B1300" s="3" t="s">
        <v>361</v>
      </c>
      <c r="C1300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1</v>
      </c>
      <c r="D1300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1300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1300" s="3">
        <f>SUM(TS_ATHLETES[[#This Row],[GOLD MEDALS]:[BRONZE MEDALS]])</f>
        <v>1</v>
      </c>
      <c r="G1300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10100000</v>
      </c>
      <c r="H1300" s="3">
        <f>IF(TS_ATHLETES[[#This Row],[TOTAL]]=0,"",RANK(TS_ATHLETES[[#This Row],[RANK VALUE]],TS_ATHLETES[RANK VALUE]))</f>
        <v>129</v>
      </c>
      <c r="I1300" s="3">
        <f>IFERROR(IF(TS_ATHLETES[[#This Row],[TOTAL]]=0,"",RANK(TS_ATHLETES[[#This Row],[RANK VALUE]],TS_ATHLETES[RANK VALUE])+COUNTIF($H$1:H1299,H1300)),"")</f>
        <v>488</v>
      </c>
    </row>
    <row r="1301" spans="1:9" x14ac:dyDescent="0.25">
      <c r="A1301" t="s">
        <v>2203</v>
      </c>
      <c r="B1301" s="3" t="s">
        <v>361</v>
      </c>
      <c r="C1301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1</v>
      </c>
      <c r="D1301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1301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1301" s="3">
        <f>SUM(TS_ATHLETES[[#This Row],[GOLD MEDALS]:[BRONZE MEDALS]])</f>
        <v>1</v>
      </c>
      <c r="G1301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10100000</v>
      </c>
      <c r="H1301" s="3">
        <f>IF(TS_ATHLETES[[#This Row],[TOTAL]]=0,"",RANK(TS_ATHLETES[[#This Row],[RANK VALUE]],TS_ATHLETES[RANK VALUE]))</f>
        <v>129</v>
      </c>
      <c r="I1301" s="3">
        <f>IFERROR(IF(TS_ATHLETES[[#This Row],[TOTAL]]=0,"",RANK(TS_ATHLETES[[#This Row],[RANK VALUE]],TS_ATHLETES[RANK VALUE])+COUNTIF($H$1:H1300,H1301)),"")</f>
        <v>489</v>
      </c>
    </row>
    <row r="1302" spans="1:9" x14ac:dyDescent="0.25">
      <c r="A1302" t="s">
        <v>2204</v>
      </c>
      <c r="B1302" s="3" t="s">
        <v>361</v>
      </c>
      <c r="C1302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1</v>
      </c>
      <c r="D1302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1302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1302" s="3">
        <f>SUM(TS_ATHLETES[[#This Row],[GOLD MEDALS]:[BRONZE MEDALS]])</f>
        <v>1</v>
      </c>
      <c r="G1302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10100000</v>
      </c>
      <c r="H1302" s="3">
        <f>IF(TS_ATHLETES[[#This Row],[TOTAL]]=0,"",RANK(TS_ATHLETES[[#This Row],[RANK VALUE]],TS_ATHLETES[RANK VALUE]))</f>
        <v>129</v>
      </c>
      <c r="I1302" s="3">
        <f>IFERROR(IF(TS_ATHLETES[[#This Row],[TOTAL]]=0,"",RANK(TS_ATHLETES[[#This Row],[RANK VALUE]],TS_ATHLETES[RANK VALUE])+COUNTIF($H$1:H1301,H1302)),"")</f>
        <v>490</v>
      </c>
    </row>
    <row r="1303" spans="1:9" x14ac:dyDescent="0.25">
      <c r="A1303" t="s">
        <v>2205</v>
      </c>
      <c r="B1303" s="3" t="s">
        <v>361</v>
      </c>
      <c r="C1303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1</v>
      </c>
      <c r="D1303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1303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1303" s="3">
        <f>SUM(TS_ATHLETES[[#This Row],[GOLD MEDALS]:[BRONZE MEDALS]])</f>
        <v>1</v>
      </c>
      <c r="G1303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10100000</v>
      </c>
      <c r="H1303" s="3">
        <f>IF(TS_ATHLETES[[#This Row],[TOTAL]]=0,"",RANK(TS_ATHLETES[[#This Row],[RANK VALUE]],TS_ATHLETES[RANK VALUE]))</f>
        <v>129</v>
      </c>
      <c r="I1303" s="3">
        <f>IFERROR(IF(TS_ATHLETES[[#This Row],[TOTAL]]=0,"",RANK(TS_ATHLETES[[#This Row],[RANK VALUE]],TS_ATHLETES[RANK VALUE])+COUNTIF($H$1:H1302,H1303)),"")</f>
        <v>491</v>
      </c>
    </row>
    <row r="1304" spans="1:9" x14ac:dyDescent="0.25">
      <c r="A1304" t="s">
        <v>2206</v>
      </c>
      <c r="B1304" s="3" t="s">
        <v>250</v>
      </c>
      <c r="C1304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1304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1</v>
      </c>
      <c r="E1304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1304" s="3">
        <f>SUM(TS_ATHLETES[[#This Row],[GOLD MEDALS]:[BRONZE MEDALS]])</f>
        <v>1</v>
      </c>
      <c r="G1304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10000100</v>
      </c>
      <c r="H1304" s="3">
        <f>IF(TS_ATHLETES[[#This Row],[TOTAL]]=0,"",RANK(TS_ATHLETES[[#This Row],[RANK VALUE]],TS_ATHLETES[RANK VALUE]))</f>
        <v>660</v>
      </c>
      <c r="I1304" s="3">
        <f>IFERROR(IF(TS_ATHLETES[[#This Row],[TOTAL]]=0,"",RANK(TS_ATHLETES[[#This Row],[RANK VALUE]],TS_ATHLETES[RANK VALUE])+COUNTIF($H$1:H1303,H1304)),"")</f>
        <v>1038</v>
      </c>
    </row>
    <row r="1305" spans="1:9" x14ac:dyDescent="0.25">
      <c r="A1305" t="s">
        <v>2207</v>
      </c>
      <c r="B1305" s="3" t="s">
        <v>250</v>
      </c>
      <c r="C1305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1305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1</v>
      </c>
      <c r="E1305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1305" s="3">
        <f>SUM(TS_ATHLETES[[#This Row],[GOLD MEDALS]:[BRONZE MEDALS]])</f>
        <v>1</v>
      </c>
      <c r="G1305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10000100</v>
      </c>
      <c r="H1305" s="3">
        <f>IF(TS_ATHLETES[[#This Row],[TOTAL]]=0,"",RANK(TS_ATHLETES[[#This Row],[RANK VALUE]],TS_ATHLETES[RANK VALUE]))</f>
        <v>660</v>
      </c>
      <c r="I1305" s="3">
        <f>IFERROR(IF(TS_ATHLETES[[#This Row],[TOTAL]]=0,"",RANK(TS_ATHLETES[[#This Row],[RANK VALUE]],TS_ATHLETES[RANK VALUE])+COUNTIF($H$1:H1304,H1305)),"")</f>
        <v>1039</v>
      </c>
    </row>
    <row r="1306" spans="1:9" x14ac:dyDescent="0.25">
      <c r="A1306" t="s">
        <v>2208</v>
      </c>
      <c r="B1306" s="3" t="s">
        <v>250</v>
      </c>
      <c r="C1306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1306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1</v>
      </c>
      <c r="E1306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1306" s="3">
        <f>SUM(TS_ATHLETES[[#This Row],[GOLD MEDALS]:[BRONZE MEDALS]])</f>
        <v>1</v>
      </c>
      <c r="G1306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10000100</v>
      </c>
      <c r="H1306" s="3">
        <f>IF(TS_ATHLETES[[#This Row],[TOTAL]]=0,"",RANK(TS_ATHLETES[[#This Row],[RANK VALUE]],TS_ATHLETES[RANK VALUE]))</f>
        <v>660</v>
      </c>
      <c r="I1306" s="3">
        <f>IFERROR(IF(TS_ATHLETES[[#This Row],[TOTAL]]=0,"",RANK(TS_ATHLETES[[#This Row],[RANK VALUE]],TS_ATHLETES[RANK VALUE])+COUNTIF($H$1:H1305,H1306)),"")</f>
        <v>1040</v>
      </c>
    </row>
    <row r="1307" spans="1:9" x14ac:dyDescent="0.25">
      <c r="A1307" t="s">
        <v>2209</v>
      </c>
      <c r="B1307" s="3" t="s">
        <v>250</v>
      </c>
      <c r="C1307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1307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1</v>
      </c>
      <c r="E1307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1307" s="3">
        <f>SUM(TS_ATHLETES[[#This Row],[GOLD MEDALS]:[BRONZE MEDALS]])</f>
        <v>1</v>
      </c>
      <c r="G1307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10000100</v>
      </c>
      <c r="H1307" s="3">
        <f>IF(TS_ATHLETES[[#This Row],[TOTAL]]=0,"",RANK(TS_ATHLETES[[#This Row],[RANK VALUE]],TS_ATHLETES[RANK VALUE]))</f>
        <v>660</v>
      </c>
      <c r="I1307" s="3">
        <f>IFERROR(IF(TS_ATHLETES[[#This Row],[TOTAL]]=0,"",RANK(TS_ATHLETES[[#This Row],[RANK VALUE]],TS_ATHLETES[RANK VALUE])+COUNTIF($H$1:H1306,H1307)),"")</f>
        <v>1041</v>
      </c>
    </row>
    <row r="1308" spans="1:9" x14ac:dyDescent="0.25">
      <c r="A1308" t="s">
        <v>2210</v>
      </c>
      <c r="B1308" s="3" t="s">
        <v>250</v>
      </c>
      <c r="C1308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1308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1</v>
      </c>
      <c r="E1308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1308" s="3">
        <f>SUM(TS_ATHLETES[[#This Row],[GOLD MEDALS]:[BRONZE MEDALS]])</f>
        <v>1</v>
      </c>
      <c r="G1308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10000100</v>
      </c>
      <c r="H1308" s="3">
        <f>IF(TS_ATHLETES[[#This Row],[TOTAL]]=0,"",RANK(TS_ATHLETES[[#This Row],[RANK VALUE]],TS_ATHLETES[RANK VALUE]))</f>
        <v>660</v>
      </c>
      <c r="I1308" s="3">
        <f>IFERROR(IF(TS_ATHLETES[[#This Row],[TOTAL]]=0,"",RANK(TS_ATHLETES[[#This Row],[RANK VALUE]],TS_ATHLETES[RANK VALUE])+COUNTIF($H$1:H1307,H1308)),"")</f>
        <v>1042</v>
      </c>
    </row>
    <row r="1309" spans="1:9" x14ac:dyDescent="0.25">
      <c r="A1309" t="s">
        <v>2211</v>
      </c>
      <c r="B1309" s="3" t="s">
        <v>250</v>
      </c>
      <c r="C1309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1309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1</v>
      </c>
      <c r="E1309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1309" s="3">
        <f>SUM(TS_ATHLETES[[#This Row],[GOLD MEDALS]:[BRONZE MEDALS]])</f>
        <v>1</v>
      </c>
      <c r="G1309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10000100</v>
      </c>
      <c r="H1309" s="3">
        <f>IF(TS_ATHLETES[[#This Row],[TOTAL]]=0,"",RANK(TS_ATHLETES[[#This Row],[RANK VALUE]],TS_ATHLETES[RANK VALUE]))</f>
        <v>660</v>
      </c>
      <c r="I1309" s="3">
        <f>IFERROR(IF(TS_ATHLETES[[#This Row],[TOTAL]]=0,"",RANK(TS_ATHLETES[[#This Row],[RANK VALUE]],TS_ATHLETES[RANK VALUE])+COUNTIF($H$1:H1308,H1309)),"")</f>
        <v>1043</v>
      </c>
    </row>
    <row r="1310" spans="1:9" x14ac:dyDescent="0.25">
      <c r="A1310" t="s">
        <v>2212</v>
      </c>
      <c r="B1310" s="3" t="s">
        <v>250</v>
      </c>
      <c r="C1310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1310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1</v>
      </c>
      <c r="E1310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1310" s="3">
        <f>SUM(TS_ATHLETES[[#This Row],[GOLD MEDALS]:[BRONZE MEDALS]])</f>
        <v>1</v>
      </c>
      <c r="G1310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10000100</v>
      </c>
      <c r="H1310" s="3">
        <f>IF(TS_ATHLETES[[#This Row],[TOTAL]]=0,"",RANK(TS_ATHLETES[[#This Row],[RANK VALUE]],TS_ATHLETES[RANK VALUE]))</f>
        <v>660</v>
      </c>
      <c r="I1310" s="3">
        <f>IFERROR(IF(TS_ATHLETES[[#This Row],[TOTAL]]=0,"",RANK(TS_ATHLETES[[#This Row],[RANK VALUE]],TS_ATHLETES[RANK VALUE])+COUNTIF($H$1:H1309,H1310)),"")</f>
        <v>1044</v>
      </c>
    </row>
    <row r="1311" spans="1:9" x14ac:dyDescent="0.25">
      <c r="A1311" t="s">
        <v>2213</v>
      </c>
      <c r="B1311" s="3" t="s">
        <v>250</v>
      </c>
      <c r="C1311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1311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1</v>
      </c>
      <c r="E1311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1311" s="3">
        <f>SUM(TS_ATHLETES[[#This Row],[GOLD MEDALS]:[BRONZE MEDALS]])</f>
        <v>1</v>
      </c>
      <c r="G1311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10000100</v>
      </c>
      <c r="H1311" s="3">
        <f>IF(TS_ATHLETES[[#This Row],[TOTAL]]=0,"",RANK(TS_ATHLETES[[#This Row],[RANK VALUE]],TS_ATHLETES[RANK VALUE]))</f>
        <v>660</v>
      </c>
      <c r="I1311" s="3">
        <f>IFERROR(IF(TS_ATHLETES[[#This Row],[TOTAL]]=0,"",RANK(TS_ATHLETES[[#This Row],[RANK VALUE]],TS_ATHLETES[RANK VALUE])+COUNTIF($H$1:H1310,H1311)),"")</f>
        <v>1045</v>
      </c>
    </row>
    <row r="1312" spans="1:9" x14ac:dyDescent="0.25">
      <c r="A1312" t="s">
        <v>2214</v>
      </c>
      <c r="B1312" s="3" t="s">
        <v>250</v>
      </c>
      <c r="C1312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1312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1</v>
      </c>
      <c r="E1312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1312" s="3">
        <f>SUM(TS_ATHLETES[[#This Row],[GOLD MEDALS]:[BRONZE MEDALS]])</f>
        <v>1</v>
      </c>
      <c r="G1312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10000100</v>
      </c>
      <c r="H1312" s="3">
        <f>IF(TS_ATHLETES[[#This Row],[TOTAL]]=0,"",RANK(TS_ATHLETES[[#This Row],[RANK VALUE]],TS_ATHLETES[RANK VALUE]))</f>
        <v>660</v>
      </c>
      <c r="I1312" s="3">
        <f>IFERROR(IF(TS_ATHLETES[[#This Row],[TOTAL]]=0,"",RANK(TS_ATHLETES[[#This Row],[RANK VALUE]],TS_ATHLETES[RANK VALUE])+COUNTIF($H$1:H1311,H1312)),"")</f>
        <v>1046</v>
      </c>
    </row>
    <row r="1313" spans="1:9" x14ac:dyDescent="0.25">
      <c r="A1313" t="s">
        <v>2215</v>
      </c>
      <c r="B1313" s="3" t="s">
        <v>250</v>
      </c>
      <c r="C1313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1313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1</v>
      </c>
      <c r="E1313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1313" s="3">
        <f>SUM(TS_ATHLETES[[#This Row],[GOLD MEDALS]:[BRONZE MEDALS]])</f>
        <v>1</v>
      </c>
      <c r="G1313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10000100</v>
      </c>
      <c r="H1313" s="3">
        <f>IF(TS_ATHLETES[[#This Row],[TOTAL]]=0,"",RANK(TS_ATHLETES[[#This Row],[RANK VALUE]],TS_ATHLETES[RANK VALUE]))</f>
        <v>660</v>
      </c>
      <c r="I1313" s="3">
        <f>IFERROR(IF(TS_ATHLETES[[#This Row],[TOTAL]]=0,"",RANK(TS_ATHLETES[[#This Row],[RANK VALUE]],TS_ATHLETES[RANK VALUE])+COUNTIF($H$1:H1312,H1313)),"")</f>
        <v>1047</v>
      </c>
    </row>
    <row r="1314" spans="1:9" x14ac:dyDescent="0.25">
      <c r="A1314" t="s">
        <v>2216</v>
      </c>
      <c r="B1314" s="3" t="s">
        <v>250</v>
      </c>
      <c r="C1314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1314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1</v>
      </c>
      <c r="E1314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1314" s="3">
        <f>SUM(TS_ATHLETES[[#This Row],[GOLD MEDALS]:[BRONZE MEDALS]])</f>
        <v>1</v>
      </c>
      <c r="G1314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10000100</v>
      </c>
      <c r="H1314" s="3">
        <f>IF(TS_ATHLETES[[#This Row],[TOTAL]]=0,"",RANK(TS_ATHLETES[[#This Row],[RANK VALUE]],TS_ATHLETES[RANK VALUE]))</f>
        <v>660</v>
      </c>
      <c r="I1314" s="3">
        <f>IFERROR(IF(TS_ATHLETES[[#This Row],[TOTAL]]=0,"",RANK(TS_ATHLETES[[#This Row],[RANK VALUE]],TS_ATHLETES[RANK VALUE])+COUNTIF($H$1:H1313,H1314)),"")</f>
        <v>1048</v>
      </c>
    </row>
    <row r="1315" spans="1:9" x14ac:dyDescent="0.25">
      <c r="A1315" t="s">
        <v>2217</v>
      </c>
      <c r="B1315" s="3" t="s">
        <v>250</v>
      </c>
      <c r="C1315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1315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1</v>
      </c>
      <c r="E1315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1315" s="3">
        <f>SUM(TS_ATHLETES[[#This Row],[GOLD MEDALS]:[BRONZE MEDALS]])</f>
        <v>1</v>
      </c>
      <c r="G1315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10000100</v>
      </c>
      <c r="H1315" s="3">
        <f>IF(TS_ATHLETES[[#This Row],[TOTAL]]=0,"",RANK(TS_ATHLETES[[#This Row],[RANK VALUE]],TS_ATHLETES[RANK VALUE]))</f>
        <v>660</v>
      </c>
      <c r="I1315" s="3">
        <f>IFERROR(IF(TS_ATHLETES[[#This Row],[TOTAL]]=0,"",RANK(TS_ATHLETES[[#This Row],[RANK VALUE]],TS_ATHLETES[RANK VALUE])+COUNTIF($H$1:H1314,H1315)),"")</f>
        <v>1049</v>
      </c>
    </row>
    <row r="1316" spans="1:9" x14ac:dyDescent="0.25">
      <c r="A1316" t="s">
        <v>2218</v>
      </c>
      <c r="B1316" s="3" t="s">
        <v>250</v>
      </c>
      <c r="C1316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1316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1</v>
      </c>
      <c r="E1316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1316" s="3">
        <f>SUM(TS_ATHLETES[[#This Row],[GOLD MEDALS]:[BRONZE MEDALS]])</f>
        <v>1</v>
      </c>
      <c r="G1316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10000100</v>
      </c>
      <c r="H1316" s="3">
        <f>IF(TS_ATHLETES[[#This Row],[TOTAL]]=0,"",RANK(TS_ATHLETES[[#This Row],[RANK VALUE]],TS_ATHLETES[RANK VALUE]))</f>
        <v>660</v>
      </c>
      <c r="I1316" s="3">
        <f>IFERROR(IF(TS_ATHLETES[[#This Row],[TOTAL]]=0,"",RANK(TS_ATHLETES[[#This Row],[RANK VALUE]],TS_ATHLETES[RANK VALUE])+COUNTIF($H$1:H1315,H1316)),"")</f>
        <v>1050</v>
      </c>
    </row>
    <row r="1317" spans="1:9" x14ac:dyDescent="0.25">
      <c r="A1317" t="s">
        <v>2219</v>
      </c>
      <c r="B1317" s="3" t="s">
        <v>250</v>
      </c>
      <c r="C1317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1317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1</v>
      </c>
      <c r="E1317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1317" s="3">
        <f>SUM(TS_ATHLETES[[#This Row],[GOLD MEDALS]:[BRONZE MEDALS]])</f>
        <v>1</v>
      </c>
      <c r="G1317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10000100</v>
      </c>
      <c r="H1317" s="3">
        <f>IF(TS_ATHLETES[[#This Row],[TOTAL]]=0,"",RANK(TS_ATHLETES[[#This Row],[RANK VALUE]],TS_ATHLETES[RANK VALUE]))</f>
        <v>660</v>
      </c>
      <c r="I1317" s="3">
        <f>IFERROR(IF(TS_ATHLETES[[#This Row],[TOTAL]]=0,"",RANK(TS_ATHLETES[[#This Row],[RANK VALUE]],TS_ATHLETES[RANK VALUE])+COUNTIF($H$1:H1316,H1317)),"")</f>
        <v>1051</v>
      </c>
    </row>
    <row r="1318" spans="1:9" x14ac:dyDescent="0.25">
      <c r="A1318" t="s">
        <v>2220</v>
      </c>
      <c r="B1318" s="3" t="s">
        <v>250</v>
      </c>
      <c r="C1318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1318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1</v>
      </c>
      <c r="E1318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1318" s="3">
        <f>SUM(TS_ATHLETES[[#This Row],[GOLD MEDALS]:[BRONZE MEDALS]])</f>
        <v>1</v>
      </c>
      <c r="G1318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10000100</v>
      </c>
      <c r="H1318" s="3">
        <f>IF(TS_ATHLETES[[#This Row],[TOTAL]]=0,"",RANK(TS_ATHLETES[[#This Row],[RANK VALUE]],TS_ATHLETES[RANK VALUE]))</f>
        <v>660</v>
      </c>
      <c r="I1318" s="3">
        <f>IFERROR(IF(TS_ATHLETES[[#This Row],[TOTAL]]=0,"",RANK(TS_ATHLETES[[#This Row],[RANK VALUE]],TS_ATHLETES[RANK VALUE])+COUNTIF($H$1:H1317,H1318)),"")</f>
        <v>1052</v>
      </c>
    </row>
    <row r="1319" spans="1:9" x14ac:dyDescent="0.25">
      <c r="A1319" t="s">
        <v>2221</v>
      </c>
      <c r="B1319" s="3" t="s">
        <v>250</v>
      </c>
      <c r="C1319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1319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1</v>
      </c>
      <c r="E1319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1319" s="3">
        <f>SUM(TS_ATHLETES[[#This Row],[GOLD MEDALS]:[BRONZE MEDALS]])</f>
        <v>1</v>
      </c>
      <c r="G1319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10000100</v>
      </c>
      <c r="H1319" s="3">
        <f>IF(TS_ATHLETES[[#This Row],[TOTAL]]=0,"",RANK(TS_ATHLETES[[#This Row],[RANK VALUE]],TS_ATHLETES[RANK VALUE]))</f>
        <v>660</v>
      </c>
      <c r="I1319" s="3">
        <f>IFERROR(IF(TS_ATHLETES[[#This Row],[TOTAL]]=0,"",RANK(TS_ATHLETES[[#This Row],[RANK VALUE]],TS_ATHLETES[RANK VALUE])+COUNTIF($H$1:H1318,H1319)),"")</f>
        <v>1053</v>
      </c>
    </row>
    <row r="1320" spans="1:9" x14ac:dyDescent="0.25">
      <c r="A1320" t="s">
        <v>2222</v>
      </c>
      <c r="B1320" s="3" t="s">
        <v>136</v>
      </c>
      <c r="C1320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1320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1320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1</v>
      </c>
      <c r="F1320" s="3">
        <f>SUM(TS_ATHLETES[[#This Row],[GOLD MEDALS]:[BRONZE MEDALS]])</f>
        <v>1</v>
      </c>
      <c r="G1320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10000010</v>
      </c>
      <c r="H1320" s="3">
        <f>IF(TS_ATHLETES[[#This Row],[TOTAL]]=0,"",RANK(TS_ATHLETES[[#This Row],[RANK VALUE]],TS_ATHLETES[RANK VALUE]))</f>
        <v>1224</v>
      </c>
      <c r="I1320" s="3">
        <f>IFERROR(IF(TS_ATHLETES[[#This Row],[TOTAL]]=0,"",RANK(TS_ATHLETES[[#This Row],[RANK VALUE]],TS_ATHLETES[RANK VALUE])+COUNTIF($H$1:H1319,H1320)),"")</f>
        <v>1671</v>
      </c>
    </row>
    <row r="1321" spans="1:9" x14ac:dyDescent="0.25">
      <c r="A1321" t="s">
        <v>2223</v>
      </c>
      <c r="B1321" s="3" t="s">
        <v>136</v>
      </c>
      <c r="C1321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1321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1321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1</v>
      </c>
      <c r="F1321" s="3">
        <f>SUM(TS_ATHLETES[[#This Row],[GOLD MEDALS]:[BRONZE MEDALS]])</f>
        <v>1</v>
      </c>
      <c r="G1321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10000010</v>
      </c>
      <c r="H1321" s="3">
        <f>IF(TS_ATHLETES[[#This Row],[TOTAL]]=0,"",RANK(TS_ATHLETES[[#This Row],[RANK VALUE]],TS_ATHLETES[RANK VALUE]))</f>
        <v>1224</v>
      </c>
      <c r="I1321" s="3">
        <f>IFERROR(IF(TS_ATHLETES[[#This Row],[TOTAL]]=0,"",RANK(TS_ATHLETES[[#This Row],[RANK VALUE]],TS_ATHLETES[RANK VALUE])+COUNTIF($H$1:H1320,H1321)),"")</f>
        <v>1672</v>
      </c>
    </row>
    <row r="1322" spans="1:9" x14ac:dyDescent="0.25">
      <c r="A1322" t="s">
        <v>2224</v>
      </c>
      <c r="B1322" s="3" t="s">
        <v>136</v>
      </c>
      <c r="C1322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1322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1322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1</v>
      </c>
      <c r="F1322" s="3">
        <f>SUM(TS_ATHLETES[[#This Row],[GOLD MEDALS]:[BRONZE MEDALS]])</f>
        <v>1</v>
      </c>
      <c r="G1322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10000010</v>
      </c>
      <c r="H1322" s="3">
        <f>IF(TS_ATHLETES[[#This Row],[TOTAL]]=0,"",RANK(TS_ATHLETES[[#This Row],[RANK VALUE]],TS_ATHLETES[RANK VALUE]))</f>
        <v>1224</v>
      </c>
      <c r="I1322" s="3">
        <f>IFERROR(IF(TS_ATHLETES[[#This Row],[TOTAL]]=0,"",RANK(TS_ATHLETES[[#This Row],[RANK VALUE]],TS_ATHLETES[RANK VALUE])+COUNTIF($H$1:H1321,H1322)),"")</f>
        <v>1673</v>
      </c>
    </row>
    <row r="1323" spans="1:9" x14ac:dyDescent="0.25">
      <c r="A1323" t="s">
        <v>2225</v>
      </c>
      <c r="B1323" s="3" t="s">
        <v>136</v>
      </c>
      <c r="C1323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1323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1323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1</v>
      </c>
      <c r="F1323" s="3">
        <f>SUM(TS_ATHLETES[[#This Row],[GOLD MEDALS]:[BRONZE MEDALS]])</f>
        <v>1</v>
      </c>
      <c r="G1323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10000010</v>
      </c>
      <c r="H1323" s="3">
        <f>IF(TS_ATHLETES[[#This Row],[TOTAL]]=0,"",RANK(TS_ATHLETES[[#This Row],[RANK VALUE]],TS_ATHLETES[RANK VALUE]))</f>
        <v>1224</v>
      </c>
      <c r="I1323" s="3">
        <f>IFERROR(IF(TS_ATHLETES[[#This Row],[TOTAL]]=0,"",RANK(TS_ATHLETES[[#This Row],[RANK VALUE]],TS_ATHLETES[RANK VALUE])+COUNTIF($H$1:H1322,H1323)),"")</f>
        <v>1674</v>
      </c>
    </row>
    <row r="1324" spans="1:9" x14ac:dyDescent="0.25">
      <c r="A1324" t="s">
        <v>2226</v>
      </c>
      <c r="B1324" s="3" t="s">
        <v>136</v>
      </c>
      <c r="C1324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1324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1324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1</v>
      </c>
      <c r="F1324" s="3">
        <f>SUM(TS_ATHLETES[[#This Row],[GOLD MEDALS]:[BRONZE MEDALS]])</f>
        <v>1</v>
      </c>
      <c r="G1324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10000010</v>
      </c>
      <c r="H1324" s="3">
        <f>IF(TS_ATHLETES[[#This Row],[TOTAL]]=0,"",RANK(TS_ATHLETES[[#This Row],[RANK VALUE]],TS_ATHLETES[RANK VALUE]))</f>
        <v>1224</v>
      </c>
      <c r="I1324" s="3">
        <f>IFERROR(IF(TS_ATHLETES[[#This Row],[TOTAL]]=0,"",RANK(TS_ATHLETES[[#This Row],[RANK VALUE]],TS_ATHLETES[RANK VALUE])+COUNTIF($H$1:H1323,H1324)),"")</f>
        <v>1675</v>
      </c>
    </row>
    <row r="1325" spans="1:9" x14ac:dyDescent="0.25">
      <c r="A1325" t="s">
        <v>2227</v>
      </c>
      <c r="B1325" s="3" t="s">
        <v>136</v>
      </c>
      <c r="C1325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1325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1325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1</v>
      </c>
      <c r="F1325" s="3">
        <f>SUM(TS_ATHLETES[[#This Row],[GOLD MEDALS]:[BRONZE MEDALS]])</f>
        <v>1</v>
      </c>
      <c r="G1325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10000010</v>
      </c>
      <c r="H1325" s="3">
        <f>IF(TS_ATHLETES[[#This Row],[TOTAL]]=0,"",RANK(TS_ATHLETES[[#This Row],[RANK VALUE]],TS_ATHLETES[RANK VALUE]))</f>
        <v>1224</v>
      </c>
      <c r="I1325" s="3">
        <f>IFERROR(IF(TS_ATHLETES[[#This Row],[TOTAL]]=0,"",RANK(TS_ATHLETES[[#This Row],[RANK VALUE]],TS_ATHLETES[RANK VALUE])+COUNTIF($H$1:H1324,H1325)),"")</f>
        <v>1676</v>
      </c>
    </row>
    <row r="1326" spans="1:9" x14ac:dyDescent="0.25">
      <c r="A1326" t="s">
        <v>2228</v>
      </c>
      <c r="B1326" s="3" t="s">
        <v>136</v>
      </c>
      <c r="C1326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1326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1326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1</v>
      </c>
      <c r="F1326" s="3">
        <f>SUM(TS_ATHLETES[[#This Row],[GOLD MEDALS]:[BRONZE MEDALS]])</f>
        <v>1</v>
      </c>
      <c r="G1326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10000010</v>
      </c>
      <c r="H1326" s="3">
        <f>IF(TS_ATHLETES[[#This Row],[TOTAL]]=0,"",RANK(TS_ATHLETES[[#This Row],[RANK VALUE]],TS_ATHLETES[RANK VALUE]))</f>
        <v>1224</v>
      </c>
      <c r="I1326" s="3">
        <f>IFERROR(IF(TS_ATHLETES[[#This Row],[TOTAL]]=0,"",RANK(TS_ATHLETES[[#This Row],[RANK VALUE]],TS_ATHLETES[RANK VALUE])+COUNTIF($H$1:H1325,H1326)),"")</f>
        <v>1677</v>
      </c>
    </row>
    <row r="1327" spans="1:9" x14ac:dyDescent="0.25">
      <c r="A1327" t="s">
        <v>2229</v>
      </c>
      <c r="B1327" s="3" t="s">
        <v>136</v>
      </c>
      <c r="C1327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1327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1327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1</v>
      </c>
      <c r="F1327" s="3">
        <f>SUM(TS_ATHLETES[[#This Row],[GOLD MEDALS]:[BRONZE MEDALS]])</f>
        <v>1</v>
      </c>
      <c r="G1327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10000010</v>
      </c>
      <c r="H1327" s="3">
        <f>IF(TS_ATHLETES[[#This Row],[TOTAL]]=0,"",RANK(TS_ATHLETES[[#This Row],[RANK VALUE]],TS_ATHLETES[RANK VALUE]))</f>
        <v>1224</v>
      </c>
      <c r="I1327" s="3">
        <f>IFERROR(IF(TS_ATHLETES[[#This Row],[TOTAL]]=0,"",RANK(TS_ATHLETES[[#This Row],[RANK VALUE]],TS_ATHLETES[RANK VALUE])+COUNTIF($H$1:H1326,H1327)),"")</f>
        <v>1678</v>
      </c>
    </row>
    <row r="1328" spans="1:9" x14ac:dyDescent="0.25">
      <c r="A1328" t="s">
        <v>2230</v>
      </c>
      <c r="B1328" s="3" t="s">
        <v>136</v>
      </c>
      <c r="C1328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1328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1328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1</v>
      </c>
      <c r="F1328" s="3">
        <f>SUM(TS_ATHLETES[[#This Row],[GOLD MEDALS]:[BRONZE MEDALS]])</f>
        <v>1</v>
      </c>
      <c r="G1328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10000010</v>
      </c>
      <c r="H1328" s="3">
        <f>IF(TS_ATHLETES[[#This Row],[TOTAL]]=0,"",RANK(TS_ATHLETES[[#This Row],[RANK VALUE]],TS_ATHLETES[RANK VALUE]))</f>
        <v>1224</v>
      </c>
      <c r="I1328" s="3">
        <f>IFERROR(IF(TS_ATHLETES[[#This Row],[TOTAL]]=0,"",RANK(TS_ATHLETES[[#This Row],[RANK VALUE]],TS_ATHLETES[RANK VALUE])+COUNTIF($H$1:H1327,H1328)),"")</f>
        <v>1679</v>
      </c>
    </row>
    <row r="1329" spans="1:9" x14ac:dyDescent="0.25">
      <c r="A1329" t="s">
        <v>2231</v>
      </c>
      <c r="B1329" s="3" t="s">
        <v>136</v>
      </c>
      <c r="C1329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1329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1329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1</v>
      </c>
      <c r="F1329" s="3">
        <f>SUM(TS_ATHLETES[[#This Row],[GOLD MEDALS]:[BRONZE MEDALS]])</f>
        <v>1</v>
      </c>
      <c r="G1329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10000010</v>
      </c>
      <c r="H1329" s="3">
        <f>IF(TS_ATHLETES[[#This Row],[TOTAL]]=0,"",RANK(TS_ATHLETES[[#This Row],[RANK VALUE]],TS_ATHLETES[RANK VALUE]))</f>
        <v>1224</v>
      </c>
      <c r="I1329" s="3">
        <f>IFERROR(IF(TS_ATHLETES[[#This Row],[TOTAL]]=0,"",RANK(TS_ATHLETES[[#This Row],[RANK VALUE]],TS_ATHLETES[RANK VALUE])+COUNTIF($H$1:H1328,H1329)),"")</f>
        <v>1680</v>
      </c>
    </row>
    <row r="1330" spans="1:9" x14ac:dyDescent="0.25">
      <c r="A1330" t="s">
        <v>2232</v>
      </c>
      <c r="B1330" s="3" t="s">
        <v>136</v>
      </c>
      <c r="C1330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1330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1330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1</v>
      </c>
      <c r="F1330" s="3">
        <f>SUM(TS_ATHLETES[[#This Row],[GOLD MEDALS]:[BRONZE MEDALS]])</f>
        <v>1</v>
      </c>
      <c r="G1330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10000010</v>
      </c>
      <c r="H1330" s="3">
        <f>IF(TS_ATHLETES[[#This Row],[TOTAL]]=0,"",RANK(TS_ATHLETES[[#This Row],[RANK VALUE]],TS_ATHLETES[RANK VALUE]))</f>
        <v>1224</v>
      </c>
      <c r="I1330" s="3">
        <f>IFERROR(IF(TS_ATHLETES[[#This Row],[TOTAL]]=0,"",RANK(TS_ATHLETES[[#This Row],[RANK VALUE]],TS_ATHLETES[RANK VALUE])+COUNTIF($H$1:H1329,H1330)),"")</f>
        <v>1681</v>
      </c>
    </row>
    <row r="1331" spans="1:9" x14ac:dyDescent="0.25">
      <c r="A1331" t="s">
        <v>2233</v>
      </c>
      <c r="B1331" s="3" t="s">
        <v>136</v>
      </c>
      <c r="C1331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1331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1331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1</v>
      </c>
      <c r="F1331" s="3">
        <f>SUM(TS_ATHLETES[[#This Row],[GOLD MEDALS]:[BRONZE MEDALS]])</f>
        <v>1</v>
      </c>
      <c r="G1331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10000010</v>
      </c>
      <c r="H1331" s="3">
        <f>IF(TS_ATHLETES[[#This Row],[TOTAL]]=0,"",RANK(TS_ATHLETES[[#This Row],[RANK VALUE]],TS_ATHLETES[RANK VALUE]))</f>
        <v>1224</v>
      </c>
      <c r="I1331" s="3">
        <f>IFERROR(IF(TS_ATHLETES[[#This Row],[TOTAL]]=0,"",RANK(TS_ATHLETES[[#This Row],[RANK VALUE]],TS_ATHLETES[RANK VALUE])+COUNTIF($H$1:H1330,H1331)),"")</f>
        <v>1682</v>
      </c>
    </row>
    <row r="1332" spans="1:9" x14ac:dyDescent="0.25">
      <c r="A1332" t="s">
        <v>2234</v>
      </c>
      <c r="B1332" s="3" t="s">
        <v>136</v>
      </c>
      <c r="C1332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1332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1332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1</v>
      </c>
      <c r="F1332" s="3">
        <f>SUM(TS_ATHLETES[[#This Row],[GOLD MEDALS]:[BRONZE MEDALS]])</f>
        <v>1</v>
      </c>
      <c r="G1332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10000010</v>
      </c>
      <c r="H1332" s="3">
        <f>IF(TS_ATHLETES[[#This Row],[TOTAL]]=0,"",RANK(TS_ATHLETES[[#This Row],[RANK VALUE]],TS_ATHLETES[RANK VALUE]))</f>
        <v>1224</v>
      </c>
      <c r="I1332" s="3">
        <f>IFERROR(IF(TS_ATHLETES[[#This Row],[TOTAL]]=0,"",RANK(TS_ATHLETES[[#This Row],[RANK VALUE]],TS_ATHLETES[RANK VALUE])+COUNTIF($H$1:H1331,H1332)),"")</f>
        <v>1683</v>
      </c>
    </row>
    <row r="1333" spans="1:9" x14ac:dyDescent="0.25">
      <c r="A1333" t="s">
        <v>2235</v>
      </c>
      <c r="B1333" s="3" t="s">
        <v>136</v>
      </c>
      <c r="C1333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1333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1333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1</v>
      </c>
      <c r="F1333" s="3">
        <f>SUM(TS_ATHLETES[[#This Row],[GOLD MEDALS]:[BRONZE MEDALS]])</f>
        <v>1</v>
      </c>
      <c r="G1333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10000010</v>
      </c>
      <c r="H1333" s="3">
        <f>IF(TS_ATHLETES[[#This Row],[TOTAL]]=0,"",RANK(TS_ATHLETES[[#This Row],[RANK VALUE]],TS_ATHLETES[RANK VALUE]))</f>
        <v>1224</v>
      </c>
      <c r="I1333" s="3">
        <f>IFERROR(IF(TS_ATHLETES[[#This Row],[TOTAL]]=0,"",RANK(TS_ATHLETES[[#This Row],[RANK VALUE]],TS_ATHLETES[RANK VALUE])+COUNTIF($H$1:H1332,H1333)),"")</f>
        <v>1684</v>
      </c>
    </row>
    <row r="1334" spans="1:9" x14ac:dyDescent="0.25">
      <c r="A1334" t="s">
        <v>2236</v>
      </c>
      <c r="B1334" s="3" t="s">
        <v>136</v>
      </c>
      <c r="C1334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1334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1334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1</v>
      </c>
      <c r="F1334" s="3">
        <f>SUM(TS_ATHLETES[[#This Row],[GOLD MEDALS]:[BRONZE MEDALS]])</f>
        <v>1</v>
      </c>
      <c r="G1334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10000010</v>
      </c>
      <c r="H1334" s="3">
        <f>IF(TS_ATHLETES[[#This Row],[TOTAL]]=0,"",RANK(TS_ATHLETES[[#This Row],[RANK VALUE]],TS_ATHLETES[RANK VALUE]))</f>
        <v>1224</v>
      </c>
      <c r="I1334" s="3">
        <f>IFERROR(IF(TS_ATHLETES[[#This Row],[TOTAL]]=0,"",RANK(TS_ATHLETES[[#This Row],[RANK VALUE]],TS_ATHLETES[RANK VALUE])+COUNTIF($H$1:H1333,H1334)),"")</f>
        <v>1685</v>
      </c>
    </row>
    <row r="1335" spans="1:9" x14ac:dyDescent="0.25">
      <c r="A1335" t="s">
        <v>2237</v>
      </c>
      <c r="B1335" s="3" t="s">
        <v>136</v>
      </c>
      <c r="C1335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1335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1335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1</v>
      </c>
      <c r="F1335" s="3">
        <f>SUM(TS_ATHLETES[[#This Row],[GOLD MEDALS]:[BRONZE MEDALS]])</f>
        <v>1</v>
      </c>
      <c r="G1335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10000010</v>
      </c>
      <c r="H1335" s="3">
        <f>IF(TS_ATHLETES[[#This Row],[TOTAL]]=0,"",RANK(TS_ATHLETES[[#This Row],[RANK VALUE]],TS_ATHLETES[RANK VALUE]))</f>
        <v>1224</v>
      </c>
      <c r="I1335" s="3">
        <f>IFERROR(IF(TS_ATHLETES[[#This Row],[TOTAL]]=0,"",RANK(TS_ATHLETES[[#This Row],[RANK VALUE]],TS_ATHLETES[RANK VALUE])+COUNTIF($H$1:H1334,H1335)),"")</f>
        <v>1686</v>
      </c>
    </row>
    <row r="1336" spans="1:9" x14ac:dyDescent="0.25">
      <c r="A1336" t="s">
        <v>2238</v>
      </c>
      <c r="B1336" s="3" t="s">
        <v>136</v>
      </c>
      <c r="C1336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1336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1336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1</v>
      </c>
      <c r="F1336" s="3">
        <f>SUM(TS_ATHLETES[[#This Row],[GOLD MEDALS]:[BRONZE MEDALS]])</f>
        <v>1</v>
      </c>
      <c r="G1336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10000010</v>
      </c>
      <c r="H1336" s="3">
        <f>IF(TS_ATHLETES[[#This Row],[TOTAL]]=0,"",RANK(TS_ATHLETES[[#This Row],[RANK VALUE]],TS_ATHLETES[RANK VALUE]))</f>
        <v>1224</v>
      </c>
      <c r="I1336" s="3">
        <f>IFERROR(IF(TS_ATHLETES[[#This Row],[TOTAL]]=0,"",RANK(TS_ATHLETES[[#This Row],[RANK VALUE]],TS_ATHLETES[RANK VALUE])+COUNTIF($H$1:H1335,H1336)),"")</f>
        <v>1687</v>
      </c>
    </row>
    <row r="1337" spans="1:9" x14ac:dyDescent="0.25">
      <c r="A1337" t="s">
        <v>2239</v>
      </c>
      <c r="B1337" s="3" t="s">
        <v>287</v>
      </c>
      <c r="C1337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1</v>
      </c>
      <c r="D1337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1337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1337" s="3">
        <f>SUM(TS_ATHLETES[[#This Row],[GOLD MEDALS]:[BRONZE MEDALS]])</f>
        <v>1</v>
      </c>
      <c r="G1337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10100000</v>
      </c>
      <c r="H1337" s="3">
        <f>IF(TS_ATHLETES[[#This Row],[TOTAL]]=0,"",RANK(TS_ATHLETES[[#This Row],[RANK VALUE]],TS_ATHLETES[RANK VALUE]))</f>
        <v>129</v>
      </c>
      <c r="I1337" s="3">
        <f>IFERROR(IF(TS_ATHLETES[[#This Row],[TOTAL]]=0,"",RANK(TS_ATHLETES[[#This Row],[RANK VALUE]],TS_ATHLETES[RANK VALUE])+COUNTIF($H$1:H1336,H1337)),"")</f>
        <v>492</v>
      </c>
    </row>
    <row r="1338" spans="1:9" x14ac:dyDescent="0.25">
      <c r="A1338" t="s">
        <v>2240</v>
      </c>
      <c r="B1338" s="3" t="s">
        <v>287</v>
      </c>
      <c r="C1338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1</v>
      </c>
      <c r="D1338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1338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1338" s="3">
        <f>SUM(TS_ATHLETES[[#This Row],[GOLD MEDALS]:[BRONZE MEDALS]])</f>
        <v>1</v>
      </c>
      <c r="G1338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10100000</v>
      </c>
      <c r="H1338" s="3">
        <f>IF(TS_ATHLETES[[#This Row],[TOTAL]]=0,"",RANK(TS_ATHLETES[[#This Row],[RANK VALUE]],TS_ATHLETES[RANK VALUE]))</f>
        <v>129</v>
      </c>
      <c r="I1338" s="3">
        <f>IFERROR(IF(TS_ATHLETES[[#This Row],[TOTAL]]=0,"",RANK(TS_ATHLETES[[#This Row],[RANK VALUE]],TS_ATHLETES[RANK VALUE])+COUNTIF($H$1:H1337,H1338)),"")</f>
        <v>493</v>
      </c>
    </row>
    <row r="1339" spans="1:9" x14ac:dyDescent="0.25">
      <c r="A1339" t="s">
        <v>2241</v>
      </c>
      <c r="B1339" s="3" t="s">
        <v>287</v>
      </c>
      <c r="C1339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1</v>
      </c>
      <c r="D1339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1339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1339" s="3">
        <f>SUM(TS_ATHLETES[[#This Row],[GOLD MEDALS]:[BRONZE MEDALS]])</f>
        <v>1</v>
      </c>
      <c r="G1339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10100000</v>
      </c>
      <c r="H1339" s="3">
        <f>IF(TS_ATHLETES[[#This Row],[TOTAL]]=0,"",RANK(TS_ATHLETES[[#This Row],[RANK VALUE]],TS_ATHLETES[RANK VALUE]))</f>
        <v>129</v>
      </c>
      <c r="I1339" s="3">
        <f>IFERROR(IF(TS_ATHLETES[[#This Row],[TOTAL]]=0,"",RANK(TS_ATHLETES[[#This Row],[RANK VALUE]],TS_ATHLETES[RANK VALUE])+COUNTIF($H$1:H1338,H1339)),"")</f>
        <v>494</v>
      </c>
    </row>
    <row r="1340" spans="1:9" x14ac:dyDescent="0.25">
      <c r="A1340" t="s">
        <v>2242</v>
      </c>
      <c r="B1340" s="3" t="s">
        <v>287</v>
      </c>
      <c r="C1340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1</v>
      </c>
      <c r="D1340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1340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1340" s="3">
        <f>SUM(TS_ATHLETES[[#This Row],[GOLD MEDALS]:[BRONZE MEDALS]])</f>
        <v>1</v>
      </c>
      <c r="G1340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10100000</v>
      </c>
      <c r="H1340" s="3">
        <f>IF(TS_ATHLETES[[#This Row],[TOTAL]]=0,"",RANK(TS_ATHLETES[[#This Row],[RANK VALUE]],TS_ATHLETES[RANK VALUE]))</f>
        <v>129</v>
      </c>
      <c r="I1340" s="3">
        <f>IFERROR(IF(TS_ATHLETES[[#This Row],[TOTAL]]=0,"",RANK(TS_ATHLETES[[#This Row],[RANK VALUE]],TS_ATHLETES[RANK VALUE])+COUNTIF($H$1:H1339,H1340)),"")</f>
        <v>495</v>
      </c>
    </row>
    <row r="1341" spans="1:9" x14ac:dyDescent="0.25">
      <c r="A1341" t="s">
        <v>2243</v>
      </c>
      <c r="B1341" s="3" t="s">
        <v>287</v>
      </c>
      <c r="C1341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1</v>
      </c>
      <c r="D1341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1341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1341" s="3">
        <f>SUM(TS_ATHLETES[[#This Row],[GOLD MEDALS]:[BRONZE MEDALS]])</f>
        <v>1</v>
      </c>
      <c r="G1341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10100000</v>
      </c>
      <c r="H1341" s="3">
        <f>IF(TS_ATHLETES[[#This Row],[TOTAL]]=0,"",RANK(TS_ATHLETES[[#This Row],[RANK VALUE]],TS_ATHLETES[RANK VALUE]))</f>
        <v>129</v>
      </c>
      <c r="I1341" s="3">
        <f>IFERROR(IF(TS_ATHLETES[[#This Row],[TOTAL]]=0,"",RANK(TS_ATHLETES[[#This Row],[RANK VALUE]],TS_ATHLETES[RANK VALUE])+COUNTIF($H$1:H1340,H1341)),"")</f>
        <v>496</v>
      </c>
    </row>
    <row r="1342" spans="1:9" x14ac:dyDescent="0.25">
      <c r="A1342" t="s">
        <v>2244</v>
      </c>
      <c r="B1342" s="3" t="s">
        <v>321</v>
      </c>
      <c r="C1342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1342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1</v>
      </c>
      <c r="E1342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1342" s="3">
        <f>SUM(TS_ATHLETES[[#This Row],[GOLD MEDALS]:[BRONZE MEDALS]])</f>
        <v>1</v>
      </c>
      <c r="G1342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10000100</v>
      </c>
      <c r="H1342" s="3">
        <f>IF(TS_ATHLETES[[#This Row],[TOTAL]]=0,"",RANK(TS_ATHLETES[[#This Row],[RANK VALUE]],TS_ATHLETES[RANK VALUE]))</f>
        <v>660</v>
      </c>
      <c r="I1342" s="3">
        <f>IFERROR(IF(TS_ATHLETES[[#This Row],[TOTAL]]=0,"",RANK(TS_ATHLETES[[#This Row],[RANK VALUE]],TS_ATHLETES[RANK VALUE])+COUNTIF($H$1:H1341,H1342)),"")</f>
        <v>1054</v>
      </c>
    </row>
    <row r="1343" spans="1:9" x14ac:dyDescent="0.25">
      <c r="A1343" t="s">
        <v>2245</v>
      </c>
      <c r="B1343" s="3" t="s">
        <v>321</v>
      </c>
      <c r="C1343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1343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1</v>
      </c>
      <c r="E1343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1343" s="3">
        <f>SUM(TS_ATHLETES[[#This Row],[GOLD MEDALS]:[BRONZE MEDALS]])</f>
        <v>1</v>
      </c>
      <c r="G1343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10000100</v>
      </c>
      <c r="H1343" s="3">
        <f>IF(TS_ATHLETES[[#This Row],[TOTAL]]=0,"",RANK(TS_ATHLETES[[#This Row],[RANK VALUE]],TS_ATHLETES[RANK VALUE]))</f>
        <v>660</v>
      </c>
      <c r="I1343" s="3">
        <f>IFERROR(IF(TS_ATHLETES[[#This Row],[TOTAL]]=0,"",RANK(TS_ATHLETES[[#This Row],[RANK VALUE]],TS_ATHLETES[RANK VALUE])+COUNTIF($H$1:H1342,H1343)),"")</f>
        <v>1055</v>
      </c>
    </row>
    <row r="1344" spans="1:9" x14ac:dyDescent="0.25">
      <c r="A1344" t="s">
        <v>2246</v>
      </c>
      <c r="B1344" s="3" t="s">
        <v>321</v>
      </c>
      <c r="C1344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1344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1</v>
      </c>
      <c r="E1344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1344" s="3">
        <f>SUM(TS_ATHLETES[[#This Row],[GOLD MEDALS]:[BRONZE MEDALS]])</f>
        <v>1</v>
      </c>
      <c r="G1344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10000100</v>
      </c>
      <c r="H1344" s="3">
        <f>IF(TS_ATHLETES[[#This Row],[TOTAL]]=0,"",RANK(TS_ATHLETES[[#This Row],[RANK VALUE]],TS_ATHLETES[RANK VALUE]))</f>
        <v>660</v>
      </c>
      <c r="I1344" s="3">
        <f>IFERROR(IF(TS_ATHLETES[[#This Row],[TOTAL]]=0,"",RANK(TS_ATHLETES[[#This Row],[RANK VALUE]],TS_ATHLETES[RANK VALUE])+COUNTIF($H$1:H1343,H1344)),"")</f>
        <v>1056</v>
      </c>
    </row>
    <row r="1345" spans="1:9" x14ac:dyDescent="0.25">
      <c r="A1345" t="s">
        <v>2247</v>
      </c>
      <c r="B1345" s="3" t="s">
        <v>321</v>
      </c>
      <c r="C1345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1345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1</v>
      </c>
      <c r="E1345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1345" s="3">
        <f>SUM(TS_ATHLETES[[#This Row],[GOLD MEDALS]:[BRONZE MEDALS]])</f>
        <v>1</v>
      </c>
      <c r="G1345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10000100</v>
      </c>
      <c r="H1345" s="3">
        <f>IF(TS_ATHLETES[[#This Row],[TOTAL]]=0,"",RANK(TS_ATHLETES[[#This Row],[RANK VALUE]],TS_ATHLETES[RANK VALUE]))</f>
        <v>660</v>
      </c>
      <c r="I1345" s="3">
        <f>IFERROR(IF(TS_ATHLETES[[#This Row],[TOTAL]]=0,"",RANK(TS_ATHLETES[[#This Row],[RANK VALUE]],TS_ATHLETES[RANK VALUE])+COUNTIF($H$1:H1344,H1345)),"")</f>
        <v>1057</v>
      </c>
    </row>
    <row r="1346" spans="1:9" x14ac:dyDescent="0.25">
      <c r="A1346" t="s">
        <v>2248</v>
      </c>
      <c r="B1346" s="3" t="s">
        <v>321</v>
      </c>
      <c r="C1346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1346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1</v>
      </c>
      <c r="E1346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1346" s="3">
        <f>SUM(TS_ATHLETES[[#This Row],[GOLD MEDALS]:[BRONZE MEDALS]])</f>
        <v>1</v>
      </c>
      <c r="G1346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10000100</v>
      </c>
      <c r="H1346" s="3">
        <f>IF(TS_ATHLETES[[#This Row],[TOTAL]]=0,"",RANK(TS_ATHLETES[[#This Row],[RANK VALUE]],TS_ATHLETES[RANK VALUE]))</f>
        <v>660</v>
      </c>
      <c r="I1346" s="3">
        <f>IFERROR(IF(TS_ATHLETES[[#This Row],[TOTAL]]=0,"",RANK(TS_ATHLETES[[#This Row],[RANK VALUE]],TS_ATHLETES[RANK VALUE])+COUNTIF($H$1:H1345,H1346)),"")</f>
        <v>1058</v>
      </c>
    </row>
    <row r="1347" spans="1:9" x14ac:dyDescent="0.25">
      <c r="A1347" t="s">
        <v>2249</v>
      </c>
      <c r="B1347" s="3" t="s">
        <v>56</v>
      </c>
      <c r="C1347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1347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1347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1</v>
      </c>
      <c r="F1347" s="3">
        <f>SUM(TS_ATHLETES[[#This Row],[GOLD MEDALS]:[BRONZE MEDALS]])</f>
        <v>1</v>
      </c>
      <c r="G1347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10000010</v>
      </c>
      <c r="H1347" s="3">
        <f>IF(TS_ATHLETES[[#This Row],[TOTAL]]=0,"",RANK(TS_ATHLETES[[#This Row],[RANK VALUE]],TS_ATHLETES[RANK VALUE]))</f>
        <v>1224</v>
      </c>
      <c r="I1347" s="3">
        <f>IFERROR(IF(TS_ATHLETES[[#This Row],[TOTAL]]=0,"",RANK(TS_ATHLETES[[#This Row],[RANK VALUE]],TS_ATHLETES[RANK VALUE])+COUNTIF($H$1:H1346,H1347)),"")</f>
        <v>1688</v>
      </c>
    </row>
    <row r="1348" spans="1:9" x14ac:dyDescent="0.25">
      <c r="A1348" t="s">
        <v>2250</v>
      </c>
      <c r="B1348" s="3" t="s">
        <v>56</v>
      </c>
      <c r="C1348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1348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1348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1</v>
      </c>
      <c r="F1348" s="3">
        <f>SUM(TS_ATHLETES[[#This Row],[GOLD MEDALS]:[BRONZE MEDALS]])</f>
        <v>1</v>
      </c>
      <c r="G1348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10000010</v>
      </c>
      <c r="H1348" s="3">
        <f>IF(TS_ATHLETES[[#This Row],[TOTAL]]=0,"",RANK(TS_ATHLETES[[#This Row],[RANK VALUE]],TS_ATHLETES[RANK VALUE]))</f>
        <v>1224</v>
      </c>
      <c r="I1348" s="3">
        <f>IFERROR(IF(TS_ATHLETES[[#This Row],[TOTAL]]=0,"",RANK(TS_ATHLETES[[#This Row],[RANK VALUE]],TS_ATHLETES[RANK VALUE])+COUNTIF($H$1:H1347,H1348)),"")</f>
        <v>1689</v>
      </c>
    </row>
    <row r="1349" spans="1:9" x14ac:dyDescent="0.25">
      <c r="A1349" t="s">
        <v>2251</v>
      </c>
      <c r="B1349" s="3" t="s">
        <v>56</v>
      </c>
      <c r="C1349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1349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1349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1</v>
      </c>
      <c r="F1349" s="3">
        <f>SUM(TS_ATHLETES[[#This Row],[GOLD MEDALS]:[BRONZE MEDALS]])</f>
        <v>1</v>
      </c>
      <c r="G1349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10000010</v>
      </c>
      <c r="H1349" s="3">
        <f>IF(TS_ATHLETES[[#This Row],[TOTAL]]=0,"",RANK(TS_ATHLETES[[#This Row],[RANK VALUE]],TS_ATHLETES[RANK VALUE]))</f>
        <v>1224</v>
      </c>
      <c r="I1349" s="3">
        <f>IFERROR(IF(TS_ATHLETES[[#This Row],[TOTAL]]=0,"",RANK(TS_ATHLETES[[#This Row],[RANK VALUE]],TS_ATHLETES[RANK VALUE])+COUNTIF($H$1:H1348,H1349)),"")</f>
        <v>1690</v>
      </c>
    </row>
    <row r="1350" spans="1:9" x14ac:dyDescent="0.25">
      <c r="A1350" t="s">
        <v>2252</v>
      </c>
      <c r="B1350" s="3" t="s">
        <v>56</v>
      </c>
      <c r="C1350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1350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1350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1</v>
      </c>
      <c r="F1350" s="3">
        <f>SUM(TS_ATHLETES[[#This Row],[GOLD MEDALS]:[BRONZE MEDALS]])</f>
        <v>1</v>
      </c>
      <c r="G1350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10000010</v>
      </c>
      <c r="H1350" s="3">
        <f>IF(TS_ATHLETES[[#This Row],[TOTAL]]=0,"",RANK(TS_ATHLETES[[#This Row],[RANK VALUE]],TS_ATHLETES[RANK VALUE]))</f>
        <v>1224</v>
      </c>
      <c r="I1350" s="3">
        <f>IFERROR(IF(TS_ATHLETES[[#This Row],[TOTAL]]=0,"",RANK(TS_ATHLETES[[#This Row],[RANK VALUE]],TS_ATHLETES[RANK VALUE])+COUNTIF($H$1:H1349,H1350)),"")</f>
        <v>1691</v>
      </c>
    </row>
    <row r="1351" spans="1:9" x14ac:dyDescent="0.25">
      <c r="A1351" t="s">
        <v>2253</v>
      </c>
      <c r="B1351" s="3" t="s">
        <v>56</v>
      </c>
      <c r="C1351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1351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1351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1</v>
      </c>
      <c r="F1351" s="3">
        <f>SUM(TS_ATHLETES[[#This Row],[GOLD MEDALS]:[BRONZE MEDALS]])</f>
        <v>1</v>
      </c>
      <c r="G1351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10000010</v>
      </c>
      <c r="H1351" s="3">
        <f>IF(TS_ATHLETES[[#This Row],[TOTAL]]=0,"",RANK(TS_ATHLETES[[#This Row],[RANK VALUE]],TS_ATHLETES[RANK VALUE]))</f>
        <v>1224</v>
      </c>
      <c r="I1351" s="3">
        <f>IFERROR(IF(TS_ATHLETES[[#This Row],[TOTAL]]=0,"",RANK(TS_ATHLETES[[#This Row],[RANK VALUE]],TS_ATHLETES[RANK VALUE])+COUNTIF($H$1:H1350,H1351)),"")</f>
        <v>1692</v>
      </c>
    </row>
    <row r="1352" spans="1:9" x14ac:dyDescent="0.25">
      <c r="A1352" t="s">
        <v>2254</v>
      </c>
      <c r="B1352" s="3" t="s">
        <v>361</v>
      </c>
      <c r="C1352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1</v>
      </c>
      <c r="D1352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1352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1352" s="3">
        <f>SUM(TS_ATHLETES[[#This Row],[GOLD MEDALS]:[BRONZE MEDALS]])</f>
        <v>1</v>
      </c>
      <c r="G1352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10100000</v>
      </c>
      <c r="H1352" s="3">
        <f>IF(TS_ATHLETES[[#This Row],[TOTAL]]=0,"",RANK(TS_ATHLETES[[#This Row],[RANK VALUE]],TS_ATHLETES[RANK VALUE]))</f>
        <v>129</v>
      </c>
      <c r="I1352" s="3">
        <f>IFERROR(IF(TS_ATHLETES[[#This Row],[TOTAL]]=0,"",RANK(TS_ATHLETES[[#This Row],[RANK VALUE]],TS_ATHLETES[RANK VALUE])+COUNTIF($H$1:H1351,H1352)),"")</f>
        <v>497</v>
      </c>
    </row>
    <row r="1353" spans="1:9" x14ac:dyDescent="0.25">
      <c r="A1353" t="s">
        <v>2255</v>
      </c>
      <c r="B1353" s="3" t="s">
        <v>361</v>
      </c>
      <c r="C1353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1</v>
      </c>
      <c r="D1353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1353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1353" s="3">
        <f>SUM(TS_ATHLETES[[#This Row],[GOLD MEDALS]:[BRONZE MEDALS]])</f>
        <v>1</v>
      </c>
      <c r="G1353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10100000</v>
      </c>
      <c r="H1353" s="3">
        <f>IF(TS_ATHLETES[[#This Row],[TOTAL]]=0,"",RANK(TS_ATHLETES[[#This Row],[RANK VALUE]],TS_ATHLETES[RANK VALUE]))</f>
        <v>129</v>
      </c>
      <c r="I1353" s="3">
        <f>IFERROR(IF(TS_ATHLETES[[#This Row],[TOTAL]]=0,"",RANK(TS_ATHLETES[[#This Row],[RANK VALUE]],TS_ATHLETES[RANK VALUE])+COUNTIF($H$1:H1352,H1353)),"")</f>
        <v>498</v>
      </c>
    </row>
    <row r="1354" spans="1:9" x14ac:dyDescent="0.25">
      <c r="A1354" t="s">
        <v>2256</v>
      </c>
      <c r="B1354" s="3" t="s">
        <v>253</v>
      </c>
      <c r="C1354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1354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1</v>
      </c>
      <c r="E1354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1354" s="3">
        <f>SUM(TS_ATHLETES[[#This Row],[GOLD MEDALS]:[BRONZE MEDALS]])</f>
        <v>1</v>
      </c>
      <c r="G1354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10000100</v>
      </c>
      <c r="H1354" s="3">
        <f>IF(TS_ATHLETES[[#This Row],[TOTAL]]=0,"",RANK(TS_ATHLETES[[#This Row],[RANK VALUE]],TS_ATHLETES[RANK VALUE]))</f>
        <v>660</v>
      </c>
      <c r="I1354" s="3">
        <f>IFERROR(IF(TS_ATHLETES[[#This Row],[TOTAL]]=0,"",RANK(TS_ATHLETES[[#This Row],[RANK VALUE]],TS_ATHLETES[RANK VALUE])+COUNTIF($H$1:H1353,H1354)),"")</f>
        <v>1059</v>
      </c>
    </row>
    <row r="1355" spans="1:9" x14ac:dyDescent="0.25">
      <c r="A1355" t="s">
        <v>2257</v>
      </c>
      <c r="B1355" s="3" t="s">
        <v>253</v>
      </c>
      <c r="C1355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1355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1</v>
      </c>
      <c r="E1355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1355" s="3">
        <f>SUM(TS_ATHLETES[[#This Row],[GOLD MEDALS]:[BRONZE MEDALS]])</f>
        <v>1</v>
      </c>
      <c r="G1355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10000100</v>
      </c>
      <c r="H1355" s="3">
        <f>IF(TS_ATHLETES[[#This Row],[TOTAL]]=0,"",RANK(TS_ATHLETES[[#This Row],[RANK VALUE]],TS_ATHLETES[RANK VALUE]))</f>
        <v>660</v>
      </c>
      <c r="I1355" s="3">
        <f>IFERROR(IF(TS_ATHLETES[[#This Row],[TOTAL]]=0,"",RANK(TS_ATHLETES[[#This Row],[RANK VALUE]],TS_ATHLETES[RANK VALUE])+COUNTIF($H$1:H1354,H1355)),"")</f>
        <v>1060</v>
      </c>
    </row>
    <row r="1356" spans="1:9" x14ac:dyDescent="0.25">
      <c r="A1356" t="s">
        <v>2258</v>
      </c>
      <c r="B1356" s="3" t="s">
        <v>100</v>
      </c>
      <c r="C1356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1356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1356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1</v>
      </c>
      <c r="F1356" s="3">
        <f>SUM(TS_ATHLETES[[#This Row],[GOLD MEDALS]:[BRONZE MEDALS]])</f>
        <v>1</v>
      </c>
      <c r="G1356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10000010</v>
      </c>
      <c r="H1356" s="3">
        <f>IF(TS_ATHLETES[[#This Row],[TOTAL]]=0,"",RANK(TS_ATHLETES[[#This Row],[RANK VALUE]],TS_ATHLETES[RANK VALUE]))</f>
        <v>1224</v>
      </c>
      <c r="I1356" s="3">
        <f>IFERROR(IF(TS_ATHLETES[[#This Row],[TOTAL]]=0,"",RANK(TS_ATHLETES[[#This Row],[RANK VALUE]],TS_ATHLETES[RANK VALUE])+COUNTIF($H$1:H1355,H1356)),"")</f>
        <v>1693</v>
      </c>
    </row>
    <row r="1357" spans="1:9" x14ac:dyDescent="0.25">
      <c r="A1357" t="s">
        <v>2259</v>
      </c>
      <c r="B1357" s="3" t="s">
        <v>100</v>
      </c>
      <c r="C1357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1357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1357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1</v>
      </c>
      <c r="F1357" s="3">
        <f>SUM(TS_ATHLETES[[#This Row],[GOLD MEDALS]:[BRONZE MEDALS]])</f>
        <v>1</v>
      </c>
      <c r="G1357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10000010</v>
      </c>
      <c r="H1357" s="3">
        <f>IF(TS_ATHLETES[[#This Row],[TOTAL]]=0,"",RANK(TS_ATHLETES[[#This Row],[RANK VALUE]],TS_ATHLETES[RANK VALUE]))</f>
        <v>1224</v>
      </c>
      <c r="I1357" s="3">
        <f>IFERROR(IF(TS_ATHLETES[[#This Row],[TOTAL]]=0,"",RANK(TS_ATHLETES[[#This Row],[RANK VALUE]],TS_ATHLETES[RANK VALUE])+COUNTIF($H$1:H1356,H1357)),"")</f>
        <v>1694</v>
      </c>
    </row>
    <row r="1358" spans="1:9" x14ac:dyDescent="0.25">
      <c r="A1358" t="s">
        <v>2260</v>
      </c>
      <c r="B1358" s="3" t="s">
        <v>253</v>
      </c>
      <c r="C1358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1</v>
      </c>
      <c r="D1358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1358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1358" s="3">
        <f>SUM(TS_ATHLETES[[#This Row],[GOLD MEDALS]:[BRONZE MEDALS]])</f>
        <v>1</v>
      </c>
      <c r="G1358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10100000</v>
      </c>
      <c r="H1358" s="3">
        <f>IF(TS_ATHLETES[[#This Row],[TOTAL]]=0,"",RANK(TS_ATHLETES[[#This Row],[RANK VALUE]],TS_ATHLETES[RANK VALUE]))</f>
        <v>129</v>
      </c>
      <c r="I1358" s="3">
        <f>IFERROR(IF(TS_ATHLETES[[#This Row],[TOTAL]]=0,"",RANK(TS_ATHLETES[[#This Row],[RANK VALUE]],TS_ATHLETES[RANK VALUE])+COUNTIF($H$1:H1357,H1358)),"")</f>
        <v>499</v>
      </c>
    </row>
    <row r="1359" spans="1:9" x14ac:dyDescent="0.25">
      <c r="A1359" t="s">
        <v>2261</v>
      </c>
      <c r="B1359" s="3" t="s">
        <v>253</v>
      </c>
      <c r="C1359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1</v>
      </c>
      <c r="D1359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1359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1359" s="3">
        <f>SUM(TS_ATHLETES[[#This Row],[GOLD MEDALS]:[BRONZE MEDALS]])</f>
        <v>1</v>
      </c>
      <c r="G1359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10100000</v>
      </c>
      <c r="H1359" s="3">
        <f>IF(TS_ATHLETES[[#This Row],[TOTAL]]=0,"",RANK(TS_ATHLETES[[#This Row],[RANK VALUE]],TS_ATHLETES[RANK VALUE]))</f>
        <v>129</v>
      </c>
      <c r="I1359" s="3">
        <f>IFERROR(IF(TS_ATHLETES[[#This Row],[TOTAL]]=0,"",RANK(TS_ATHLETES[[#This Row],[RANK VALUE]],TS_ATHLETES[RANK VALUE])+COUNTIF($H$1:H1358,H1359)),"")</f>
        <v>500</v>
      </c>
    </row>
    <row r="1360" spans="1:9" x14ac:dyDescent="0.25">
      <c r="A1360" t="s">
        <v>2262</v>
      </c>
      <c r="B1360" s="3" t="s">
        <v>319</v>
      </c>
      <c r="C1360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1360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1</v>
      </c>
      <c r="E1360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1360" s="3">
        <f>SUM(TS_ATHLETES[[#This Row],[GOLD MEDALS]:[BRONZE MEDALS]])</f>
        <v>1</v>
      </c>
      <c r="G1360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10000100</v>
      </c>
      <c r="H1360" s="3">
        <f>IF(TS_ATHLETES[[#This Row],[TOTAL]]=0,"",RANK(TS_ATHLETES[[#This Row],[RANK VALUE]],TS_ATHLETES[RANK VALUE]))</f>
        <v>660</v>
      </c>
      <c r="I1360" s="3">
        <f>IFERROR(IF(TS_ATHLETES[[#This Row],[TOTAL]]=0,"",RANK(TS_ATHLETES[[#This Row],[RANK VALUE]],TS_ATHLETES[RANK VALUE])+COUNTIF($H$1:H1359,H1360)),"")</f>
        <v>1061</v>
      </c>
    </row>
    <row r="1361" spans="1:9" x14ac:dyDescent="0.25">
      <c r="A1361" t="s">
        <v>2263</v>
      </c>
      <c r="B1361" s="3" t="s">
        <v>319</v>
      </c>
      <c r="C1361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1361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1</v>
      </c>
      <c r="E1361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1361" s="3">
        <f>SUM(TS_ATHLETES[[#This Row],[GOLD MEDALS]:[BRONZE MEDALS]])</f>
        <v>1</v>
      </c>
      <c r="G1361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10000100</v>
      </c>
      <c r="H1361" s="3">
        <f>IF(TS_ATHLETES[[#This Row],[TOTAL]]=0,"",RANK(TS_ATHLETES[[#This Row],[RANK VALUE]],TS_ATHLETES[RANK VALUE]))</f>
        <v>660</v>
      </c>
      <c r="I1361" s="3">
        <f>IFERROR(IF(TS_ATHLETES[[#This Row],[TOTAL]]=0,"",RANK(TS_ATHLETES[[#This Row],[RANK VALUE]],TS_ATHLETES[RANK VALUE])+COUNTIF($H$1:H1360,H1361)),"")</f>
        <v>1062</v>
      </c>
    </row>
    <row r="1362" spans="1:9" x14ac:dyDescent="0.25">
      <c r="A1362" t="s">
        <v>2264</v>
      </c>
      <c r="B1362" s="3" t="s">
        <v>175</v>
      </c>
      <c r="C1362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1362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1362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1</v>
      </c>
      <c r="F1362" s="3">
        <f>SUM(TS_ATHLETES[[#This Row],[GOLD MEDALS]:[BRONZE MEDALS]])</f>
        <v>1</v>
      </c>
      <c r="G1362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10000010</v>
      </c>
      <c r="H1362" s="3">
        <f>IF(TS_ATHLETES[[#This Row],[TOTAL]]=0,"",RANK(TS_ATHLETES[[#This Row],[RANK VALUE]],TS_ATHLETES[RANK VALUE]))</f>
        <v>1224</v>
      </c>
      <c r="I1362" s="3">
        <f>IFERROR(IF(TS_ATHLETES[[#This Row],[TOTAL]]=0,"",RANK(TS_ATHLETES[[#This Row],[RANK VALUE]],TS_ATHLETES[RANK VALUE])+COUNTIF($H$1:H1361,H1362)),"")</f>
        <v>1695</v>
      </c>
    </row>
    <row r="1363" spans="1:9" x14ac:dyDescent="0.25">
      <c r="A1363" t="s">
        <v>2265</v>
      </c>
      <c r="B1363" s="3" t="s">
        <v>175</v>
      </c>
      <c r="C1363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1363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1363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1</v>
      </c>
      <c r="F1363" s="3">
        <f>SUM(TS_ATHLETES[[#This Row],[GOLD MEDALS]:[BRONZE MEDALS]])</f>
        <v>1</v>
      </c>
      <c r="G1363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10000010</v>
      </c>
      <c r="H1363" s="3">
        <f>IF(TS_ATHLETES[[#This Row],[TOTAL]]=0,"",RANK(TS_ATHLETES[[#This Row],[RANK VALUE]],TS_ATHLETES[RANK VALUE]))</f>
        <v>1224</v>
      </c>
      <c r="I1363" s="3">
        <f>IFERROR(IF(TS_ATHLETES[[#This Row],[TOTAL]]=0,"",RANK(TS_ATHLETES[[#This Row],[RANK VALUE]],TS_ATHLETES[RANK VALUE])+COUNTIF($H$1:H1362,H1363)),"")</f>
        <v>1696</v>
      </c>
    </row>
    <row r="1364" spans="1:9" x14ac:dyDescent="0.25">
      <c r="A1364" t="s">
        <v>2266</v>
      </c>
      <c r="B1364" s="3" t="s">
        <v>280</v>
      </c>
      <c r="C1364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1</v>
      </c>
      <c r="D1364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1364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1364" s="3">
        <f>SUM(TS_ATHLETES[[#This Row],[GOLD MEDALS]:[BRONZE MEDALS]])</f>
        <v>1</v>
      </c>
      <c r="G1364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10100000</v>
      </c>
      <c r="H1364" s="3">
        <f>IF(TS_ATHLETES[[#This Row],[TOTAL]]=0,"",RANK(TS_ATHLETES[[#This Row],[RANK VALUE]],TS_ATHLETES[RANK VALUE]))</f>
        <v>129</v>
      </c>
      <c r="I1364" s="3">
        <f>IFERROR(IF(TS_ATHLETES[[#This Row],[TOTAL]]=0,"",RANK(TS_ATHLETES[[#This Row],[RANK VALUE]],TS_ATHLETES[RANK VALUE])+COUNTIF($H$1:H1363,H1364)),"")</f>
        <v>501</v>
      </c>
    </row>
    <row r="1365" spans="1:9" x14ac:dyDescent="0.25">
      <c r="A1365" t="s">
        <v>2267</v>
      </c>
      <c r="B1365" s="3" t="s">
        <v>280</v>
      </c>
      <c r="C1365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1</v>
      </c>
      <c r="D1365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1365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1365" s="3">
        <f>SUM(TS_ATHLETES[[#This Row],[GOLD MEDALS]:[BRONZE MEDALS]])</f>
        <v>1</v>
      </c>
      <c r="G1365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10100000</v>
      </c>
      <c r="H1365" s="3">
        <f>IF(TS_ATHLETES[[#This Row],[TOTAL]]=0,"",RANK(TS_ATHLETES[[#This Row],[RANK VALUE]],TS_ATHLETES[RANK VALUE]))</f>
        <v>129</v>
      </c>
      <c r="I1365" s="3">
        <f>IFERROR(IF(TS_ATHLETES[[#This Row],[TOTAL]]=0,"",RANK(TS_ATHLETES[[#This Row],[RANK VALUE]],TS_ATHLETES[RANK VALUE])+COUNTIF($H$1:H1364,H1365)),"")</f>
        <v>502</v>
      </c>
    </row>
    <row r="1366" spans="1:9" x14ac:dyDescent="0.25">
      <c r="A1366" t="s">
        <v>2268</v>
      </c>
      <c r="B1366" s="3" t="s">
        <v>361</v>
      </c>
      <c r="C1366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1366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1</v>
      </c>
      <c r="E1366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1366" s="3">
        <f>SUM(TS_ATHLETES[[#This Row],[GOLD MEDALS]:[BRONZE MEDALS]])</f>
        <v>1</v>
      </c>
      <c r="G1366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10000100</v>
      </c>
      <c r="H1366" s="3">
        <f>IF(TS_ATHLETES[[#This Row],[TOTAL]]=0,"",RANK(TS_ATHLETES[[#This Row],[RANK VALUE]],TS_ATHLETES[RANK VALUE]))</f>
        <v>660</v>
      </c>
      <c r="I1366" s="3">
        <f>IFERROR(IF(TS_ATHLETES[[#This Row],[TOTAL]]=0,"",RANK(TS_ATHLETES[[#This Row],[RANK VALUE]],TS_ATHLETES[RANK VALUE])+COUNTIF($H$1:H1365,H1366)),"")</f>
        <v>1063</v>
      </c>
    </row>
    <row r="1367" spans="1:9" x14ac:dyDescent="0.25">
      <c r="A1367" t="s">
        <v>2269</v>
      </c>
      <c r="B1367" s="3" t="s">
        <v>361</v>
      </c>
      <c r="C1367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1367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1</v>
      </c>
      <c r="E1367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1367" s="3">
        <f>SUM(TS_ATHLETES[[#This Row],[GOLD MEDALS]:[BRONZE MEDALS]])</f>
        <v>1</v>
      </c>
      <c r="G1367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10000100</v>
      </c>
      <c r="H1367" s="3">
        <f>IF(TS_ATHLETES[[#This Row],[TOTAL]]=0,"",RANK(TS_ATHLETES[[#This Row],[RANK VALUE]],TS_ATHLETES[RANK VALUE]))</f>
        <v>660</v>
      </c>
      <c r="I1367" s="3">
        <f>IFERROR(IF(TS_ATHLETES[[#This Row],[TOTAL]]=0,"",RANK(TS_ATHLETES[[#This Row],[RANK VALUE]],TS_ATHLETES[RANK VALUE])+COUNTIF($H$1:H1366,H1367)),"")</f>
        <v>1064</v>
      </c>
    </row>
    <row r="1368" spans="1:9" x14ac:dyDescent="0.25">
      <c r="A1368" t="s">
        <v>2270</v>
      </c>
      <c r="B1368" s="3" t="s">
        <v>207</v>
      </c>
      <c r="C1368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1368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1368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1</v>
      </c>
      <c r="F1368" s="3">
        <f>SUM(TS_ATHLETES[[#This Row],[GOLD MEDALS]:[BRONZE MEDALS]])</f>
        <v>1</v>
      </c>
      <c r="G1368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10000010</v>
      </c>
      <c r="H1368" s="3">
        <f>IF(TS_ATHLETES[[#This Row],[TOTAL]]=0,"",RANK(TS_ATHLETES[[#This Row],[RANK VALUE]],TS_ATHLETES[RANK VALUE]))</f>
        <v>1224</v>
      </c>
      <c r="I1368" s="3">
        <f>IFERROR(IF(TS_ATHLETES[[#This Row],[TOTAL]]=0,"",RANK(TS_ATHLETES[[#This Row],[RANK VALUE]],TS_ATHLETES[RANK VALUE])+COUNTIF($H$1:H1367,H1368)),"")</f>
        <v>1697</v>
      </c>
    </row>
    <row r="1369" spans="1:9" x14ac:dyDescent="0.25">
      <c r="A1369" t="s">
        <v>2271</v>
      </c>
      <c r="B1369" s="3" t="s">
        <v>207</v>
      </c>
      <c r="C1369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1369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1369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1</v>
      </c>
      <c r="F1369" s="3">
        <f>SUM(TS_ATHLETES[[#This Row],[GOLD MEDALS]:[BRONZE MEDALS]])</f>
        <v>1</v>
      </c>
      <c r="G1369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10000010</v>
      </c>
      <c r="H1369" s="3">
        <f>IF(TS_ATHLETES[[#This Row],[TOTAL]]=0,"",RANK(TS_ATHLETES[[#This Row],[RANK VALUE]],TS_ATHLETES[RANK VALUE]))</f>
        <v>1224</v>
      </c>
      <c r="I1369" s="3">
        <f>IFERROR(IF(TS_ATHLETES[[#This Row],[TOTAL]]=0,"",RANK(TS_ATHLETES[[#This Row],[RANK VALUE]],TS_ATHLETES[RANK VALUE])+COUNTIF($H$1:H1368,H1369)),"")</f>
        <v>1698</v>
      </c>
    </row>
    <row r="1370" spans="1:9" x14ac:dyDescent="0.25">
      <c r="A1370" t="s">
        <v>2272</v>
      </c>
      <c r="B1370" s="3" t="s">
        <v>92</v>
      </c>
      <c r="C1370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1</v>
      </c>
      <c r="D1370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1370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1370" s="3">
        <f>SUM(TS_ATHLETES[[#This Row],[GOLD MEDALS]:[BRONZE MEDALS]])</f>
        <v>1</v>
      </c>
      <c r="G1370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10100000</v>
      </c>
      <c r="H1370" s="3">
        <f>IF(TS_ATHLETES[[#This Row],[TOTAL]]=0,"",RANK(TS_ATHLETES[[#This Row],[RANK VALUE]],TS_ATHLETES[RANK VALUE]))</f>
        <v>129</v>
      </c>
      <c r="I1370" s="3">
        <f>IFERROR(IF(TS_ATHLETES[[#This Row],[TOTAL]]=0,"",RANK(TS_ATHLETES[[#This Row],[RANK VALUE]],TS_ATHLETES[RANK VALUE])+COUNTIF($H$1:H1369,H1370)),"")</f>
        <v>503</v>
      </c>
    </row>
    <row r="1371" spans="1:9" x14ac:dyDescent="0.25">
      <c r="A1371" t="s">
        <v>2273</v>
      </c>
      <c r="B1371" s="3" t="s">
        <v>92</v>
      </c>
      <c r="C1371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1</v>
      </c>
      <c r="D1371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1371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1371" s="3">
        <f>SUM(TS_ATHLETES[[#This Row],[GOLD MEDALS]:[BRONZE MEDALS]])</f>
        <v>1</v>
      </c>
      <c r="G1371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10100000</v>
      </c>
      <c r="H1371" s="3">
        <f>IF(TS_ATHLETES[[#This Row],[TOTAL]]=0,"",RANK(TS_ATHLETES[[#This Row],[RANK VALUE]],TS_ATHLETES[RANK VALUE]))</f>
        <v>129</v>
      </c>
      <c r="I1371" s="3">
        <f>IFERROR(IF(TS_ATHLETES[[#This Row],[TOTAL]]=0,"",RANK(TS_ATHLETES[[#This Row],[RANK VALUE]],TS_ATHLETES[RANK VALUE])+COUNTIF($H$1:H1370,H1371)),"")</f>
        <v>504</v>
      </c>
    </row>
    <row r="1372" spans="1:9" x14ac:dyDescent="0.25">
      <c r="A1372" t="s">
        <v>2274</v>
      </c>
      <c r="B1372" s="3" t="s">
        <v>207</v>
      </c>
      <c r="C1372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1372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1</v>
      </c>
      <c r="E1372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1372" s="3">
        <f>SUM(TS_ATHLETES[[#This Row],[GOLD MEDALS]:[BRONZE MEDALS]])</f>
        <v>1</v>
      </c>
      <c r="G1372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10000100</v>
      </c>
      <c r="H1372" s="3">
        <f>IF(TS_ATHLETES[[#This Row],[TOTAL]]=0,"",RANK(TS_ATHLETES[[#This Row],[RANK VALUE]],TS_ATHLETES[RANK VALUE]))</f>
        <v>660</v>
      </c>
      <c r="I1372" s="3">
        <f>IFERROR(IF(TS_ATHLETES[[#This Row],[TOTAL]]=0,"",RANK(TS_ATHLETES[[#This Row],[RANK VALUE]],TS_ATHLETES[RANK VALUE])+COUNTIF($H$1:H1371,H1372)),"")</f>
        <v>1065</v>
      </c>
    </row>
    <row r="1373" spans="1:9" x14ac:dyDescent="0.25">
      <c r="A1373" t="s">
        <v>2275</v>
      </c>
      <c r="B1373" s="3" t="s">
        <v>207</v>
      </c>
      <c r="C1373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1373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1</v>
      </c>
      <c r="E1373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1373" s="3">
        <f>SUM(TS_ATHLETES[[#This Row],[GOLD MEDALS]:[BRONZE MEDALS]])</f>
        <v>1</v>
      </c>
      <c r="G1373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10000100</v>
      </c>
      <c r="H1373" s="3">
        <f>IF(TS_ATHLETES[[#This Row],[TOTAL]]=0,"",RANK(TS_ATHLETES[[#This Row],[RANK VALUE]],TS_ATHLETES[RANK VALUE]))</f>
        <v>660</v>
      </c>
      <c r="I1373" s="3">
        <f>IFERROR(IF(TS_ATHLETES[[#This Row],[TOTAL]]=0,"",RANK(TS_ATHLETES[[#This Row],[RANK VALUE]],TS_ATHLETES[RANK VALUE])+COUNTIF($H$1:H1372,H1373)),"")</f>
        <v>1066</v>
      </c>
    </row>
    <row r="1374" spans="1:9" x14ac:dyDescent="0.25">
      <c r="A1374" t="s">
        <v>2276</v>
      </c>
      <c r="B1374" s="3" t="s">
        <v>261</v>
      </c>
      <c r="C1374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1374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1374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1</v>
      </c>
      <c r="F1374" s="3">
        <f>SUM(TS_ATHLETES[[#This Row],[GOLD MEDALS]:[BRONZE MEDALS]])</f>
        <v>1</v>
      </c>
      <c r="G1374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10000010</v>
      </c>
      <c r="H1374" s="3">
        <f>IF(TS_ATHLETES[[#This Row],[TOTAL]]=0,"",RANK(TS_ATHLETES[[#This Row],[RANK VALUE]],TS_ATHLETES[RANK VALUE]))</f>
        <v>1224</v>
      </c>
      <c r="I1374" s="3">
        <f>IFERROR(IF(TS_ATHLETES[[#This Row],[TOTAL]]=0,"",RANK(TS_ATHLETES[[#This Row],[RANK VALUE]],TS_ATHLETES[RANK VALUE])+COUNTIF($H$1:H1373,H1374)),"")</f>
        <v>1699</v>
      </c>
    </row>
    <row r="1375" spans="1:9" x14ac:dyDescent="0.25">
      <c r="A1375" t="s">
        <v>2277</v>
      </c>
      <c r="B1375" s="3" t="s">
        <v>261</v>
      </c>
      <c r="C1375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1375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1375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1</v>
      </c>
      <c r="F1375" s="3">
        <f>SUM(TS_ATHLETES[[#This Row],[GOLD MEDALS]:[BRONZE MEDALS]])</f>
        <v>1</v>
      </c>
      <c r="G1375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10000010</v>
      </c>
      <c r="H1375" s="3">
        <f>IF(TS_ATHLETES[[#This Row],[TOTAL]]=0,"",RANK(TS_ATHLETES[[#This Row],[RANK VALUE]],TS_ATHLETES[RANK VALUE]))</f>
        <v>1224</v>
      </c>
      <c r="I1375" s="3">
        <f>IFERROR(IF(TS_ATHLETES[[#This Row],[TOTAL]]=0,"",RANK(TS_ATHLETES[[#This Row],[RANK VALUE]],TS_ATHLETES[RANK VALUE])+COUNTIF($H$1:H1374,H1375)),"")</f>
        <v>1700</v>
      </c>
    </row>
    <row r="1376" spans="1:9" x14ac:dyDescent="0.25">
      <c r="A1376" t="s">
        <v>2278</v>
      </c>
      <c r="B1376" s="3" t="s">
        <v>361</v>
      </c>
      <c r="C1376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1</v>
      </c>
      <c r="D1376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1376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1376" s="3">
        <f>SUM(TS_ATHLETES[[#This Row],[GOLD MEDALS]:[BRONZE MEDALS]])</f>
        <v>1</v>
      </c>
      <c r="G1376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10100000</v>
      </c>
      <c r="H1376" s="3">
        <f>IF(TS_ATHLETES[[#This Row],[TOTAL]]=0,"",RANK(TS_ATHLETES[[#This Row],[RANK VALUE]],TS_ATHLETES[RANK VALUE]))</f>
        <v>129</v>
      </c>
      <c r="I1376" s="3">
        <f>IFERROR(IF(TS_ATHLETES[[#This Row],[TOTAL]]=0,"",RANK(TS_ATHLETES[[#This Row],[RANK VALUE]],TS_ATHLETES[RANK VALUE])+COUNTIF($H$1:H1375,H1376)),"")</f>
        <v>505</v>
      </c>
    </row>
    <row r="1377" spans="1:9" x14ac:dyDescent="0.25">
      <c r="A1377" t="s">
        <v>2279</v>
      </c>
      <c r="B1377" s="3" t="s">
        <v>361</v>
      </c>
      <c r="C1377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1</v>
      </c>
      <c r="D1377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1377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1377" s="3">
        <f>SUM(TS_ATHLETES[[#This Row],[GOLD MEDALS]:[BRONZE MEDALS]])</f>
        <v>1</v>
      </c>
      <c r="G1377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10100000</v>
      </c>
      <c r="H1377" s="3">
        <f>IF(TS_ATHLETES[[#This Row],[TOTAL]]=0,"",RANK(TS_ATHLETES[[#This Row],[RANK VALUE]],TS_ATHLETES[RANK VALUE]))</f>
        <v>129</v>
      </c>
      <c r="I1377" s="3">
        <f>IFERROR(IF(TS_ATHLETES[[#This Row],[TOTAL]]=0,"",RANK(TS_ATHLETES[[#This Row],[RANK VALUE]],TS_ATHLETES[RANK VALUE])+COUNTIF($H$1:H1376,H1377)),"")</f>
        <v>506</v>
      </c>
    </row>
    <row r="1378" spans="1:9" x14ac:dyDescent="0.25">
      <c r="A1378" t="s">
        <v>2280</v>
      </c>
      <c r="B1378" s="3" t="s">
        <v>361</v>
      </c>
      <c r="C1378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1</v>
      </c>
      <c r="D1378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1378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1378" s="3">
        <f>SUM(TS_ATHLETES[[#This Row],[GOLD MEDALS]:[BRONZE MEDALS]])</f>
        <v>1</v>
      </c>
      <c r="G1378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10100000</v>
      </c>
      <c r="H1378" s="3">
        <f>IF(TS_ATHLETES[[#This Row],[TOTAL]]=0,"",RANK(TS_ATHLETES[[#This Row],[RANK VALUE]],TS_ATHLETES[RANK VALUE]))</f>
        <v>129</v>
      </c>
      <c r="I1378" s="3">
        <f>IFERROR(IF(TS_ATHLETES[[#This Row],[TOTAL]]=0,"",RANK(TS_ATHLETES[[#This Row],[RANK VALUE]],TS_ATHLETES[RANK VALUE])+COUNTIF($H$1:H1377,H1378)),"")</f>
        <v>507</v>
      </c>
    </row>
    <row r="1379" spans="1:9" x14ac:dyDescent="0.25">
      <c r="A1379" t="s">
        <v>2281</v>
      </c>
      <c r="B1379" s="3" t="s">
        <v>361</v>
      </c>
      <c r="C1379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1</v>
      </c>
      <c r="D1379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1379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1379" s="3">
        <f>SUM(TS_ATHLETES[[#This Row],[GOLD MEDALS]:[BRONZE MEDALS]])</f>
        <v>1</v>
      </c>
      <c r="G1379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10100000</v>
      </c>
      <c r="H1379" s="3">
        <f>IF(TS_ATHLETES[[#This Row],[TOTAL]]=0,"",RANK(TS_ATHLETES[[#This Row],[RANK VALUE]],TS_ATHLETES[RANK VALUE]))</f>
        <v>129</v>
      </c>
      <c r="I1379" s="3">
        <f>IFERROR(IF(TS_ATHLETES[[#This Row],[TOTAL]]=0,"",RANK(TS_ATHLETES[[#This Row],[RANK VALUE]],TS_ATHLETES[RANK VALUE])+COUNTIF($H$1:H1378,H1379)),"")</f>
        <v>508</v>
      </c>
    </row>
    <row r="1380" spans="1:9" x14ac:dyDescent="0.25">
      <c r="A1380" t="s">
        <v>2282</v>
      </c>
      <c r="B1380" s="3" t="s">
        <v>21</v>
      </c>
      <c r="C1380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1380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1</v>
      </c>
      <c r="E1380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1380" s="3">
        <f>SUM(TS_ATHLETES[[#This Row],[GOLD MEDALS]:[BRONZE MEDALS]])</f>
        <v>1</v>
      </c>
      <c r="G1380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10000100</v>
      </c>
      <c r="H1380" s="3">
        <f>IF(TS_ATHLETES[[#This Row],[TOTAL]]=0,"",RANK(TS_ATHLETES[[#This Row],[RANK VALUE]],TS_ATHLETES[RANK VALUE]))</f>
        <v>660</v>
      </c>
      <c r="I1380" s="3">
        <f>IFERROR(IF(TS_ATHLETES[[#This Row],[TOTAL]]=0,"",RANK(TS_ATHLETES[[#This Row],[RANK VALUE]],TS_ATHLETES[RANK VALUE])+COUNTIF($H$1:H1379,H1380)),"")</f>
        <v>1067</v>
      </c>
    </row>
    <row r="1381" spans="1:9" x14ac:dyDescent="0.25">
      <c r="A1381" t="s">
        <v>2283</v>
      </c>
      <c r="B1381" s="3" t="s">
        <v>21</v>
      </c>
      <c r="C1381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1381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1</v>
      </c>
      <c r="E1381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1381" s="3">
        <f>SUM(TS_ATHLETES[[#This Row],[GOLD MEDALS]:[BRONZE MEDALS]])</f>
        <v>1</v>
      </c>
      <c r="G1381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10000100</v>
      </c>
      <c r="H1381" s="3">
        <f>IF(TS_ATHLETES[[#This Row],[TOTAL]]=0,"",RANK(TS_ATHLETES[[#This Row],[RANK VALUE]],TS_ATHLETES[RANK VALUE]))</f>
        <v>660</v>
      </c>
      <c r="I1381" s="3">
        <f>IFERROR(IF(TS_ATHLETES[[#This Row],[TOTAL]]=0,"",RANK(TS_ATHLETES[[#This Row],[RANK VALUE]],TS_ATHLETES[RANK VALUE])+COUNTIF($H$1:H1380,H1381)),"")</f>
        <v>1068</v>
      </c>
    </row>
    <row r="1382" spans="1:9" x14ac:dyDescent="0.25">
      <c r="A1382" t="s">
        <v>2284</v>
      </c>
      <c r="B1382" s="3" t="s">
        <v>21</v>
      </c>
      <c r="C1382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1382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1</v>
      </c>
      <c r="E1382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1382" s="3">
        <f>SUM(TS_ATHLETES[[#This Row],[GOLD MEDALS]:[BRONZE MEDALS]])</f>
        <v>1</v>
      </c>
      <c r="G1382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10000100</v>
      </c>
      <c r="H1382" s="3">
        <f>IF(TS_ATHLETES[[#This Row],[TOTAL]]=0,"",RANK(TS_ATHLETES[[#This Row],[RANK VALUE]],TS_ATHLETES[RANK VALUE]))</f>
        <v>660</v>
      </c>
      <c r="I1382" s="3">
        <f>IFERROR(IF(TS_ATHLETES[[#This Row],[TOTAL]]=0,"",RANK(TS_ATHLETES[[#This Row],[RANK VALUE]],TS_ATHLETES[RANK VALUE])+COUNTIF($H$1:H1381,H1382)),"")</f>
        <v>1069</v>
      </c>
    </row>
    <row r="1383" spans="1:9" x14ac:dyDescent="0.25">
      <c r="A1383" t="s">
        <v>2285</v>
      </c>
      <c r="B1383" s="3" t="s">
        <v>21</v>
      </c>
      <c r="C1383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1383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1</v>
      </c>
      <c r="E1383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1383" s="3">
        <f>SUM(TS_ATHLETES[[#This Row],[GOLD MEDALS]:[BRONZE MEDALS]])</f>
        <v>1</v>
      </c>
      <c r="G1383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10000100</v>
      </c>
      <c r="H1383" s="3">
        <f>IF(TS_ATHLETES[[#This Row],[TOTAL]]=0,"",RANK(TS_ATHLETES[[#This Row],[RANK VALUE]],TS_ATHLETES[RANK VALUE]))</f>
        <v>660</v>
      </c>
      <c r="I1383" s="3">
        <f>IFERROR(IF(TS_ATHLETES[[#This Row],[TOTAL]]=0,"",RANK(TS_ATHLETES[[#This Row],[RANK VALUE]],TS_ATHLETES[RANK VALUE])+COUNTIF($H$1:H1382,H1383)),"")</f>
        <v>1070</v>
      </c>
    </row>
    <row r="1384" spans="1:9" x14ac:dyDescent="0.25">
      <c r="A1384" t="s">
        <v>2286</v>
      </c>
      <c r="B1384" s="3" t="s">
        <v>175</v>
      </c>
      <c r="C1384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1384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1384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1</v>
      </c>
      <c r="F1384" s="3">
        <f>SUM(TS_ATHLETES[[#This Row],[GOLD MEDALS]:[BRONZE MEDALS]])</f>
        <v>1</v>
      </c>
      <c r="G1384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10000010</v>
      </c>
      <c r="H1384" s="3">
        <f>IF(TS_ATHLETES[[#This Row],[TOTAL]]=0,"",RANK(TS_ATHLETES[[#This Row],[RANK VALUE]],TS_ATHLETES[RANK VALUE]))</f>
        <v>1224</v>
      </c>
      <c r="I1384" s="3">
        <f>IFERROR(IF(TS_ATHLETES[[#This Row],[TOTAL]]=0,"",RANK(TS_ATHLETES[[#This Row],[RANK VALUE]],TS_ATHLETES[RANK VALUE])+COUNTIF($H$1:H1383,H1384)),"")</f>
        <v>1701</v>
      </c>
    </row>
    <row r="1385" spans="1:9" x14ac:dyDescent="0.25">
      <c r="A1385" t="s">
        <v>2287</v>
      </c>
      <c r="B1385" s="3" t="s">
        <v>175</v>
      </c>
      <c r="C1385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1385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1385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1</v>
      </c>
      <c r="F1385" s="3">
        <f>SUM(TS_ATHLETES[[#This Row],[GOLD MEDALS]:[BRONZE MEDALS]])</f>
        <v>1</v>
      </c>
      <c r="G1385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10000010</v>
      </c>
      <c r="H1385" s="3">
        <f>IF(TS_ATHLETES[[#This Row],[TOTAL]]=0,"",RANK(TS_ATHLETES[[#This Row],[RANK VALUE]],TS_ATHLETES[RANK VALUE]))</f>
        <v>1224</v>
      </c>
      <c r="I1385" s="3">
        <f>IFERROR(IF(TS_ATHLETES[[#This Row],[TOTAL]]=0,"",RANK(TS_ATHLETES[[#This Row],[RANK VALUE]],TS_ATHLETES[RANK VALUE])+COUNTIF($H$1:H1384,H1385)),"")</f>
        <v>1702</v>
      </c>
    </row>
    <row r="1386" spans="1:9" x14ac:dyDescent="0.25">
      <c r="A1386" t="s">
        <v>2288</v>
      </c>
      <c r="B1386" s="3" t="s">
        <v>175</v>
      </c>
      <c r="C1386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1386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1386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1</v>
      </c>
      <c r="F1386" s="3">
        <f>SUM(TS_ATHLETES[[#This Row],[GOLD MEDALS]:[BRONZE MEDALS]])</f>
        <v>1</v>
      </c>
      <c r="G1386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10000010</v>
      </c>
      <c r="H1386" s="3">
        <f>IF(TS_ATHLETES[[#This Row],[TOTAL]]=0,"",RANK(TS_ATHLETES[[#This Row],[RANK VALUE]],TS_ATHLETES[RANK VALUE]))</f>
        <v>1224</v>
      </c>
      <c r="I1386" s="3">
        <f>IFERROR(IF(TS_ATHLETES[[#This Row],[TOTAL]]=0,"",RANK(TS_ATHLETES[[#This Row],[RANK VALUE]],TS_ATHLETES[RANK VALUE])+COUNTIF($H$1:H1385,H1386)),"")</f>
        <v>1703</v>
      </c>
    </row>
    <row r="1387" spans="1:9" x14ac:dyDescent="0.25">
      <c r="A1387" t="s">
        <v>2289</v>
      </c>
      <c r="B1387" s="3" t="s">
        <v>175</v>
      </c>
      <c r="C1387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1387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1387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1</v>
      </c>
      <c r="F1387" s="3">
        <f>SUM(TS_ATHLETES[[#This Row],[GOLD MEDALS]:[BRONZE MEDALS]])</f>
        <v>1</v>
      </c>
      <c r="G1387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10000010</v>
      </c>
      <c r="H1387" s="3">
        <f>IF(TS_ATHLETES[[#This Row],[TOTAL]]=0,"",RANK(TS_ATHLETES[[#This Row],[RANK VALUE]],TS_ATHLETES[RANK VALUE]))</f>
        <v>1224</v>
      </c>
      <c r="I1387" s="3">
        <f>IFERROR(IF(TS_ATHLETES[[#This Row],[TOTAL]]=0,"",RANK(TS_ATHLETES[[#This Row],[RANK VALUE]],TS_ATHLETES[RANK VALUE])+COUNTIF($H$1:H1386,H1387)),"")</f>
        <v>1704</v>
      </c>
    </row>
    <row r="1388" spans="1:9" x14ac:dyDescent="0.25">
      <c r="A1388" t="s">
        <v>2290</v>
      </c>
      <c r="B1388" s="3" t="s">
        <v>250</v>
      </c>
      <c r="C1388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1</v>
      </c>
      <c r="D1388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1388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1388" s="3">
        <f>SUM(TS_ATHLETES[[#This Row],[GOLD MEDALS]:[BRONZE MEDALS]])</f>
        <v>1</v>
      </c>
      <c r="G1388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10100000</v>
      </c>
      <c r="H1388" s="3">
        <f>IF(TS_ATHLETES[[#This Row],[TOTAL]]=0,"",RANK(TS_ATHLETES[[#This Row],[RANK VALUE]],TS_ATHLETES[RANK VALUE]))</f>
        <v>129</v>
      </c>
      <c r="I1388" s="3">
        <f>IFERROR(IF(TS_ATHLETES[[#This Row],[TOTAL]]=0,"",RANK(TS_ATHLETES[[#This Row],[RANK VALUE]],TS_ATHLETES[RANK VALUE])+COUNTIF($H$1:H1387,H1388)),"")</f>
        <v>509</v>
      </c>
    </row>
    <row r="1389" spans="1:9" x14ac:dyDescent="0.25">
      <c r="A1389" t="s">
        <v>2291</v>
      </c>
      <c r="B1389" s="3" t="s">
        <v>250</v>
      </c>
      <c r="C1389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1</v>
      </c>
      <c r="D1389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1389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1389" s="3">
        <f>SUM(TS_ATHLETES[[#This Row],[GOLD MEDALS]:[BRONZE MEDALS]])</f>
        <v>1</v>
      </c>
      <c r="G1389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10100000</v>
      </c>
      <c r="H1389" s="3">
        <f>IF(TS_ATHLETES[[#This Row],[TOTAL]]=0,"",RANK(TS_ATHLETES[[#This Row],[RANK VALUE]],TS_ATHLETES[RANK VALUE]))</f>
        <v>129</v>
      </c>
      <c r="I1389" s="3">
        <f>IFERROR(IF(TS_ATHLETES[[#This Row],[TOTAL]]=0,"",RANK(TS_ATHLETES[[#This Row],[RANK VALUE]],TS_ATHLETES[RANK VALUE])+COUNTIF($H$1:H1388,H1389)),"")</f>
        <v>510</v>
      </c>
    </row>
    <row r="1390" spans="1:9" x14ac:dyDescent="0.25">
      <c r="A1390" t="s">
        <v>2292</v>
      </c>
      <c r="B1390" s="3" t="s">
        <v>66</v>
      </c>
      <c r="C1390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1390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1</v>
      </c>
      <c r="E1390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1390" s="3">
        <f>SUM(TS_ATHLETES[[#This Row],[GOLD MEDALS]:[BRONZE MEDALS]])</f>
        <v>1</v>
      </c>
      <c r="G1390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10000100</v>
      </c>
      <c r="H1390" s="3">
        <f>IF(TS_ATHLETES[[#This Row],[TOTAL]]=0,"",RANK(TS_ATHLETES[[#This Row],[RANK VALUE]],TS_ATHLETES[RANK VALUE]))</f>
        <v>660</v>
      </c>
      <c r="I1390" s="3">
        <f>IFERROR(IF(TS_ATHLETES[[#This Row],[TOTAL]]=0,"",RANK(TS_ATHLETES[[#This Row],[RANK VALUE]],TS_ATHLETES[RANK VALUE])+COUNTIF($H$1:H1389,H1390)),"")</f>
        <v>1071</v>
      </c>
    </row>
    <row r="1391" spans="1:9" x14ac:dyDescent="0.25">
      <c r="A1391" t="s">
        <v>2293</v>
      </c>
      <c r="B1391" s="3" t="s">
        <v>66</v>
      </c>
      <c r="C1391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1391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1</v>
      </c>
      <c r="E1391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1391" s="3">
        <f>SUM(TS_ATHLETES[[#This Row],[GOLD MEDALS]:[BRONZE MEDALS]])</f>
        <v>1</v>
      </c>
      <c r="G1391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10000100</v>
      </c>
      <c r="H1391" s="3">
        <f>IF(TS_ATHLETES[[#This Row],[TOTAL]]=0,"",RANK(TS_ATHLETES[[#This Row],[RANK VALUE]],TS_ATHLETES[RANK VALUE]))</f>
        <v>660</v>
      </c>
      <c r="I1391" s="3">
        <f>IFERROR(IF(TS_ATHLETES[[#This Row],[TOTAL]]=0,"",RANK(TS_ATHLETES[[#This Row],[RANK VALUE]],TS_ATHLETES[RANK VALUE])+COUNTIF($H$1:H1390,H1391)),"")</f>
        <v>1072</v>
      </c>
    </row>
    <row r="1392" spans="1:9" x14ac:dyDescent="0.25">
      <c r="A1392" t="s">
        <v>2294</v>
      </c>
      <c r="B1392" s="3" t="s">
        <v>77</v>
      </c>
      <c r="C1392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1392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1392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1</v>
      </c>
      <c r="F1392" s="3">
        <f>SUM(TS_ATHLETES[[#This Row],[GOLD MEDALS]:[BRONZE MEDALS]])</f>
        <v>1</v>
      </c>
      <c r="G1392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10000010</v>
      </c>
      <c r="H1392" s="3">
        <f>IF(TS_ATHLETES[[#This Row],[TOTAL]]=0,"",RANK(TS_ATHLETES[[#This Row],[RANK VALUE]],TS_ATHLETES[RANK VALUE]))</f>
        <v>1224</v>
      </c>
      <c r="I1392" s="3">
        <f>IFERROR(IF(TS_ATHLETES[[#This Row],[TOTAL]]=0,"",RANK(TS_ATHLETES[[#This Row],[RANK VALUE]],TS_ATHLETES[RANK VALUE])+COUNTIF($H$1:H1391,H1392)),"")</f>
        <v>1705</v>
      </c>
    </row>
    <row r="1393" spans="1:9" x14ac:dyDescent="0.25">
      <c r="A1393" t="s">
        <v>2295</v>
      </c>
      <c r="B1393" s="3" t="s">
        <v>77</v>
      </c>
      <c r="C1393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1393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1393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1</v>
      </c>
      <c r="F1393" s="3">
        <f>SUM(TS_ATHLETES[[#This Row],[GOLD MEDALS]:[BRONZE MEDALS]])</f>
        <v>1</v>
      </c>
      <c r="G1393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10000010</v>
      </c>
      <c r="H1393" s="3">
        <f>IF(TS_ATHLETES[[#This Row],[TOTAL]]=0,"",RANK(TS_ATHLETES[[#This Row],[RANK VALUE]],TS_ATHLETES[RANK VALUE]))</f>
        <v>1224</v>
      </c>
      <c r="I1393" s="3">
        <f>IFERROR(IF(TS_ATHLETES[[#This Row],[TOTAL]]=0,"",RANK(TS_ATHLETES[[#This Row],[RANK VALUE]],TS_ATHLETES[RANK VALUE])+COUNTIF($H$1:H1392,H1393)),"")</f>
        <v>1706</v>
      </c>
    </row>
    <row r="1394" spans="1:9" x14ac:dyDescent="0.25">
      <c r="A1394" t="s">
        <v>2296</v>
      </c>
      <c r="B1394" s="3" t="s">
        <v>128</v>
      </c>
      <c r="C1394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1</v>
      </c>
      <c r="D1394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1394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1394" s="3">
        <f>SUM(TS_ATHLETES[[#This Row],[GOLD MEDALS]:[BRONZE MEDALS]])</f>
        <v>1</v>
      </c>
      <c r="G1394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10100000</v>
      </c>
      <c r="H1394" s="3">
        <f>IF(TS_ATHLETES[[#This Row],[TOTAL]]=0,"",RANK(TS_ATHLETES[[#This Row],[RANK VALUE]],TS_ATHLETES[RANK VALUE]))</f>
        <v>129</v>
      </c>
      <c r="I1394" s="3">
        <f>IFERROR(IF(TS_ATHLETES[[#This Row],[TOTAL]]=0,"",RANK(TS_ATHLETES[[#This Row],[RANK VALUE]],TS_ATHLETES[RANK VALUE])+COUNTIF($H$1:H1393,H1394)),"")</f>
        <v>511</v>
      </c>
    </row>
    <row r="1395" spans="1:9" x14ac:dyDescent="0.25">
      <c r="A1395" t="s">
        <v>2297</v>
      </c>
      <c r="B1395" s="3" t="s">
        <v>128</v>
      </c>
      <c r="C1395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1</v>
      </c>
      <c r="D1395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1395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1395" s="3">
        <f>SUM(TS_ATHLETES[[#This Row],[GOLD MEDALS]:[BRONZE MEDALS]])</f>
        <v>1</v>
      </c>
      <c r="G1395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10100000</v>
      </c>
      <c r="H1395" s="3">
        <f>IF(TS_ATHLETES[[#This Row],[TOTAL]]=0,"",RANK(TS_ATHLETES[[#This Row],[RANK VALUE]],TS_ATHLETES[RANK VALUE]))</f>
        <v>129</v>
      </c>
      <c r="I1395" s="3">
        <f>IFERROR(IF(TS_ATHLETES[[#This Row],[TOTAL]]=0,"",RANK(TS_ATHLETES[[#This Row],[RANK VALUE]],TS_ATHLETES[RANK VALUE])+COUNTIF($H$1:H1394,H1395)),"")</f>
        <v>512</v>
      </c>
    </row>
    <row r="1396" spans="1:9" x14ac:dyDescent="0.25">
      <c r="A1396" t="s">
        <v>2298</v>
      </c>
      <c r="B1396" s="3" t="s">
        <v>171</v>
      </c>
      <c r="C1396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1396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1</v>
      </c>
      <c r="E1396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1396" s="3">
        <f>SUM(TS_ATHLETES[[#This Row],[GOLD MEDALS]:[BRONZE MEDALS]])</f>
        <v>1</v>
      </c>
      <c r="G1396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10000100</v>
      </c>
      <c r="H1396" s="3">
        <f>IF(TS_ATHLETES[[#This Row],[TOTAL]]=0,"",RANK(TS_ATHLETES[[#This Row],[RANK VALUE]],TS_ATHLETES[RANK VALUE]))</f>
        <v>660</v>
      </c>
      <c r="I1396" s="3">
        <f>IFERROR(IF(TS_ATHLETES[[#This Row],[TOTAL]]=0,"",RANK(TS_ATHLETES[[#This Row],[RANK VALUE]],TS_ATHLETES[RANK VALUE])+COUNTIF($H$1:H1395,H1396)),"")</f>
        <v>1073</v>
      </c>
    </row>
    <row r="1397" spans="1:9" x14ac:dyDescent="0.25">
      <c r="A1397" t="s">
        <v>2299</v>
      </c>
      <c r="B1397" s="3" t="s">
        <v>171</v>
      </c>
      <c r="C1397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1397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1</v>
      </c>
      <c r="E1397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1397" s="3">
        <f>SUM(TS_ATHLETES[[#This Row],[GOLD MEDALS]:[BRONZE MEDALS]])</f>
        <v>1</v>
      </c>
      <c r="G1397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10000100</v>
      </c>
      <c r="H1397" s="3">
        <f>IF(TS_ATHLETES[[#This Row],[TOTAL]]=0,"",RANK(TS_ATHLETES[[#This Row],[RANK VALUE]],TS_ATHLETES[RANK VALUE]))</f>
        <v>660</v>
      </c>
      <c r="I1397" s="3">
        <f>IFERROR(IF(TS_ATHLETES[[#This Row],[TOTAL]]=0,"",RANK(TS_ATHLETES[[#This Row],[RANK VALUE]],TS_ATHLETES[RANK VALUE])+COUNTIF($H$1:H1396,H1397)),"")</f>
        <v>1074</v>
      </c>
    </row>
    <row r="1398" spans="1:9" x14ac:dyDescent="0.25">
      <c r="A1398" t="s">
        <v>2300</v>
      </c>
      <c r="B1398" s="3" t="s">
        <v>261</v>
      </c>
      <c r="C1398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1398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1398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1</v>
      </c>
      <c r="F1398" s="3">
        <f>SUM(TS_ATHLETES[[#This Row],[GOLD MEDALS]:[BRONZE MEDALS]])</f>
        <v>1</v>
      </c>
      <c r="G1398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10000010</v>
      </c>
      <c r="H1398" s="3">
        <f>IF(TS_ATHLETES[[#This Row],[TOTAL]]=0,"",RANK(TS_ATHLETES[[#This Row],[RANK VALUE]],TS_ATHLETES[RANK VALUE]))</f>
        <v>1224</v>
      </c>
      <c r="I1398" s="3">
        <f>IFERROR(IF(TS_ATHLETES[[#This Row],[TOTAL]]=0,"",RANK(TS_ATHLETES[[#This Row],[RANK VALUE]],TS_ATHLETES[RANK VALUE])+COUNTIF($H$1:H1397,H1398)),"")</f>
        <v>1707</v>
      </c>
    </row>
    <row r="1399" spans="1:9" x14ac:dyDescent="0.25">
      <c r="A1399" t="s">
        <v>2301</v>
      </c>
      <c r="B1399" s="3" t="s">
        <v>261</v>
      </c>
      <c r="C1399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1399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1399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1</v>
      </c>
      <c r="F1399" s="3">
        <f>SUM(TS_ATHLETES[[#This Row],[GOLD MEDALS]:[BRONZE MEDALS]])</f>
        <v>1</v>
      </c>
      <c r="G1399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10000010</v>
      </c>
      <c r="H1399" s="3">
        <f>IF(TS_ATHLETES[[#This Row],[TOTAL]]=0,"",RANK(TS_ATHLETES[[#This Row],[RANK VALUE]],TS_ATHLETES[RANK VALUE]))</f>
        <v>1224</v>
      </c>
      <c r="I1399" s="3">
        <f>IFERROR(IF(TS_ATHLETES[[#This Row],[TOTAL]]=0,"",RANK(TS_ATHLETES[[#This Row],[RANK VALUE]],TS_ATHLETES[RANK VALUE])+COUNTIF($H$1:H1398,H1399)),"")</f>
        <v>1708</v>
      </c>
    </row>
    <row r="1400" spans="1:9" x14ac:dyDescent="0.25">
      <c r="A1400" t="s">
        <v>2302</v>
      </c>
      <c r="B1400" s="3" t="s">
        <v>333</v>
      </c>
      <c r="C1400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1</v>
      </c>
      <c r="D1400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1400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1400" s="3">
        <f>SUM(TS_ATHLETES[[#This Row],[GOLD MEDALS]:[BRONZE MEDALS]])</f>
        <v>1</v>
      </c>
      <c r="G1400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10100000</v>
      </c>
      <c r="H1400" s="3">
        <f>IF(TS_ATHLETES[[#This Row],[TOTAL]]=0,"",RANK(TS_ATHLETES[[#This Row],[RANK VALUE]],TS_ATHLETES[RANK VALUE]))</f>
        <v>129</v>
      </c>
      <c r="I1400" s="3">
        <f>IFERROR(IF(TS_ATHLETES[[#This Row],[TOTAL]]=0,"",RANK(TS_ATHLETES[[#This Row],[RANK VALUE]],TS_ATHLETES[RANK VALUE])+COUNTIF($H$1:H1399,H1400)),"")</f>
        <v>513</v>
      </c>
    </row>
    <row r="1401" spans="1:9" x14ac:dyDescent="0.25">
      <c r="A1401" t="s">
        <v>2303</v>
      </c>
      <c r="B1401" s="3" t="s">
        <v>333</v>
      </c>
      <c r="C1401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1</v>
      </c>
      <c r="D1401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1401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1401" s="3">
        <f>SUM(TS_ATHLETES[[#This Row],[GOLD MEDALS]:[BRONZE MEDALS]])</f>
        <v>1</v>
      </c>
      <c r="G1401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10100000</v>
      </c>
      <c r="H1401" s="3">
        <f>IF(TS_ATHLETES[[#This Row],[TOTAL]]=0,"",RANK(TS_ATHLETES[[#This Row],[RANK VALUE]],TS_ATHLETES[RANK VALUE]))</f>
        <v>129</v>
      </c>
      <c r="I1401" s="3">
        <f>IFERROR(IF(TS_ATHLETES[[#This Row],[TOTAL]]=0,"",RANK(TS_ATHLETES[[#This Row],[RANK VALUE]],TS_ATHLETES[RANK VALUE])+COUNTIF($H$1:H1400,H1401)),"")</f>
        <v>514</v>
      </c>
    </row>
    <row r="1402" spans="1:9" x14ac:dyDescent="0.25">
      <c r="A1402" t="s">
        <v>2304</v>
      </c>
      <c r="B1402" s="3" t="s">
        <v>333</v>
      </c>
      <c r="C1402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1</v>
      </c>
      <c r="D1402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1402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1402" s="3">
        <f>SUM(TS_ATHLETES[[#This Row],[GOLD MEDALS]:[BRONZE MEDALS]])</f>
        <v>1</v>
      </c>
      <c r="G1402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10100000</v>
      </c>
      <c r="H1402" s="3">
        <f>IF(TS_ATHLETES[[#This Row],[TOTAL]]=0,"",RANK(TS_ATHLETES[[#This Row],[RANK VALUE]],TS_ATHLETES[RANK VALUE]))</f>
        <v>129</v>
      </c>
      <c r="I1402" s="3">
        <f>IFERROR(IF(TS_ATHLETES[[#This Row],[TOTAL]]=0,"",RANK(TS_ATHLETES[[#This Row],[RANK VALUE]],TS_ATHLETES[RANK VALUE])+COUNTIF($H$1:H1401,H1402)),"")</f>
        <v>515</v>
      </c>
    </row>
    <row r="1403" spans="1:9" x14ac:dyDescent="0.25">
      <c r="A1403" t="s">
        <v>2305</v>
      </c>
      <c r="B1403" s="3" t="s">
        <v>333</v>
      </c>
      <c r="C1403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1</v>
      </c>
      <c r="D1403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1403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1403" s="3">
        <f>SUM(TS_ATHLETES[[#This Row],[GOLD MEDALS]:[BRONZE MEDALS]])</f>
        <v>1</v>
      </c>
      <c r="G1403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10100000</v>
      </c>
      <c r="H1403" s="3">
        <f>IF(TS_ATHLETES[[#This Row],[TOTAL]]=0,"",RANK(TS_ATHLETES[[#This Row],[RANK VALUE]],TS_ATHLETES[RANK VALUE]))</f>
        <v>129</v>
      </c>
      <c r="I1403" s="3">
        <f>IFERROR(IF(TS_ATHLETES[[#This Row],[TOTAL]]=0,"",RANK(TS_ATHLETES[[#This Row],[RANK VALUE]],TS_ATHLETES[RANK VALUE])+COUNTIF($H$1:H1402,H1403)),"")</f>
        <v>516</v>
      </c>
    </row>
    <row r="1404" spans="1:9" x14ac:dyDescent="0.25">
      <c r="A1404" t="s">
        <v>2306</v>
      </c>
      <c r="B1404" s="3" t="s">
        <v>100</v>
      </c>
      <c r="C1404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1404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1</v>
      </c>
      <c r="E1404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1404" s="3">
        <f>SUM(TS_ATHLETES[[#This Row],[GOLD MEDALS]:[BRONZE MEDALS]])</f>
        <v>1</v>
      </c>
      <c r="G1404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10000100</v>
      </c>
      <c r="H1404" s="3">
        <f>IF(TS_ATHLETES[[#This Row],[TOTAL]]=0,"",RANK(TS_ATHLETES[[#This Row],[RANK VALUE]],TS_ATHLETES[RANK VALUE]))</f>
        <v>660</v>
      </c>
      <c r="I1404" s="3">
        <f>IFERROR(IF(TS_ATHLETES[[#This Row],[TOTAL]]=0,"",RANK(TS_ATHLETES[[#This Row],[RANK VALUE]],TS_ATHLETES[RANK VALUE])+COUNTIF($H$1:H1403,H1404)),"")</f>
        <v>1075</v>
      </c>
    </row>
    <row r="1405" spans="1:9" x14ac:dyDescent="0.25">
      <c r="A1405" t="s">
        <v>2307</v>
      </c>
      <c r="B1405" s="3" t="s">
        <v>100</v>
      </c>
      <c r="C1405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1405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1</v>
      </c>
      <c r="E1405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1405" s="3">
        <f>SUM(TS_ATHLETES[[#This Row],[GOLD MEDALS]:[BRONZE MEDALS]])</f>
        <v>1</v>
      </c>
      <c r="G1405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10000100</v>
      </c>
      <c r="H1405" s="3">
        <f>IF(TS_ATHLETES[[#This Row],[TOTAL]]=0,"",RANK(TS_ATHLETES[[#This Row],[RANK VALUE]],TS_ATHLETES[RANK VALUE]))</f>
        <v>660</v>
      </c>
      <c r="I1405" s="3">
        <f>IFERROR(IF(TS_ATHLETES[[#This Row],[TOTAL]]=0,"",RANK(TS_ATHLETES[[#This Row],[RANK VALUE]],TS_ATHLETES[RANK VALUE])+COUNTIF($H$1:H1404,H1405)),"")</f>
        <v>1076</v>
      </c>
    </row>
    <row r="1406" spans="1:9" x14ac:dyDescent="0.25">
      <c r="A1406" t="s">
        <v>2308</v>
      </c>
      <c r="B1406" s="3" t="s">
        <v>100</v>
      </c>
      <c r="C1406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1406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1</v>
      </c>
      <c r="E1406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1406" s="3">
        <f>SUM(TS_ATHLETES[[#This Row],[GOLD MEDALS]:[BRONZE MEDALS]])</f>
        <v>1</v>
      </c>
      <c r="G1406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10000100</v>
      </c>
      <c r="H1406" s="3">
        <f>IF(TS_ATHLETES[[#This Row],[TOTAL]]=0,"",RANK(TS_ATHLETES[[#This Row],[RANK VALUE]],TS_ATHLETES[RANK VALUE]))</f>
        <v>660</v>
      </c>
      <c r="I1406" s="3">
        <f>IFERROR(IF(TS_ATHLETES[[#This Row],[TOTAL]]=0,"",RANK(TS_ATHLETES[[#This Row],[RANK VALUE]],TS_ATHLETES[RANK VALUE])+COUNTIF($H$1:H1405,H1406)),"")</f>
        <v>1077</v>
      </c>
    </row>
    <row r="1407" spans="1:9" x14ac:dyDescent="0.25">
      <c r="A1407" t="s">
        <v>2309</v>
      </c>
      <c r="B1407" s="3" t="s">
        <v>100</v>
      </c>
      <c r="C1407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1407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1</v>
      </c>
      <c r="E1407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1407" s="3">
        <f>SUM(TS_ATHLETES[[#This Row],[GOLD MEDALS]:[BRONZE MEDALS]])</f>
        <v>1</v>
      </c>
      <c r="G1407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10000100</v>
      </c>
      <c r="H1407" s="3">
        <f>IF(TS_ATHLETES[[#This Row],[TOTAL]]=0,"",RANK(TS_ATHLETES[[#This Row],[RANK VALUE]],TS_ATHLETES[RANK VALUE]))</f>
        <v>660</v>
      </c>
      <c r="I1407" s="3">
        <f>IFERROR(IF(TS_ATHLETES[[#This Row],[TOTAL]]=0,"",RANK(TS_ATHLETES[[#This Row],[RANK VALUE]],TS_ATHLETES[RANK VALUE])+COUNTIF($H$1:H1406,H1407)),"")</f>
        <v>1078</v>
      </c>
    </row>
    <row r="1408" spans="1:9" x14ac:dyDescent="0.25">
      <c r="A1408" t="s">
        <v>2310</v>
      </c>
      <c r="B1408" s="3" t="s">
        <v>128</v>
      </c>
      <c r="C1408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1408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1408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1</v>
      </c>
      <c r="F1408" s="3">
        <f>SUM(TS_ATHLETES[[#This Row],[GOLD MEDALS]:[BRONZE MEDALS]])</f>
        <v>1</v>
      </c>
      <c r="G1408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10000010</v>
      </c>
      <c r="H1408" s="3">
        <f>IF(TS_ATHLETES[[#This Row],[TOTAL]]=0,"",RANK(TS_ATHLETES[[#This Row],[RANK VALUE]],TS_ATHLETES[RANK VALUE]))</f>
        <v>1224</v>
      </c>
      <c r="I1408" s="3">
        <f>IFERROR(IF(TS_ATHLETES[[#This Row],[TOTAL]]=0,"",RANK(TS_ATHLETES[[#This Row],[RANK VALUE]],TS_ATHLETES[RANK VALUE])+COUNTIF($H$1:H1407,H1408)),"")</f>
        <v>1709</v>
      </c>
    </row>
    <row r="1409" spans="1:9" x14ac:dyDescent="0.25">
      <c r="A1409" t="s">
        <v>2311</v>
      </c>
      <c r="B1409" s="3" t="s">
        <v>128</v>
      </c>
      <c r="C1409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1409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1409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1</v>
      </c>
      <c r="F1409" s="3">
        <f>SUM(TS_ATHLETES[[#This Row],[GOLD MEDALS]:[BRONZE MEDALS]])</f>
        <v>1</v>
      </c>
      <c r="G1409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10000010</v>
      </c>
      <c r="H1409" s="3">
        <f>IF(TS_ATHLETES[[#This Row],[TOTAL]]=0,"",RANK(TS_ATHLETES[[#This Row],[RANK VALUE]],TS_ATHLETES[RANK VALUE]))</f>
        <v>1224</v>
      </c>
      <c r="I1409" s="3">
        <f>IFERROR(IF(TS_ATHLETES[[#This Row],[TOTAL]]=0,"",RANK(TS_ATHLETES[[#This Row],[RANK VALUE]],TS_ATHLETES[RANK VALUE])+COUNTIF($H$1:H1408,H1409)),"")</f>
        <v>1710</v>
      </c>
    </row>
    <row r="1410" spans="1:9" x14ac:dyDescent="0.25">
      <c r="A1410" t="s">
        <v>2312</v>
      </c>
      <c r="B1410" s="3" t="s">
        <v>128</v>
      </c>
      <c r="C1410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1410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1410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1</v>
      </c>
      <c r="F1410" s="3">
        <f>SUM(TS_ATHLETES[[#This Row],[GOLD MEDALS]:[BRONZE MEDALS]])</f>
        <v>1</v>
      </c>
      <c r="G1410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10000010</v>
      </c>
      <c r="H1410" s="3">
        <f>IF(TS_ATHLETES[[#This Row],[TOTAL]]=0,"",RANK(TS_ATHLETES[[#This Row],[RANK VALUE]],TS_ATHLETES[RANK VALUE]))</f>
        <v>1224</v>
      </c>
      <c r="I1410" s="3">
        <f>IFERROR(IF(TS_ATHLETES[[#This Row],[TOTAL]]=0,"",RANK(TS_ATHLETES[[#This Row],[RANK VALUE]],TS_ATHLETES[RANK VALUE])+COUNTIF($H$1:H1409,H1410)),"")</f>
        <v>1711</v>
      </c>
    </row>
    <row r="1411" spans="1:9" x14ac:dyDescent="0.25">
      <c r="A1411" t="s">
        <v>2313</v>
      </c>
      <c r="B1411" s="3" t="s">
        <v>128</v>
      </c>
      <c r="C1411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1411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1411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1</v>
      </c>
      <c r="F1411" s="3">
        <f>SUM(TS_ATHLETES[[#This Row],[GOLD MEDALS]:[BRONZE MEDALS]])</f>
        <v>1</v>
      </c>
      <c r="G1411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10000010</v>
      </c>
      <c r="H1411" s="3">
        <f>IF(TS_ATHLETES[[#This Row],[TOTAL]]=0,"",RANK(TS_ATHLETES[[#This Row],[RANK VALUE]],TS_ATHLETES[RANK VALUE]))</f>
        <v>1224</v>
      </c>
      <c r="I1411" s="3">
        <f>IFERROR(IF(TS_ATHLETES[[#This Row],[TOTAL]]=0,"",RANK(TS_ATHLETES[[#This Row],[RANK VALUE]],TS_ATHLETES[RANK VALUE])+COUNTIF($H$1:H1410,H1411)),"")</f>
        <v>1712</v>
      </c>
    </row>
    <row r="1412" spans="1:9" x14ac:dyDescent="0.25">
      <c r="A1412" t="s">
        <v>2314</v>
      </c>
      <c r="B1412" s="3" t="s">
        <v>136</v>
      </c>
      <c r="C1412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1</v>
      </c>
      <c r="D1412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1412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1412" s="3">
        <f>SUM(TS_ATHLETES[[#This Row],[GOLD MEDALS]:[BRONZE MEDALS]])</f>
        <v>1</v>
      </c>
      <c r="G1412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10100000</v>
      </c>
      <c r="H1412" s="3">
        <f>IF(TS_ATHLETES[[#This Row],[TOTAL]]=0,"",RANK(TS_ATHLETES[[#This Row],[RANK VALUE]],TS_ATHLETES[RANK VALUE]))</f>
        <v>129</v>
      </c>
      <c r="I1412" s="3">
        <f>IFERROR(IF(TS_ATHLETES[[#This Row],[TOTAL]]=0,"",RANK(TS_ATHLETES[[#This Row],[RANK VALUE]],TS_ATHLETES[RANK VALUE])+COUNTIF($H$1:H1411,H1412)),"")</f>
        <v>517</v>
      </c>
    </row>
    <row r="1413" spans="1:9" x14ac:dyDescent="0.25">
      <c r="A1413" t="s">
        <v>2315</v>
      </c>
      <c r="B1413" s="3" t="s">
        <v>136</v>
      </c>
      <c r="C1413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1</v>
      </c>
      <c r="D1413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1413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1413" s="3">
        <f>SUM(TS_ATHLETES[[#This Row],[GOLD MEDALS]:[BRONZE MEDALS]])</f>
        <v>1</v>
      </c>
      <c r="G1413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10100000</v>
      </c>
      <c r="H1413" s="3">
        <f>IF(TS_ATHLETES[[#This Row],[TOTAL]]=0,"",RANK(TS_ATHLETES[[#This Row],[RANK VALUE]],TS_ATHLETES[RANK VALUE]))</f>
        <v>129</v>
      </c>
      <c r="I1413" s="3">
        <f>IFERROR(IF(TS_ATHLETES[[#This Row],[TOTAL]]=0,"",RANK(TS_ATHLETES[[#This Row],[RANK VALUE]],TS_ATHLETES[RANK VALUE])+COUNTIF($H$1:H1412,H1413)),"")</f>
        <v>518</v>
      </c>
    </row>
    <row r="1414" spans="1:9" x14ac:dyDescent="0.25">
      <c r="A1414" t="s">
        <v>2316</v>
      </c>
      <c r="B1414" s="3" t="s">
        <v>136</v>
      </c>
      <c r="C1414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1</v>
      </c>
      <c r="D1414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1414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1414" s="3">
        <f>SUM(TS_ATHLETES[[#This Row],[GOLD MEDALS]:[BRONZE MEDALS]])</f>
        <v>1</v>
      </c>
      <c r="G1414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10100000</v>
      </c>
      <c r="H1414" s="3">
        <f>IF(TS_ATHLETES[[#This Row],[TOTAL]]=0,"",RANK(TS_ATHLETES[[#This Row],[RANK VALUE]],TS_ATHLETES[RANK VALUE]))</f>
        <v>129</v>
      </c>
      <c r="I1414" s="3">
        <f>IFERROR(IF(TS_ATHLETES[[#This Row],[TOTAL]]=0,"",RANK(TS_ATHLETES[[#This Row],[RANK VALUE]],TS_ATHLETES[RANK VALUE])+COUNTIF($H$1:H1413,H1414)),"")</f>
        <v>519</v>
      </c>
    </row>
    <row r="1415" spans="1:9" x14ac:dyDescent="0.25">
      <c r="A1415" t="s">
        <v>2317</v>
      </c>
      <c r="B1415" s="3" t="s">
        <v>136</v>
      </c>
      <c r="C1415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1</v>
      </c>
      <c r="D1415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1415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1415" s="3">
        <f>SUM(TS_ATHLETES[[#This Row],[GOLD MEDALS]:[BRONZE MEDALS]])</f>
        <v>1</v>
      </c>
      <c r="G1415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10100000</v>
      </c>
      <c r="H1415" s="3">
        <f>IF(TS_ATHLETES[[#This Row],[TOTAL]]=0,"",RANK(TS_ATHLETES[[#This Row],[RANK VALUE]],TS_ATHLETES[RANK VALUE]))</f>
        <v>129</v>
      </c>
      <c r="I1415" s="3">
        <f>IFERROR(IF(TS_ATHLETES[[#This Row],[TOTAL]]=0,"",RANK(TS_ATHLETES[[#This Row],[RANK VALUE]],TS_ATHLETES[RANK VALUE])+COUNTIF($H$1:H1414,H1415)),"")</f>
        <v>520</v>
      </c>
    </row>
    <row r="1416" spans="1:9" x14ac:dyDescent="0.25">
      <c r="A1416" t="s">
        <v>2318</v>
      </c>
      <c r="B1416" s="3" t="s">
        <v>250</v>
      </c>
      <c r="C1416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1416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1</v>
      </c>
      <c r="E1416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1416" s="3">
        <f>SUM(TS_ATHLETES[[#This Row],[GOLD MEDALS]:[BRONZE MEDALS]])</f>
        <v>1</v>
      </c>
      <c r="G1416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10000100</v>
      </c>
      <c r="H1416" s="3">
        <f>IF(TS_ATHLETES[[#This Row],[TOTAL]]=0,"",RANK(TS_ATHLETES[[#This Row],[RANK VALUE]],TS_ATHLETES[RANK VALUE]))</f>
        <v>660</v>
      </c>
      <c r="I1416" s="3">
        <f>IFERROR(IF(TS_ATHLETES[[#This Row],[TOTAL]]=0,"",RANK(TS_ATHLETES[[#This Row],[RANK VALUE]],TS_ATHLETES[RANK VALUE])+COUNTIF($H$1:H1415,H1416)),"")</f>
        <v>1079</v>
      </c>
    </row>
    <row r="1417" spans="1:9" x14ac:dyDescent="0.25">
      <c r="A1417" t="s">
        <v>2319</v>
      </c>
      <c r="B1417" s="3" t="s">
        <v>250</v>
      </c>
      <c r="C1417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1417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1</v>
      </c>
      <c r="E1417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1417" s="3">
        <f>SUM(TS_ATHLETES[[#This Row],[GOLD MEDALS]:[BRONZE MEDALS]])</f>
        <v>1</v>
      </c>
      <c r="G1417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10000100</v>
      </c>
      <c r="H1417" s="3">
        <f>IF(TS_ATHLETES[[#This Row],[TOTAL]]=0,"",RANK(TS_ATHLETES[[#This Row],[RANK VALUE]],TS_ATHLETES[RANK VALUE]))</f>
        <v>660</v>
      </c>
      <c r="I1417" s="3">
        <f>IFERROR(IF(TS_ATHLETES[[#This Row],[TOTAL]]=0,"",RANK(TS_ATHLETES[[#This Row],[RANK VALUE]],TS_ATHLETES[RANK VALUE])+COUNTIF($H$1:H1416,H1417)),"")</f>
        <v>1080</v>
      </c>
    </row>
    <row r="1418" spans="1:9" x14ac:dyDescent="0.25">
      <c r="A1418" t="s">
        <v>2320</v>
      </c>
      <c r="B1418" s="3" t="s">
        <v>250</v>
      </c>
      <c r="C1418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1418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1</v>
      </c>
      <c r="E1418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1418" s="3">
        <f>SUM(TS_ATHLETES[[#This Row],[GOLD MEDALS]:[BRONZE MEDALS]])</f>
        <v>1</v>
      </c>
      <c r="G1418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10000100</v>
      </c>
      <c r="H1418" s="3">
        <f>IF(TS_ATHLETES[[#This Row],[TOTAL]]=0,"",RANK(TS_ATHLETES[[#This Row],[RANK VALUE]],TS_ATHLETES[RANK VALUE]))</f>
        <v>660</v>
      </c>
      <c r="I1418" s="3">
        <f>IFERROR(IF(TS_ATHLETES[[#This Row],[TOTAL]]=0,"",RANK(TS_ATHLETES[[#This Row],[RANK VALUE]],TS_ATHLETES[RANK VALUE])+COUNTIF($H$1:H1417,H1418)),"")</f>
        <v>1081</v>
      </c>
    </row>
    <row r="1419" spans="1:9" x14ac:dyDescent="0.25">
      <c r="A1419" t="s">
        <v>2321</v>
      </c>
      <c r="B1419" s="3" t="s">
        <v>250</v>
      </c>
      <c r="C1419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1419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1</v>
      </c>
      <c r="E1419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1419" s="3">
        <f>SUM(TS_ATHLETES[[#This Row],[GOLD MEDALS]:[BRONZE MEDALS]])</f>
        <v>1</v>
      </c>
      <c r="G1419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10000100</v>
      </c>
      <c r="H1419" s="3">
        <f>IF(TS_ATHLETES[[#This Row],[TOTAL]]=0,"",RANK(TS_ATHLETES[[#This Row],[RANK VALUE]],TS_ATHLETES[RANK VALUE]))</f>
        <v>660</v>
      </c>
      <c r="I1419" s="3">
        <f>IFERROR(IF(TS_ATHLETES[[#This Row],[TOTAL]]=0,"",RANK(TS_ATHLETES[[#This Row],[RANK VALUE]],TS_ATHLETES[RANK VALUE])+COUNTIF($H$1:H1418,H1419)),"")</f>
        <v>1082</v>
      </c>
    </row>
    <row r="1420" spans="1:9" x14ac:dyDescent="0.25">
      <c r="A1420" t="s">
        <v>2322</v>
      </c>
      <c r="B1420" s="3" t="s">
        <v>280</v>
      </c>
      <c r="C1420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1420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1420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1</v>
      </c>
      <c r="F1420" s="3">
        <f>SUM(TS_ATHLETES[[#This Row],[GOLD MEDALS]:[BRONZE MEDALS]])</f>
        <v>1</v>
      </c>
      <c r="G1420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10000010</v>
      </c>
      <c r="H1420" s="3">
        <f>IF(TS_ATHLETES[[#This Row],[TOTAL]]=0,"",RANK(TS_ATHLETES[[#This Row],[RANK VALUE]],TS_ATHLETES[RANK VALUE]))</f>
        <v>1224</v>
      </c>
      <c r="I1420" s="3">
        <f>IFERROR(IF(TS_ATHLETES[[#This Row],[TOTAL]]=0,"",RANK(TS_ATHLETES[[#This Row],[RANK VALUE]],TS_ATHLETES[RANK VALUE])+COUNTIF($H$1:H1419,H1420)),"")</f>
        <v>1713</v>
      </c>
    </row>
    <row r="1421" spans="1:9" x14ac:dyDescent="0.25">
      <c r="A1421" t="s">
        <v>2323</v>
      </c>
      <c r="B1421" s="3" t="s">
        <v>280</v>
      </c>
      <c r="C1421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1421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1421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1</v>
      </c>
      <c r="F1421" s="3">
        <f>SUM(TS_ATHLETES[[#This Row],[GOLD MEDALS]:[BRONZE MEDALS]])</f>
        <v>1</v>
      </c>
      <c r="G1421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10000010</v>
      </c>
      <c r="H1421" s="3">
        <f>IF(TS_ATHLETES[[#This Row],[TOTAL]]=0,"",RANK(TS_ATHLETES[[#This Row],[RANK VALUE]],TS_ATHLETES[RANK VALUE]))</f>
        <v>1224</v>
      </c>
      <c r="I1421" s="3">
        <f>IFERROR(IF(TS_ATHLETES[[#This Row],[TOTAL]]=0,"",RANK(TS_ATHLETES[[#This Row],[RANK VALUE]],TS_ATHLETES[RANK VALUE])+COUNTIF($H$1:H1420,H1421)),"")</f>
        <v>1714</v>
      </c>
    </row>
    <row r="1422" spans="1:9" x14ac:dyDescent="0.25">
      <c r="A1422" t="s">
        <v>2324</v>
      </c>
      <c r="B1422" s="3" t="s">
        <v>280</v>
      </c>
      <c r="C1422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1422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1422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1</v>
      </c>
      <c r="F1422" s="3">
        <f>SUM(TS_ATHLETES[[#This Row],[GOLD MEDALS]:[BRONZE MEDALS]])</f>
        <v>1</v>
      </c>
      <c r="G1422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10000010</v>
      </c>
      <c r="H1422" s="3">
        <f>IF(TS_ATHLETES[[#This Row],[TOTAL]]=0,"",RANK(TS_ATHLETES[[#This Row],[RANK VALUE]],TS_ATHLETES[RANK VALUE]))</f>
        <v>1224</v>
      </c>
      <c r="I1422" s="3">
        <f>IFERROR(IF(TS_ATHLETES[[#This Row],[TOTAL]]=0,"",RANK(TS_ATHLETES[[#This Row],[RANK VALUE]],TS_ATHLETES[RANK VALUE])+COUNTIF($H$1:H1421,H1422)),"")</f>
        <v>1715</v>
      </c>
    </row>
    <row r="1423" spans="1:9" x14ac:dyDescent="0.25">
      <c r="A1423" t="s">
        <v>2325</v>
      </c>
      <c r="B1423" s="3" t="s">
        <v>280</v>
      </c>
      <c r="C1423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1423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1423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1</v>
      </c>
      <c r="F1423" s="3">
        <f>SUM(TS_ATHLETES[[#This Row],[GOLD MEDALS]:[BRONZE MEDALS]])</f>
        <v>1</v>
      </c>
      <c r="G1423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10000010</v>
      </c>
      <c r="H1423" s="3">
        <f>IF(TS_ATHLETES[[#This Row],[TOTAL]]=0,"",RANK(TS_ATHLETES[[#This Row],[RANK VALUE]],TS_ATHLETES[RANK VALUE]))</f>
        <v>1224</v>
      </c>
      <c r="I1423" s="3">
        <f>IFERROR(IF(TS_ATHLETES[[#This Row],[TOTAL]]=0,"",RANK(TS_ATHLETES[[#This Row],[RANK VALUE]],TS_ATHLETES[RANK VALUE])+COUNTIF($H$1:H1422,H1423)),"")</f>
        <v>1716</v>
      </c>
    </row>
    <row r="1424" spans="1:9" x14ac:dyDescent="0.25">
      <c r="A1424" t="s">
        <v>2326</v>
      </c>
      <c r="B1424" s="3" t="s">
        <v>136</v>
      </c>
      <c r="C1424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1</v>
      </c>
      <c r="D1424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1424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1424" s="3">
        <f>SUM(TS_ATHLETES[[#This Row],[GOLD MEDALS]:[BRONZE MEDALS]])</f>
        <v>1</v>
      </c>
      <c r="G1424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10100000</v>
      </c>
      <c r="H1424" s="3">
        <f>IF(TS_ATHLETES[[#This Row],[TOTAL]]=0,"",RANK(TS_ATHLETES[[#This Row],[RANK VALUE]],TS_ATHLETES[RANK VALUE]))</f>
        <v>129</v>
      </c>
      <c r="I1424" s="3">
        <f>IFERROR(IF(TS_ATHLETES[[#This Row],[TOTAL]]=0,"",RANK(TS_ATHLETES[[#This Row],[RANK VALUE]],TS_ATHLETES[RANK VALUE])+COUNTIF($H$1:H1423,H1424)),"")</f>
        <v>521</v>
      </c>
    </row>
    <row r="1425" spans="1:9" x14ac:dyDescent="0.25">
      <c r="A1425" t="s">
        <v>2327</v>
      </c>
      <c r="B1425" s="3" t="s">
        <v>136</v>
      </c>
      <c r="C1425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1</v>
      </c>
      <c r="D1425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1425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1425" s="3">
        <f>SUM(TS_ATHLETES[[#This Row],[GOLD MEDALS]:[BRONZE MEDALS]])</f>
        <v>1</v>
      </c>
      <c r="G1425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10100000</v>
      </c>
      <c r="H1425" s="3">
        <f>IF(TS_ATHLETES[[#This Row],[TOTAL]]=0,"",RANK(TS_ATHLETES[[#This Row],[RANK VALUE]],TS_ATHLETES[RANK VALUE]))</f>
        <v>129</v>
      </c>
      <c r="I1425" s="3">
        <f>IFERROR(IF(TS_ATHLETES[[#This Row],[TOTAL]]=0,"",RANK(TS_ATHLETES[[#This Row],[RANK VALUE]],TS_ATHLETES[RANK VALUE])+COUNTIF($H$1:H1424,H1425)),"")</f>
        <v>522</v>
      </c>
    </row>
    <row r="1426" spans="1:9" x14ac:dyDescent="0.25">
      <c r="A1426" t="s">
        <v>2328</v>
      </c>
      <c r="B1426" s="3" t="s">
        <v>136</v>
      </c>
      <c r="C1426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1</v>
      </c>
      <c r="D1426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1426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1426" s="3">
        <f>SUM(TS_ATHLETES[[#This Row],[GOLD MEDALS]:[BRONZE MEDALS]])</f>
        <v>1</v>
      </c>
      <c r="G1426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10100000</v>
      </c>
      <c r="H1426" s="3">
        <f>IF(TS_ATHLETES[[#This Row],[TOTAL]]=0,"",RANK(TS_ATHLETES[[#This Row],[RANK VALUE]],TS_ATHLETES[RANK VALUE]))</f>
        <v>129</v>
      </c>
      <c r="I1426" s="3">
        <f>IFERROR(IF(TS_ATHLETES[[#This Row],[TOTAL]]=0,"",RANK(TS_ATHLETES[[#This Row],[RANK VALUE]],TS_ATHLETES[RANK VALUE])+COUNTIF($H$1:H1425,H1426)),"")</f>
        <v>523</v>
      </c>
    </row>
    <row r="1427" spans="1:9" x14ac:dyDescent="0.25">
      <c r="A1427" t="s">
        <v>2329</v>
      </c>
      <c r="B1427" s="3" t="s">
        <v>136</v>
      </c>
      <c r="C1427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1</v>
      </c>
      <c r="D1427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1427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1427" s="3">
        <f>SUM(TS_ATHLETES[[#This Row],[GOLD MEDALS]:[BRONZE MEDALS]])</f>
        <v>1</v>
      </c>
      <c r="G1427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10100000</v>
      </c>
      <c r="H1427" s="3">
        <f>IF(TS_ATHLETES[[#This Row],[TOTAL]]=0,"",RANK(TS_ATHLETES[[#This Row],[RANK VALUE]],TS_ATHLETES[RANK VALUE]))</f>
        <v>129</v>
      </c>
      <c r="I1427" s="3">
        <f>IFERROR(IF(TS_ATHLETES[[#This Row],[TOTAL]]=0,"",RANK(TS_ATHLETES[[#This Row],[RANK VALUE]],TS_ATHLETES[RANK VALUE])+COUNTIF($H$1:H1426,H1427)),"")</f>
        <v>524</v>
      </c>
    </row>
    <row r="1428" spans="1:9" x14ac:dyDescent="0.25">
      <c r="A1428" t="s">
        <v>2330</v>
      </c>
      <c r="B1428" s="3" t="s">
        <v>21</v>
      </c>
      <c r="C1428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1428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1</v>
      </c>
      <c r="E1428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1428" s="3">
        <f>SUM(TS_ATHLETES[[#This Row],[GOLD MEDALS]:[BRONZE MEDALS]])</f>
        <v>1</v>
      </c>
      <c r="G1428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10000100</v>
      </c>
      <c r="H1428" s="3">
        <f>IF(TS_ATHLETES[[#This Row],[TOTAL]]=0,"",RANK(TS_ATHLETES[[#This Row],[RANK VALUE]],TS_ATHLETES[RANK VALUE]))</f>
        <v>660</v>
      </c>
      <c r="I1428" s="3">
        <f>IFERROR(IF(TS_ATHLETES[[#This Row],[TOTAL]]=0,"",RANK(TS_ATHLETES[[#This Row],[RANK VALUE]],TS_ATHLETES[RANK VALUE])+COUNTIF($H$1:H1427,H1428)),"")</f>
        <v>1083</v>
      </c>
    </row>
    <row r="1429" spans="1:9" x14ac:dyDescent="0.25">
      <c r="A1429" t="s">
        <v>2331</v>
      </c>
      <c r="B1429" s="3" t="s">
        <v>21</v>
      </c>
      <c r="C1429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1429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1</v>
      </c>
      <c r="E1429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1429" s="3">
        <f>SUM(TS_ATHLETES[[#This Row],[GOLD MEDALS]:[BRONZE MEDALS]])</f>
        <v>1</v>
      </c>
      <c r="G1429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10000100</v>
      </c>
      <c r="H1429" s="3">
        <f>IF(TS_ATHLETES[[#This Row],[TOTAL]]=0,"",RANK(TS_ATHLETES[[#This Row],[RANK VALUE]],TS_ATHLETES[RANK VALUE]))</f>
        <v>660</v>
      </c>
      <c r="I1429" s="3">
        <f>IFERROR(IF(TS_ATHLETES[[#This Row],[TOTAL]]=0,"",RANK(TS_ATHLETES[[#This Row],[RANK VALUE]],TS_ATHLETES[RANK VALUE])+COUNTIF($H$1:H1428,H1429)),"")</f>
        <v>1084</v>
      </c>
    </row>
    <row r="1430" spans="1:9" x14ac:dyDescent="0.25">
      <c r="A1430" t="s">
        <v>2332</v>
      </c>
      <c r="B1430" s="3" t="s">
        <v>21</v>
      </c>
      <c r="C1430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1430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1</v>
      </c>
      <c r="E1430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1430" s="3">
        <f>SUM(TS_ATHLETES[[#This Row],[GOLD MEDALS]:[BRONZE MEDALS]])</f>
        <v>1</v>
      </c>
      <c r="G1430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10000100</v>
      </c>
      <c r="H1430" s="3">
        <f>IF(TS_ATHLETES[[#This Row],[TOTAL]]=0,"",RANK(TS_ATHLETES[[#This Row],[RANK VALUE]],TS_ATHLETES[RANK VALUE]))</f>
        <v>660</v>
      </c>
      <c r="I1430" s="3">
        <f>IFERROR(IF(TS_ATHLETES[[#This Row],[TOTAL]]=0,"",RANK(TS_ATHLETES[[#This Row],[RANK VALUE]],TS_ATHLETES[RANK VALUE])+COUNTIF($H$1:H1429,H1430)),"")</f>
        <v>1085</v>
      </c>
    </row>
    <row r="1431" spans="1:9" x14ac:dyDescent="0.25">
      <c r="A1431" t="s">
        <v>2333</v>
      </c>
      <c r="B1431" s="3" t="s">
        <v>21</v>
      </c>
      <c r="C1431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1431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1</v>
      </c>
      <c r="E1431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1431" s="3">
        <f>SUM(TS_ATHLETES[[#This Row],[GOLD MEDALS]:[BRONZE MEDALS]])</f>
        <v>1</v>
      </c>
      <c r="G1431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10000100</v>
      </c>
      <c r="H1431" s="3">
        <f>IF(TS_ATHLETES[[#This Row],[TOTAL]]=0,"",RANK(TS_ATHLETES[[#This Row],[RANK VALUE]],TS_ATHLETES[RANK VALUE]))</f>
        <v>660</v>
      </c>
      <c r="I1431" s="3">
        <f>IFERROR(IF(TS_ATHLETES[[#This Row],[TOTAL]]=0,"",RANK(TS_ATHLETES[[#This Row],[RANK VALUE]],TS_ATHLETES[RANK VALUE])+COUNTIF($H$1:H1430,H1431)),"")</f>
        <v>1086</v>
      </c>
    </row>
    <row r="1432" spans="1:9" x14ac:dyDescent="0.25">
      <c r="A1432" t="s">
        <v>2334</v>
      </c>
      <c r="B1432" s="3" t="s">
        <v>120</v>
      </c>
      <c r="C1432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1432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1432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1</v>
      </c>
      <c r="F1432" s="3">
        <f>SUM(TS_ATHLETES[[#This Row],[GOLD MEDALS]:[BRONZE MEDALS]])</f>
        <v>1</v>
      </c>
      <c r="G1432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10000010</v>
      </c>
      <c r="H1432" s="3">
        <f>IF(TS_ATHLETES[[#This Row],[TOTAL]]=0,"",RANK(TS_ATHLETES[[#This Row],[RANK VALUE]],TS_ATHLETES[RANK VALUE]))</f>
        <v>1224</v>
      </c>
      <c r="I1432" s="3">
        <f>IFERROR(IF(TS_ATHLETES[[#This Row],[TOTAL]]=0,"",RANK(TS_ATHLETES[[#This Row],[RANK VALUE]],TS_ATHLETES[RANK VALUE])+COUNTIF($H$1:H1431,H1432)),"")</f>
        <v>1717</v>
      </c>
    </row>
    <row r="1433" spans="1:9" x14ac:dyDescent="0.25">
      <c r="A1433" t="s">
        <v>2335</v>
      </c>
      <c r="B1433" s="3" t="s">
        <v>120</v>
      </c>
      <c r="C1433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1433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1433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1</v>
      </c>
      <c r="F1433" s="3">
        <f>SUM(TS_ATHLETES[[#This Row],[GOLD MEDALS]:[BRONZE MEDALS]])</f>
        <v>1</v>
      </c>
      <c r="G1433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10000010</v>
      </c>
      <c r="H1433" s="3">
        <f>IF(TS_ATHLETES[[#This Row],[TOTAL]]=0,"",RANK(TS_ATHLETES[[#This Row],[RANK VALUE]],TS_ATHLETES[RANK VALUE]))</f>
        <v>1224</v>
      </c>
      <c r="I1433" s="3">
        <f>IFERROR(IF(TS_ATHLETES[[#This Row],[TOTAL]]=0,"",RANK(TS_ATHLETES[[#This Row],[RANK VALUE]],TS_ATHLETES[RANK VALUE])+COUNTIF($H$1:H1432,H1433)),"")</f>
        <v>1718</v>
      </c>
    </row>
    <row r="1434" spans="1:9" x14ac:dyDescent="0.25">
      <c r="A1434" t="s">
        <v>2336</v>
      </c>
      <c r="B1434" s="3" t="s">
        <v>120</v>
      </c>
      <c r="C1434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1434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1434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1</v>
      </c>
      <c r="F1434" s="3">
        <f>SUM(TS_ATHLETES[[#This Row],[GOLD MEDALS]:[BRONZE MEDALS]])</f>
        <v>1</v>
      </c>
      <c r="G1434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10000010</v>
      </c>
      <c r="H1434" s="3">
        <f>IF(TS_ATHLETES[[#This Row],[TOTAL]]=0,"",RANK(TS_ATHLETES[[#This Row],[RANK VALUE]],TS_ATHLETES[RANK VALUE]))</f>
        <v>1224</v>
      </c>
      <c r="I1434" s="3">
        <f>IFERROR(IF(TS_ATHLETES[[#This Row],[TOTAL]]=0,"",RANK(TS_ATHLETES[[#This Row],[RANK VALUE]],TS_ATHLETES[RANK VALUE])+COUNTIF($H$1:H1433,H1434)),"")</f>
        <v>1719</v>
      </c>
    </row>
    <row r="1435" spans="1:9" x14ac:dyDescent="0.25">
      <c r="A1435" t="s">
        <v>2337</v>
      </c>
      <c r="B1435" s="3" t="s">
        <v>120</v>
      </c>
      <c r="C1435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1435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1435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1</v>
      </c>
      <c r="F1435" s="3">
        <f>SUM(TS_ATHLETES[[#This Row],[GOLD MEDALS]:[BRONZE MEDALS]])</f>
        <v>1</v>
      </c>
      <c r="G1435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10000010</v>
      </c>
      <c r="H1435" s="3">
        <f>IF(TS_ATHLETES[[#This Row],[TOTAL]]=0,"",RANK(TS_ATHLETES[[#This Row],[RANK VALUE]],TS_ATHLETES[RANK VALUE]))</f>
        <v>1224</v>
      </c>
      <c r="I1435" s="3">
        <f>IFERROR(IF(TS_ATHLETES[[#This Row],[TOTAL]]=0,"",RANK(TS_ATHLETES[[#This Row],[RANK VALUE]],TS_ATHLETES[RANK VALUE])+COUNTIF($H$1:H1434,H1435)),"")</f>
        <v>1720</v>
      </c>
    </row>
    <row r="1436" spans="1:9" x14ac:dyDescent="0.25">
      <c r="A1436" t="s">
        <v>2338</v>
      </c>
      <c r="B1436" s="3" t="s">
        <v>363</v>
      </c>
      <c r="C1436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1</v>
      </c>
      <c r="D1436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1436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1436" s="3">
        <f>SUM(TS_ATHLETES[[#This Row],[GOLD MEDALS]:[BRONZE MEDALS]])</f>
        <v>1</v>
      </c>
      <c r="G1436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10100000</v>
      </c>
      <c r="H1436" s="3">
        <f>IF(TS_ATHLETES[[#This Row],[TOTAL]]=0,"",RANK(TS_ATHLETES[[#This Row],[RANK VALUE]],TS_ATHLETES[RANK VALUE]))</f>
        <v>129</v>
      </c>
      <c r="I1436" s="3">
        <f>IFERROR(IF(TS_ATHLETES[[#This Row],[TOTAL]]=0,"",RANK(TS_ATHLETES[[#This Row],[RANK VALUE]],TS_ATHLETES[RANK VALUE])+COUNTIF($H$1:H1435,H1436)),"")</f>
        <v>525</v>
      </c>
    </row>
    <row r="1437" spans="1:9" x14ac:dyDescent="0.25">
      <c r="A1437" t="s">
        <v>2339</v>
      </c>
      <c r="B1437" s="3" t="s">
        <v>363</v>
      </c>
      <c r="C1437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1</v>
      </c>
      <c r="D1437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1437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1437" s="3">
        <f>SUM(TS_ATHLETES[[#This Row],[GOLD MEDALS]:[BRONZE MEDALS]])</f>
        <v>1</v>
      </c>
      <c r="G1437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10100000</v>
      </c>
      <c r="H1437" s="3">
        <f>IF(TS_ATHLETES[[#This Row],[TOTAL]]=0,"",RANK(TS_ATHLETES[[#This Row],[RANK VALUE]],TS_ATHLETES[RANK VALUE]))</f>
        <v>129</v>
      </c>
      <c r="I1437" s="3">
        <f>IFERROR(IF(TS_ATHLETES[[#This Row],[TOTAL]]=0,"",RANK(TS_ATHLETES[[#This Row],[RANK VALUE]],TS_ATHLETES[RANK VALUE])+COUNTIF($H$1:H1436,H1437)),"")</f>
        <v>526</v>
      </c>
    </row>
    <row r="1438" spans="1:9" x14ac:dyDescent="0.25">
      <c r="A1438" t="s">
        <v>2340</v>
      </c>
      <c r="B1438" s="3" t="s">
        <v>363</v>
      </c>
      <c r="C1438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1</v>
      </c>
      <c r="D1438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1438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1438" s="3">
        <f>SUM(TS_ATHLETES[[#This Row],[GOLD MEDALS]:[BRONZE MEDALS]])</f>
        <v>1</v>
      </c>
      <c r="G1438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10100000</v>
      </c>
      <c r="H1438" s="3">
        <f>IF(TS_ATHLETES[[#This Row],[TOTAL]]=0,"",RANK(TS_ATHLETES[[#This Row],[RANK VALUE]],TS_ATHLETES[RANK VALUE]))</f>
        <v>129</v>
      </c>
      <c r="I1438" s="3">
        <f>IFERROR(IF(TS_ATHLETES[[#This Row],[TOTAL]]=0,"",RANK(TS_ATHLETES[[#This Row],[RANK VALUE]],TS_ATHLETES[RANK VALUE])+COUNTIF($H$1:H1437,H1438)),"")</f>
        <v>527</v>
      </c>
    </row>
    <row r="1439" spans="1:9" x14ac:dyDescent="0.25">
      <c r="A1439" t="s">
        <v>2341</v>
      </c>
      <c r="B1439" s="3" t="s">
        <v>363</v>
      </c>
      <c r="C1439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1</v>
      </c>
      <c r="D1439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1439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1439" s="3">
        <f>SUM(TS_ATHLETES[[#This Row],[GOLD MEDALS]:[BRONZE MEDALS]])</f>
        <v>1</v>
      </c>
      <c r="G1439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10100000</v>
      </c>
      <c r="H1439" s="3">
        <f>IF(TS_ATHLETES[[#This Row],[TOTAL]]=0,"",RANK(TS_ATHLETES[[#This Row],[RANK VALUE]],TS_ATHLETES[RANK VALUE]))</f>
        <v>129</v>
      </c>
      <c r="I1439" s="3">
        <f>IFERROR(IF(TS_ATHLETES[[#This Row],[TOTAL]]=0,"",RANK(TS_ATHLETES[[#This Row],[RANK VALUE]],TS_ATHLETES[RANK VALUE])+COUNTIF($H$1:H1438,H1439)),"")</f>
        <v>528</v>
      </c>
    </row>
    <row r="1440" spans="1:9" x14ac:dyDescent="0.25">
      <c r="A1440" t="s">
        <v>2342</v>
      </c>
      <c r="B1440" s="3" t="s">
        <v>363</v>
      </c>
      <c r="C1440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1</v>
      </c>
      <c r="D1440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1440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1440" s="3">
        <f>SUM(TS_ATHLETES[[#This Row],[GOLD MEDALS]:[BRONZE MEDALS]])</f>
        <v>1</v>
      </c>
      <c r="G1440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10100000</v>
      </c>
      <c r="H1440" s="3">
        <f>IF(TS_ATHLETES[[#This Row],[TOTAL]]=0,"",RANK(TS_ATHLETES[[#This Row],[RANK VALUE]],TS_ATHLETES[RANK VALUE]))</f>
        <v>129</v>
      </c>
      <c r="I1440" s="3">
        <f>IFERROR(IF(TS_ATHLETES[[#This Row],[TOTAL]]=0,"",RANK(TS_ATHLETES[[#This Row],[RANK VALUE]],TS_ATHLETES[RANK VALUE])+COUNTIF($H$1:H1439,H1440)),"")</f>
        <v>529</v>
      </c>
    </row>
    <row r="1441" spans="1:9" x14ac:dyDescent="0.25">
      <c r="A1441" t="s">
        <v>2343</v>
      </c>
      <c r="B1441" s="3" t="s">
        <v>363</v>
      </c>
      <c r="C1441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1</v>
      </c>
      <c r="D1441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1441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1441" s="3">
        <f>SUM(TS_ATHLETES[[#This Row],[GOLD MEDALS]:[BRONZE MEDALS]])</f>
        <v>1</v>
      </c>
      <c r="G1441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10100000</v>
      </c>
      <c r="H1441" s="3">
        <f>IF(TS_ATHLETES[[#This Row],[TOTAL]]=0,"",RANK(TS_ATHLETES[[#This Row],[RANK VALUE]],TS_ATHLETES[RANK VALUE]))</f>
        <v>129</v>
      </c>
      <c r="I1441" s="3">
        <f>IFERROR(IF(TS_ATHLETES[[#This Row],[TOTAL]]=0,"",RANK(TS_ATHLETES[[#This Row],[RANK VALUE]],TS_ATHLETES[RANK VALUE])+COUNTIF($H$1:H1440,H1441)),"")</f>
        <v>530</v>
      </c>
    </row>
    <row r="1442" spans="1:9" x14ac:dyDescent="0.25">
      <c r="A1442" t="s">
        <v>2344</v>
      </c>
      <c r="B1442" s="3" t="s">
        <v>363</v>
      </c>
      <c r="C1442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1</v>
      </c>
      <c r="D1442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1442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1442" s="3">
        <f>SUM(TS_ATHLETES[[#This Row],[GOLD MEDALS]:[BRONZE MEDALS]])</f>
        <v>1</v>
      </c>
      <c r="G1442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10100000</v>
      </c>
      <c r="H1442" s="3">
        <f>IF(TS_ATHLETES[[#This Row],[TOTAL]]=0,"",RANK(TS_ATHLETES[[#This Row],[RANK VALUE]],TS_ATHLETES[RANK VALUE]))</f>
        <v>129</v>
      </c>
      <c r="I1442" s="3">
        <f>IFERROR(IF(TS_ATHLETES[[#This Row],[TOTAL]]=0,"",RANK(TS_ATHLETES[[#This Row],[RANK VALUE]],TS_ATHLETES[RANK VALUE])+COUNTIF($H$1:H1441,H1442)),"")</f>
        <v>531</v>
      </c>
    </row>
    <row r="1443" spans="1:9" x14ac:dyDescent="0.25">
      <c r="A1443" t="s">
        <v>2345</v>
      </c>
      <c r="B1443" s="3" t="s">
        <v>363</v>
      </c>
      <c r="C1443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1</v>
      </c>
      <c r="D1443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1443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1443" s="3">
        <f>SUM(TS_ATHLETES[[#This Row],[GOLD MEDALS]:[BRONZE MEDALS]])</f>
        <v>1</v>
      </c>
      <c r="G1443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10100000</v>
      </c>
      <c r="H1443" s="3">
        <f>IF(TS_ATHLETES[[#This Row],[TOTAL]]=0,"",RANK(TS_ATHLETES[[#This Row],[RANK VALUE]],TS_ATHLETES[RANK VALUE]))</f>
        <v>129</v>
      </c>
      <c r="I1443" s="3">
        <f>IFERROR(IF(TS_ATHLETES[[#This Row],[TOTAL]]=0,"",RANK(TS_ATHLETES[[#This Row],[RANK VALUE]],TS_ATHLETES[RANK VALUE])+COUNTIF($H$1:H1442,H1443)),"")</f>
        <v>532</v>
      </c>
    </row>
    <row r="1444" spans="1:9" x14ac:dyDescent="0.25">
      <c r="A1444" t="s">
        <v>2346</v>
      </c>
      <c r="B1444" s="3" t="s">
        <v>363</v>
      </c>
      <c r="C1444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1</v>
      </c>
      <c r="D1444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1444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1444" s="3">
        <f>SUM(TS_ATHLETES[[#This Row],[GOLD MEDALS]:[BRONZE MEDALS]])</f>
        <v>1</v>
      </c>
      <c r="G1444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10100000</v>
      </c>
      <c r="H1444" s="3">
        <f>IF(TS_ATHLETES[[#This Row],[TOTAL]]=0,"",RANK(TS_ATHLETES[[#This Row],[RANK VALUE]],TS_ATHLETES[RANK VALUE]))</f>
        <v>129</v>
      </c>
      <c r="I1444" s="3">
        <f>IFERROR(IF(TS_ATHLETES[[#This Row],[TOTAL]]=0,"",RANK(TS_ATHLETES[[#This Row],[RANK VALUE]],TS_ATHLETES[RANK VALUE])+COUNTIF($H$1:H1443,H1444)),"")</f>
        <v>533</v>
      </c>
    </row>
    <row r="1445" spans="1:9" x14ac:dyDescent="0.25">
      <c r="A1445" t="s">
        <v>2347</v>
      </c>
      <c r="B1445" s="3" t="s">
        <v>361</v>
      </c>
      <c r="C1445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1445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1</v>
      </c>
      <c r="E1445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1445" s="3">
        <f>SUM(TS_ATHLETES[[#This Row],[GOLD MEDALS]:[BRONZE MEDALS]])</f>
        <v>1</v>
      </c>
      <c r="G1445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10000100</v>
      </c>
      <c r="H1445" s="3">
        <f>IF(TS_ATHLETES[[#This Row],[TOTAL]]=0,"",RANK(TS_ATHLETES[[#This Row],[RANK VALUE]],TS_ATHLETES[RANK VALUE]))</f>
        <v>660</v>
      </c>
      <c r="I1445" s="3">
        <f>IFERROR(IF(TS_ATHLETES[[#This Row],[TOTAL]]=0,"",RANK(TS_ATHLETES[[#This Row],[RANK VALUE]],TS_ATHLETES[RANK VALUE])+COUNTIF($H$1:H1444,H1445)),"")</f>
        <v>1087</v>
      </c>
    </row>
    <row r="1446" spans="1:9" x14ac:dyDescent="0.25">
      <c r="A1446" t="s">
        <v>2348</v>
      </c>
      <c r="B1446" s="3" t="s">
        <v>361</v>
      </c>
      <c r="C1446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1446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1</v>
      </c>
      <c r="E1446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1446" s="3">
        <f>SUM(TS_ATHLETES[[#This Row],[GOLD MEDALS]:[BRONZE MEDALS]])</f>
        <v>1</v>
      </c>
      <c r="G1446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10000100</v>
      </c>
      <c r="H1446" s="3">
        <f>IF(TS_ATHLETES[[#This Row],[TOTAL]]=0,"",RANK(TS_ATHLETES[[#This Row],[RANK VALUE]],TS_ATHLETES[RANK VALUE]))</f>
        <v>660</v>
      </c>
      <c r="I1446" s="3">
        <f>IFERROR(IF(TS_ATHLETES[[#This Row],[TOTAL]]=0,"",RANK(TS_ATHLETES[[#This Row],[RANK VALUE]],TS_ATHLETES[RANK VALUE])+COUNTIF($H$1:H1445,H1446)),"")</f>
        <v>1088</v>
      </c>
    </row>
    <row r="1447" spans="1:9" x14ac:dyDescent="0.25">
      <c r="A1447" t="s">
        <v>2349</v>
      </c>
      <c r="B1447" s="3" t="s">
        <v>361</v>
      </c>
      <c r="C1447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1447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1</v>
      </c>
      <c r="E1447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1447" s="3">
        <f>SUM(TS_ATHLETES[[#This Row],[GOLD MEDALS]:[BRONZE MEDALS]])</f>
        <v>1</v>
      </c>
      <c r="G1447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10000100</v>
      </c>
      <c r="H1447" s="3">
        <f>IF(TS_ATHLETES[[#This Row],[TOTAL]]=0,"",RANK(TS_ATHLETES[[#This Row],[RANK VALUE]],TS_ATHLETES[RANK VALUE]))</f>
        <v>660</v>
      </c>
      <c r="I1447" s="3">
        <f>IFERROR(IF(TS_ATHLETES[[#This Row],[TOTAL]]=0,"",RANK(TS_ATHLETES[[#This Row],[RANK VALUE]],TS_ATHLETES[RANK VALUE])+COUNTIF($H$1:H1446,H1447)),"")</f>
        <v>1089</v>
      </c>
    </row>
    <row r="1448" spans="1:9" x14ac:dyDescent="0.25">
      <c r="A1448" t="s">
        <v>2350</v>
      </c>
      <c r="B1448" s="3" t="s">
        <v>361</v>
      </c>
      <c r="C1448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1448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1</v>
      </c>
      <c r="E1448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1448" s="3">
        <f>SUM(TS_ATHLETES[[#This Row],[GOLD MEDALS]:[BRONZE MEDALS]])</f>
        <v>1</v>
      </c>
      <c r="G1448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10000100</v>
      </c>
      <c r="H1448" s="3">
        <f>IF(TS_ATHLETES[[#This Row],[TOTAL]]=0,"",RANK(TS_ATHLETES[[#This Row],[RANK VALUE]],TS_ATHLETES[RANK VALUE]))</f>
        <v>660</v>
      </c>
      <c r="I1448" s="3">
        <f>IFERROR(IF(TS_ATHLETES[[#This Row],[TOTAL]]=0,"",RANK(TS_ATHLETES[[#This Row],[RANK VALUE]],TS_ATHLETES[RANK VALUE])+COUNTIF($H$1:H1447,H1448)),"")</f>
        <v>1090</v>
      </c>
    </row>
    <row r="1449" spans="1:9" x14ac:dyDescent="0.25">
      <c r="A1449" t="s">
        <v>2351</v>
      </c>
      <c r="B1449" s="3" t="s">
        <v>361</v>
      </c>
      <c r="C1449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1449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1</v>
      </c>
      <c r="E1449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1449" s="3">
        <f>SUM(TS_ATHLETES[[#This Row],[GOLD MEDALS]:[BRONZE MEDALS]])</f>
        <v>1</v>
      </c>
      <c r="G1449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10000100</v>
      </c>
      <c r="H1449" s="3">
        <f>IF(TS_ATHLETES[[#This Row],[TOTAL]]=0,"",RANK(TS_ATHLETES[[#This Row],[RANK VALUE]],TS_ATHLETES[RANK VALUE]))</f>
        <v>660</v>
      </c>
      <c r="I1449" s="3">
        <f>IFERROR(IF(TS_ATHLETES[[#This Row],[TOTAL]]=0,"",RANK(TS_ATHLETES[[#This Row],[RANK VALUE]],TS_ATHLETES[RANK VALUE])+COUNTIF($H$1:H1448,H1449)),"")</f>
        <v>1091</v>
      </c>
    </row>
    <row r="1450" spans="1:9" x14ac:dyDescent="0.25">
      <c r="A1450" t="s">
        <v>2352</v>
      </c>
      <c r="B1450" s="3" t="s">
        <v>361</v>
      </c>
      <c r="C1450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1450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1</v>
      </c>
      <c r="E1450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1450" s="3">
        <f>SUM(TS_ATHLETES[[#This Row],[GOLD MEDALS]:[BRONZE MEDALS]])</f>
        <v>1</v>
      </c>
      <c r="G1450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10000100</v>
      </c>
      <c r="H1450" s="3">
        <f>IF(TS_ATHLETES[[#This Row],[TOTAL]]=0,"",RANK(TS_ATHLETES[[#This Row],[RANK VALUE]],TS_ATHLETES[RANK VALUE]))</f>
        <v>660</v>
      </c>
      <c r="I1450" s="3">
        <f>IFERROR(IF(TS_ATHLETES[[#This Row],[TOTAL]]=0,"",RANK(TS_ATHLETES[[#This Row],[RANK VALUE]],TS_ATHLETES[RANK VALUE])+COUNTIF($H$1:H1449,H1450)),"")</f>
        <v>1092</v>
      </c>
    </row>
    <row r="1451" spans="1:9" x14ac:dyDescent="0.25">
      <c r="A1451" t="s">
        <v>2353</v>
      </c>
      <c r="B1451" s="3" t="s">
        <v>361</v>
      </c>
      <c r="C1451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1451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1</v>
      </c>
      <c r="E1451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1451" s="3">
        <f>SUM(TS_ATHLETES[[#This Row],[GOLD MEDALS]:[BRONZE MEDALS]])</f>
        <v>1</v>
      </c>
      <c r="G1451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10000100</v>
      </c>
      <c r="H1451" s="3">
        <f>IF(TS_ATHLETES[[#This Row],[TOTAL]]=0,"",RANK(TS_ATHLETES[[#This Row],[RANK VALUE]],TS_ATHLETES[RANK VALUE]))</f>
        <v>660</v>
      </c>
      <c r="I1451" s="3">
        <f>IFERROR(IF(TS_ATHLETES[[#This Row],[TOTAL]]=0,"",RANK(TS_ATHLETES[[#This Row],[RANK VALUE]],TS_ATHLETES[RANK VALUE])+COUNTIF($H$1:H1450,H1451)),"")</f>
        <v>1093</v>
      </c>
    </row>
    <row r="1452" spans="1:9" x14ac:dyDescent="0.25">
      <c r="A1452" t="s">
        <v>2354</v>
      </c>
      <c r="B1452" s="3" t="s">
        <v>361</v>
      </c>
      <c r="C1452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1452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1</v>
      </c>
      <c r="E1452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1452" s="3">
        <f>SUM(TS_ATHLETES[[#This Row],[GOLD MEDALS]:[BRONZE MEDALS]])</f>
        <v>1</v>
      </c>
      <c r="G1452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10000100</v>
      </c>
      <c r="H1452" s="3">
        <f>IF(TS_ATHLETES[[#This Row],[TOTAL]]=0,"",RANK(TS_ATHLETES[[#This Row],[RANK VALUE]],TS_ATHLETES[RANK VALUE]))</f>
        <v>660</v>
      </c>
      <c r="I1452" s="3">
        <f>IFERROR(IF(TS_ATHLETES[[#This Row],[TOTAL]]=0,"",RANK(TS_ATHLETES[[#This Row],[RANK VALUE]],TS_ATHLETES[RANK VALUE])+COUNTIF($H$1:H1451,H1452)),"")</f>
        <v>1094</v>
      </c>
    </row>
    <row r="1453" spans="1:9" x14ac:dyDescent="0.25">
      <c r="A1453" t="s">
        <v>2355</v>
      </c>
      <c r="B1453" s="3" t="s">
        <v>361</v>
      </c>
      <c r="C1453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1453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1</v>
      </c>
      <c r="E1453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1453" s="3">
        <f>SUM(TS_ATHLETES[[#This Row],[GOLD MEDALS]:[BRONZE MEDALS]])</f>
        <v>1</v>
      </c>
      <c r="G1453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10000100</v>
      </c>
      <c r="H1453" s="3">
        <f>IF(TS_ATHLETES[[#This Row],[TOTAL]]=0,"",RANK(TS_ATHLETES[[#This Row],[RANK VALUE]],TS_ATHLETES[RANK VALUE]))</f>
        <v>660</v>
      </c>
      <c r="I1453" s="3">
        <f>IFERROR(IF(TS_ATHLETES[[#This Row],[TOTAL]]=0,"",RANK(TS_ATHLETES[[#This Row],[RANK VALUE]],TS_ATHLETES[RANK VALUE])+COUNTIF($H$1:H1452,H1453)),"")</f>
        <v>1095</v>
      </c>
    </row>
    <row r="1454" spans="1:9" x14ac:dyDescent="0.25">
      <c r="A1454" t="s">
        <v>2356</v>
      </c>
      <c r="B1454" s="3" t="s">
        <v>641</v>
      </c>
      <c r="C1454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1454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1454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1</v>
      </c>
      <c r="F1454" s="3">
        <f>SUM(TS_ATHLETES[[#This Row],[GOLD MEDALS]:[BRONZE MEDALS]])</f>
        <v>1</v>
      </c>
      <c r="G1454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10000010</v>
      </c>
      <c r="H1454" s="3">
        <f>IF(TS_ATHLETES[[#This Row],[TOTAL]]=0,"",RANK(TS_ATHLETES[[#This Row],[RANK VALUE]],TS_ATHLETES[RANK VALUE]))</f>
        <v>1224</v>
      </c>
      <c r="I1454" s="3">
        <f>IFERROR(IF(TS_ATHLETES[[#This Row],[TOTAL]]=0,"",RANK(TS_ATHLETES[[#This Row],[RANK VALUE]],TS_ATHLETES[RANK VALUE])+COUNTIF($H$1:H1453,H1454)),"")</f>
        <v>1721</v>
      </c>
    </row>
    <row r="1455" spans="1:9" x14ac:dyDescent="0.25">
      <c r="A1455" t="s">
        <v>2357</v>
      </c>
      <c r="B1455" s="3" t="s">
        <v>641</v>
      </c>
      <c r="C1455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1455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1455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1</v>
      </c>
      <c r="F1455" s="3">
        <f>SUM(TS_ATHLETES[[#This Row],[GOLD MEDALS]:[BRONZE MEDALS]])</f>
        <v>1</v>
      </c>
      <c r="G1455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10000010</v>
      </c>
      <c r="H1455" s="3">
        <f>IF(TS_ATHLETES[[#This Row],[TOTAL]]=0,"",RANK(TS_ATHLETES[[#This Row],[RANK VALUE]],TS_ATHLETES[RANK VALUE]))</f>
        <v>1224</v>
      </c>
      <c r="I1455" s="3">
        <f>IFERROR(IF(TS_ATHLETES[[#This Row],[TOTAL]]=0,"",RANK(TS_ATHLETES[[#This Row],[RANK VALUE]],TS_ATHLETES[RANK VALUE])+COUNTIF($H$1:H1454,H1455)),"")</f>
        <v>1722</v>
      </c>
    </row>
    <row r="1456" spans="1:9" x14ac:dyDescent="0.25">
      <c r="A1456" t="s">
        <v>2358</v>
      </c>
      <c r="B1456" s="3" t="s">
        <v>641</v>
      </c>
      <c r="C1456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1456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1456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1</v>
      </c>
      <c r="F1456" s="3">
        <f>SUM(TS_ATHLETES[[#This Row],[GOLD MEDALS]:[BRONZE MEDALS]])</f>
        <v>1</v>
      </c>
      <c r="G1456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10000010</v>
      </c>
      <c r="H1456" s="3">
        <f>IF(TS_ATHLETES[[#This Row],[TOTAL]]=0,"",RANK(TS_ATHLETES[[#This Row],[RANK VALUE]],TS_ATHLETES[RANK VALUE]))</f>
        <v>1224</v>
      </c>
      <c r="I1456" s="3">
        <f>IFERROR(IF(TS_ATHLETES[[#This Row],[TOTAL]]=0,"",RANK(TS_ATHLETES[[#This Row],[RANK VALUE]],TS_ATHLETES[RANK VALUE])+COUNTIF($H$1:H1455,H1456)),"")</f>
        <v>1723</v>
      </c>
    </row>
    <row r="1457" spans="1:9" x14ac:dyDescent="0.25">
      <c r="A1457" t="s">
        <v>2359</v>
      </c>
      <c r="B1457" s="3" t="s">
        <v>641</v>
      </c>
      <c r="C1457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1457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1457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1</v>
      </c>
      <c r="F1457" s="3">
        <f>SUM(TS_ATHLETES[[#This Row],[GOLD MEDALS]:[BRONZE MEDALS]])</f>
        <v>1</v>
      </c>
      <c r="G1457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10000010</v>
      </c>
      <c r="H1457" s="3">
        <f>IF(TS_ATHLETES[[#This Row],[TOTAL]]=0,"",RANK(TS_ATHLETES[[#This Row],[RANK VALUE]],TS_ATHLETES[RANK VALUE]))</f>
        <v>1224</v>
      </c>
      <c r="I1457" s="3">
        <f>IFERROR(IF(TS_ATHLETES[[#This Row],[TOTAL]]=0,"",RANK(TS_ATHLETES[[#This Row],[RANK VALUE]],TS_ATHLETES[RANK VALUE])+COUNTIF($H$1:H1456,H1457)),"")</f>
        <v>1724</v>
      </c>
    </row>
    <row r="1458" spans="1:9" x14ac:dyDescent="0.25">
      <c r="A1458" t="s">
        <v>2360</v>
      </c>
      <c r="B1458" s="3" t="s">
        <v>641</v>
      </c>
      <c r="C1458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1458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1458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1</v>
      </c>
      <c r="F1458" s="3">
        <f>SUM(TS_ATHLETES[[#This Row],[GOLD MEDALS]:[BRONZE MEDALS]])</f>
        <v>1</v>
      </c>
      <c r="G1458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10000010</v>
      </c>
      <c r="H1458" s="3">
        <f>IF(TS_ATHLETES[[#This Row],[TOTAL]]=0,"",RANK(TS_ATHLETES[[#This Row],[RANK VALUE]],TS_ATHLETES[RANK VALUE]))</f>
        <v>1224</v>
      </c>
      <c r="I1458" s="3">
        <f>IFERROR(IF(TS_ATHLETES[[#This Row],[TOTAL]]=0,"",RANK(TS_ATHLETES[[#This Row],[RANK VALUE]],TS_ATHLETES[RANK VALUE])+COUNTIF($H$1:H1457,H1458)),"")</f>
        <v>1725</v>
      </c>
    </row>
    <row r="1459" spans="1:9" x14ac:dyDescent="0.25">
      <c r="A1459" t="s">
        <v>2361</v>
      </c>
      <c r="B1459" s="3" t="s">
        <v>641</v>
      </c>
      <c r="C1459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1459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1459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1</v>
      </c>
      <c r="F1459" s="3">
        <f>SUM(TS_ATHLETES[[#This Row],[GOLD MEDALS]:[BRONZE MEDALS]])</f>
        <v>1</v>
      </c>
      <c r="G1459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10000010</v>
      </c>
      <c r="H1459" s="3">
        <f>IF(TS_ATHLETES[[#This Row],[TOTAL]]=0,"",RANK(TS_ATHLETES[[#This Row],[RANK VALUE]],TS_ATHLETES[RANK VALUE]))</f>
        <v>1224</v>
      </c>
      <c r="I1459" s="3">
        <f>IFERROR(IF(TS_ATHLETES[[#This Row],[TOTAL]]=0,"",RANK(TS_ATHLETES[[#This Row],[RANK VALUE]],TS_ATHLETES[RANK VALUE])+COUNTIF($H$1:H1458,H1459)),"")</f>
        <v>1726</v>
      </c>
    </row>
    <row r="1460" spans="1:9" x14ac:dyDescent="0.25">
      <c r="A1460" t="s">
        <v>2362</v>
      </c>
      <c r="B1460" s="3" t="s">
        <v>641</v>
      </c>
      <c r="C1460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1460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1460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1</v>
      </c>
      <c r="F1460" s="3">
        <f>SUM(TS_ATHLETES[[#This Row],[GOLD MEDALS]:[BRONZE MEDALS]])</f>
        <v>1</v>
      </c>
      <c r="G1460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10000010</v>
      </c>
      <c r="H1460" s="3">
        <f>IF(TS_ATHLETES[[#This Row],[TOTAL]]=0,"",RANK(TS_ATHLETES[[#This Row],[RANK VALUE]],TS_ATHLETES[RANK VALUE]))</f>
        <v>1224</v>
      </c>
      <c r="I1460" s="3">
        <f>IFERROR(IF(TS_ATHLETES[[#This Row],[TOTAL]]=0,"",RANK(TS_ATHLETES[[#This Row],[RANK VALUE]],TS_ATHLETES[RANK VALUE])+COUNTIF($H$1:H1459,H1460)),"")</f>
        <v>1727</v>
      </c>
    </row>
    <row r="1461" spans="1:9" x14ac:dyDescent="0.25">
      <c r="A1461" t="s">
        <v>2363</v>
      </c>
      <c r="B1461" s="3" t="s">
        <v>641</v>
      </c>
      <c r="C1461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1461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1461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1</v>
      </c>
      <c r="F1461" s="3">
        <f>SUM(TS_ATHLETES[[#This Row],[GOLD MEDALS]:[BRONZE MEDALS]])</f>
        <v>1</v>
      </c>
      <c r="G1461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10000010</v>
      </c>
      <c r="H1461" s="3">
        <f>IF(TS_ATHLETES[[#This Row],[TOTAL]]=0,"",RANK(TS_ATHLETES[[#This Row],[RANK VALUE]],TS_ATHLETES[RANK VALUE]))</f>
        <v>1224</v>
      </c>
      <c r="I1461" s="3">
        <f>IFERROR(IF(TS_ATHLETES[[#This Row],[TOTAL]]=0,"",RANK(TS_ATHLETES[[#This Row],[RANK VALUE]],TS_ATHLETES[RANK VALUE])+COUNTIF($H$1:H1460,H1461)),"")</f>
        <v>1728</v>
      </c>
    </row>
    <row r="1462" spans="1:9" x14ac:dyDescent="0.25">
      <c r="A1462" t="s">
        <v>2364</v>
      </c>
      <c r="B1462" s="3" t="s">
        <v>641</v>
      </c>
      <c r="C1462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1462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1462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1</v>
      </c>
      <c r="F1462" s="3">
        <f>SUM(TS_ATHLETES[[#This Row],[GOLD MEDALS]:[BRONZE MEDALS]])</f>
        <v>1</v>
      </c>
      <c r="G1462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10000010</v>
      </c>
      <c r="H1462" s="3">
        <f>IF(TS_ATHLETES[[#This Row],[TOTAL]]=0,"",RANK(TS_ATHLETES[[#This Row],[RANK VALUE]],TS_ATHLETES[RANK VALUE]))</f>
        <v>1224</v>
      </c>
      <c r="I1462" s="3">
        <f>IFERROR(IF(TS_ATHLETES[[#This Row],[TOTAL]]=0,"",RANK(TS_ATHLETES[[#This Row],[RANK VALUE]],TS_ATHLETES[RANK VALUE])+COUNTIF($H$1:H1461,H1462)),"")</f>
        <v>1729</v>
      </c>
    </row>
    <row r="1463" spans="1:9" x14ac:dyDescent="0.25">
      <c r="A1463" t="s">
        <v>2365</v>
      </c>
      <c r="B1463" s="3" t="s">
        <v>361</v>
      </c>
      <c r="C1463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1</v>
      </c>
      <c r="D1463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1463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1463" s="3">
        <f>SUM(TS_ATHLETES[[#This Row],[GOLD MEDALS]:[BRONZE MEDALS]])</f>
        <v>1</v>
      </c>
      <c r="G1463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10100000</v>
      </c>
      <c r="H1463" s="3">
        <f>IF(TS_ATHLETES[[#This Row],[TOTAL]]=0,"",RANK(TS_ATHLETES[[#This Row],[RANK VALUE]],TS_ATHLETES[RANK VALUE]))</f>
        <v>129</v>
      </c>
      <c r="I1463" s="3">
        <f>IFERROR(IF(TS_ATHLETES[[#This Row],[TOTAL]]=0,"",RANK(TS_ATHLETES[[#This Row],[RANK VALUE]],TS_ATHLETES[RANK VALUE])+COUNTIF($H$1:H1462,H1463)),"")</f>
        <v>534</v>
      </c>
    </row>
    <row r="1464" spans="1:9" x14ac:dyDescent="0.25">
      <c r="A1464" t="s">
        <v>2366</v>
      </c>
      <c r="B1464" s="3" t="s">
        <v>361</v>
      </c>
      <c r="C1464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1</v>
      </c>
      <c r="D1464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1464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1464" s="3">
        <f>SUM(TS_ATHLETES[[#This Row],[GOLD MEDALS]:[BRONZE MEDALS]])</f>
        <v>1</v>
      </c>
      <c r="G1464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10100000</v>
      </c>
      <c r="H1464" s="3">
        <f>IF(TS_ATHLETES[[#This Row],[TOTAL]]=0,"",RANK(TS_ATHLETES[[#This Row],[RANK VALUE]],TS_ATHLETES[RANK VALUE]))</f>
        <v>129</v>
      </c>
      <c r="I1464" s="3">
        <f>IFERROR(IF(TS_ATHLETES[[#This Row],[TOTAL]]=0,"",RANK(TS_ATHLETES[[#This Row],[RANK VALUE]],TS_ATHLETES[RANK VALUE])+COUNTIF($H$1:H1463,H1464)),"")</f>
        <v>535</v>
      </c>
    </row>
    <row r="1465" spans="1:9" x14ac:dyDescent="0.25">
      <c r="A1465" t="s">
        <v>2367</v>
      </c>
      <c r="B1465" s="3" t="s">
        <v>361</v>
      </c>
      <c r="C1465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1</v>
      </c>
      <c r="D1465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1465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1465" s="3">
        <f>SUM(TS_ATHLETES[[#This Row],[GOLD MEDALS]:[BRONZE MEDALS]])</f>
        <v>1</v>
      </c>
      <c r="G1465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10100000</v>
      </c>
      <c r="H1465" s="3">
        <f>IF(TS_ATHLETES[[#This Row],[TOTAL]]=0,"",RANK(TS_ATHLETES[[#This Row],[RANK VALUE]],TS_ATHLETES[RANK VALUE]))</f>
        <v>129</v>
      </c>
      <c r="I1465" s="3">
        <f>IFERROR(IF(TS_ATHLETES[[#This Row],[TOTAL]]=0,"",RANK(TS_ATHLETES[[#This Row],[RANK VALUE]],TS_ATHLETES[RANK VALUE])+COUNTIF($H$1:H1464,H1465)),"")</f>
        <v>536</v>
      </c>
    </row>
    <row r="1466" spans="1:9" x14ac:dyDescent="0.25">
      <c r="A1466" t="s">
        <v>2368</v>
      </c>
      <c r="B1466" s="3" t="s">
        <v>361</v>
      </c>
      <c r="C1466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1</v>
      </c>
      <c r="D1466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1466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1466" s="3">
        <f>SUM(TS_ATHLETES[[#This Row],[GOLD MEDALS]:[BRONZE MEDALS]])</f>
        <v>1</v>
      </c>
      <c r="G1466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10100000</v>
      </c>
      <c r="H1466" s="3">
        <f>IF(TS_ATHLETES[[#This Row],[TOTAL]]=0,"",RANK(TS_ATHLETES[[#This Row],[RANK VALUE]],TS_ATHLETES[RANK VALUE]))</f>
        <v>129</v>
      </c>
      <c r="I1466" s="3">
        <f>IFERROR(IF(TS_ATHLETES[[#This Row],[TOTAL]]=0,"",RANK(TS_ATHLETES[[#This Row],[RANK VALUE]],TS_ATHLETES[RANK VALUE])+COUNTIF($H$1:H1465,H1466)),"")</f>
        <v>537</v>
      </c>
    </row>
    <row r="1467" spans="1:9" x14ac:dyDescent="0.25">
      <c r="A1467" t="s">
        <v>2369</v>
      </c>
      <c r="B1467" s="3" t="s">
        <v>361</v>
      </c>
      <c r="C1467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1</v>
      </c>
      <c r="D1467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1467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1467" s="3">
        <f>SUM(TS_ATHLETES[[#This Row],[GOLD MEDALS]:[BRONZE MEDALS]])</f>
        <v>1</v>
      </c>
      <c r="G1467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10100000</v>
      </c>
      <c r="H1467" s="3">
        <f>IF(TS_ATHLETES[[#This Row],[TOTAL]]=0,"",RANK(TS_ATHLETES[[#This Row],[RANK VALUE]],TS_ATHLETES[RANK VALUE]))</f>
        <v>129</v>
      </c>
      <c r="I1467" s="3">
        <f>IFERROR(IF(TS_ATHLETES[[#This Row],[TOTAL]]=0,"",RANK(TS_ATHLETES[[#This Row],[RANK VALUE]],TS_ATHLETES[RANK VALUE])+COUNTIF($H$1:H1466,H1467)),"")</f>
        <v>538</v>
      </c>
    </row>
    <row r="1468" spans="1:9" x14ac:dyDescent="0.25">
      <c r="A1468" t="s">
        <v>2370</v>
      </c>
      <c r="B1468" s="3" t="s">
        <v>361</v>
      </c>
      <c r="C1468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1</v>
      </c>
      <c r="D1468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1468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1468" s="3">
        <f>SUM(TS_ATHLETES[[#This Row],[GOLD MEDALS]:[BRONZE MEDALS]])</f>
        <v>1</v>
      </c>
      <c r="G1468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10100000</v>
      </c>
      <c r="H1468" s="3">
        <f>IF(TS_ATHLETES[[#This Row],[TOTAL]]=0,"",RANK(TS_ATHLETES[[#This Row],[RANK VALUE]],TS_ATHLETES[RANK VALUE]))</f>
        <v>129</v>
      </c>
      <c r="I1468" s="3">
        <f>IFERROR(IF(TS_ATHLETES[[#This Row],[TOTAL]]=0,"",RANK(TS_ATHLETES[[#This Row],[RANK VALUE]],TS_ATHLETES[RANK VALUE])+COUNTIF($H$1:H1467,H1468)),"")</f>
        <v>539</v>
      </c>
    </row>
    <row r="1469" spans="1:9" x14ac:dyDescent="0.25">
      <c r="A1469" t="s">
        <v>2371</v>
      </c>
      <c r="B1469" s="3" t="s">
        <v>361</v>
      </c>
      <c r="C1469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1</v>
      </c>
      <c r="D1469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1469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1469" s="3">
        <f>SUM(TS_ATHLETES[[#This Row],[GOLD MEDALS]:[BRONZE MEDALS]])</f>
        <v>1</v>
      </c>
      <c r="G1469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10100000</v>
      </c>
      <c r="H1469" s="3">
        <f>IF(TS_ATHLETES[[#This Row],[TOTAL]]=0,"",RANK(TS_ATHLETES[[#This Row],[RANK VALUE]],TS_ATHLETES[RANK VALUE]))</f>
        <v>129</v>
      </c>
      <c r="I1469" s="3">
        <f>IFERROR(IF(TS_ATHLETES[[#This Row],[TOTAL]]=0,"",RANK(TS_ATHLETES[[#This Row],[RANK VALUE]],TS_ATHLETES[RANK VALUE])+COUNTIF($H$1:H1468,H1469)),"")</f>
        <v>540</v>
      </c>
    </row>
    <row r="1470" spans="1:9" x14ac:dyDescent="0.25">
      <c r="A1470" t="s">
        <v>2372</v>
      </c>
      <c r="B1470" s="3" t="s">
        <v>361</v>
      </c>
      <c r="C1470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1</v>
      </c>
      <c r="D1470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1470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1470" s="3">
        <f>SUM(TS_ATHLETES[[#This Row],[GOLD MEDALS]:[BRONZE MEDALS]])</f>
        <v>1</v>
      </c>
      <c r="G1470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10100000</v>
      </c>
      <c r="H1470" s="3">
        <f>IF(TS_ATHLETES[[#This Row],[TOTAL]]=0,"",RANK(TS_ATHLETES[[#This Row],[RANK VALUE]],TS_ATHLETES[RANK VALUE]))</f>
        <v>129</v>
      </c>
      <c r="I1470" s="3">
        <f>IFERROR(IF(TS_ATHLETES[[#This Row],[TOTAL]]=0,"",RANK(TS_ATHLETES[[#This Row],[RANK VALUE]],TS_ATHLETES[RANK VALUE])+COUNTIF($H$1:H1469,H1470)),"")</f>
        <v>541</v>
      </c>
    </row>
    <row r="1471" spans="1:9" x14ac:dyDescent="0.25">
      <c r="A1471" t="s">
        <v>2373</v>
      </c>
      <c r="B1471" s="3" t="s">
        <v>361</v>
      </c>
      <c r="C1471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1</v>
      </c>
      <c r="D1471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1471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1471" s="3">
        <f>SUM(TS_ATHLETES[[#This Row],[GOLD MEDALS]:[BRONZE MEDALS]])</f>
        <v>1</v>
      </c>
      <c r="G1471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10100000</v>
      </c>
      <c r="H1471" s="3">
        <f>IF(TS_ATHLETES[[#This Row],[TOTAL]]=0,"",RANK(TS_ATHLETES[[#This Row],[RANK VALUE]],TS_ATHLETES[RANK VALUE]))</f>
        <v>129</v>
      </c>
      <c r="I1471" s="3">
        <f>IFERROR(IF(TS_ATHLETES[[#This Row],[TOTAL]]=0,"",RANK(TS_ATHLETES[[#This Row],[RANK VALUE]],TS_ATHLETES[RANK VALUE])+COUNTIF($H$1:H1470,H1471)),"")</f>
        <v>542</v>
      </c>
    </row>
    <row r="1472" spans="1:9" x14ac:dyDescent="0.25">
      <c r="A1472" t="s">
        <v>2374</v>
      </c>
      <c r="B1472" s="3" t="s">
        <v>136</v>
      </c>
      <c r="C1472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1472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1</v>
      </c>
      <c r="E1472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1472" s="3">
        <f>SUM(TS_ATHLETES[[#This Row],[GOLD MEDALS]:[BRONZE MEDALS]])</f>
        <v>1</v>
      </c>
      <c r="G1472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10000100</v>
      </c>
      <c r="H1472" s="3">
        <f>IF(TS_ATHLETES[[#This Row],[TOTAL]]=0,"",RANK(TS_ATHLETES[[#This Row],[RANK VALUE]],TS_ATHLETES[RANK VALUE]))</f>
        <v>660</v>
      </c>
      <c r="I1472" s="3">
        <f>IFERROR(IF(TS_ATHLETES[[#This Row],[TOTAL]]=0,"",RANK(TS_ATHLETES[[#This Row],[RANK VALUE]],TS_ATHLETES[RANK VALUE])+COUNTIF($H$1:H1471,H1472)),"")</f>
        <v>1096</v>
      </c>
    </row>
    <row r="1473" spans="1:9" x14ac:dyDescent="0.25">
      <c r="A1473" t="s">
        <v>2375</v>
      </c>
      <c r="B1473" s="3" t="s">
        <v>136</v>
      </c>
      <c r="C1473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1473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1</v>
      </c>
      <c r="E1473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1473" s="3">
        <f>SUM(TS_ATHLETES[[#This Row],[GOLD MEDALS]:[BRONZE MEDALS]])</f>
        <v>1</v>
      </c>
      <c r="G1473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10000100</v>
      </c>
      <c r="H1473" s="3">
        <f>IF(TS_ATHLETES[[#This Row],[TOTAL]]=0,"",RANK(TS_ATHLETES[[#This Row],[RANK VALUE]],TS_ATHLETES[RANK VALUE]))</f>
        <v>660</v>
      </c>
      <c r="I1473" s="3">
        <f>IFERROR(IF(TS_ATHLETES[[#This Row],[TOTAL]]=0,"",RANK(TS_ATHLETES[[#This Row],[RANK VALUE]],TS_ATHLETES[RANK VALUE])+COUNTIF($H$1:H1472,H1473)),"")</f>
        <v>1097</v>
      </c>
    </row>
    <row r="1474" spans="1:9" x14ac:dyDescent="0.25">
      <c r="A1474" t="s">
        <v>2376</v>
      </c>
      <c r="B1474" s="3" t="s">
        <v>136</v>
      </c>
      <c r="C1474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1474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1</v>
      </c>
      <c r="E1474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1474" s="3">
        <f>SUM(TS_ATHLETES[[#This Row],[GOLD MEDALS]:[BRONZE MEDALS]])</f>
        <v>1</v>
      </c>
      <c r="G1474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10000100</v>
      </c>
      <c r="H1474" s="3">
        <f>IF(TS_ATHLETES[[#This Row],[TOTAL]]=0,"",RANK(TS_ATHLETES[[#This Row],[RANK VALUE]],TS_ATHLETES[RANK VALUE]))</f>
        <v>660</v>
      </c>
      <c r="I1474" s="3">
        <f>IFERROR(IF(TS_ATHLETES[[#This Row],[TOTAL]]=0,"",RANK(TS_ATHLETES[[#This Row],[RANK VALUE]],TS_ATHLETES[RANK VALUE])+COUNTIF($H$1:H1473,H1474)),"")</f>
        <v>1098</v>
      </c>
    </row>
    <row r="1475" spans="1:9" x14ac:dyDescent="0.25">
      <c r="A1475" t="s">
        <v>2377</v>
      </c>
      <c r="B1475" s="3" t="s">
        <v>136</v>
      </c>
      <c r="C1475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1475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1</v>
      </c>
      <c r="E1475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1475" s="3">
        <f>SUM(TS_ATHLETES[[#This Row],[GOLD MEDALS]:[BRONZE MEDALS]])</f>
        <v>1</v>
      </c>
      <c r="G1475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10000100</v>
      </c>
      <c r="H1475" s="3">
        <f>IF(TS_ATHLETES[[#This Row],[TOTAL]]=0,"",RANK(TS_ATHLETES[[#This Row],[RANK VALUE]],TS_ATHLETES[RANK VALUE]))</f>
        <v>660</v>
      </c>
      <c r="I1475" s="3">
        <f>IFERROR(IF(TS_ATHLETES[[#This Row],[TOTAL]]=0,"",RANK(TS_ATHLETES[[#This Row],[RANK VALUE]],TS_ATHLETES[RANK VALUE])+COUNTIF($H$1:H1474,H1475)),"")</f>
        <v>1099</v>
      </c>
    </row>
    <row r="1476" spans="1:9" x14ac:dyDescent="0.25">
      <c r="A1476" t="s">
        <v>2378</v>
      </c>
      <c r="B1476" s="3" t="s">
        <v>136</v>
      </c>
      <c r="C1476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1476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1</v>
      </c>
      <c r="E1476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1476" s="3">
        <f>SUM(TS_ATHLETES[[#This Row],[GOLD MEDALS]:[BRONZE MEDALS]])</f>
        <v>1</v>
      </c>
      <c r="G1476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10000100</v>
      </c>
      <c r="H1476" s="3">
        <f>IF(TS_ATHLETES[[#This Row],[TOTAL]]=0,"",RANK(TS_ATHLETES[[#This Row],[RANK VALUE]],TS_ATHLETES[RANK VALUE]))</f>
        <v>660</v>
      </c>
      <c r="I1476" s="3">
        <f>IFERROR(IF(TS_ATHLETES[[#This Row],[TOTAL]]=0,"",RANK(TS_ATHLETES[[#This Row],[RANK VALUE]],TS_ATHLETES[RANK VALUE])+COUNTIF($H$1:H1475,H1476)),"")</f>
        <v>1100</v>
      </c>
    </row>
    <row r="1477" spans="1:9" x14ac:dyDescent="0.25">
      <c r="A1477" t="s">
        <v>2379</v>
      </c>
      <c r="B1477" s="3" t="s">
        <v>136</v>
      </c>
      <c r="C1477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1477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1</v>
      </c>
      <c r="E1477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1477" s="3">
        <f>SUM(TS_ATHLETES[[#This Row],[GOLD MEDALS]:[BRONZE MEDALS]])</f>
        <v>1</v>
      </c>
      <c r="G1477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10000100</v>
      </c>
      <c r="H1477" s="3">
        <f>IF(TS_ATHLETES[[#This Row],[TOTAL]]=0,"",RANK(TS_ATHLETES[[#This Row],[RANK VALUE]],TS_ATHLETES[RANK VALUE]))</f>
        <v>660</v>
      </c>
      <c r="I1477" s="3">
        <f>IFERROR(IF(TS_ATHLETES[[#This Row],[TOTAL]]=0,"",RANK(TS_ATHLETES[[#This Row],[RANK VALUE]],TS_ATHLETES[RANK VALUE])+COUNTIF($H$1:H1476,H1477)),"")</f>
        <v>1101</v>
      </c>
    </row>
    <row r="1478" spans="1:9" x14ac:dyDescent="0.25">
      <c r="A1478" t="s">
        <v>2380</v>
      </c>
      <c r="B1478" s="3" t="s">
        <v>136</v>
      </c>
      <c r="C1478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1478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1</v>
      </c>
      <c r="E1478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1478" s="3">
        <f>SUM(TS_ATHLETES[[#This Row],[GOLD MEDALS]:[BRONZE MEDALS]])</f>
        <v>1</v>
      </c>
      <c r="G1478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10000100</v>
      </c>
      <c r="H1478" s="3">
        <f>IF(TS_ATHLETES[[#This Row],[TOTAL]]=0,"",RANK(TS_ATHLETES[[#This Row],[RANK VALUE]],TS_ATHLETES[RANK VALUE]))</f>
        <v>660</v>
      </c>
      <c r="I1478" s="3">
        <f>IFERROR(IF(TS_ATHLETES[[#This Row],[TOTAL]]=0,"",RANK(TS_ATHLETES[[#This Row],[RANK VALUE]],TS_ATHLETES[RANK VALUE])+COUNTIF($H$1:H1477,H1478)),"")</f>
        <v>1102</v>
      </c>
    </row>
    <row r="1479" spans="1:9" x14ac:dyDescent="0.25">
      <c r="A1479" t="s">
        <v>2381</v>
      </c>
      <c r="B1479" s="3" t="s">
        <v>136</v>
      </c>
      <c r="C1479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1479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1</v>
      </c>
      <c r="E1479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1479" s="3">
        <f>SUM(TS_ATHLETES[[#This Row],[GOLD MEDALS]:[BRONZE MEDALS]])</f>
        <v>1</v>
      </c>
      <c r="G1479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10000100</v>
      </c>
      <c r="H1479" s="3">
        <f>IF(TS_ATHLETES[[#This Row],[TOTAL]]=0,"",RANK(TS_ATHLETES[[#This Row],[RANK VALUE]],TS_ATHLETES[RANK VALUE]))</f>
        <v>660</v>
      </c>
      <c r="I1479" s="3">
        <f>IFERROR(IF(TS_ATHLETES[[#This Row],[TOTAL]]=0,"",RANK(TS_ATHLETES[[#This Row],[RANK VALUE]],TS_ATHLETES[RANK VALUE])+COUNTIF($H$1:H1478,H1479)),"")</f>
        <v>1103</v>
      </c>
    </row>
    <row r="1480" spans="1:9" x14ac:dyDescent="0.25">
      <c r="A1480" t="s">
        <v>2382</v>
      </c>
      <c r="B1480" s="3" t="s">
        <v>136</v>
      </c>
      <c r="C1480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1480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1</v>
      </c>
      <c r="E1480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1480" s="3">
        <f>SUM(TS_ATHLETES[[#This Row],[GOLD MEDALS]:[BRONZE MEDALS]])</f>
        <v>1</v>
      </c>
      <c r="G1480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10000100</v>
      </c>
      <c r="H1480" s="3">
        <f>IF(TS_ATHLETES[[#This Row],[TOTAL]]=0,"",RANK(TS_ATHLETES[[#This Row],[RANK VALUE]],TS_ATHLETES[RANK VALUE]))</f>
        <v>660</v>
      </c>
      <c r="I1480" s="3">
        <f>IFERROR(IF(TS_ATHLETES[[#This Row],[TOTAL]]=0,"",RANK(TS_ATHLETES[[#This Row],[RANK VALUE]],TS_ATHLETES[RANK VALUE])+COUNTIF($H$1:H1479,H1480)),"")</f>
        <v>1104</v>
      </c>
    </row>
    <row r="1481" spans="1:9" x14ac:dyDescent="0.25">
      <c r="A1481" t="s">
        <v>2383</v>
      </c>
      <c r="B1481" s="3" t="s">
        <v>250</v>
      </c>
      <c r="C1481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1481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1481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1</v>
      </c>
      <c r="F1481" s="3">
        <f>SUM(TS_ATHLETES[[#This Row],[GOLD MEDALS]:[BRONZE MEDALS]])</f>
        <v>1</v>
      </c>
      <c r="G1481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10000010</v>
      </c>
      <c r="H1481" s="3">
        <f>IF(TS_ATHLETES[[#This Row],[TOTAL]]=0,"",RANK(TS_ATHLETES[[#This Row],[RANK VALUE]],TS_ATHLETES[RANK VALUE]))</f>
        <v>1224</v>
      </c>
      <c r="I1481" s="3">
        <f>IFERROR(IF(TS_ATHLETES[[#This Row],[TOTAL]]=0,"",RANK(TS_ATHLETES[[#This Row],[RANK VALUE]],TS_ATHLETES[RANK VALUE])+COUNTIF($H$1:H1480,H1481)),"")</f>
        <v>1730</v>
      </c>
    </row>
    <row r="1482" spans="1:9" x14ac:dyDescent="0.25">
      <c r="A1482" t="s">
        <v>2384</v>
      </c>
      <c r="B1482" s="3" t="s">
        <v>250</v>
      </c>
      <c r="C1482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1482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1482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1</v>
      </c>
      <c r="F1482" s="3">
        <f>SUM(TS_ATHLETES[[#This Row],[GOLD MEDALS]:[BRONZE MEDALS]])</f>
        <v>1</v>
      </c>
      <c r="G1482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10000010</v>
      </c>
      <c r="H1482" s="3">
        <f>IF(TS_ATHLETES[[#This Row],[TOTAL]]=0,"",RANK(TS_ATHLETES[[#This Row],[RANK VALUE]],TS_ATHLETES[RANK VALUE]))</f>
        <v>1224</v>
      </c>
      <c r="I1482" s="3">
        <f>IFERROR(IF(TS_ATHLETES[[#This Row],[TOTAL]]=0,"",RANK(TS_ATHLETES[[#This Row],[RANK VALUE]],TS_ATHLETES[RANK VALUE])+COUNTIF($H$1:H1481,H1482)),"")</f>
        <v>1731</v>
      </c>
    </row>
    <row r="1483" spans="1:9" x14ac:dyDescent="0.25">
      <c r="A1483" t="s">
        <v>2385</v>
      </c>
      <c r="B1483" s="3" t="s">
        <v>250</v>
      </c>
      <c r="C1483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1483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1483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1</v>
      </c>
      <c r="F1483" s="3">
        <f>SUM(TS_ATHLETES[[#This Row],[GOLD MEDALS]:[BRONZE MEDALS]])</f>
        <v>1</v>
      </c>
      <c r="G1483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10000010</v>
      </c>
      <c r="H1483" s="3">
        <f>IF(TS_ATHLETES[[#This Row],[TOTAL]]=0,"",RANK(TS_ATHLETES[[#This Row],[RANK VALUE]],TS_ATHLETES[RANK VALUE]))</f>
        <v>1224</v>
      </c>
      <c r="I1483" s="3">
        <f>IFERROR(IF(TS_ATHLETES[[#This Row],[TOTAL]]=0,"",RANK(TS_ATHLETES[[#This Row],[RANK VALUE]],TS_ATHLETES[RANK VALUE])+COUNTIF($H$1:H1482,H1483)),"")</f>
        <v>1732</v>
      </c>
    </row>
    <row r="1484" spans="1:9" x14ac:dyDescent="0.25">
      <c r="A1484" t="s">
        <v>2386</v>
      </c>
      <c r="B1484" s="3" t="s">
        <v>250</v>
      </c>
      <c r="C1484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1484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1484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1</v>
      </c>
      <c r="F1484" s="3">
        <f>SUM(TS_ATHLETES[[#This Row],[GOLD MEDALS]:[BRONZE MEDALS]])</f>
        <v>1</v>
      </c>
      <c r="G1484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10000010</v>
      </c>
      <c r="H1484" s="3">
        <f>IF(TS_ATHLETES[[#This Row],[TOTAL]]=0,"",RANK(TS_ATHLETES[[#This Row],[RANK VALUE]],TS_ATHLETES[RANK VALUE]))</f>
        <v>1224</v>
      </c>
      <c r="I1484" s="3">
        <f>IFERROR(IF(TS_ATHLETES[[#This Row],[TOTAL]]=0,"",RANK(TS_ATHLETES[[#This Row],[RANK VALUE]],TS_ATHLETES[RANK VALUE])+COUNTIF($H$1:H1483,H1484)),"")</f>
        <v>1733</v>
      </c>
    </row>
    <row r="1485" spans="1:9" x14ac:dyDescent="0.25">
      <c r="A1485" t="s">
        <v>2387</v>
      </c>
      <c r="B1485" s="3" t="s">
        <v>250</v>
      </c>
      <c r="C1485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1485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1485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1</v>
      </c>
      <c r="F1485" s="3">
        <f>SUM(TS_ATHLETES[[#This Row],[GOLD MEDALS]:[BRONZE MEDALS]])</f>
        <v>1</v>
      </c>
      <c r="G1485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10000010</v>
      </c>
      <c r="H1485" s="3">
        <f>IF(TS_ATHLETES[[#This Row],[TOTAL]]=0,"",RANK(TS_ATHLETES[[#This Row],[RANK VALUE]],TS_ATHLETES[RANK VALUE]))</f>
        <v>1224</v>
      </c>
      <c r="I1485" s="3">
        <f>IFERROR(IF(TS_ATHLETES[[#This Row],[TOTAL]]=0,"",RANK(TS_ATHLETES[[#This Row],[RANK VALUE]],TS_ATHLETES[RANK VALUE])+COUNTIF($H$1:H1484,H1485)),"")</f>
        <v>1734</v>
      </c>
    </row>
    <row r="1486" spans="1:9" x14ac:dyDescent="0.25">
      <c r="A1486" t="s">
        <v>2388</v>
      </c>
      <c r="B1486" s="3" t="s">
        <v>250</v>
      </c>
      <c r="C1486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1486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1486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1</v>
      </c>
      <c r="F1486" s="3">
        <f>SUM(TS_ATHLETES[[#This Row],[GOLD MEDALS]:[BRONZE MEDALS]])</f>
        <v>1</v>
      </c>
      <c r="G1486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10000010</v>
      </c>
      <c r="H1486" s="3">
        <f>IF(TS_ATHLETES[[#This Row],[TOTAL]]=0,"",RANK(TS_ATHLETES[[#This Row],[RANK VALUE]],TS_ATHLETES[RANK VALUE]))</f>
        <v>1224</v>
      </c>
      <c r="I1486" s="3">
        <f>IFERROR(IF(TS_ATHLETES[[#This Row],[TOTAL]]=0,"",RANK(TS_ATHLETES[[#This Row],[RANK VALUE]],TS_ATHLETES[RANK VALUE])+COUNTIF($H$1:H1485,H1486)),"")</f>
        <v>1735</v>
      </c>
    </row>
    <row r="1487" spans="1:9" x14ac:dyDescent="0.25">
      <c r="A1487" t="s">
        <v>2389</v>
      </c>
      <c r="B1487" s="3" t="s">
        <v>250</v>
      </c>
      <c r="C1487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1487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1487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1</v>
      </c>
      <c r="F1487" s="3">
        <f>SUM(TS_ATHLETES[[#This Row],[GOLD MEDALS]:[BRONZE MEDALS]])</f>
        <v>1</v>
      </c>
      <c r="G1487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10000010</v>
      </c>
      <c r="H1487" s="3">
        <f>IF(TS_ATHLETES[[#This Row],[TOTAL]]=0,"",RANK(TS_ATHLETES[[#This Row],[RANK VALUE]],TS_ATHLETES[RANK VALUE]))</f>
        <v>1224</v>
      </c>
      <c r="I1487" s="3">
        <f>IFERROR(IF(TS_ATHLETES[[#This Row],[TOTAL]]=0,"",RANK(TS_ATHLETES[[#This Row],[RANK VALUE]],TS_ATHLETES[RANK VALUE])+COUNTIF($H$1:H1486,H1487)),"")</f>
        <v>1736</v>
      </c>
    </row>
    <row r="1488" spans="1:9" x14ac:dyDescent="0.25">
      <c r="A1488" t="s">
        <v>2390</v>
      </c>
      <c r="B1488" s="3" t="s">
        <v>250</v>
      </c>
      <c r="C1488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1488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1488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1</v>
      </c>
      <c r="F1488" s="3">
        <f>SUM(TS_ATHLETES[[#This Row],[GOLD MEDALS]:[BRONZE MEDALS]])</f>
        <v>1</v>
      </c>
      <c r="G1488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10000010</v>
      </c>
      <c r="H1488" s="3">
        <f>IF(TS_ATHLETES[[#This Row],[TOTAL]]=0,"",RANK(TS_ATHLETES[[#This Row],[RANK VALUE]],TS_ATHLETES[RANK VALUE]))</f>
        <v>1224</v>
      </c>
      <c r="I1488" s="3">
        <f>IFERROR(IF(TS_ATHLETES[[#This Row],[TOTAL]]=0,"",RANK(TS_ATHLETES[[#This Row],[RANK VALUE]],TS_ATHLETES[RANK VALUE])+COUNTIF($H$1:H1487,H1488)),"")</f>
        <v>1737</v>
      </c>
    </row>
    <row r="1489" spans="1:9" x14ac:dyDescent="0.25">
      <c r="A1489" t="s">
        <v>2391</v>
      </c>
      <c r="B1489" s="3" t="s">
        <v>250</v>
      </c>
      <c r="C1489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1489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1489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1</v>
      </c>
      <c r="F1489" s="3">
        <f>SUM(TS_ATHLETES[[#This Row],[GOLD MEDALS]:[BRONZE MEDALS]])</f>
        <v>1</v>
      </c>
      <c r="G1489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10000010</v>
      </c>
      <c r="H1489" s="3">
        <f>IF(TS_ATHLETES[[#This Row],[TOTAL]]=0,"",RANK(TS_ATHLETES[[#This Row],[RANK VALUE]],TS_ATHLETES[RANK VALUE]))</f>
        <v>1224</v>
      </c>
      <c r="I1489" s="3">
        <f>IFERROR(IF(TS_ATHLETES[[#This Row],[TOTAL]]=0,"",RANK(TS_ATHLETES[[#This Row],[RANK VALUE]],TS_ATHLETES[RANK VALUE])+COUNTIF($H$1:H1488,H1489)),"")</f>
        <v>1738</v>
      </c>
    </row>
    <row r="1490" spans="1:9" x14ac:dyDescent="0.25">
      <c r="A1490" t="s">
        <v>2392</v>
      </c>
      <c r="B1490" s="3" t="s">
        <v>124</v>
      </c>
      <c r="C1490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1</v>
      </c>
      <c r="D1490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1490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1490" s="3">
        <f>SUM(TS_ATHLETES[[#This Row],[GOLD MEDALS]:[BRONZE MEDALS]])</f>
        <v>1</v>
      </c>
      <c r="G1490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10100000</v>
      </c>
      <c r="H1490" s="3">
        <f>IF(TS_ATHLETES[[#This Row],[TOTAL]]=0,"",RANK(TS_ATHLETES[[#This Row],[RANK VALUE]],TS_ATHLETES[RANK VALUE]))</f>
        <v>129</v>
      </c>
      <c r="I1490" s="3">
        <f>IFERROR(IF(TS_ATHLETES[[#This Row],[TOTAL]]=0,"",RANK(TS_ATHLETES[[#This Row],[RANK VALUE]],TS_ATHLETES[RANK VALUE])+COUNTIF($H$1:H1489,H1490)),"")</f>
        <v>543</v>
      </c>
    </row>
    <row r="1491" spans="1:9" x14ac:dyDescent="0.25">
      <c r="A1491" t="s">
        <v>2393</v>
      </c>
      <c r="B1491" s="3" t="s">
        <v>124</v>
      </c>
      <c r="C1491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1</v>
      </c>
      <c r="D1491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1491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1491" s="3">
        <f>SUM(TS_ATHLETES[[#This Row],[GOLD MEDALS]:[BRONZE MEDALS]])</f>
        <v>1</v>
      </c>
      <c r="G1491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10100000</v>
      </c>
      <c r="H1491" s="3">
        <f>IF(TS_ATHLETES[[#This Row],[TOTAL]]=0,"",RANK(TS_ATHLETES[[#This Row],[RANK VALUE]],TS_ATHLETES[RANK VALUE]))</f>
        <v>129</v>
      </c>
      <c r="I1491" s="3">
        <f>IFERROR(IF(TS_ATHLETES[[#This Row],[TOTAL]]=0,"",RANK(TS_ATHLETES[[#This Row],[RANK VALUE]],TS_ATHLETES[RANK VALUE])+COUNTIF($H$1:H1490,H1491)),"")</f>
        <v>544</v>
      </c>
    </row>
    <row r="1492" spans="1:9" x14ac:dyDescent="0.25">
      <c r="A1492" t="s">
        <v>2394</v>
      </c>
      <c r="B1492" s="3" t="s">
        <v>124</v>
      </c>
      <c r="C1492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1</v>
      </c>
      <c r="D1492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1492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1492" s="3">
        <f>SUM(TS_ATHLETES[[#This Row],[GOLD MEDALS]:[BRONZE MEDALS]])</f>
        <v>1</v>
      </c>
      <c r="G1492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10100000</v>
      </c>
      <c r="H1492" s="3">
        <f>IF(TS_ATHLETES[[#This Row],[TOTAL]]=0,"",RANK(TS_ATHLETES[[#This Row],[RANK VALUE]],TS_ATHLETES[RANK VALUE]))</f>
        <v>129</v>
      </c>
      <c r="I1492" s="3">
        <f>IFERROR(IF(TS_ATHLETES[[#This Row],[TOTAL]]=0,"",RANK(TS_ATHLETES[[#This Row],[RANK VALUE]],TS_ATHLETES[RANK VALUE])+COUNTIF($H$1:H1491,H1492)),"")</f>
        <v>545</v>
      </c>
    </row>
    <row r="1493" spans="1:9" x14ac:dyDescent="0.25">
      <c r="A1493" t="s">
        <v>2395</v>
      </c>
      <c r="B1493" s="3" t="s">
        <v>124</v>
      </c>
      <c r="C1493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1</v>
      </c>
      <c r="D1493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1493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1493" s="3">
        <f>SUM(TS_ATHLETES[[#This Row],[GOLD MEDALS]:[BRONZE MEDALS]])</f>
        <v>1</v>
      </c>
      <c r="G1493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10100000</v>
      </c>
      <c r="H1493" s="3">
        <f>IF(TS_ATHLETES[[#This Row],[TOTAL]]=0,"",RANK(TS_ATHLETES[[#This Row],[RANK VALUE]],TS_ATHLETES[RANK VALUE]))</f>
        <v>129</v>
      </c>
      <c r="I1493" s="3">
        <f>IFERROR(IF(TS_ATHLETES[[#This Row],[TOTAL]]=0,"",RANK(TS_ATHLETES[[#This Row],[RANK VALUE]],TS_ATHLETES[RANK VALUE])+COUNTIF($H$1:H1492,H1493)),"")</f>
        <v>546</v>
      </c>
    </row>
    <row r="1494" spans="1:9" x14ac:dyDescent="0.25">
      <c r="A1494" t="s">
        <v>2396</v>
      </c>
      <c r="B1494" s="3" t="s">
        <v>124</v>
      </c>
      <c r="C1494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1</v>
      </c>
      <c r="D1494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1494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1494" s="3">
        <f>SUM(TS_ATHLETES[[#This Row],[GOLD MEDALS]:[BRONZE MEDALS]])</f>
        <v>1</v>
      </c>
      <c r="G1494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10100000</v>
      </c>
      <c r="H1494" s="3">
        <f>IF(TS_ATHLETES[[#This Row],[TOTAL]]=0,"",RANK(TS_ATHLETES[[#This Row],[RANK VALUE]],TS_ATHLETES[RANK VALUE]))</f>
        <v>129</v>
      </c>
      <c r="I1494" s="3">
        <f>IFERROR(IF(TS_ATHLETES[[#This Row],[TOTAL]]=0,"",RANK(TS_ATHLETES[[#This Row],[RANK VALUE]],TS_ATHLETES[RANK VALUE])+COUNTIF($H$1:H1493,H1494)),"")</f>
        <v>547</v>
      </c>
    </row>
    <row r="1495" spans="1:9" x14ac:dyDescent="0.25">
      <c r="A1495" t="s">
        <v>2397</v>
      </c>
      <c r="B1495" s="3" t="s">
        <v>124</v>
      </c>
      <c r="C1495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1</v>
      </c>
      <c r="D1495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1495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1495" s="3">
        <f>SUM(TS_ATHLETES[[#This Row],[GOLD MEDALS]:[BRONZE MEDALS]])</f>
        <v>1</v>
      </c>
      <c r="G1495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10100000</v>
      </c>
      <c r="H1495" s="3">
        <f>IF(TS_ATHLETES[[#This Row],[TOTAL]]=0,"",RANK(TS_ATHLETES[[#This Row],[RANK VALUE]],TS_ATHLETES[RANK VALUE]))</f>
        <v>129</v>
      </c>
      <c r="I1495" s="3">
        <f>IFERROR(IF(TS_ATHLETES[[#This Row],[TOTAL]]=0,"",RANK(TS_ATHLETES[[#This Row],[RANK VALUE]],TS_ATHLETES[RANK VALUE])+COUNTIF($H$1:H1494,H1495)),"")</f>
        <v>548</v>
      </c>
    </row>
    <row r="1496" spans="1:9" x14ac:dyDescent="0.25">
      <c r="A1496" t="s">
        <v>2398</v>
      </c>
      <c r="B1496" s="3" t="s">
        <v>124</v>
      </c>
      <c r="C1496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1</v>
      </c>
      <c r="D1496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1496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1496" s="3">
        <f>SUM(TS_ATHLETES[[#This Row],[GOLD MEDALS]:[BRONZE MEDALS]])</f>
        <v>1</v>
      </c>
      <c r="G1496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10100000</v>
      </c>
      <c r="H1496" s="3">
        <f>IF(TS_ATHLETES[[#This Row],[TOTAL]]=0,"",RANK(TS_ATHLETES[[#This Row],[RANK VALUE]],TS_ATHLETES[RANK VALUE]))</f>
        <v>129</v>
      </c>
      <c r="I1496" s="3">
        <f>IFERROR(IF(TS_ATHLETES[[#This Row],[TOTAL]]=0,"",RANK(TS_ATHLETES[[#This Row],[RANK VALUE]],TS_ATHLETES[RANK VALUE])+COUNTIF($H$1:H1495,H1496)),"")</f>
        <v>549</v>
      </c>
    </row>
    <row r="1497" spans="1:9" x14ac:dyDescent="0.25">
      <c r="A1497" t="s">
        <v>2399</v>
      </c>
      <c r="B1497" s="3" t="s">
        <v>124</v>
      </c>
      <c r="C1497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1</v>
      </c>
      <c r="D1497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1497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1497" s="3">
        <f>SUM(TS_ATHLETES[[#This Row],[GOLD MEDALS]:[BRONZE MEDALS]])</f>
        <v>1</v>
      </c>
      <c r="G1497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10100000</v>
      </c>
      <c r="H1497" s="3">
        <f>IF(TS_ATHLETES[[#This Row],[TOTAL]]=0,"",RANK(TS_ATHLETES[[#This Row],[RANK VALUE]],TS_ATHLETES[RANK VALUE]))</f>
        <v>129</v>
      </c>
      <c r="I1497" s="3">
        <f>IFERROR(IF(TS_ATHLETES[[#This Row],[TOTAL]]=0,"",RANK(TS_ATHLETES[[#This Row],[RANK VALUE]],TS_ATHLETES[RANK VALUE])+COUNTIF($H$1:H1496,H1497)),"")</f>
        <v>550</v>
      </c>
    </row>
    <row r="1498" spans="1:9" x14ac:dyDescent="0.25">
      <c r="A1498" t="s">
        <v>2400</v>
      </c>
      <c r="B1498" s="3" t="s">
        <v>124</v>
      </c>
      <c r="C1498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1</v>
      </c>
      <c r="D1498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1498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1498" s="3">
        <f>SUM(TS_ATHLETES[[#This Row],[GOLD MEDALS]:[BRONZE MEDALS]])</f>
        <v>1</v>
      </c>
      <c r="G1498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10100000</v>
      </c>
      <c r="H1498" s="3">
        <f>IF(TS_ATHLETES[[#This Row],[TOTAL]]=0,"",RANK(TS_ATHLETES[[#This Row],[RANK VALUE]],TS_ATHLETES[RANK VALUE]))</f>
        <v>129</v>
      </c>
      <c r="I1498" s="3">
        <f>IFERROR(IF(TS_ATHLETES[[#This Row],[TOTAL]]=0,"",RANK(TS_ATHLETES[[#This Row],[RANK VALUE]],TS_ATHLETES[RANK VALUE])+COUNTIF($H$1:H1497,H1498)),"")</f>
        <v>551</v>
      </c>
    </row>
    <row r="1499" spans="1:9" x14ac:dyDescent="0.25">
      <c r="A1499" t="s">
        <v>2401</v>
      </c>
      <c r="B1499" s="3" t="s">
        <v>124</v>
      </c>
      <c r="C1499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1</v>
      </c>
      <c r="D1499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1499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1499" s="3">
        <f>SUM(TS_ATHLETES[[#This Row],[GOLD MEDALS]:[BRONZE MEDALS]])</f>
        <v>1</v>
      </c>
      <c r="G1499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10100000</v>
      </c>
      <c r="H1499" s="3">
        <f>IF(TS_ATHLETES[[#This Row],[TOTAL]]=0,"",RANK(TS_ATHLETES[[#This Row],[RANK VALUE]],TS_ATHLETES[RANK VALUE]))</f>
        <v>129</v>
      </c>
      <c r="I1499" s="3">
        <f>IFERROR(IF(TS_ATHLETES[[#This Row],[TOTAL]]=0,"",RANK(TS_ATHLETES[[#This Row],[RANK VALUE]],TS_ATHLETES[RANK VALUE])+COUNTIF($H$1:H1498,H1499)),"")</f>
        <v>552</v>
      </c>
    </row>
    <row r="1500" spans="1:9" x14ac:dyDescent="0.25">
      <c r="A1500" t="s">
        <v>2402</v>
      </c>
      <c r="B1500" s="3" t="s">
        <v>124</v>
      </c>
      <c r="C1500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1</v>
      </c>
      <c r="D1500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1500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1500" s="3">
        <f>SUM(TS_ATHLETES[[#This Row],[GOLD MEDALS]:[BRONZE MEDALS]])</f>
        <v>1</v>
      </c>
      <c r="G1500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10100000</v>
      </c>
      <c r="H1500" s="3">
        <f>IF(TS_ATHLETES[[#This Row],[TOTAL]]=0,"",RANK(TS_ATHLETES[[#This Row],[RANK VALUE]],TS_ATHLETES[RANK VALUE]))</f>
        <v>129</v>
      </c>
      <c r="I1500" s="3">
        <f>IFERROR(IF(TS_ATHLETES[[#This Row],[TOTAL]]=0,"",RANK(TS_ATHLETES[[#This Row],[RANK VALUE]],TS_ATHLETES[RANK VALUE])+COUNTIF($H$1:H1499,H1500)),"")</f>
        <v>553</v>
      </c>
    </row>
    <row r="1501" spans="1:9" x14ac:dyDescent="0.25">
      <c r="A1501" t="s">
        <v>2403</v>
      </c>
      <c r="B1501" s="3" t="s">
        <v>124</v>
      </c>
      <c r="C1501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1</v>
      </c>
      <c r="D1501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1501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1501" s="3">
        <f>SUM(TS_ATHLETES[[#This Row],[GOLD MEDALS]:[BRONZE MEDALS]])</f>
        <v>1</v>
      </c>
      <c r="G1501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10100000</v>
      </c>
      <c r="H1501" s="3">
        <f>IF(TS_ATHLETES[[#This Row],[TOTAL]]=0,"",RANK(TS_ATHLETES[[#This Row],[RANK VALUE]],TS_ATHLETES[RANK VALUE]))</f>
        <v>129</v>
      </c>
      <c r="I1501" s="3">
        <f>IFERROR(IF(TS_ATHLETES[[#This Row],[TOTAL]]=0,"",RANK(TS_ATHLETES[[#This Row],[RANK VALUE]],TS_ATHLETES[RANK VALUE])+COUNTIF($H$1:H1500,H1501)),"")</f>
        <v>554</v>
      </c>
    </row>
    <row r="1502" spans="1:9" x14ac:dyDescent="0.25">
      <c r="A1502" t="s">
        <v>2404</v>
      </c>
      <c r="B1502" s="3" t="s">
        <v>124</v>
      </c>
      <c r="C1502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1</v>
      </c>
      <c r="D1502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1502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1502" s="3">
        <f>SUM(TS_ATHLETES[[#This Row],[GOLD MEDALS]:[BRONZE MEDALS]])</f>
        <v>1</v>
      </c>
      <c r="G1502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10100000</v>
      </c>
      <c r="H1502" s="3">
        <f>IF(TS_ATHLETES[[#This Row],[TOTAL]]=0,"",RANK(TS_ATHLETES[[#This Row],[RANK VALUE]],TS_ATHLETES[RANK VALUE]))</f>
        <v>129</v>
      </c>
      <c r="I1502" s="3">
        <f>IFERROR(IF(TS_ATHLETES[[#This Row],[TOTAL]]=0,"",RANK(TS_ATHLETES[[#This Row],[RANK VALUE]],TS_ATHLETES[RANK VALUE])+COUNTIF($H$1:H1501,H1502)),"")</f>
        <v>555</v>
      </c>
    </row>
    <row r="1503" spans="1:9" x14ac:dyDescent="0.25">
      <c r="A1503" t="s">
        <v>2405</v>
      </c>
      <c r="B1503" s="3" t="s">
        <v>361</v>
      </c>
      <c r="C1503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1503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1</v>
      </c>
      <c r="E1503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1503" s="3">
        <f>SUM(TS_ATHLETES[[#This Row],[GOLD MEDALS]:[BRONZE MEDALS]])</f>
        <v>1</v>
      </c>
      <c r="G1503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10000100</v>
      </c>
      <c r="H1503" s="3">
        <f>IF(TS_ATHLETES[[#This Row],[TOTAL]]=0,"",RANK(TS_ATHLETES[[#This Row],[RANK VALUE]],TS_ATHLETES[RANK VALUE]))</f>
        <v>660</v>
      </c>
      <c r="I1503" s="3">
        <f>IFERROR(IF(TS_ATHLETES[[#This Row],[TOTAL]]=0,"",RANK(TS_ATHLETES[[#This Row],[RANK VALUE]],TS_ATHLETES[RANK VALUE])+COUNTIF($H$1:H1502,H1503)),"")</f>
        <v>1105</v>
      </c>
    </row>
    <row r="1504" spans="1:9" x14ac:dyDescent="0.25">
      <c r="A1504" t="s">
        <v>2406</v>
      </c>
      <c r="B1504" s="3" t="s">
        <v>361</v>
      </c>
      <c r="C1504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1504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1</v>
      </c>
      <c r="E1504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1504" s="3">
        <f>SUM(TS_ATHLETES[[#This Row],[GOLD MEDALS]:[BRONZE MEDALS]])</f>
        <v>1</v>
      </c>
      <c r="G1504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10000100</v>
      </c>
      <c r="H1504" s="3">
        <f>IF(TS_ATHLETES[[#This Row],[TOTAL]]=0,"",RANK(TS_ATHLETES[[#This Row],[RANK VALUE]],TS_ATHLETES[RANK VALUE]))</f>
        <v>660</v>
      </c>
      <c r="I1504" s="3">
        <f>IFERROR(IF(TS_ATHLETES[[#This Row],[TOTAL]]=0,"",RANK(TS_ATHLETES[[#This Row],[RANK VALUE]],TS_ATHLETES[RANK VALUE])+COUNTIF($H$1:H1503,H1504)),"")</f>
        <v>1106</v>
      </c>
    </row>
    <row r="1505" spans="1:9" x14ac:dyDescent="0.25">
      <c r="A1505" t="s">
        <v>2407</v>
      </c>
      <c r="B1505" s="3" t="s">
        <v>361</v>
      </c>
      <c r="C1505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1505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1</v>
      </c>
      <c r="E1505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1505" s="3">
        <f>SUM(TS_ATHLETES[[#This Row],[GOLD MEDALS]:[BRONZE MEDALS]])</f>
        <v>1</v>
      </c>
      <c r="G1505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10000100</v>
      </c>
      <c r="H1505" s="3">
        <f>IF(TS_ATHLETES[[#This Row],[TOTAL]]=0,"",RANK(TS_ATHLETES[[#This Row],[RANK VALUE]],TS_ATHLETES[RANK VALUE]))</f>
        <v>660</v>
      </c>
      <c r="I1505" s="3">
        <f>IFERROR(IF(TS_ATHLETES[[#This Row],[TOTAL]]=0,"",RANK(TS_ATHLETES[[#This Row],[RANK VALUE]],TS_ATHLETES[RANK VALUE])+COUNTIF($H$1:H1504,H1505)),"")</f>
        <v>1107</v>
      </c>
    </row>
    <row r="1506" spans="1:9" x14ac:dyDescent="0.25">
      <c r="A1506" t="s">
        <v>2408</v>
      </c>
      <c r="B1506" s="3" t="s">
        <v>361</v>
      </c>
      <c r="C1506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1506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1</v>
      </c>
      <c r="E1506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1506" s="3">
        <f>SUM(TS_ATHLETES[[#This Row],[GOLD MEDALS]:[BRONZE MEDALS]])</f>
        <v>1</v>
      </c>
      <c r="G1506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10000100</v>
      </c>
      <c r="H1506" s="3">
        <f>IF(TS_ATHLETES[[#This Row],[TOTAL]]=0,"",RANK(TS_ATHLETES[[#This Row],[RANK VALUE]],TS_ATHLETES[RANK VALUE]))</f>
        <v>660</v>
      </c>
      <c r="I1506" s="3">
        <f>IFERROR(IF(TS_ATHLETES[[#This Row],[TOTAL]]=0,"",RANK(TS_ATHLETES[[#This Row],[RANK VALUE]],TS_ATHLETES[RANK VALUE])+COUNTIF($H$1:H1505,H1506)),"")</f>
        <v>1108</v>
      </c>
    </row>
    <row r="1507" spans="1:9" x14ac:dyDescent="0.25">
      <c r="A1507" t="s">
        <v>2409</v>
      </c>
      <c r="B1507" s="3" t="s">
        <v>361</v>
      </c>
      <c r="C1507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1507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1</v>
      </c>
      <c r="E1507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1507" s="3">
        <f>SUM(TS_ATHLETES[[#This Row],[GOLD MEDALS]:[BRONZE MEDALS]])</f>
        <v>1</v>
      </c>
      <c r="G1507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10000100</v>
      </c>
      <c r="H1507" s="3">
        <f>IF(TS_ATHLETES[[#This Row],[TOTAL]]=0,"",RANK(TS_ATHLETES[[#This Row],[RANK VALUE]],TS_ATHLETES[RANK VALUE]))</f>
        <v>660</v>
      </c>
      <c r="I1507" s="3">
        <f>IFERROR(IF(TS_ATHLETES[[#This Row],[TOTAL]]=0,"",RANK(TS_ATHLETES[[#This Row],[RANK VALUE]],TS_ATHLETES[RANK VALUE])+COUNTIF($H$1:H1506,H1507)),"")</f>
        <v>1109</v>
      </c>
    </row>
    <row r="1508" spans="1:9" x14ac:dyDescent="0.25">
      <c r="A1508" t="s">
        <v>2410</v>
      </c>
      <c r="B1508" s="3" t="s">
        <v>361</v>
      </c>
      <c r="C1508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1508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1</v>
      </c>
      <c r="E1508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1508" s="3">
        <f>SUM(TS_ATHLETES[[#This Row],[GOLD MEDALS]:[BRONZE MEDALS]])</f>
        <v>1</v>
      </c>
      <c r="G1508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10000100</v>
      </c>
      <c r="H1508" s="3">
        <f>IF(TS_ATHLETES[[#This Row],[TOTAL]]=0,"",RANK(TS_ATHLETES[[#This Row],[RANK VALUE]],TS_ATHLETES[RANK VALUE]))</f>
        <v>660</v>
      </c>
      <c r="I1508" s="3">
        <f>IFERROR(IF(TS_ATHLETES[[#This Row],[TOTAL]]=0,"",RANK(TS_ATHLETES[[#This Row],[RANK VALUE]],TS_ATHLETES[RANK VALUE])+COUNTIF($H$1:H1507,H1508)),"")</f>
        <v>1110</v>
      </c>
    </row>
    <row r="1509" spans="1:9" x14ac:dyDescent="0.25">
      <c r="A1509" t="s">
        <v>2411</v>
      </c>
      <c r="B1509" s="3" t="s">
        <v>361</v>
      </c>
      <c r="C1509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1509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1</v>
      </c>
      <c r="E1509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1509" s="3">
        <f>SUM(TS_ATHLETES[[#This Row],[GOLD MEDALS]:[BRONZE MEDALS]])</f>
        <v>1</v>
      </c>
      <c r="G1509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10000100</v>
      </c>
      <c r="H1509" s="3">
        <f>IF(TS_ATHLETES[[#This Row],[TOTAL]]=0,"",RANK(TS_ATHLETES[[#This Row],[RANK VALUE]],TS_ATHLETES[RANK VALUE]))</f>
        <v>660</v>
      </c>
      <c r="I1509" s="3">
        <f>IFERROR(IF(TS_ATHLETES[[#This Row],[TOTAL]]=0,"",RANK(TS_ATHLETES[[#This Row],[RANK VALUE]],TS_ATHLETES[RANK VALUE])+COUNTIF($H$1:H1508,H1509)),"")</f>
        <v>1111</v>
      </c>
    </row>
    <row r="1510" spans="1:9" x14ac:dyDescent="0.25">
      <c r="A1510" t="s">
        <v>2412</v>
      </c>
      <c r="B1510" s="3" t="s">
        <v>361</v>
      </c>
      <c r="C1510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1510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1</v>
      </c>
      <c r="E1510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1510" s="3">
        <f>SUM(TS_ATHLETES[[#This Row],[GOLD MEDALS]:[BRONZE MEDALS]])</f>
        <v>1</v>
      </c>
      <c r="G1510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10000100</v>
      </c>
      <c r="H1510" s="3">
        <f>IF(TS_ATHLETES[[#This Row],[TOTAL]]=0,"",RANK(TS_ATHLETES[[#This Row],[RANK VALUE]],TS_ATHLETES[RANK VALUE]))</f>
        <v>660</v>
      </c>
      <c r="I1510" s="3">
        <f>IFERROR(IF(TS_ATHLETES[[#This Row],[TOTAL]]=0,"",RANK(TS_ATHLETES[[#This Row],[RANK VALUE]],TS_ATHLETES[RANK VALUE])+COUNTIF($H$1:H1509,H1510)),"")</f>
        <v>1112</v>
      </c>
    </row>
    <row r="1511" spans="1:9" x14ac:dyDescent="0.25">
      <c r="A1511" t="s">
        <v>2413</v>
      </c>
      <c r="B1511" s="3" t="s">
        <v>361</v>
      </c>
      <c r="C1511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1511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1</v>
      </c>
      <c r="E1511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1511" s="3">
        <f>SUM(TS_ATHLETES[[#This Row],[GOLD MEDALS]:[BRONZE MEDALS]])</f>
        <v>1</v>
      </c>
      <c r="G1511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10000100</v>
      </c>
      <c r="H1511" s="3">
        <f>IF(TS_ATHLETES[[#This Row],[TOTAL]]=0,"",RANK(TS_ATHLETES[[#This Row],[RANK VALUE]],TS_ATHLETES[RANK VALUE]))</f>
        <v>660</v>
      </c>
      <c r="I1511" s="3">
        <f>IFERROR(IF(TS_ATHLETES[[#This Row],[TOTAL]]=0,"",RANK(TS_ATHLETES[[#This Row],[RANK VALUE]],TS_ATHLETES[RANK VALUE])+COUNTIF($H$1:H1510,H1511)),"")</f>
        <v>1113</v>
      </c>
    </row>
    <row r="1512" spans="1:9" x14ac:dyDescent="0.25">
      <c r="A1512" t="s">
        <v>2414</v>
      </c>
      <c r="B1512" s="3" t="s">
        <v>361</v>
      </c>
      <c r="C1512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1512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1</v>
      </c>
      <c r="E1512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1512" s="3">
        <f>SUM(TS_ATHLETES[[#This Row],[GOLD MEDALS]:[BRONZE MEDALS]])</f>
        <v>1</v>
      </c>
      <c r="G1512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10000100</v>
      </c>
      <c r="H1512" s="3">
        <f>IF(TS_ATHLETES[[#This Row],[TOTAL]]=0,"",RANK(TS_ATHLETES[[#This Row],[RANK VALUE]],TS_ATHLETES[RANK VALUE]))</f>
        <v>660</v>
      </c>
      <c r="I1512" s="3">
        <f>IFERROR(IF(TS_ATHLETES[[#This Row],[TOTAL]]=0,"",RANK(TS_ATHLETES[[#This Row],[RANK VALUE]],TS_ATHLETES[RANK VALUE])+COUNTIF($H$1:H1511,H1512)),"")</f>
        <v>1114</v>
      </c>
    </row>
    <row r="1513" spans="1:9" x14ac:dyDescent="0.25">
      <c r="A1513" t="s">
        <v>2415</v>
      </c>
      <c r="B1513" s="3" t="s">
        <v>361</v>
      </c>
      <c r="C1513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1513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1</v>
      </c>
      <c r="E1513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1513" s="3">
        <f>SUM(TS_ATHLETES[[#This Row],[GOLD MEDALS]:[BRONZE MEDALS]])</f>
        <v>1</v>
      </c>
      <c r="G1513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10000100</v>
      </c>
      <c r="H1513" s="3">
        <f>IF(TS_ATHLETES[[#This Row],[TOTAL]]=0,"",RANK(TS_ATHLETES[[#This Row],[RANK VALUE]],TS_ATHLETES[RANK VALUE]))</f>
        <v>660</v>
      </c>
      <c r="I1513" s="3">
        <f>IFERROR(IF(TS_ATHLETES[[#This Row],[TOTAL]]=0,"",RANK(TS_ATHLETES[[#This Row],[RANK VALUE]],TS_ATHLETES[RANK VALUE])+COUNTIF($H$1:H1512,H1513)),"")</f>
        <v>1115</v>
      </c>
    </row>
    <row r="1514" spans="1:9" x14ac:dyDescent="0.25">
      <c r="A1514" t="s">
        <v>2416</v>
      </c>
      <c r="B1514" s="3" t="s">
        <v>361</v>
      </c>
      <c r="C1514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1514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1</v>
      </c>
      <c r="E1514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1514" s="3">
        <f>SUM(TS_ATHLETES[[#This Row],[GOLD MEDALS]:[BRONZE MEDALS]])</f>
        <v>1</v>
      </c>
      <c r="G1514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10000100</v>
      </c>
      <c r="H1514" s="3">
        <f>IF(TS_ATHLETES[[#This Row],[TOTAL]]=0,"",RANK(TS_ATHLETES[[#This Row],[RANK VALUE]],TS_ATHLETES[RANK VALUE]))</f>
        <v>660</v>
      </c>
      <c r="I1514" s="3">
        <f>IFERROR(IF(TS_ATHLETES[[#This Row],[TOTAL]]=0,"",RANK(TS_ATHLETES[[#This Row],[RANK VALUE]],TS_ATHLETES[RANK VALUE])+COUNTIF($H$1:H1513,H1514)),"")</f>
        <v>1116</v>
      </c>
    </row>
    <row r="1515" spans="1:9" x14ac:dyDescent="0.25">
      <c r="A1515" t="s">
        <v>2417</v>
      </c>
      <c r="B1515" s="3" t="s">
        <v>319</v>
      </c>
      <c r="C1515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1515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1515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1</v>
      </c>
      <c r="F1515" s="3">
        <f>SUM(TS_ATHLETES[[#This Row],[GOLD MEDALS]:[BRONZE MEDALS]])</f>
        <v>1</v>
      </c>
      <c r="G1515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10000010</v>
      </c>
      <c r="H1515" s="3">
        <f>IF(TS_ATHLETES[[#This Row],[TOTAL]]=0,"",RANK(TS_ATHLETES[[#This Row],[RANK VALUE]],TS_ATHLETES[RANK VALUE]))</f>
        <v>1224</v>
      </c>
      <c r="I1515" s="3">
        <f>IFERROR(IF(TS_ATHLETES[[#This Row],[TOTAL]]=0,"",RANK(TS_ATHLETES[[#This Row],[RANK VALUE]],TS_ATHLETES[RANK VALUE])+COUNTIF($H$1:H1514,H1515)),"")</f>
        <v>1739</v>
      </c>
    </row>
    <row r="1516" spans="1:9" x14ac:dyDescent="0.25">
      <c r="A1516" t="s">
        <v>2418</v>
      </c>
      <c r="B1516" s="3" t="s">
        <v>319</v>
      </c>
      <c r="C1516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1516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1516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1</v>
      </c>
      <c r="F1516" s="3">
        <f>SUM(TS_ATHLETES[[#This Row],[GOLD MEDALS]:[BRONZE MEDALS]])</f>
        <v>1</v>
      </c>
      <c r="G1516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10000010</v>
      </c>
      <c r="H1516" s="3">
        <f>IF(TS_ATHLETES[[#This Row],[TOTAL]]=0,"",RANK(TS_ATHLETES[[#This Row],[RANK VALUE]],TS_ATHLETES[RANK VALUE]))</f>
        <v>1224</v>
      </c>
      <c r="I1516" s="3">
        <f>IFERROR(IF(TS_ATHLETES[[#This Row],[TOTAL]]=0,"",RANK(TS_ATHLETES[[#This Row],[RANK VALUE]],TS_ATHLETES[RANK VALUE])+COUNTIF($H$1:H1515,H1516)),"")</f>
        <v>1740</v>
      </c>
    </row>
    <row r="1517" spans="1:9" x14ac:dyDescent="0.25">
      <c r="A1517" t="s">
        <v>2419</v>
      </c>
      <c r="B1517" s="3" t="s">
        <v>319</v>
      </c>
      <c r="C1517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1517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1517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1</v>
      </c>
      <c r="F1517" s="3">
        <f>SUM(TS_ATHLETES[[#This Row],[GOLD MEDALS]:[BRONZE MEDALS]])</f>
        <v>1</v>
      </c>
      <c r="G1517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10000010</v>
      </c>
      <c r="H1517" s="3">
        <f>IF(TS_ATHLETES[[#This Row],[TOTAL]]=0,"",RANK(TS_ATHLETES[[#This Row],[RANK VALUE]],TS_ATHLETES[RANK VALUE]))</f>
        <v>1224</v>
      </c>
      <c r="I1517" s="3">
        <f>IFERROR(IF(TS_ATHLETES[[#This Row],[TOTAL]]=0,"",RANK(TS_ATHLETES[[#This Row],[RANK VALUE]],TS_ATHLETES[RANK VALUE])+COUNTIF($H$1:H1516,H1517)),"")</f>
        <v>1741</v>
      </c>
    </row>
    <row r="1518" spans="1:9" x14ac:dyDescent="0.25">
      <c r="A1518" t="s">
        <v>2420</v>
      </c>
      <c r="B1518" s="3" t="s">
        <v>319</v>
      </c>
      <c r="C1518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1518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1518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1</v>
      </c>
      <c r="F1518" s="3">
        <f>SUM(TS_ATHLETES[[#This Row],[GOLD MEDALS]:[BRONZE MEDALS]])</f>
        <v>1</v>
      </c>
      <c r="G1518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10000010</v>
      </c>
      <c r="H1518" s="3">
        <f>IF(TS_ATHLETES[[#This Row],[TOTAL]]=0,"",RANK(TS_ATHLETES[[#This Row],[RANK VALUE]],TS_ATHLETES[RANK VALUE]))</f>
        <v>1224</v>
      </c>
      <c r="I1518" s="3">
        <f>IFERROR(IF(TS_ATHLETES[[#This Row],[TOTAL]]=0,"",RANK(TS_ATHLETES[[#This Row],[RANK VALUE]],TS_ATHLETES[RANK VALUE])+COUNTIF($H$1:H1517,H1518)),"")</f>
        <v>1742</v>
      </c>
    </row>
    <row r="1519" spans="1:9" x14ac:dyDescent="0.25">
      <c r="A1519" t="s">
        <v>2421</v>
      </c>
      <c r="B1519" s="3" t="s">
        <v>319</v>
      </c>
      <c r="C1519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1519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1519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1</v>
      </c>
      <c r="F1519" s="3">
        <f>SUM(TS_ATHLETES[[#This Row],[GOLD MEDALS]:[BRONZE MEDALS]])</f>
        <v>1</v>
      </c>
      <c r="G1519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10000010</v>
      </c>
      <c r="H1519" s="3">
        <f>IF(TS_ATHLETES[[#This Row],[TOTAL]]=0,"",RANK(TS_ATHLETES[[#This Row],[RANK VALUE]],TS_ATHLETES[RANK VALUE]))</f>
        <v>1224</v>
      </c>
      <c r="I1519" s="3">
        <f>IFERROR(IF(TS_ATHLETES[[#This Row],[TOTAL]]=0,"",RANK(TS_ATHLETES[[#This Row],[RANK VALUE]],TS_ATHLETES[RANK VALUE])+COUNTIF($H$1:H1518,H1519)),"")</f>
        <v>1743</v>
      </c>
    </row>
    <row r="1520" spans="1:9" x14ac:dyDescent="0.25">
      <c r="A1520" t="s">
        <v>2422</v>
      </c>
      <c r="B1520" s="3" t="s">
        <v>319</v>
      </c>
      <c r="C1520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1520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1520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1</v>
      </c>
      <c r="F1520" s="3">
        <f>SUM(TS_ATHLETES[[#This Row],[GOLD MEDALS]:[BRONZE MEDALS]])</f>
        <v>1</v>
      </c>
      <c r="G1520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10000010</v>
      </c>
      <c r="H1520" s="3">
        <f>IF(TS_ATHLETES[[#This Row],[TOTAL]]=0,"",RANK(TS_ATHLETES[[#This Row],[RANK VALUE]],TS_ATHLETES[RANK VALUE]))</f>
        <v>1224</v>
      </c>
      <c r="I1520" s="3">
        <f>IFERROR(IF(TS_ATHLETES[[#This Row],[TOTAL]]=0,"",RANK(TS_ATHLETES[[#This Row],[RANK VALUE]],TS_ATHLETES[RANK VALUE])+COUNTIF($H$1:H1519,H1520)),"")</f>
        <v>1744</v>
      </c>
    </row>
    <row r="1521" spans="1:9" x14ac:dyDescent="0.25">
      <c r="A1521" t="s">
        <v>2423</v>
      </c>
      <c r="B1521" s="3" t="s">
        <v>319</v>
      </c>
      <c r="C1521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1521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1521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1</v>
      </c>
      <c r="F1521" s="3">
        <f>SUM(TS_ATHLETES[[#This Row],[GOLD MEDALS]:[BRONZE MEDALS]])</f>
        <v>1</v>
      </c>
      <c r="G1521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10000010</v>
      </c>
      <c r="H1521" s="3">
        <f>IF(TS_ATHLETES[[#This Row],[TOTAL]]=0,"",RANK(TS_ATHLETES[[#This Row],[RANK VALUE]],TS_ATHLETES[RANK VALUE]))</f>
        <v>1224</v>
      </c>
      <c r="I1521" s="3">
        <f>IFERROR(IF(TS_ATHLETES[[#This Row],[TOTAL]]=0,"",RANK(TS_ATHLETES[[#This Row],[RANK VALUE]],TS_ATHLETES[RANK VALUE])+COUNTIF($H$1:H1520,H1521)),"")</f>
        <v>1745</v>
      </c>
    </row>
    <row r="1522" spans="1:9" x14ac:dyDescent="0.25">
      <c r="A1522" t="s">
        <v>2424</v>
      </c>
      <c r="B1522" s="3" t="s">
        <v>319</v>
      </c>
      <c r="C1522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1522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1522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1</v>
      </c>
      <c r="F1522" s="3">
        <f>SUM(TS_ATHLETES[[#This Row],[GOLD MEDALS]:[BRONZE MEDALS]])</f>
        <v>1</v>
      </c>
      <c r="G1522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10000010</v>
      </c>
      <c r="H1522" s="3">
        <f>IF(TS_ATHLETES[[#This Row],[TOTAL]]=0,"",RANK(TS_ATHLETES[[#This Row],[RANK VALUE]],TS_ATHLETES[RANK VALUE]))</f>
        <v>1224</v>
      </c>
      <c r="I1522" s="3">
        <f>IFERROR(IF(TS_ATHLETES[[#This Row],[TOTAL]]=0,"",RANK(TS_ATHLETES[[#This Row],[RANK VALUE]],TS_ATHLETES[RANK VALUE])+COUNTIF($H$1:H1521,H1522)),"")</f>
        <v>1746</v>
      </c>
    </row>
    <row r="1523" spans="1:9" x14ac:dyDescent="0.25">
      <c r="A1523" t="s">
        <v>2425</v>
      </c>
      <c r="B1523" s="3" t="s">
        <v>319</v>
      </c>
      <c r="C1523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1523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1523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1</v>
      </c>
      <c r="F1523" s="3">
        <f>SUM(TS_ATHLETES[[#This Row],[GOLD MEDALS]:[BRONZE MEDALS]])</f>
        <v>1</v>
      </c>
      <c r="G1523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10000010</v>
      </c>
      <c r="H1523" s="3">
        <f>IF(TS_ATHLETES[[#This Row],[TOTAL]]=0,"",RANK(TS_ATHLETES[[#This Row],[RANK VALUE]],TS_ATHLETES[RANK VALUE]))</f>
        <v>1224</v>
      </c>
      <c r="I1523" s="3">
        <f>IFERROR(IF(TS_ATHLETES[[#This Row],[TOTAL]]=0,"",RANK(TS_ATHLETES[[#This Row],[RANK VALUE]],TS_ATHLETES[RANK VALUE])+COUNTIF($H$1:H1522,H1523)),"")</f>
        <v>1747</v>
      </c>
    </row>
    <row r="1524" spans="1:9" x14ac:dyDescent="0.25">
      <c r="A1524" t="s">
        <v>2426</v>
      </c>
      <c r="B1524" s="3" t="s">
        <v>319</v>
      </c>
      <c r="C1524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1524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1524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1</v>
      </c>
      <c r="F1524" s="3">
        <f>SUM(TS_ATHLETES[[#This Row],[GOLD MEDALS]:[BRONZE MEDALS]])</f>
        <v>1</v>
      </c>
      <c r="G1524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10000010</v>
      </c>
      <c r="H1524" s="3">
        <f>IF(TS_ATHLETES[[#This Row],[TOTAL]]=0,"",RANK(TS_ATHLETES[[#This Row],[RANK VALUE]],TS_ATHLETES[RANK VALUE]))</f>
        <v>1224</v>
      </c>
      <c r="I1524" s="3">
        <f>IFERROR(IF(TS_ATHLETES[[#This Row],[TOTAL]]=0,"",RANK(TS_ATHLETES[[#This Row],[RANK VALUE]],TS_ATHLETES[RANK VALUE])+COUNTIF($H$1:H1523,H1524)),"")</f>
        <v>1748</v>
      </c>
    </row>
    <row r="1525" spans="1:9" x14ac:dyDescent="0.25">
      <c r="A1525" t="s">
        <v>2427</v>
      </c>
      <c r="B1525" s="3" t="s">
        <v>319</v>
      </c>
      <c r="C1525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1525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1525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1</v>
      </c>
      <c r="F1525" s="3">
        <f>SUM(TS_ATHLETES[[#This Row],[GOLD MEDALS]:[BRONZE MEDALS]])</f>
        <v>1</v>
      </c>
      <c r="G1525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10000010</v>
      </c>
      <c r="H1525" s="3">
        <f>IF(TS_ATHLETES[[#This Row],[TOTAL]]=0,"",RANK(TS_ATHLETES[[#This Row],[RANK VALUE]],TS_ATHLETES[RANK VALUE]))</f>
        <v>1224</v>
      </c>
      <c r="I1525" s="3">
        <f>IFERROR(IF(TS_ATHLETES[[#This Row],[TOTAL]]=0,"",RANK(TS_ATHLETES[[#This Row],[RANK VALUE]],TS_ATHLETES[RANK VALUE])+COUNTIF($H$1:H1524,H1525)),"")</f>
        <v>1749</v>
      </c>
    </row>
    <row r="1526" spans="1:9" x14ac:dyDescent="0.25">
      <c r="A1526" t="s">
        <v>2428</v>
      </c>
      <c r="B1526" s="3" t="s">
        <v>319</v>
      </c>
      <c r="C1526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1526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1526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1</v>
      </c>
      <c r="F1526" s="3">
        <f>SUM(TS_ATHLETES[[#This Row],[GOLD MEDALS]:[BRONZE MEDALS]])</f>
        <v>1</v>
      </c>
      <c r="G1526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10000010</v>
      </c>
      <c r="H1526" s="3">
        <f>IF(TS_ATHLETES[[#This Row],[TOTAL]]=0,"",RANK(TS_ATHLETES[[#This Row],[RANK VALUE]],TS_ATHLETES[RANK VALUE]))</f>
        <v>1224</v>
      </c>
      <c r="I1526" s="3">
        <f>IFERROR(IF(TS_ATHLETES[[#This Row],[TOTAL]]=0,"",RANK(TS_ATHLETES[[#This Row],[RANK VALUE]],TS_ATHLETES[RANK VALUE])+COUNTIF($H$1:H1525,H1526)),"")</f>
        <v>1750</v>
      </c>
    </row>
    <row r="1527" spans="1:9" x14ac:dyDescent="0.25">
      <c r="A1527" t="s">
        <v>2429</v>
      </c>
      <c r="B1527" s="3" t="s">
        <v>319</v>
      </c>
      <c r="C1527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1527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1527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1</v>
      </c>
      <c r="F1527" s="3">
        <f>SUM(TS_ATHLETES[[#This Row],[GOLD MEDALS]:[BRONZE MEDALS]])</f>
        <v>1</v>
      </c>
      <c r="G1527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10000010</v>
      </c>
      <c r="H1527" s="3">
        <f>IF(TS_ATHLETES[[#This Row],[TOTAL]]=0,"",RANK(TS_ATHLETES[[#This Row],[RANK VALUE]],TS_ATHLETES[RANK VALUE]))</f>
        <v>1224</v>
      </c>
      <c r="I1527" s="3">
        <f>IFERROR(IF(TS_ATHLETES[[#This Row],[TOTAL]]=0,"",RANK(TS_ATHLETES[[#This Row],[RANK VALUE]],TS_ATHLETES[RANK VALUE])+COUNTIF($H$1:H1526,H1527)),"")</f>
        <v>1751</v>
      </c>
    </row>
    <row r="1528" spans="1:9" x14ac:dyDescent="0.25">
      <c r="A1528" t="s">
        <v>2430</v>
      </c>
      <c r="B1528" s="3" t="s">
        <v>21</v>
      </c>
      <c r="C1528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1</v>
      </c>
      <c r="D1528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1528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1528" s="3">
        <f>SUM(TS_ATHLETES[[#This Row],[GOLD MEDALS]:[BRONZE MEDALS]])</f>
        <v>1</v>
      </c>
      <c r="G1528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10100000</v>
      </c>
      <c r="H1528" s="3">
        <f>IF(TS_ATHLETES[[#This Row],[TOTAL]]=0,"",RANK(TS_ATHLETES[[#This Row],[RANK VALUE]],TS_ATHLETES[RANK VALUE]))</f>
        <v>129</v>
      </c>
      <c r="I1528" s="3">
        <f>IFERROR(IF(TS_ATHLETES[[#This Row],[TOTAL]]=0,"",RANK(TS_ATHLETES[[#This Row],[RANK VALUE]],TS_ATHLETES[RANK VALUE])+COUNTIF($H$1:H1527,H1528)),"")</f>
        <v>556</v>
      </c>
    </row>
    <row r="1529" spans="1:9" x14ac:dyDescent="0.25">
      <c r="A1529" t="s">
        <v>2431</v>
      </c>
      <c r="B1529" s="3" t="s">
        <v>21</v>
      </c>
      <c r="C1529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1</v>
      </c>
      <c r="D1529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1529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1529" s="3">
        <f>SUM(TS_ATHLETES[[#This Row],[GOLD MEDALS]:[BRONZE MEDALS]])</f>
        <v>1</v>
      </c>
      <c r="G1529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10100000</v>
      </c>
      <c r="H1529" s="3">
        <f>IF(TS_ATHLETES[[#This Row],[TOTAL]]=0,"",RANK(TS_ATHLETES[[#This Row],[RANK VALUE]],TS_ATHLETES[RANK VALUE]))</f>
        <v>129</v>
      </c>
      <c r="I1529" s="3">
        <f>IFERROR(IF(TS_ATHLETES[[#This Row],[TOTAL]]=0,"",RANK(TS_ATHLETES[[#This Row],[RANK VALUE]],TS_ATHLETES[RANK VALUE])+COUNTIF($H$1:H1528,H1529)),"")</f>
        <v>557</v>
      </c>
    </row>
    <row r="1530" spans="1:9" x14ac:dyDescent="0.25">
      <c r="A1530" t="s">
        <v>2432</v>
      </c>
      <c r="B1530" s="3" t="s">
        <v>21</v>
      </c>
      <c r="C1530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1</v>
      </c>
      <c r="D1530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1530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1530" s="3">
        <f>SUM(TS_ATHLETES[[#This Row],[GOLD MEDALS]:[BRONZE MEDALS]])</f>
        <v>1</v>
      </c>
      <c r="G1530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10100000</v>
      </c>
      <c r="H1530" s="3">
        <f>IF(TS_ATHLETES[[#This Row],[TOTAL]]=0,"",RANK(TS_ATHLETES[[#This Row],[RANK VALUE]],TS_ATHLETES[RANK VALUE]))</f>
        <v>129</v>
      </c>
      <c r="I1530" s="3">
        <f>IFERROR(IF(TS_ATHLETES[[#This Row],[TOTAL]]=0,"",RANK(TS_ATHLETES[[#This Row],[RANK VALUE]],TS_ATHLETES[RANK VALUE])+COUNTIF($H$1:H1529,H1530)),"")</f>
        <v>558</v>
      </c>
    </row>
    <row r="1531" spans="1:9" x14ac:dyDescent="0.25">
      <c r="A1531" t="s">
        <v>2433</v>
      </c>
      <c r="B1531" s="3" t="s">
        <v>21</v>
      </c>
      <c r="C1531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1</v>
      </c>
      <c r="D1531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1531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1531" s="3">
        <f>SUM(TS_ATHLETES[[#This Row],[GOLD MEDALS]:[BRONZE MEDALS]])</f>
        <v>1</v>
      </c>
      <c r="G1531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10100000</v>
      </c>
      <c r="H1531" s="3">
        <f>IF(TS_ATHLETES[[#This Row],[TOTAL]]=0,"",RANK(TS_ATHLETES[[#This Row],[RANK VALUE]],TS_ATHLETES[RANK VALUE]))</f>
        <v>129</v>
      </c>
      <c r="I1531" s="3">
        <f>IFERROR(IF(TS_ATHLETES[[#This Row],[TOTAL]]=0,"",RANK(TS_ATHLETES[[#This Row],[RANK VALUE]],TS_ATHLETES[RANK VALUE])+COUNTIF($H$1:H1530,H1531)),"")</f>
        <v>559</v>
      </c>
    </row>
    <row r="1532" spans="1:9" x14ac:dyDescent="0.25">
      <c r="A1532" t="s">
        <v>2434</v>
      </c>
      <c r="B1532" s="3" t="s">
        <v>21</v>
      </c>
      <c r="C1532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1</v>
      </c>
      <c r="D1532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1532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1532" s="3">
        <f>SUM(TS_ATHLETES[[#This Row],[GOLD MEDALS]:[BRONZE MEDALS]])</f>
        <v>1</v>
      </c>
      <c r="G1532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10100000</v>
      </c>
      <c r="H1532" s="3">
        <f>IF(TS_ATHLETES[[#This Row],[TOTAL]]=0,"",RANK(TS_ATHLETES[[#This Row],[RANK VALUE]],TS_ATHLETES[RANK VALUE]))</f>
        <v>129</v>
      </c>
      <c r="I1532" s="3">
        <f>IFERROR(IF(TS_ATHLETES[[#This Row],[TOTAL]]=0,"",RANK(TS_ATHLETES[[#This Row],[RANK VALUE]],TS_ATHLETES[RANK VALUE])+COUNTIF($H$1:H1531,H1532)),"")</f>
        <v>560</v>
      </c>
    </row>
    <row r="1533" spans="1:9" x14ac:dyDescent="0.25">
      <c r="A1533" t="s">
        <v>2435</v>
      </c>
      <c r="B1533" s="3" t="s">
        <v>21</v>
      </c>
      <c r="C1533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1</v>
      </c>
      <c r="D1533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1533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1533" s="3">
        <f>SUM(TS_ATHLETES[[#This Row],[GOLD MEDALS]:[BRONZE MEDALS]])</f>
        <v>1</v>
      </c>
      <c r="G1533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10100000</v>
      </c>
      <c r="H1533" s="3">
        <f>IF(TS_ATHLETES[[#This Row],[TOTAL]]=0,"",RANK(TS_ATHLETES[[#This Row],[RANK VALUE]],TS_ATHLETES[RANK VALUE]))</f>
        <v>129</v>
      </c>
      <c r="I1533" s="3">
        <f>IFERROR(IF(TS_ATHLETES[[#This Row],[TOTAL]]=0,"",RANK(TS_ATHLETES[[#This Row],[RANK VALUE]],TS_ATHLETES[RANK VALUE])+COUNTIF($H$1:H1532,H1533)),"")</f>
        <v>561</v>
      </c>
    </row>
    <row r="1534" spans="1:9" x14ac:dyDescent="0.25">
      <c r="A1534" t="s">
        <v>2436</v>
      </c>
      <c r="B1534" s="3" t="s">
        <v>21</v>
      </c>
      <c r="C1534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1</v>
      </c>
      <c r="D1534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1534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1534" s="3">
        <f>SUM(TS_ATHLETES[[#This Row],[GOLD MEDALS]:[BRONZE MEDALS]])</f>
        <v>1</v>
      </c>
      <c r="G1534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10100000</v>
      </c>
      <c r="H1534" s="3">
        <f>IF(TS_ATHLETES[[#This Row],[TOTAL]]=0,"",RANK(TS_ATHLETES[[#This Row],[RANK VALUE]],TS_ATHLETES[RANK VALUE]))</f>
        <v>129</v>
      </c>
      <c r="I1534" s="3">
        <f>IFERROR(IF(TS_ATHLETES[[#This Row],[TOTAL]]=0,"",RANK(TS_ATHLETES[[#This Row],[RANK VALUE]],TS_ATHLETES[RANK VALUE])+COUNTIF($H$1:H1533,H1534)),"")</f>
        <v>562</v>
      </c>
    </row>
    <row r="1535" spans="1:9" x14ac:dyDescent="0.25">
      <c r="A1535" t="s">
        <v>2437</v>
      </c>
      <c r="B1535" s="3" t="s">
        <v>21</v>
      </c>
      <c r="C1535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1</v>
      </c>
      <c r="D1535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1535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1535" s="3">
        <f>SUM(TS_ATHLETES[[#This Row],[GOLD MEDALS]:[BRONZE MEDALS]])</f>
        <v>1</v>
      </c>
      <c r="G1535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10100000</v>
      </c>
      <c r="H1535" s="3">
        <f>IF(TS_ATHLETES[[#This Row],[TOTAL]]=0,"",RANK(TS_ATHLETES[[#This Row],[RANK VALUE]],TS_ATHLETES[RANK VALUE]))</f>
        <v>129</v>
      </c>
      <c r="I1535" s="3">
        <f>IFERROR(IF(TS_ATHLETES[[#This Row],[TOTAL]]=0,"",RANK(TS_ATHLETES[[#This Row],[RANK VALUE]],TS_ATHLETES[RANK VALUE])+COUNTIF($H$1:H1534,H1535)),"")</f>
        <v>563</v>
      </c>
    </row>
    <row r="1536" spans="1:9" x14ac:dyDescent="0.25">
      <c r="A1536" t="s">
        <v>2438</v>
      </c>
      <c r="B1536" s="3" t="s">
        <v>21</v>
      </c>
      <c r="C1536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1</v>
      </c>
      <c r="D1536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1536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1536" s="3">
        <f>SUM(TS_ATHLETES[[#This Row],[GOLD MEDALS]:[BRONZE MEDALS]])</f>
        <v>1</v>
      </c>
      <c r="G1536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10100000</v>
      </c>
      <c r="H1536" s="3">
        <f>IF(TS_ATHLETES[[#This Row],[TOTAL]]=0,"",RANK(TS_ATHLETES[[#This Row],[RANK VALUE]],TS_ATHLETES[RANK VALUE]))</f>
        <v>129</v>
      </c>
      <c r="I1536" s="3">
        <f>IFERROR(IF(TS_ATHLETES[[#This Row],[TOTAL]]=0,"",RANK(TS_ATHLETES[[#This Row],[RANK VALUE]],TS_ATHLETES[RANK VALUE])+COUNTIF($H$1:H1535,H1536)),"")</f>
        <v>564</v>
      </c>
    </row>
    <row r="1537" spans="1:9" x14ac:dyDescent="0.25">
      <c r="A1537" t="s">
        <v>2439</v>
      </c>
      <c r="B1537" s="3" t="s">
        <v>21</v>
      </c>
      <c r="C1537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1</v>
      </c>
      <c r="D1537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1537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1537" s="3">
        <f>SUM(TS_ATHLETES[[#This Row],[GOLD MEDALS]:[BRONZE MEDALS]])</f>
        <v>1</v>
      </c>
      <c r="G1537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10100000</v>
      </c>
      <c r="H1537" s="3">
        <f>IF(TS_ATHLETES[[#This Row],[TOTAL]]=0,"",RANK(TS_ATHLETES[[#This Row],[RANK VALUE]],TS_ATHLETES[RANK VALUE]))</f>
        <v>129</v>
      </c>
      <c r="I1537" s="3">
        <f>IFERROR(IF(TS_ATHLETES[[#This Row],[TOTAL]]=0,"",RANK(TS_ATHLETES[[#This Row],[RANK VALUE]],TS_ATHLETES[RANK VALUE])+COUNTIF($H$1:H1536,H1537)),"")</f>
        <v>565</v>
      </c>
    </row>
    <row r="1538" spans="1:9" x14ac:dyDescent="0.25">
      <c r="A1538" t="s">
        <v>2440</v>
      </c>
      <c r="B1538" s="3" t="s">
        <v>21</v>
      </c>
      <c r="C1538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1</v>
      </c>
      <c r="D1538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1538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1538" s="3">
        <f>SUM(TS_ATHLETES[[#This Row],[GOLD MEDALS]:[BRONZE MEDALS]])</f>
        <v>1</v>
      </c>
      <c r="G1538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10100000</v>
      </c>
      <c r="H1538" s="3">
        <f>IF(TS_ATHLETES[[#This Row],[TOTAL]]=0,"",RANK(TS_ATHLETES[[#This Row],[RANK VALUE]],TS_ATHLETES[RANK VALUE]))</f>
        <v>129</v>
      </c>
      <c r="I1538" s="3">
        <f>IFERROR(IF(TS_ATHLETES[[#This Row],[TOTAL]]=0,"",RANK(TS_ATHLETES[[#This Row],[RANK VALUE]],TS_ATHLETES[RANK VALUE])+COUNTIF($H$1:H1537,H1538)),"")</f>
        <v>566</v>
      </c>
    </row>
    <row r="1539" spans="1:9" x14ac:dyDescent="0.25">
      <c r="A1539" t="s">
        <v>2441</v>
      </c>
      <c r="B1539" s="3" t="s">
        <v>21</v>
      </c>
      <c r="C1539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1</v>
      </c>
      <c r="D1539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1539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1539" s="3">
        <f>SUM(TS_ATHLETES[[#This Row],[GOLD MEDALS]:[BRONZE MEDALS]])</f>
        <v>1</v>
      </c>
      <c r="G1539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10100000</v>
      </c>
      <c r="H1539" s="3">
        <f>IF(TS_ATHLETES[[#This Row],[TOTAL]]=0,"",RANK(TS_ATHLETES[[#This Row],[RANK VALUE]],TS_ATHLETES[RANK VALUE]))</f>
        <v>129</v>
      </c>
      <c r="I1539" s="3">
        <f>IFERROR(IF(TS_ATHLETES[[#This Row],[TOTAL]]=0,"",RANK(TS_ATHLETES[[#This Row],[RANK VALUE]],TS_ATHLETES[RANK VALUE])+COUNTIF($H$1:H1538,H1539)),"")</f>
        <v>567</v>
      </c>
    </row>
    <row r="1540" spans="1:9" x14ac:dyDescent="0.25">
      <c r="A1540" t="s">
        <v>2442</v>
      </c>
      <c r="B1540" s="3" t="s">
        <v>253</v>
      </c>
      <c r="C1540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1540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1</v>
      </c>
      <c r="E1540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1540" s="3">
        <f>SUM(TS_ATHLETES[[#This Row],[GOLD MEDALS]:[BRONZE MEDALS]])</f>
        <v>1</v>
      </c>
      <c r="G1540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10000100</v>
      </c>
      <c r="H1540" s="3">
        <f>IF(TS_ATHLETES[[#This Row],[TOTAL]]=0,"",RANK(TS_ATHLETES[[#This Row],[RANK VALUE]],TS_ATHLETES[RANK VALUE]))</f>
        <v>660</v>
      </c>
      <c r="I1540" s="3">
        <f>IFERROR(IF(TS_ATHLETES[[#This Row],[TOTAL]]=0,"",RANK(TS_ATHLETES[[#This Row],[RANK VALUE]],TS_ATHLETES[RANK VALUE])+COUNTIF($H$1:H1539,H1540)),"")</f>
        <v>1117</v>
      </c>
    </row>
    <row r="1541" spans="1:9" x14ac:dyDescent="0.25">
      <c r="A1541" t="s">
        <v>2443</v>
      </c>
      <c r="B1541" s="3" t="s">
        <v>253</v>
      </c>
      <c r="C1541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1541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1</v>
      </c>
      <c r="E1541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1541" s="3">
        <f>SUM(TS_ATHLETES[[#This Row],[GOLD MEDALS]:[BRONZE MEDALS]])</f>
        <v>1</v>
      </c>
      <c r="G1541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10000100</v>
      </c>
      <c r="H1541" s="3">
        <f>IF(TS_ATHLETES[[#This Row],[TOTAL]]=0,"",RANK(TS_ATHLETES[[#This Row],[RANK VALUE]],TS_ATHLETES[RANK VALUE]))</f>
        <v>660</v>
      </c>
      <c r="I1541" s="3">
        <f>IFERROR(IF(TS_ATHLETES[[#This Row],[TOTAL]]=0,"",RANK(TS_ATHLETES[[#This Row],[RANK VALUE]],TS_ATHLETES[RANK VALUE])+COUNTIF($H$1:H1540,H1541)),"")</f>
        <v>1118</v>
      </c>
    </row>
    <row r="1542" spans="1:9" x14ac:dyDescent="0.25">
      <c r="A1542" t="s">
        <v>2444</v>
      </c>
      <c r="B1542" s="3" t="s">
        <v>253</v>
      </c>
      <c r="C1542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1542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1</v>
      </c>
      <c r="E1542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1542" s="3">
        <f>SUM(TS_ATHLETES[[#This Row],[GOLD MEDALS]:[BRONZE MEDALS]])</f>
        <v>1</v>
      </c>
      <c r="G1542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10000100</v>
      </c>
      <c r="H1542" s="3">
        <f>IF(TS_ATHLETES[[#This Row],[TOTAL]]=0,"",RANK(TS_ATHLETES[[#This Row],[RANK VALUE]],TS_ATHLETES[RANK VALUE]))</f>
        <v>660</v>
      </c>
      <c r="I1542" s="3">
        <f>IFERROR(IF(TS_ATHLETES[[#This Row],[TOTAL]]=0,"",RANK(TS_ATHLETES[[#This Row],[RANK VALUE]],TS_ATHLETES[RANK VALUE])+COUNTIF($H$1:H1541,H1542)),"")</f>
        <v>1119</v>
      </c>
    </row>
    <row r="1543" spans="1:9" x14ac:dyDescent="0.25">
      <c r="A1543" t="s">
        <v>2445</v>
      </c>
      <c r="B1543" s="3" t="s">
        <v>253</v>
      </c>
      <c r="C1543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1543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1</v>
      </c>
      <c r="E1543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1543" s="3">
        <f>SUM(TS_ATHLETES[[#This Row],[GOLD MEDALS]:[BRONZE MEDALS]])</f>
        <v>1</v>
      </c>
      <c r="G1543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10000100</v>
      </c>
      <c r="H1543" s="3">
        <f>IF(TS_ATHLETES[[#This Row],[TOTAL]]=0,"",RANK(TS_ATHLETES[[#This Row],[RANK VALUE]],TS_ATHLETES[RANK VALUE]))</f>
        <v>660</v>
      </c>
      <c r="I1543" s="3">
        <f>IFERROR(IF(TS_ATHLETES[[#This Row],[TOTAL]]=0,"",RANK(TS_ATHLETES[[#This Row],[RANK VALUE]],TS_ATHLETES[RANK VALUE])+COUNTIF($H$1:H1542,H1543)),"")</f>
        <v>1120</v>
      </c>
    </row>
    <row r="1544" spans="1:9" x14ac:dyDescent="0.25">
      <c r="A1544" t="s">
        <v>2446</v>
      </c>
      <c r="B1544" s="3" t="s">
        <v>253</v>
      </c>
      <c r="C1544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1544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1</v>
      </c>
      <c r="E1544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1544" s="3">
        <f>SUM(TS_ATHLETES[[#This Row],[GOLD MEDALS]:[BRONZE MEDALS]])</f>
        <v>1</v>
      </c>
      <c r="G1544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10000100</v>
      </c>
      <c r="H1544" s="3">
        <f>IF(TS_ATHLETES[[#This Row],[TOTAL]]=0,"",RANK(TS_ATHLETES[[#This Row],[RANK VALUE]],TS_ATHLETES[RANK VALUE]))</f>
        <v>660</v>
      </c>
      <c r="I1544" s="3">
        <f>IFERROR(IF(TS_ATHLETES[[#This Row],[TOTAL]]=0,"",RANK(TS_ATHLETES[[#This Row],[RANK VALUE]],TS_ATHLETES[RANK VALUE])+COUNTIF($H$1:H1543,H1544)),"")</f>
        <v>1121</v>
      </c>
    </row>
    <row r="1545" spans="1:9" x14ac:dyDescent="0.25">
      <c r="A1545" t="s">
        <v>2447</v>
      </c>
      <c r="B1545" s="3" t="s">
        <v>253</v>
      </c>
      <c r="C1545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1545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1</v>
      </c>
      <c r="E1545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1545" s="3">
        <f>SUM(TS_ATHLETES[[#This Row],[GOLD MEDALS]:[BRONZE MEDALS]])</f>
        <v>1</v>
      </c>
      <c r="G1545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10000100</v>
      </c>
      <c r="H1545" s="3">
        <f>IF(TS_ATHLETES[[#This Row],[TOTAL]]=0,"",RANK(TS_ATHLETES[[#This Row],[RANK VALUE]],TS_ATHLETES[RANK VALUE]))</f>
        <v>660</v>
      </c>
      <c r="I1545" s="3">
        <f>IFERROR(IF(TS_ATHLETES[[#This Row],[TOTAL]]=0,"",RANK(TS_ATHLETES[[#This Row],[RANK VALUE]],TS_ATHLETES[RANK VALUE])+COUNTIF($H$1:H1544,H1545)),"")</f>
        <v>1122</v>
      </c>
    </row>
    <row r="1546" spans="1:9" x14ac:dyDescent="0.25">
      <c r="A1546" t="s">
        <v>2448</v>
      </c>
      <c r="B1546" s="3" t="s">
        <v>253</v>
      </c>
      <c r="C1546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1546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1</v>
      </c>
      <c r="E1546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1546" s="3">
        <f>SUM(TS_ATHLETES[[#This Row],[GOLD MEDALS]:[BRONZE MEDALS]])</f>
        <v>1</v>
      </c>
      <c r="G1546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10000100</v>
      </c>
      <c r="H1546" s="3">
        <f>IF(TS_ATHLETES[[#This Row],[TOTAL]]=0,"",RANK(TS_ATHLETES[[#This Row],[RANK VALUE]],TS_ATHLETES[RANK VALUE]))</f>
        <v>660</v>
      </c>
      <c r="I1546" s="3">
        <f>IFERROR(IF(TS_ATHLETES[[#This Row],[TOTAL]]=0,"",RANK(TS_ATHLETES[[#This Row],[RANK VALUE]],TS_ATHLETES[RANK VALUE])+COUNTIF($H$1:H1545,H1546)),"")</f>
        <v>1123</v>
      </c>
    </row>
    <row r="1547" spans="1:9" x14ac:dyDescent="0.25">
      <c r="A1547" t="s">
        <v>2449</v>
      </c>
      <c r="B1547" s="3" t="s">
        <v>253</v>
      </c>
      <c r="C1547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1547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1</v>
      </c>
      <c r="E1547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1547" s="3">
        <f>SUM(TS_ATHLETES[[#This Row],[GOLD MEDALS]:[BRONZE MEDALS]])</f>
        <v>1</v>
      </c>
      <c r="G1547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10000100</v>
      </c>
      <c r="H1547" s="3">
        <f>IF(TS_ATHLETES[[#This Row],[TOTAL]]=0,"",RANK(TS_ATHLETES[[#This Row],[RANK VALUE]],TS_ATHLETES[RANK VALUE]))</f>
        <v>660</v>
      </c>
      <c r="I1547" s="3">
        <f>IFERROR(IF(TS_ATHLETES[[#This Row],[TOTAL]]=0,"",RANK(TS_ATHLETES[[#This Row],[RANK VALUE]],TS_ATHLETES[RANK VALUE])+COUNTIF($H$1:H1546,H1547)),"")</f>
        <v>1124</v>
      </c>
    </row>
    <row r="1548" spans="1:9" x14ac:dyDescent="0.25">
      <c r="A1548" t="s">
        <v>2450</v>
      </c>
      <c r="B1548" s="3" t="s">
        <v>253</v>
      </c>
      <c r="C1548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1548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1</v>
      </c>
      <c r="E1548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1548" s="3">
        <f>SUM(TS_ATHLETES[[#This Row],[GOLD MEDALS]:[BRONZE MEDALS]])</f>
        <v>1</v>
      </c>
      <c r="G1548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10000100</v>
      </c>
      <c r="H1548" s="3">
        <f>IF(TS_ATHLETES[[#This Row],[TOTAL]]=0,"",RANK(TS_ATHLETES[[#This Row],[RANK VALUE]],TS_ATHLETES[RANK VALUE]))</f>
        <v>660</v>
      </c>
      <c r="I1548" s="3">
        <f>IFERROR(IF(TS_ATHLETES[[#This Row],[TOTAL]]=0,"",RANK(TS_ATHLETES[[#This Row],[RANK VALUE]],TS_ATHLETES[RANK VALUE])+COUNTIF($H$1:H1547,H1548)),"")</f>
        <v>1125</v>
      </c>
    </row>
    <row r="1549" spans="1:9" x14ac:dyDescent="0.25">
      <c r="A1549" t="s">
        <v>2451</v>
      </c>
      <c r="B1549" s="3" t="s">
        <v>253</v>
      </c>
      <c r="C1549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1549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1</v>
      </c>
      <c r="E1549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1549" s="3">
        <f>SUM(TS_ATHLETES[[#This Row],[GOLD MEDALS]:[BRONZE MEDALS]])</f>
        <v>1</v>
      </c>
      <c r="G1549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10000100</v>
      </c>
      <c r="H1549" s="3">
        <f>IF(TS_ATHLETES[[#This Row],[TOTAL]]=0,"",RANK(TS_ATHLETES[[#This Row],[RANK VALUE]],TS_ATHLETES[RANK VALUE]))</f>
        <v>660</v>
      </c>
      <c r="I1549" s="3">
        <f>IFERROR(IF(TS_ATHLETES[[#This Row],[TOTAL]]=0,"",RANK(TS_ATHLETES[[#This Row],[RANK VALUE]],TS_ATHLETES[RANK VALUE])+COUNTIF($H$1:H1548,H1549)),"")</f>
        <v>1126</v>
      </c>
    </row>
    <row r="1550" spans="1:9" x14ac:dyDescent="0.25">
      <c r="A1550" t="s">
        <v>2452</v>
      </c>
      <c r="B1550" s="3" t="s">
        <v>253</v>
      </c>
      <c r="C1550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1550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1</v>
      </c>
      <c r="E1550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1550" s="3">
        <f>SUM(TS_ATHLETES[[#This Row],[GOLD MEDALS]:[BRONZE MEDALS]])</f>
        <v>1</v>
      </c>
      <c r="G1550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10000100</v>
      </c>
      <c r="H1550" s="3">
        <f>IF(TS_ATHLETES[[#This Row],[TOTAL]]=0,"",RANK(TS_ATHLETES[[#This Row],[RANK VALUE]],TS_ATHLETES[RANK VALUE]))</f>
        <v>660</v>
      </c>
      <c r="I1550" s="3">
        <f>IFERROR(IF(TS_ATHLETES[[#This Row],[TOTAL]]=0,"",RANK(TS_ATHLETES[[#This Row],[RANK VALUE]],TS_ATHLETES[RANK VALUE])+COUNTIF($H$1:H1549,H1550)),"")</f>
        <v>1127</v>
      </c>
    </row>
    <row r="1551" spans="1:9" x14ac:dyDescent="0.25">
      <c r="A1551" t="s">
        <v>2453</v>
      </c>
      <c r="B1551" s="3" t="s">
        <v>253</v>
      </c>
      <c r="C1551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1551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1</v>
      </c>
      <c r="E1551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1551" s="3">
        <f>SUM(TS_ATHLETES[[#This Row],[GOLD MEDALS]:[BRONZE MEDALS]])</f>
        <v>1</v>
      </c>
      <c r="G1551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10000100</v>
      </c>
      <c r="H1551" s="3">
        <f>IF(TS_ATHLETES[[#This Row],[TOTAL]]=0,"",RANK(TS_ATHLETES[[#This Row],[RANK VALUE]],TS_ATHLETES[RANK VALUE]))</f>
        <v>660</v>
      </c>
      <c r="I1551" s="3">
        <f>IFERROR(IF(TS_ATHLETES[[#This Row],[TOTAL]]=0,"",RANK(TS_ATHLETES[[#This Row],[RANK VALUE]],TS_ATHLETES[RANK VALUE])+COUNTIF($H$1:H1550,H1551)),"")</f>
        <v>1128</v>
      </c>
    </row>
    <row r="1552" spans="1:9" x14ac:dyDescent="0.25">
      <c r="A1552" t="s">
        <v>2454</v>
      </c>
      <c r="B1552" s="3" t="s">
        <v>66</v>
      </c>
      <c r="C1552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1552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1552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1</v>
      </c>
      <c r="F1552" s="3">
        <f>SUM(TS_ATHLETES[[#This Row],[GOLD MEDALS]:[BRONZE MEDALS]])</f>
        <v>1</v>
      </c>
      <c r="G1552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10000010</v>
      </c>
      <c r="H1552" s="3">
        <f>IF(TS_ATHLETES[[#This Row],[TOTAL]]=0,"",RANK(TS_ATHLETES[[#This Row],[RANK VALUE]],TS_ATHLETES[RANK VALUE]))</f>
        <v>1224</v>
      </c>
      <c r="I1552" s="3">
        <f>IFERROR(IF(TS_ATHLETES[[#This Row],[TOTAL]]=0,"",RANK(TS_ATHLETES[[#This Row],[RANK VALUE]],TS_ATHLETES[RANK VALUE])+COUNTIF($H$1:H1551,H1552)),"")</f>
        <v>1752</v>
      </c>
    </row>
    <row r="1553" spans="1:9" x14ac:dyDescent="0.25">
      <c r="A1553" t="s">
        <v>2455</v>
      </c>
      <c r="B1553" s="3" t="s">
        <v>66</v>
      </c>
      <c r="C1553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1553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1553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1</v>
      </c>
      <c r="F1553" s="3">
        <f>SUM(TS_ATHLETES[[#This Row],[GOLD MEDALS]:[BRONZE MEDALS]])</f>
        <v>1</v>
      </c>
      <c r="G1553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10000010</v>
      </c>
      <c r="H1553" s="3">
        <f>IF(TS_ATHLETES[[#This Row],[TOTAL]]=0,"",RANK(TS_ATHLETES[[#This Row],[RANK VALUE]],TS_ATHLETES[RANK VALUE]))</f>
        <v>1224</v>
      </c>
      <c r="I1553" s="3">
        <f>IFERROR(IF(TS_ATHLETES[[#This Row],[TOTAL]]=0,"",RANK(TS_ATHLETES[[#This Row],[RANK VALUE]],TS_ATHLETES[RANK VALUE])+COUNTIF($H$1:H1552,H1553)),"")</f>
        <v>1753</v>
      </c>
    </row>
    <row r="1554" spans="1:9" x14ac:dyDescent="0.25">
      <c r="A1554" t="s">
        <v>2456</v>
      </c>
      <c r="B1554" s="3" t="s">
        <v>66</v>
      </c>
      <c r="C1554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1554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1554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1</v>
      </c>
      <c r="F1554" s="3">
        <f>SUM(TS_ATHLETES[[#This Row],[GOLD MEDALS]:[BRONZE MEDALS]])</f>
        <v>1</v>
      </c>
      <c r="G1554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10000010</v>
      </c>
      <c r="H1554" s="3">
        <f>IF(TS_ATHLETES[[#This Row],[TOTAL]]=0,"",RANK(TS_ATHLETES[[#This Row],[RANK VALUE]],TS_ATHLETES[RANK VALUE]))</f>
        <v>1224</v>
      </c>
      <c r="I1554" s="3">
        <f>IFERROR(IF(TS_ATHLETES[[#This Row],[TOTAL]]=0,"",RANK(TS_ATHLETES[[#This Row],[RANK VALUE]],TS_ATHLETES[RANK VALUE])+COUNTIF($H$1:H1553,H1554)),"")</f>
        <v>1754</v>
      </c>
    </row>
    <row r="1555" spans="1:9" x14ac:dyDescent="0.25">
      <c r="A1555" t="s">
        <v>2457</v>
      </c>
      <c r="B1555" s="3" t="s">
        <v>66</v>
      </c>
      <c r="C1555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1555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1555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1</v>
      </c>
      <c r="F1555" s="3">
        <f>SUM(TS_ATHLETES[[#This Row],[GOLD MEDALS]:[BRONZE MEDALS]])</f>
        <v>1</v>
      </c>
      <c r="G1555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10000010</v>
      </c>
      <c r="H1555" s="3">
        <f>IF(TS_ATHLETES[[#This Row],[TOTAL]]=0,"",RANK(TS_ATHLETES[[#This Row],[RANK VALUE]],TS_ATHLETES[RANK VALUE]))</f>
        <v>1224</v>
      </c>
      <c r="I1555" s="3">
        <f>IFERROR(IF(TS_ATHLETES[[#This Row],[TOTAL]]=0,"",RANK(TS_ATHLETES[[#This Row],[RANK VALUE]],TS_ATHLETES[RANK VALUE])+COUNTIF($H$1:H1554,H1555)),"")</f>
        <v>1755</v>
      </c>
    </row>
    <row r="1556" spans="1:9" x14ac:dyDescent="0.25">
      <c r="A1556" t="s">
        <v>2458</v>
      </c>
      <c r="B1556" s="3" t="s">
        <v>66</v>
      </c>
      <c r="C1556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1556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1556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1</v>
      </c>
      <c r="F1556" s="3">
        <f>SUM(TS_ATHLETES[[#This Row],[GOLD MEDALS]:[BRONZE MEDALS]])</f>
        <v>1</v>
      </c>
      <c r="G1556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10000010</v>
      </c>
      <c r="H1556" s="3">
        <f>IF(TS_ATHLETES[[#This Row],[TOTAL]]=0,"",RANK(TS_ATHLETES[[#This Row],[RANK VALUE]],TS_ATHLETES[RANK VALUE]))</f>
        <v>1224</v>
      </c>
      <c r="I1556" s="3">
        <f>IFERROR(IF(TS_ATHLETES[[#This Row],[TOTAL]]=0,"",RANK(TS_ATHLETES[[#This Row],[RANK VALUE]],TS_ATHLETES[RANK VALUE])+COUNTIF($H$1:H1555,H1556)),"")</f>
        <v>1756</v>
      </c>
    </row>
    <row r="1557" spans="1:9" x14ac:dyDescent="0.25">
      <c r="A1557" t="s">
        <v>2459</v>
      </c>
      <c r="B1557" s="3" t="s">
        <v>66</v>
      </c>
      <c r="C1557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1557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1557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1</v>
      </c>
      <c r="F1557" s="3">
        <f>SUM(TS_ATHLETES[[#This Row],[GOLD MEDALS]:[BRONZE MEDALS]])</f>
        <v>1</v>
      </c>
      <c r="G1557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10000010</v>
      </c>
      <c r="H1557" s="3">
        <f>IF(TS_ATHLETES[[#This Row],[TOTAL]]=0,"",RANK(TS_ATHLETES[[#This Row],[RANK VALUE]],TS_ATHLETES[RANK VALUE]))</f>
        <v>1224</v>
      </c>
      <c r="I1557" s="3">
        <f>IFERROR(IF(TS_ATHLETES[[#This Row],[TOTAL]]=0,"",RANK(TS_ATHLETES[[#This Row],[RANK VALUE]],TS_ATHLETES[RANK VALUE])+COUNTIF($H$1:H1556,H1557)),"")</f>
        <v>1757</v>
      </c>
    </row>
    <row r="1558" spans="1:9" x14ac:dyDescent="0.25">
      <c r="A1558" t="s">
        <v>2460</v>
      </c>
      <c r="B1558" s="3" t="s">
        <v>66</v>
      </c>
      <c r="C1558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1558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1558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1</v>
      </c>
      <c r="F1558" s="3">
        <f>SUM(TS_ATHLETES[[#This Row],[GOLD MEDALS]:[BRONZE MEDALS]])</f>
        <v>1</v>
      </c>
      <c r="G1558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10000010</v>
      </c>
      <c r="H1558" s="3">
        <f>IF(TS_ATHLETES[[#This Row],[TOTAL]]=0,"",RANK(TS_ATHLETES[[#This Row],[RANK VALUE]],TS_ATHLETES[RANK VALUE]))</f>
        <v>1224</v>
      </c>
      <c r="I1558" s="3">
        <f>IFERROR(IF(TS_ATHLETES[[#This Row],[TOTAL]]=0,"",RANK(TS_ATHLETES[[#This Row],[RANK VALUE]],TS_ATHLETES[RANK VALUE])+COUNTIF($H$1:H1557,H1558)),"")</f>
        <v>1758</v>
      </c>
    </row>
    <row r="1559" spans="1:9" x14ac:dyDescent="0.25">
      <c r="A1559" t="s">
        <v>2461</v>
      </c>
      <c r="B1559" s="3" t="s">
        <v>66</v>
      </c>
      <c r="C1559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1559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1559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1</v>
      </c>
      <c r="F1559" s="3">
        <f>SUM(TS_ATHLETES[[#This Row],[GOLD MEDALS]:[BRONZE MEDALS]])</f>
        <v>1</v>
      </c>
      <c r="G1559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10000010</v>
      </c>
      <c r="H1559" s="3">
        <f>IF(TS_ATHLETES[[#This Row],[TOTAL]]=0,"",RANK(TS_ATHLETES[[#This Row],[RANK VALUE]],TS_ATHLETES[RANK VALUE]))</f>
        <v>1224</v>
      </c>
      <c r="I1559" s="3">
        <f>IFERROR(IF(TS_ATHLETES[[#This Row],[TOTAL]]=0,"",RANK(TS_ATHLETES[[#This Row],[RANK VALUE]],TS_ATHLETES[RANK VALUE])+COUNTIF($H$1:H1558,H1559)),"")</f>
        <v>1759</v>
      </c>
    </row>
    <row r="1560" spans="1:9" x14ac:dyDescent="0.25">
      <c r="A1560" t="s">
        <v>2462</v>
      </c>
      <c r="B1560" s="3" t="s">
        <v>66</v>
      </c>
      <c r="C1560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1560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1560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1</v>
      </c>
      <c r="F1560" s="3">
        <f>SUM(TS_ATHLETES[[#This Row],[GOLD MEDALS]:[BRONZE MEDALS]])</f>
        <v>1</v>
      </c>
      <c r="G1560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10000010</v>
      </c>
      <c r="H1560" s="3">
        <f>IF(TS_ATHLETES[[#This Row],[TOTAL]]=0,"",RANK(TS_ATHLETES[[#This Row],[RANK VALUE]],TS_ATHLETES[RANK VALUE]))</f>
        <v>1224</v>
      </c>
      <c r="I1560" s="3">
        <f>IFERROR(IF(TS_ATHLETES[[#This Row],[TOTAL]]=0,"",RANK(TS_ATHLETES[[#This Row],[RANK VALUE]],TS_ATHLETES[RANK VALUE])+COUNTIF($H$1:H1559,H1560)),"")</f>
        <v>1760</v>
      </c>
    </row>
    <row r="1561" spans="1:9" x14ac:dyDescent="0.25">
      <c r="A1561" t="s">
        <v>2463</v>
      </c>
      <c r="B1561" s="3" t="s">
        <v>66</v>
      </c>
      <c r="C1561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1561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1561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1</v>
      </c>
      <c r="F1561" s="3">
        <f>SUM(TS_ATHLETES[[#This Row],[GOLD MEDALS]:[BRONZE MEDALS]])</f>
        <v>1</v>
      </c>
      <c r="G1561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10000010</v>
      </c>
      <c r="H1561" s="3">
        <f>IF(TS_ATHLETES[[#This Row],[TOTAL]]=0,"",RANK(TS_ATHLETES[[#This Row],[RANK VALUE]],TS_ATHLETES[RANK VALUE]))</f>
        <v>1224</v>
      </c>
      <c r="I1561" s="3">
        <f>IFERROR(IF(TS_ATHLETES[[#This Row],[TOTAL]]=0,"",RANK(TS_ATHLETES[[#This Row],[RANK VALUE]],TS_ATHLETES[RANK VALUE])+COUNTIF($H$1:H1560,H1561)),"")</f>
        <v>1761</v>
      </c>
    </row>
    <row r="1562" spans="1:9" x14ac:dyDescent="0.25">
      <c r="A1562" t="s">
        <v>2464</v>
      </c>
      <c r="B1562" s="3" t="s">
        <v>66</v>
      </c>
      <c r="C1562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1562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1562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1</v>
      </c>
      <c r="F1562" s="3">
        <f>SUM(TS_ATHLETES[[#This Row],[GOLD MEDALS]:[BRONZE MEDALS]])</f>
        <v>1</v>
      </c>
      <c r="G1562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10000010</v>
      </c>
      <c r="H1562" s="3">
        <f>IF(TS_ATHLETES[[#This Row],[TOTAL]]=0,"",RANK(TS_ATHLETES[[#This Row],[RANK VALUE]],TS_ATHLETES[RANK VALUE]))</f>
        <v>1224</v>
      </c>
      <c r="I1562" s="3">
        <f>IFERROR(IF(TS_ATHLETES[[#This Row],[TOTAL]]=0,"",RANK(TS_ATHLETES[[#This Row],[RANK VALUE]],TS_ATHLETES[RANK VALUE])+COUNTIF($H$1:H1561,H1562)),"")</f>
        <v>1762</v>
      </c>
    </row>
    <row r="1563" spans="1:9" x14ac:dyDescent="0.25">
      <c r="A1563" t="s">
        <v>2465</v>
      </c>
      <c r="B1563" s="3" t="s">
        <v>66</v>
      </c>
      <c r="C1563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1563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1563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1</v>
      </c>
      <c r="F1563" s="3">
        <f>SUM(TS_ATHLETES[[#This Row],[GOLD MEDALS]:[BRONZE MEDALS]])</f>
        <v>1</v>
      </c>
      <c r="G1563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10000010</v>
      </c>
      <c r="H1563" s="3">
        <f>IF(TS_ATHLETES[[#This Row],[TOTAL]]=0,"",RANK(TS_ATHLETES[[#This Row],[RANK VALUE]],TS_ATHLETES[RANK VALUE]))</f>
        <v>1224</v>
      </c>
      <c r="I1563" s="3">
        <f>IFERROR(IF(TS_ATHLETES[[#This Row],[TOTAL]]=0,"",RANK(TS_ATHLETES[[#This Row],[RANK VALUE]],TS_ATHLETES[RANK VALUE])+COUNTIF($H$1:H1562,H1563)),"")</f>
        <v>1763</v>
      </c>
    </row>
    <row r="1564" spans="1:9" x14ac:dyDescent="0.25">
      <c r="A1564" t="s">
        <v>2466</v>
      </c>
      <c r="B1564" s="3" t="s">
        <v>92</v>
      </c>
      <c r="C1564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1</v>
      </c>
      <c r="D1564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1564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1564" s="3">
        <f>SUM(TS_ATHLETES[[#This Row],[GOLD MEDALS]:[BRONZE MEDALS]])</f>
        <v>1</v>
      </c>
      <c r="G1564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10100000</v>
      </c>
      <c r="H1564" s="3">
        <f>IF(TS_ATHLETES[[#This Row],[TOTAL]]=0,"",RANK(TS_ATHLETES[[#This Row],[RANK VALUE]],TS_ATHLETES[RANK VALUE]))</f>
        <v>129</v>
      </c>
      <c r="I1564" s="3">
        <f>IFERROR(IF(TS_ATHLETES[[#This Row],[TOTAL]]=0,"",RANK(TS_ATHLETES[[#This Row],[RANK VALUE]],TS_ATHLETES[RANK VALUE])+COUNTIF($H$1:H1563,H1564)),"")</f>
        <v>568</v>
      </c>
    </row>
    <row r="1565" spans="1:9" x14ac:dyDescent="0.25">
      <c r="A1565" t="s">
        <v>2467</v>
      </c>
      <c r="B1565" s="3" t="s">
        <v>92</v>
      </c>
      <c r="C1565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1</v>
      </c>
      <c r="D1565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1565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1565" s="3">
        <f>SUM(TS_ATHLETES[[#This Row],[GOLD MEDALS]:[BRONZE MEDALS]])</f>
        <v>1</v>
      </c>
      <c r="G1565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10100000</v>
      </c>
      <c r="H1565" s="3">
        <f>IF(TS_ATHLETES[[#This Row],[TOTAL]]=0,"",RANK(TS_ATHLETES[[#This Row],[RANK VALUE]],TS_ATHLETES[RANK VALUE]))</f>
        <v>129</v>
      </c>
      <c r="I1565" s="3">
        <f>IFERROR(IF(TS_ATHLETES[[#This Row],[TOTAL]]=0,"",RANK(TS_ATHLETES[[#This Row],[RANK VALUE]],TS_ATHLETES[RANK VALUE])+COUNTIF($H$1:H1564,H1565)),"")</f>
        <v>569</v>
      </c>
    </row>
    <row r="1566" spans="1:9" x14ac:dyDescent="0.25">
      <c r="A1566" t="s">
        <v>2468</v>
      </c>
      <c r="B1566" s="3" t="s">
        <v>21</v>
      </c>
      <c r="C1566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1566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1</v>
      </c>
      <c r="E1566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1566" s="3">
        <f>SUM(TS_ATHLETES[[#This Row],[GOLD MEDALS]:[BRONZE MEDALS]])</f>
        <v>1</v>
      </c>
      <c r="G1566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10000100</v>
      </c>
      <c r="H1566" s="3">
        <f>IF(TS_ATHLETES[[#This Row],[TOTAL]]=0,"",RANK(TS_ATHLETES[[#This Row],[RANK VALUE]],TS_ATHLETES[RANK VALUE]))</f>
        <v>660</v>
      </c>
      <c r="I1566" s="3">
        <f>IFERROR(IF(TS_ATHLETES[[#This Row],[TOTAL]]=0,"",RANK(TS_ATHLETES[[#This Row],[RANK VALUE]],TS_ATHLETES[RANK VALUE])+COUNTIF($H$1:H1565,H1566)),"")</f>
        <v>1129</v>
      </c>
    </row>
    <row r="1567" spans="1:9" x14ac:dyDescent="0.25">
      <c r="A1567" t="s">
        <v>2469</v>
      </c>
      <c r="B1567" s="3" t="s">
        <v>21</v>
      </c>
      <c r="C1567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1567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1</v>
      </c>
      <c r="E1567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1567" s="3">
        <f>SUM(TS_ATHLETES[[#This Row],[GOLD MEDALS]:[BRONZE MEDALS]])</f>
        <v>1</v>
      </c>
      <c r="G1567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10000100</v>
      </c>
      <c r="H1567" s="3">
        <f>IF(TS_ATHLETES[[#This Row],[TOTAL]]=0,"",RANK(TS_ATHLETES[[#This Row],[RANK VALUE]],TS_ATHLETES[RANK VALUE]))</f>
        <v>660</v>
      </c>
      <c r="I1567" s="3">
        <f>IFERROR(IF(TS_ATHLETES[[#This Row],[TOTAL]]=0,"",RANK(TS_ATHLETES[[#This Row],[RANK VALUE]],TS_ATHLETES[RANK VALUE])+COUNTIF($H$1:H1566,H1567)),"")</f>
        <v>1130</v>
      </c>
    </row>
    <row r="1568" spans="1:9" x14ac:dyDescent="0.25">
      <c r="A1568" t="s">
        <v>2470</v>
      </c>
      <c r="B1568" s="3" t="s">
        <v>140</v>
      </c>
      <c r="C1568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1568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1568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1</v>
      </c>
      <c r="F1568" s="3">
        <f>SUM(TS_ATHLETES[[#This Row],[GOLD MEDALS]:[BRONZE MEDALS]])</f>
        <v>1</v>
      </c>
      <c r="G1568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10000010</v>
      </c>
      <c r="H1568" s="3">
        <f>IF(TS_ATHLETES[[#This Row],[TOTAL]]=0,"",RANK(TS_ATHLETES[[#This Row],[RANK VALUE]],TS_ATHLETES[RANK VALUE]))</f>
        <v>1224</v>
      </c>
      <c r="I1568" s="3">
        <f>IFERROR(IF(TS_ATHLETES[[#This Row],[TOTAL]]=0,"",RANK(TS_ATHLETES[[#This Row],[RANK VALUE]],TS_ATHLETES[RANK VALUE])+COUNTIF($H$1:H1567,H1568)),"")</f>
        <v>1764</v>
      </c>
    </row>
    <row r="1569" spans="1:9" x14ac:dyDescent="0.25">
      <c r="A1569" t="s">
        <v>2471</v>
      </c>
      <c r="B1569" s="3" t="s">
        <v>140</v>
      </c>
      <c r="C1569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1569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1569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1</v>
      </c>
      <c r="F1569" s="3">
        <f>SUM(TS_ATHLETES[[#This Row],[GOLD MEDALS]:[BRONZE MEDALS]])</f>
        <v>1</v>
      </c>
      <c r="G1569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10000010</v>
      </c>
      <c r="H1569" s="3">
        <f>IF(TS_ATHLETES[[#This Row],[TOTAL]]=0,"",RANK(TS_ATHLETES[[#This Row],[RANK VALUE]],TS_ATHLETES[RANK VALUE]))</f>
        <v>1224</v>
      </c>
      <c r="I1569" s="3">
        <f>IFERROR(IF(TS_ATHLETES[[#This Row],[TOTAL]]=0,"",RANK(TS_ATHLETES[[#This Row],[RANK VALUE]],TS_ATHLETES[RANK VALUE])+COUNTIF($H$1:H1568,H1569)),"")</f>
        <v>1765</v>
      </c>
    </row>
    <row r="1570" spans="1:9" x14ac:dyDescent="0.25">
      <c r="A1570" t="s">
        <v>2472</v>
      </c>
      <c r="B1570" s="3" t="s">
        <v>361</v>
      </c>
      <c r="C1570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1</v>
      </c>
      <c r="D1570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1570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1570" s="3">
        <f>SUM(TS_ATHLETES[[#This Row],[GOLD MEDALS]:[BRONZE MEDALS]])</f>
        <v>1</v>
      </c>
      <c r="G1570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10100000</v>
      </c>
      <c r="H1570" s="3">
        <f>IF(TS_ATHLETES[[#This Row],[TOTAL]]=0,"",RANK(TS_ATHLETES[[#This Row],[RANK VALUE]],TS_ATHLETES[RANK VALUE]))</f>
        <v>129</v>
      </c>
      <c r="I1570" s="3">
        <f>IFERROR(IF(TS_ATHLETES[[#This Row],[TOTAL]]=0,"",RANK(TS_ATHLETES[[#This Row],[RANK VALUE]],TS_ATHLETES[RANK VALUE])+COUNTIF($H$1:H1569,H1570)),"")</f>
        <v>570</v>
      </c>
    </row>
    <row r="1571" spans="1:9" x14ac:dyDescent="0.25">
      <c r="A1571" t="s">
        <v>2473</v>
      </c>
      <c r="B1571" s="3" t="s">
        <v>361</v>
      </c>
      <c r="C1571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1</v>
      </c>
      <c r="D1571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1571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1571" s="3">
        <f>SUM(TS_ATHLETES[[#This Row],[GOLD MEDALS]:[BRONZE MEDALS]])</f>
        <v>1</v>
      </c>
      <c r="G1571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10100000</v>
      </c>
      <c r="H1571" s="3">
        <f>IF(TS_ATHLETES[[#This Row],[TOTAL]]=0,"",RANK(TS_ATHLETES[[#This Row],[RANK VALUE]],TS_ATHLETES[RANK VALUE]))</f>
        <v>129</v>
      </c>
      <c r="I1571" s="3">
        <f>IFERROR(IF(TS_ATHLETES[[#This Row],[TOTAL]]=0,"",RANK(TS_ATHLETES[[#This Row],[RANK VALUE]],TS_ATHLETES[RANK VALUE])+COUNTIF($H$1:H1570,H1571)),"")</f>
        <v>571</v>
      </c>
    </row>
    <row r="1572" spans="1:9" x14ac:dyDescent="0.25">
      <c r="A1572" t="s">
        <v>2474</v>
      </c>
      <c r="B1572" s="3" t="s">
        <v>253</v>
      </c>
      <c r="C1572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1572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1</v>
      </c>
      <c r="E1572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1572" s="3">
        <f>SUM(TS_ATHLETES[[#This Row],[GOLD MEDALS]:[BRONZE MEDALS]])</f>
        <v>1</v>
      </c>
      <c r="G1572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10000100</v>
      </c>
      <c r="H1572" s="3">
        <f>IF(TS_ATHLETES[[#This Row],[TOTAL]]=0,"",RANK(TS_ATHLETES[[#This Row],[RANK VALUE]],TS_ATHLETES[RANK VALUE]))</f>
        <v>660</v>
      </c>
      <c r="I1572" s="3">
        <f>IFERROR(IF(TS_ATHLETES[[#This Row],[TOTAL]]=0,"",RANK(TS_ATHLETES[[#This Row],[RANK VALUE]],TS_ATHLETES[RANK VALUE])+COUNTIF($H$1:H1571,H1572)),"")</f>
        <v>1131</v>
      </c>
    </row>
    <row r="1573" spans="1:9" x14ac:dyDescent="0.25">
      <c r="A1573" t="s">
        <v>2475</v>
      </c>
      <c r="B1573" s="3" t="s">
        <v>253</v>
      </c>
      <c r="C1573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1573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1</v>
      </c>
      <c r="E1573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1573" s="3">
        <f>SUM(TS_ATHLETES[[#This Row],[GOLD MEDALS]:[BRONZE MEDALS]])</f>
        <v>1</v>
      </c>
      <c r="G1573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10000100</v>
      </c>
      <c r="H1573" s="3">
        <f>IF(TS_ATHLETES[[#This Row],[TOTAL]]=0,"",RANK(TS_ATHLETES[[#This Row],[RANK VALUE]],TS_ATHLETES[RANK VALUE]))</f>
        <v>660</v>
      </c>
      <c r="I1573" s="3">
        <f>IFERROR(IF(TS_ATHLETES[[#This Row],[TOTAL]]=0,"",RANK(TS_ATHLETES[[#This Row],[RANK VALUE]],TS_ATHLETES[RANK VALUE])+COUNTIF($H$1:H1572,H1573)),"")</f>
        <v>1132</v>
      </c>
    </row>
    <row r="1574" spans="1:9" x14ac:dyDescent="0.25">
      <c r="A1574" t="s">
        <v>2476</v>
      </c>
      <c r="B1574" s="3" t="s">
        <v>128</v>
      </c>
      <c r="C1574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1574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1574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1</v>
      </c>
      <c r="F1574" s="3">
        <f>SUM(TS_ATHLETES[[#This Row],[GOLD MEDALS]:[BRONZE MEDALS]])</f>
        <v>1</v>
      </c>
      <c r="G1574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10000010</v>
      </c>
      <c r="H1574" s="3">
        <f>IF(TS_ATHLETES[[#This Row],[TOTAL]]=0,"",RANK(TS_ATHLETES[[#This Row],[RANK VALUE]],TS_ATHLETES[RANK VALUE]))</f>
        <v>1224</v>
      </c>
      <c r="I1574" s="3">
        <f>IFERROR(IF(TS_ATHLETES[[#This Row],[TOTAL]]=0,"",RANK(TS_ATHLETES[[#This Row],[RANK VALUE]],TS_ATHLETES[RANK VALUE])+COUNTIF($H$1:H1573,H1574)),"")</f>
        <v>1766</v>
      </c>
    </row>
    <row r="1575" spans="1:9" x14ac:dyDescent="0.25">
      <c r="A1575" t="s">
        <v>2477</v>
      </c>
      <c r="B1575" s="3" t="s">
        <v>128</v>
      </c>
      <c r="C1575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1575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1575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1</v>
      </c>
      <c r="F1575" s="3">
        <f>SUM(TS_ATHLETES[[#This Row],[GOLD MEDALS]:[BRONZE MEDALS]])</f>
        <v>1</v>
      </c>
      <c r="G1575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10000010</v>
      </c>
      <c r="H1575" s="3">
        <f>IF(TS_ATHLETES[[#This Row],[TOTAL]]=0,"",RANK(TS_ATHLETES[[#This Row],[RANK VALUE]],TS_ATHLETES[RANK VALUE]))</f>
        <v>1224</v>
      </c>
      <c r="I1575" s="3">
        <f>IFERROR(IF(TS_ATHLETES[[#This Row],[TOTAL]]=0,"",RANK(TS_ATHLETES[[#This Row],[RANK VALUE]],TS_ATHLETES[RANK VALUE])+COUNTIF($H$1:H1574,H1575)),"")</f>
        <v>1767</v>
      </c>
    </row>
    <row r="1576" spans="1:9" x14ac:dyDescent="0.25">
      <c r="A1576" t="s">
        <v>2478</v>
      </c>
      <c r="B1576" s="3" t="s">
        <v>253</v>
      </c>
      <c r="C1576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1</v>
      </c>
      <c r="D1576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1576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1576" s="3">
        <f>SUM(TS_ATHLETES[[#This Row],[GOLD MEDALS]:[BRONZE MEDALS]])</f>
        <v>1</v>
      </c>
      <c r="G1576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10100000</v>
      </c>
      <c r="H1576" s="3">
        <f>IF(TS_ATHLETES[[#This Row],[TOTAL]]=0,"",RANK(TS_ATHLETES[[#This Row],[RANK VALUE]],TS_ATHLETES[RANK VALUE]))</f>
        <v>129</v>
      </c>
      <c r="I1576" s="3">
        <f>IFERROR(IF(TS_ATHLETES[[#This Row],[TOTAL]]=0,"",RANK(TS_ATHLETES[[#This Row],[RANK VALUE]],TS_ATHLETES[RANK VALUE])+COUNTIF($H$1:H1575,H1576)),"")</f>
        <v>572</v>
      </c>
    </row>
    <row r="1577" spans="1:9" x14ac:dyDescent="0.25">
      <c r="A1577" t="s">
        <v>2479</v>
      </c>
      <c r="B1577" s="3" t="s">
        <v>253</v>
      </c>
      <c r="C1577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1</v>
      </c>
      <c r="D1577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1577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1577" s="3">
        <f>SUM(TS_ATHLETES[[#This Row],[GOLD MEDALS]:[BRONZE MEDALS]])</f>
        <v>1</v>
      </c>
      <c r="G1577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10100000</v>
      </c>
      <c r="H1577" s="3">
        <f>IF(TS_ATHLETES[[#This Row],[TOTAL]]=0,"",RANK(TS_ATHLETES[[#This Row],[RANK VALUE]],TS_ATHLETES[RANK VALUE]))</f>
        <v>129</v>
      </c>
      <c r="I1577" s="3">
        <f>IFERROR(IF(TS_ATHLETES[[#This Row],[TOTAL]]=0,"",RANK(TS_ATHLETES[[#This Row],[RANK VALUE]],TS_ATHLETES[RANK VALUE])+COUNTIF($H$1:H1576,H1577)),"")</f>
        <v>573</v>
      </c>
    </row>
    <row r="1578" spans="1:9" x14ac:dyDescent="0.25">
      <c r="A1578" t="s">
        <v>2480</v>
      </c>
      <c r="B1578" s="3" t="s">
        <v>21</v>
      </c>
      <c r="C1578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1578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1</v>
      </c>
      <c r="E1578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1578" s="3">
        <f>SUM(TS_ATHLETES[[#This Row],[GOLD MEDALS]:[BRONZE MEDALS]])</f>
        <v>1</v>
      </c>
      <c r="G1578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10000100</v>
      </c>
      <c r="H1578" s="3">
        <f>IF(TS_ATHLETES[[#This Row],[TOTAL]]=0,"",RANK(TS_ATHLETES[[#This Row],[RANK VALUE]],TS_ATHLETES[RANK VALUE]))</f>
        <v>660</v>
      </c>
      <c r="I1578" s="3">
        <f>IFERROR(IF(TS_ATHLETES[[#This Row],[TOTAL]]=0,"",RANK(TS_ATHLETES[[#This Row],[RANK VALUE]],TS_ATHLETES[RANK VALUE])+COUNTIF($H$1:H1577,H1578)),"")</f>
        <v>1133</v>
      </c>
    </row>
    <row r="1579" spans="1:9" x14ac:dyDescent="0.25">
      <c r="A1579" t="s">
        <v>2481</v>
      </c>
      <c r="B1579" s="3" t="s">
        <v>21</v>
      </c>
      <c r="C1579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1579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1</v>
      </c>
      <c r="E1579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1579" s="3">
        <f>SUM(TS_ATHLETES[[#This Row],[GOLD MEDALS]:[BRONZE MEDALS]])</f>
        <v>1</v>
      </c>
      <c r="G1579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10000100</v>
      </c>
      <c r="H1579" s="3">
        <f>IF(TS_ATHLETES[[#This Row],[TOTAL]]=0,"",RANK(TS_ATHLETES[[#This Row],[RANK VALUE]],TS_ATHLETES[RANK VALUE]))</f>
        <v>660</v>
      </c>
      <c r="I1579" s="3">
        <f>IFERROR(IF(TS_ATHLETES[[#This Row],[TOTAL]]=0,"",RANK(TS_ATHLETES[[#This Row],[RANK VALUE]],TS_ATHLETES[RANK VALUE])+COUNTIF($H$1:H1578,H1579)),"")</f>
        <v>1134</v>
      </c>
    </row>
    <row r="1580" spans="1:9" x14ac:dyDescent="0.25">
      <c r="A1580" t="s">
        <v>2482</v>
      </c>
      <c r="B1580" s="3" t="s">
        <v>136</v>
      </c>
      <c r="C1580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1580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1580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1</v>
      </c>
      <c r="F1580" s="3">
        <f>SUM(TS_ATHLETES[[#This Row],[GOLD MEDALS]:[BRONZE MEDALS]])</f>
        <v>1</v>
      </c>
      <c r="G1580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10000010</v>
      </c>
      <c r="H1580" s="3">
        <f>IF(TS_ATHLETES[[#This Row],[TOTAL]]=0,"",RANK(TS_ATHLETES[[#This Row],[RANK VALUE]],TS_ATHLETES[RANK VALUE]))</f>
        <v>1224</v>
      </c>
      <c r="I1580" s="3">
        <f>IFERROR(IF(TS_ATHLETES[[#This Row],[TOTAL]]=0,"",RANK(TS_ATHLETES[[#This Row],[RANK VALUE]],TS_ATHLETES[RANK VALUE])+COUNTIF($H$1:H1579,H1580)),"")</f>
        <v>1768</v>
      </c>
    </row>
    <row r="1581" spans="1:9" x14ac:dyDescent="0.25">
      <c r="A1581" t="s">
        <v>2483</v>
      </c>
      <c r="B1581" s="3" t="s">
        <v>136</v>
      </c>
      <c r="C1581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1581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1581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1</v>
      </c>
      <c r="F1581" s="3">
        <f>SUM(TS_ATHLETES[[#This Row],[GOLD MEDALS]:[BRONZE MEDALS]])</f>
        <v>1</v>
      </c>
      <c r="G1581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10000010</v>
      </c>
      <c r="H1581" s="3">
        <f>IF(TS_ATHLETES[[#This Row],[TOTAL]]=0,"",RANK(TS_ATHLETES[[#This Row],[RANK VALUE]],TS_ATHLETES[RANK VALUE]))</f>
        <v>1224</v>
      </c>
      <c r="I1581" s="3">
        <f>IFERROR(IF(TS_ATHLETES[[#This Row],[TOTAL]]=0,"",RANK(TS_ATHLETES[[#This Row],[RANK VALUE]],TS_ATHLETES[RANK VALUE])+COUNTIF($H$1:H1580,H1581)),"")</f>
        <v>1769</v>
      </c>
    </row>
    <row r="1582" spans="1:9" x14ac:dyDescent="0.25">
      <c r="A1582" t="s">
        <v>2484</v>
      </c>
      <c r="B1582" s="3" t="s">
        <v>51</v>
      </c>
      <c r="C1582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1</v>
      </c>
      <c r="D1582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1582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1582" s="3">
        <f>SUM(TS_ATHLETES[[#This Row],[GOLD MEDALS]:[BRONZE MEDALS]])</f>
        <v>1</v>
      </c>
      <c r="G1582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10100000</v>
      </c>
      <c r="H1582" s="3">
        <f>IF(TS_ATHLETES[[#This Row],[TOTAL]]=0,"",RANK(TS_ATHLETES[[#This Row],[RANK VALUE]],TS_ATHLETES[RANK VALUE]))</f>
        <v>129</v>
      </c>
      <c r="I1582" s="3">
        <f>IFERROR(IF(TS_ATHLETES[[#This Row],[TOTAL]]=0,"",RANK(TS_ATHLETES[[#This Row],[RANK VALUE]],TS_ATHLETES[RANK VALUE])+COUNTIF($H$1:H1581,H1582)),"")</f>
        <v>574</v>
      </c>
    </row>
    <row r="1583" spans="1:9" x14ac:dyDescent="0.25">
      <c r="A1583" t="s">
        <v>2485</v>
      </c>
      <c r="B1583" s="3" t="s">
        <v>51</v>
      </c>
      <c r="C1583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1</v>
      </c>
      <c r="D1583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1583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1583" s="3">
        <f>SUM(TS_ATHLETES[[#This Row],[GOLD MEDALS]:[BRONZE MEDALS]])</f>
        <v>1</v>
      </c>
      <c r="G1583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10100000</v>
      </c>
      <c r="H1583" s="3">
        <f>IF(TS_ATHLETES[[#This Row],[TOTAL]]=0,"",RANK(TS_ATHLETES[[#This Row],[RANK VALUE]],TS_ATHLETES[RANK VALUE]))</f>
        <v>129</v>
      </c>
      <c r="I1583" s="3">
        <f>IFERROR(IF(TS_ATHLETES[[#This Row],[TOTAL]]=0,"",RANK(TS_ATHLETES[[#This Row],[RANK VALUE]],TS_ATHLETES[RANK VALUE])+COUNTIF($H$1:H1582,H1583)),"")</f>
        <v>575</v>
      </c>
    </row>
    <row r="1584" spans="1:9" x14ac:dyDescent="0.25">
      <c r="A1584" t="s">
        <v>2486</v>
      </c>
      <c r="B1584" s="3" t="s">
        <v>253</v>
      </c>
      <c r="C1584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1584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1</v>
      </c>
      <c r="E1584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1584" s="3">
        <f>SUM(TS_ATHLETES[[#This Row],[GOLD MEDALS]:[BRONZE MEDALS]])</f>
        <v>1</v>
      </c>
      <c r="G1584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10000100</v>
      </c>
      <c r="H1584" s="3">
        <f>IF(TS_ATHLETES[[#This Row],[TOTAL]]=0,"",RANK(TS_ATHLETES[[#This Row],[RANK VALUE]],TS_ATHLETES[RANK VALUE]))</f>
        <v>660</v>
      </c>
      <c r="I1584" s="3">
        <f>IFERROR(IF(TS_ATHLETES[[#This Row],[TOTAL]]=0,"",RANK(TS_ATHLETES[[#This Row],[RANK VALUE]],TS_ATHLETES[RANK VALUE])+COUNTIF($H$1:H1583,H1584)),"")</f>
        <v>1135</v>
      </c>
    </row>
    <row r="1585" spans="1:9" x14ac:dyDescent="0.25">
      <c r="A1585" t="s">
        <v>2487</v>
      </c>
      <c r="B1585" s="3" t="s">
        <v>253</v>
      </c>
      <c r="C1585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1585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1</v>
      </c>
      <c r="E1585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1585" s="3">
        <f>SUM(TS_ATHLETES[[#This Row],[GOLD MEDALS]:[BRONZE MEDALS]])</f>
        <v>1</v>
      </c>
      <c r="G1585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10000100</v>
      </c>
      <c r="H1585" s="3">
        <f>IF(TS_ATHLETES[[#This Row],[TOTAL]]=0,"",RANK(TS_ATHLETES[[#This Row],[RANK VALUE]],TS_ATHLETES[RANK VALUE]))</f>
        <v>660</v>
      </c>
      <c r="I1585" s="3">
        <f>IFERROR(IF(TS_ATHLETES[[#This Row],[TOTAL]]=0,"",RANK(TS_ATHLETES[[#This Row],[RANK VALUE]],TS_ATHLETES[RANK VALUE])+COUNTIF($H$1:H1584,H1585)),"")</f>
        <v>1136</v>
      </c>
    </row>
    <row r="1586" spans="1:9" x14ac:dyDescent="0.25">
      <c r="A1586" t="s">
        <v>2488</v>
      </c>
      <c r="B1586" s="3" t="s">
        <v>100</v>
      </c>
      <c r="C1586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1586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1586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1</v>
      </c>
      <c r="F1586" s="3">
        <f>SUM(TS_ATHLETES[[#This Row],[GOLD MEDALS]:[BRONZE MEDALS]])</f>
        <v>1</v>
      </c>
      <c r="G1586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10000010</v>
      </c>
      <c r="H1586" s="3">
        <f>IF(TS_ATHLETES[[#This Row],[TOTAL]]=0,"",RANK(TS_ATHLETES[[#This Row],[RANK VALUE]],TS_ATHLETES[RANK VALUE]))</f>
        <v>1224</v>
      </c>
      <c r="I1586" s="3">
        <f>IFERROR(IF(TS_ATHLETES[[#This Row],[TOTAL]]=0,"",RANK(TS_ATHLETES[[#This Row],[RANK VALUE]],TS_ATHLETES[RANK VALUE])+COUNTIF($H$1:H1585,H1586)),"")</f>
        <v>1770</v>
      </c>
    </row>
    <row r="1587" spans="1:9" x14ac:dyDescent="0.25">
      <c r="A1587" t="s">
        <v>2489</v>
      </c>
      <c r="B1587" s="3" t="s">
        <v>100</v>
      </c>
      <c r="C1587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1587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1587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1</v>
      </c>
      <c r="F1587" s="3">
        <f>SUM(TS_ATHLETES[[#This Row],[GOLD MEDALS]:[BRONZE MEDALS]])</f>
        <v>1</v>
      </c>
      <c r="G1587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10000010</v>
      </c>
      <c r="H1587" s="3">
        <f>IF(TS_ATHLETES[[#This Row],[TOTAL]]=0,"",RANK(TS_ATHLETES[[#This Row],[RANK VALUE]],TS_ATHLETES[RANK VALUE]))</f>
        <v>1224</v>
      </c>
      <c r="I1587" s="3">
        <f>IFERROR(IF(TS_ATHLETES[[#This Row],[TOTAL]]=0,"",RANK(TS_ATHLETES[[#This Row],[RANK VALUE]],TS_ATHLETES[RANK VALUE])+COUNTIF($H$1:H1586,H1587)),"")</f>
        <v>1771</v>
      </c>
    </row>
    <row r="1588" spans="1:9" x14ac:dyDescent="0.25">
      <c r="A1588" t="s">
        <v>2490</v>
      </c>
      <c r="B1588" s="3" t="s">
        <v>16</v>
      </c>
      <c r="C1588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1</v>
      </c>
      <c r="D1588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1588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1588" s="3">
        <f>SUM(TS_ATHLETES[[#This Row],[GOLD MEDALS]:[BRONZE MEDALS]])</f>
        <v>1</v>
      </c>
      <c r="G1588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10100000</v>
      </c>
      <c r="H1588" s="3">
        <f>IF(TS_ATHLETES[[#This Row],[TOTAL]]=0,"",RANK(TS_ATHLETES[[#This Row],[RANK VALUE]],TS_ATHLETES[RANK VALUE]))</f>
        <v>129</v>
      </c>
      <c r="I1588" s="3">
        <f>IFERROR(IF(TS_ATHLETES[[#This Row],[TOTAL]]=0,"",RANK(TS_ATHLETES[[#This Row],[RANK VALUE]],TS_ATHLETES[RANK VALUE])+COUNTIF($H$1:H1587,H1588)),"")</f>
        <v>576</v>
      </c>
    </row>
    <row r="1589" spans="1:9" x14ac:dyDescent="0.25">
      <c r="A1589" t="s">
        <v>2491</v>
      </c>
      <c r="B1589" s="3" t="s">
        <v>16</v>
      </c>
      <c r="C1589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1</v>
      </c>
      <c r="D1589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1589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1589" s="3">
        <f>SUM(TS_ATHLETES[[#This Row],[GOLD MEDALS]:[BRONZE MEDALS]])</f>
        <v>1</v>
      </c>
      <c r="G1589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10100000</v>
      </c>
      <c r="H1589" s="3">
        <f>IF(TS_ATHLETES[[#This Row],[TOTAL]]=0,"",RANK(TS_ATHLETES[[#This Row],[RANK VALUE]],TS_ATHLETES[RANK VALUE]))</f>
        <v>129</v>
      </c>
      <c r="I1589" s="3">
        <f>IFERROR(IF(TS_ATHLETES[[#This Row],[TOTAL]]=0,"",RANK(TS_ATHLETES[[#This Row],[RANK VALUE]],TS_ATHLETES[RANK VALUE])+COUNTIF($H$1:H1588,H1589)),"")</f>
        <v>577</v>
      </c>
    </row>
    <row r="1590" spans="1:9" x14ac:dyDescent="0.25">
      <c r="A1590" t="s">
        <v>2492</v>
      </c>
      <c r="B1590" s="3" t="s">
        <v>21</v>
      </c>
      <c r="C1590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1590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1</v>
      </c>
      <c r="E1590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1590" s="3">
        <f>SUM(TS_ATHLETES[[#This Row],[GOLD MEDALS]:[BRONZE MEDALS]])</f>
        <v>1</v>
      </c>
      <c r="G1590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10000100</v>
      </c>
      <c r="H1590" s="3">
        <f>IF(TS_ATHLETES[[#This Row],[TOTAL]]=0,"",RANK(TS_ATHLETES[[#This Row],[RANK VALUE]],TS_ATHLETES[RANK VALUE]))</f>
        <v>660</v>
      </c>
      <c r="I1590" s="3">
        <f>IFERROR(IF(TS_ATHLETES[[#This Row],[TOTAL]]=0,"",RANK(TS_ATHLETES[[#This Row],[RANK VALUE]],TS_ATHLETES[RANK VALUE])+COUNTIF($H$1:H1589,H1590)),"")</f>
        <v>1137</v>
      </c>
    </row>
    <row r="1591" spans="1:9" x14ac:dyDescent="0.25">
      <c r="A1591" t="s">
        <v>2493</v>
      </c>
      <c r="B1591" s="3" t="s">
        <v>21</v>
      </c>
      <c r="C1591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1591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1</v>
      </c>
      <c r="E1591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1591" s="3">
        <f>SUM(TS_ATHLETES[[#This Row],[GOLD MEDALS]:[BRONZE MEDALS]])</f>
        <v>1</v>
      </c>
      <c r="G1591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10000100</v>
      </c>
      <c r="H1591" s="3">
        <f>IF(TS_ATHLETES[[#This Row],[TOTAL]]=0,"",RANK(TS_ATHLETES[[#This Row],[RANK VALUE]],TS_ATHLETES[RANK VALUE]))</f>
        <v>660</v>
      </c>
      <c r="I1591" s="3">
        <f>IFERROR(IF(TS_ATHLETES[[#This Row],[TOTAL]]=0,"",RANK(TS_ATHLETES[[#This Row],[RANK VALUE]],TS_ATHLETES[RANK VALUE])+COUNTIF($H$1:H1590,H1591)),"")</f>
        <v>1138</v>
      </c>
    </row>
    <row r="1592" spans="1:9" x14ac:dyDescent="0.25">
      <c r="A1592" t="s">
        <v>2494</v>
      </c>
      <c r="B1592" s="3" t="s">
        <v>23</v>
      </c>
      <c r="C1592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1592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1592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1</v>
      </c>
      <c r="F1592" s="3">
        <f>SUM(TS_ATHLETES[[#This Row],[GOLD MEDALS]:[BRONZE MEDALS]])</f>
        <v>1</v>
      </c>
      <c r="G1592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10000010</v>
      </c>
      <c r="H1592" s="3">
        <f>IF(TS_ATHLETES[[#This Row],[TOTAL]]=0,"",RANK(TS_ATHLETES[[#This Row],[RANK VALUE]],TS_ATHLETES[RANK VALUE]))</f>
        <v>1224</v>
      </c>
      <c r="I1592" s="3">
        <f>IFERROR(IF(TS_ATHLETES[[#This Row],[TOTAL]]=0,"",RANK(TS_ATHLETES[[#This Row],[RANK VALUE]],TS_ATHLETES[RANK VALUE])+COUNTIF($H$1:H1591,H1592)),"")</f>
        <v>1772</v>
      </c>
    </row>
    <row r="1593" spans="1:9" x14ac:dyDescent="0.25">
      <c r="A1593" t="s">
        <v>2495</v>
      </c>
      <c r="B1593" s="3" t="s">
        <v>23</v>
      </c>
      <c r="C1593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1593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1593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1</v>
      </c>
      <c r="F1593" s="3">
        <f>SUM(TS_ATHLETES[[#This Row],[GOLD MEDALS]:[BRONZE MEDALS]])</f>
        <v>1</v>
      </c>
      <c r="G1593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10000010</v>
      </c>
      <c r="H1593" s="3">
        <f>IF(TS_ATHLETES[[#This Row],[TOTAL]]=0,"",RANK(TS_ATHLETES[[#This Row],[RANK VALUE]],TS_ATHLETES[RANK VALUE]))</f>
        <v>1224</v>
      </c>
      <c r="I1593" s="3">
        <f>IFERROR(IF(TS_ATHLETES[[#This Row],[TOTAL]]=0,"",RANK(TS_ATHLETES[[#This Row],[RANK VALUE]],TS_ATHLETES[RANK VALUE])+COUNTIF($H$1:H1592,H1593)),"")</f>
        <v>1773</v>
      </c>
    </row>
    <row r="1594" spans="1:9" x14ac:dyDescent="0.25">
      <c r="A1594" t="s">
        <v>2497</v>
      </c>
      <c r="B1594" s="3" t="s">
        <v>21</v>
      </c>
      <c r="C1594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1</v>
      </c>
      <c r="D1594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1</v>
      </c>
      <c r="E1594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1594" s="3">
        <f>SUM(TS_ATHLETES[[#This Row],[GOLD MEDALS]:[BRONZE MEDALS]])</f>
        <v>2</v>
      </c>
      <c r="G1594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20100100</v>
      </c>
      <c r="H1594" s="3">
        <f>IF(TS_ATHLETES[[#This Row],[TOTAL]]=0,"",RANK(TS_ATHLETES[[#This Row],[RANK VALUE]],TS_ATHLETES[RANK VALUE]))</f>
        <v>48</v>
      </c>
      <c r="I1594" s="3">
        <f>IFERROR(IF(TS_ATHLETES[[#This Row],[TOTAL]]=0,"",RANK(TS_ATHLETES[[#This Row],[RANK VALUE]],TS_ATHLETES[RANK VALUE])+COUNTIF($H$1:H1593,H1594)),"")</f>
        <v>66</v>
      </c>
    </row>
    <row r="1595" spans="1:9" x14ac:dyDescent="0.25">
      <c r="A1595" t="s">
        <v>2498</v>
      </c>
      <c r="B1595" s="3" t="s">
        <v>21</v>
      </c>
      <c r="C1595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1</v>
      </c>
      <c r="D1595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1595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1595" s="3">
        <f>SUM(TS_ATHLETES[[#This Row],[GOLD MEDALS]:[BRONZE MEDALS]])</f>
        <v>1</v>
      </c>
      <c r="G1595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10100000</v>
      </c>
      <c r="H1595" s="3">
        <f>IF(TS_ATHLETES[[#This Row],[TOTAL]]=0,"",RANK(TS_ATHLETES[[#This Row],[RANK VALUE]],TS_ATHLETES[RANK VALUE]))</f>
        <v>129</v>
      </c>
      <c r="I1595" s="3">
        <f>IFERROR(IF(TS_ATHLETES[[#This Row],[TOTAL]]=0,"",RANK(TS_ATHLETES[[#This Row],[RANK VALUE]],TS_ATHLETES[RANK VALUE])+COUNTIF($H$1:H1594,H1595)),"")</f>
        <v>578</v>
      </c>
    </row>
    <row r="1596" spans="1:9" x14ac:dyDescent="0.25">
      <c r="A1596" t="s">
        <v>2499</v>
      </c>
      <c r="B1596" s="3" t="s">
        <v>21</v>
      </c>
      <c r="C1596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1</v>
      </c>
      <c r="D1596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1</v>
      </c>
      <c r="E1596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1596" s="3">
        <f>SUM(TS_ATHLETES[[#This Row],[GOLD MEDALS]:[BRONZE MEDALS]])</f>
        <v>2</v>
      </c>
      <c r="G1596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20100100</v>
      </c>
      <c r="H1596" s="3">
        <f>IF(TS_ATHLETES[[#This Row],[TOTAL]]=0,"",RANK(TS_ATHLETES[[#This Row],[RANK VALUE]],TS_ATHLETES[RANK VALUE]))</f>
        <v>48</v>
      </c>
      <c r="I1596" s="3">
        <f>IFERROR(IF(TS_ATHLETES[[#This Row],[TOTAL]]=0,"",RANK(TS_ATHLETES[[#This Row],[RANK VALUE]],TS_ATHLETES[RANK VALUE])+COUNTIF($H$1:H1595,H1596)),"")</f>
        <v>67</v>
      </c>
    </row>
    <row r="1597" spans="1:9" x14ac:dyDescent="0.25">
      <c r="A1597" t="s">
        <v>2500</v>
      </c>
      <c r="B1597" s="3" t="s">
        <v>21</v>
      </c>
      <c r="C1597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1</v>
      </c>
      <c r="D1597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1</v>
      </c>
      <c r="E1597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1597" s="3">
        <f>SUM(TS_ATHLETES[[#This Row],[GOLD MEDALS]:[BRONZE MEDALS]])</f>
        <v>2</v>
      </c>
      <c r="G1597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20100100</v>
      </c>
      <c r="H1597" s="3">
        <f>IF(TS_ATHLETES[[#This Row],[TOTAL]]=0,"",RANK(TS_ATHLETES[[#This Row],[RANK VALUE]],TS_ATHLETES[RANK VALUE]))</f>
        <v>48</v>
      </c>
      <c r="I1597" s="3">
        <f>IFERROR(IF(TS_ATHLETES[[#This Row],[TOTAL]]=0,"",RANK(TS_ATHLETES[[#This Row],[RANK VALUE]],TS_ATHLETES[RANK VALUE])+COUNTIF($H$1:H1596,H1597)),"")</f>
        <v>68</v>
      </c>
    </row>
    <row r="1598" spans="1:9" x14ac:dyDescent="0.25">
      <c r="A1598" t="s">
        <v>2501</v>
      </c>
      <c r="B1598" s="3" t="s">
        <v>363</v>
      </c>
      <c r="C1598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1</v>
      </c>
      <c r="D1598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1</v>
      </c>
      <c r="E1598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1598" s="3">
        <f>SUM(TS_ATHLETES[[#This Row],[GOLD MEDALS]:[BRONZE MEDALS]])</f>
        <v>2</v>
      </c>
      <c r="G1598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20100100</v>
      </c>
      <c r="H1598" s="3">
        <f>IF(TS_ATHLETES[[#This Row],[TOTAL]]=0,"",RANK(TS_ATHLETES[[#This Row],[RANK VALUE]],TS_ATHLETES[RANK VALUE]))</f>
        <v>48</v>
      </c>
      <c r="I1598" s="3">
        <f>IFERROR(IF(TS_ATHLETES[[#This Row],[TOTAL]]=0,"",RANK(TS_ATHLETES[[#This Row],[RANK VALUE]],TS_ATHLETES[RANK VALUE])+COUNTIF($H$1:H1597,H1598)),"")</f>
        <v>69</v>
      </c>
    </row>
    <row r="1599" spans="1:9" x14ac:dyDescent="0.25">
      <c r="A1599" t="s">
        <v>2502</v>
      </c>
      <c r="B1599" s="3" t="s">
        <v>363</v>
      </c>
      <c r="C1599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1599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1</v>
      </c>
      <c r="E1599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1599" s="3">
        <f>SUM(TS_ATHLETES[[#This Row],[GOLD MEDALS]:[BRONZE MEDALS]])</f>
        <v>1</v>
      </c>
      <c r="G1599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10000100</v>
      </c>
      <c r="H1599" s="3">
        <f>IF(TS_ATHLETES[[#This Row],[TOTAL]]=0,"",RANK(TS_ATHLETES[[#This Row],[RANK VALUE]],TS_ATHLETES[RANK VALUE]))</f>
        <v>660</v>
      </c>
      <c r="I1599" s="3">
        <f>IFERROR(IF(TS_ATHLETES[[#This Row],[TOTAL]]=0,"",RANK(TS_ATHLETES[[#This Row],[RANK VALUE]],TS_ATHLETES[RANK VALUE])+COUNTIF($H$1:H1598,H1599)),"")</f>
        <v>1139</v>
      </c>
    </row>
    <row r="1600" spans="1:9" x14ac:dyDescent="0.25">
      <c r="A1600" t="s">
        <v>2503</v>
      </c>
      <c r="B1600" s="3" t="s">
        <v>363</v>
      </c>
      <c r="C1600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1</v>
      </c>
      <c r="D1600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1</v>
      </c>
      <c r="E1600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1600" s="3">
        <f>SUM(TS_ATHLETES[[#This Row],[GOLD MEDALS]:[BRONZE MEDALS]])</f>
        <v>2</v>
      </c>
      <c r="G1600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20100100</v>
      </c>
      <c r="H1600" s="3">
        <f>IF(TS_ATHLETES[[#This Row],[TOTAL]]=0,"",RANK(TS_ATHLETES[[#This Row],[RANK VALUE]],TS_ATHLETES[RANK VALUE]))</f>
        <v>48</v>
      </c>
      <c r="I1600" s="3">
        <f>IFERROR(IF(TS_ATHLETES[[#This Row],[TOTAL]]=0,"",RANK(TS_ATHLETES[[#This Row],[RANK VALUE]],TS_ATHLETES[RANK VALUE])+COUNTIF($H$1:H1599,H1600)),"")</f>
        <v>70</v>
      </c>
    </row>
    <row r="1601" spans="1:9" x14ac:dyDescent="0.25">
      <c r="A1601" t="s">
        <v>2504</v>
      </c>
      <c r="B1601" s="3" t="s">
        <v>363</v>
      </c>
      <c r="C1601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1601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1</v>
      </c>
      <c r="E1601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1601" s="3">
        <f>SUM(TS_ATHLETES[[#This Row],[GOLD MEDALS]:[BRONZE MEDALS]])</f>
        <v>1</v>
      </c>
      <c r="G1601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10000100</v>
      </c>
      <c r="H1601" s="3">
        <f>IF(TS_ATHLETES[[#This Row],[TOTAL]]=0,"",RANK(TS_ATHLETES[[#This Row],[RANK VALUE]],TS_ATHLETES[RANK VALUE]))</f>
        <v>660</v>
      </c>
      <c r="I1601" s="3">
        <f>IFERROR(IF(TS_ATHLETES[[#This Row],[TOTAL]]=0,"",RANK(TS_ATHLETES[[#This Row],[RANK VALUE]],TS_ATHLETES[RANK VALUE])+COUNTIF($H$1:H1600,H1601)),"")</f>
        <v>1140</v>
      </c>
    </row>
    <row r="1602" spans="1:9" x14ac:dyDescent="0.25">
      <c r="A1602" t="s">
        <v>2505</v>
      </c>
      <c r="B1602" s="3" t="s">
        <v>66</v>
      </c>
      <c r="C1602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1602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1602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1</v>
      </c>
      <c r="F1602" s="3">
        <f>SUM(TS_ATHLETES[[#This Row],[GOLD MEDALS]:[BRONZE MEDALS]])</f>
        <v>1</v>
      </c>
      <c r="G1602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10000010</v>
      </c>
      <c r="H1602" s="3">
        <f>IF(TS_ATHLETES[[#This Row],[TOTAL]]=0,"",RANK(TS_ATHLETES[[#This Row],[RANK VALUE]],TS_ATHLETES[RANK VALUE]))</f>
        <v>1224</v>
      </c>
      <c r="I1602" s="3">
        <f>IFERROR(IF(TS_ATHLETES[[#This Row],[TOTAL]]=0,"",RANK(TS_ATHLETES[[#This Row],[RANK VALUE]],TS_ATHLETES[RANK VALUE])+COUNTIF($H$1:H1601,H1602)),"")</f>
        <v>1774</v>
      </c>
    </row>
    <row r="1603" spans="1:9" x14ac:dyDescent="0.25">
      <c r="A1603" t="s">
        <v>2506</v>
      </c>
      <c r="B1603" s="3" t="s">
        <v>66</v>
      </c>
      <c r="C1603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1603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1603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1</v>
      </c>
      <c r="F1603" s="3">
        <f>SUM(TS_ATHLETES[[#This Row],[GOLD MEDALS]:[BRONZE MEDALS]])</f>
        <v>1</v>
      </c>
      <c r="G1603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10000010</v>
      </c>
      <c r="H1603" s="3">
        <f>IF(TS_ATHLETES[[#This Row],[TOTAL]]=0,"",RANK(TS_ATHLETES[[#This Row],[RANK VALUE]],TS_ATHLETES[RANK VALUE]))</f>
        <v>1224</v>
      </c>
      <c r="I1603" s="3">
        <f>IFERROR(IF(TS_ATHLETES[[#This Row],[TOTAL]]=0,"",RANK(TS_ATHLETES[[#This Row],[RANK VALUE]],TS_ATHLETES[RANK VALUE])+COUNTIF($H$1:H1602,H1603)),"")</f>
        <v>1775</v>
      </c>
    </row>
    <row r="1604" spans="1:9" x14ac:dyDescent="0.25">
      <c r="A1604" t="s">
        <v>2507</v>
      </c>
      <c r="B1604" s="3" t="s">
        <v>66</v>
      </c>
      <c r="C1604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1604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1604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2</v>
      </c>
      <c r="F1604" s="3">
        <f>SUM(TS_ATHLETES[[#This Row],[GOLD MEDALS]:[BRONZE MEDALS]])</f>
        <v>2</v>
      </c>
      <c r="G1604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20000020</v>
      </c>
      <c r="H1604" s="3">
        <f>IF(TS_ATHLETES[[#This Row],[TOTAL]]=0,"",RANK(TS_ATHLETES[[#This Row],[RANK VALUE]],TS_ATHLETES[RANK VALUE]))</f>
        <v>122</v>
      </c>
      <c r="I1604" s="3">
        <f>IFERROR(IF(TS_ATHLETES[[#This Row],[TOTAL]]=0,"",RANK(TS_ATHLETES[[#This Row],[RANK VALUE]],TS_ATHLETES[RANK VALUE])+COUNTIF($H$1:H1603,H1604)),"")</f>
        <v>125</v>
      </c>
    </row>
    <row r="1605" spans="1:9" x14ac:dyDescent="0.25">
      <c r="A1605" t="s">
        <v>2508</v>
      </c>
      <c r="B1605" s="3" t="s">
        <v>66</v>
      </c>
      <c r="C1605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1605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1605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1</v>
      </c>
      <c r="F1605" s="3">
        <f>SUM(TS_ATHLETES[[#This Row],[GOLD MEDALS]:[BRONZE MEDALS]])</f>
        <v>1</v>
      </c>
      <c r="G1605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10000010</v>
      </c>
      <c r="H1605" s="3">
        <f>IF(TS_ATHLETES[[#This Row],[TOTAL]]=0,"",RANK(TS_ATHLETES[[#This Row],[RANK VALUE]],TS_ATHLETES[RANK VALUE]))</f>
        <v>1224</v>
      </c>
      <c r="I1605" s="3">
        <f>IFERROR(IF(TS_ATHLETES[[#This Row],[TOTAL]]=0,"",RANK(TS_ATHLETES[[#This Row],[RANK VALUE]],TS_ATHLETES[RANK VALUE])+COUNTIF($H$1:H1604,H1605)),"")</f>
        <v>1776</v>
      </c>
    </row>
    <row r="1606" spans="1:9" x14ac:dyDescent="0.25">
      <c r="A1606" t="s">
        <v>2509</v>
      </c>
      <c r="B1606" s="3" t="s">
        <v>363</v>
      </c>
      <c r="C1606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1</v>
      </c>
      <c r="D1606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1606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1606" s="3">
        <f>SUM(TS_ATHLETES[[#This Row],[GOLD MEDALS]:[BRONZE MEDALS]])</f>
        <v>1</v>
      </c>
      <c r="G1606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10100000</v>
      </c>
      <c r="H1606" s="3">
        <f>IF(TS_ATHLETES[[#This Row],[TOTAL]]=0,"",RANK(TS_ATHLETES[[#This Row],[RANK VALUE]],TS_ATHLETES[RANK VALUE]))</f>
        <v>129</v>
      </c>
      <c r="I1606" s="3">
        <f>IFERROR(IF(TS_ATHLETES[[#This Row],[TOTAL]]=0,"",RANK(TS_ATHLETES[[#This Row],[RANK VALUE]],TS_ATHLETES[RANK VALUE])+COUNTIF($H$1:H1605,H1606)),"")</f>
        <v>579</v>
      </c>
    </row>
    <row r="1607" spans="1:9" x14ac:dyDescent="0.25">
      <c r="A1607" t="s">
        <v>2510</v>
      </c>
      <c r="B1607" s="3" t="s">
        <v>363</v>
      </c>
      <c r="C1607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1</v>
      </c>
      <c r="D1607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1607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1607" s="3">
        <f>SUM(TS_ATHLETES[[#This Row],[GOLD MEDALS]:[BRONZE MEDALS]])</f>
        <v>1</v>
      </c>
      <c r="G1607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10100000</v>
      </c>
      <c r="H1607" s="3">
        <f>IF(TS_ATHLETES[[#This Row],[TOTAL]]=0,"",RANK(TS_ATHLETES[[#This Row],[RANK VALUE]],TS_ATHLETES[RANK VALUE]))</f>
        <v>129</v>
      </c>
      <c r="I1607" s="3">
        <f>IFERROR(IF(TS_ATHLETES[[#This Row],[TOTAL]]=0,"",RANK(TS_ATHLETES[[#This Row],[RANK VALUE]],TS_ATHLETES[RANK VALUE])+COUNTIF($H$1:H1606,H1607)),"")</f>
        <v>580</v>
      </c>
    </row>
    <row r="1608" spans="1:9" x14ac:dyDescent="0.25">
      <c r="A1608" t="s">
        <v>2511</v>
      </c>
      <c r="B1608" s="3" t="s">
        <v>363</v>
      </c>
      <c r="C1608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1</v>
      </c>
      <c r="D1608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1608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1608" s="3">
        <f>SUM(TS_ATHLETES[[#This Row],[GOLD MEDALS]:[BRONZE MEDALS]])</f>
        <v>1</v>
      </c>
      <c r="G1608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10100000</v>
      </c>
      <c r="H1608" s="3">
        <f>IF(TS_ATHLETES[[#This Row],[TOTAL]]=0,"",RANK(TS_ATHLETES[[#This Row],[RANK VALUE]],TS_ATHLETES[RANK VALUE]))</f>
        <v>129</v>
      </c>
      <c r="I1608" s="3">
        <f>IFERROR(IF(TS_ATHLETES[[#This Row],[TOTAL]]=0,"",RANK(TS_ATHLETES[[#This Row],[RANK VALUE]],TS_ATHLETES[RANK VALUE])+COUNTIF($H$1:H1607,H1608)),"")</f>
        <v>581</v>
      </c>
    </row>
    <row r="1609" spans="1:9" x14ac:dyDescent="0.25">
      <c r="A1609" t="s">
        <v>2512</v>
      </c>
      <c r="B1609" s="3" t="s">
        <v>21</v>
      </c>
      <c r="C1609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1609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1</v>
      </c>
      <c r="E1609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1609" s="3">
        <f>SUM(TS_ATHLETES[[#This Row],[GOLD MEDALS]:[BRONZE MEDALS]])</f>
        <v>1</v>
      </c>
      <c r="G1609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10000100</v>
      </c>
      <c r="H1609" s="3">
        <f>IF(TS_ATHLETES[[#This Row],[TOTAL]]=0,"",RANK(TS_ATHLETES[[#This Row],[RANK VALUE]],TS_ATHLETES[RANK VALUE]))</f>
        <v>660</v>
      </c>
      <c r="I1609" s="3">
        <f>IFERROR(IF(TS_ATHLETES[[#This Row],[TOTAL]]=0,"",RANK(TS_ATHLETES[[#This Row],[RANK VALUE]],TS_ATHLETES[RANK VALUE])+COUNTIF($H$1:H1608,H1609)),"")</f>
        <v>1141</v>
      </c>
    </row>
    <row r="1610" spans="1:9" x14ac:dyDescent="0.25">
      <c r="A1610" t="s">
        <v>2513</v>
      </c>
      <c r="B1610" s="3" t="s">
        <v>21</v>
      </c>
      <c r="C1610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1610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1</v>
      </c>
      <c r="E1610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1610" s="3">
        <f>SUM(TS_ATHLETES[[#This Row],[GOLD MEDALS]:[BRONZE MEDALS]])</f>
        <v>1</v>
      </c>
      <c r="G1610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10000100</v>
      </c>
      <c r="H1610" s="3">
        <f>IF(TS_ATHLETES[[#This Row],[TOTAL]]=0,"",RANK(TS_ATHLETES[[#This Row],[RANK VALUE]],TS_ATHLETES[RANK VALUE]))</f>
        <v>660</v>
      </c>
      <c r="I1610" s="3">
        <f>IFERROR(IF(TS_ATHLETES[[#This Row],[TOTAL]]=0,"",RANK(TS_ATHLETES[[#This Row],[RANK VALUE]],TS_ATHLETES[RANK VALUE])+COUNTIF($H$1:H1609,H1610)),"")</f>
        <v>1142</v>
      </c>
    </row>
    <row r="1611" spans="1:9" x14ac:dyDescent="0.25">
      <c r="A1611" t="s">
        <v>2514</v>
      </c>
      <c r="B1611" s="3" t="s">
        <v>21</v>
      </c>
      <c r="C1611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1611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1</v>
      </c>
      <c r="E1611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1611" s="3">
        <f>SUM(TS_ATHLETES[[#This Row],[GOLD MEDALS]:[BRONZE MEDALS]])</f>
        <v>1</v>
      </c>
      <c r="G1611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10000100</v>
      </c>
      <c r="H1611" s="3">
        <f>IF(TS_ATHLETES[[#This Row],[TOTAL]]=0,"",RANK(TS_ATHLETES[[#This Row],[RANK VALUE]],TS_ATHLETES[RANK VALUE]))</f>
        <v>660</v>
      </c>
      <c r="I1611" s="3">
        <f>IFERROR(IF(TS_ATHLETES[[#This Row],[TOTAL]]=0,"",RANK(TS_ATHLETES[[#This Row],[RANK VALUE]],TS_ATHLETES[RANK VALUE])+COUNTIF($H$1:H1610,H1611)),"")</f>
        <v>1143</v>
      </c>
    </row>
    <row r="1612" spans="1:9" x14ac:dyDescent="0.25">
      <c r="A1612" t="s">
        <v>2515</v>
      </c>
      <c r="B1612" s="3" t="s">
        <v>21</v>
      </c>
      <c r="C1612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1612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1</v>
      </c>
      <c r="E1612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1612" s="3">
        <f>SUM(TS_ATHLETES[[#This Row],[GOLD MEDALS]:[BRONZE MEDALS]])</f>
        <v>1</v>
      </c>
      <c r="G1612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10000100</v>
      </c>
      <c r="H1612" s="3">
        <f>IF(TS_ATHLETES[[#This Row],[TOTAL]]=0,"",RANK(TS_ATHLETES[[#This Row],[RANK VALUE]],TS_ATHLETES[RANK VALUE]))</f>
        <v>660</v>
      </c>
      <c r="I1612" s="3">
        <f>IFERROR(IF(TS_ATHLETES[[#This Row],[TOTAL]]=0,"",RANK(TS_ATHLETES[[#This Row],[RANK VALUE]],TS_ATHLETES[RANK VALUE])+COUNTIF($H$1:H1611,H1612)),"")</f>
        <v>1144</v>
      </c>
    </row>
    <row r="1613" spans="1:9" x14ac:dyDescent="0.25">
      <c r="A1613" t="s">
        <v>2516</v>
      </c>
      <c r="B1613" s="3" t="s">
        <v>66</v>
      </c>
      <c r="C1613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1613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1613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1</v>
      </c>
      <c r="F1613" s="3">
        <f>SUM(TS_ATHLETES[[#This Row],[GOLD MEDALS]:[BRONZE MEDALS]])</f>
        <v>1</v>
      </c>
      <c r="G1613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10000010</v>
      </c>
      <c r="H1613" s="3">
        <f>IF(TS_ATHLETES[[#This Row],[TOTAL]]=0,"",RANK(TS_ATHLETES[[#This Row],[RANK VALUE]],TS_ATHLETES[RANK VALUE]))</f>
        <v>1224</v>
      </c>
      <c r="I1613" s="3">
        <f>IFERROR(IF(TS_ATHLETES[[#This Row],[TOTAL]]=0,"",RANK(TS_ATHLETES[[#This Row],[RANK VALUE]],TS_ATHLETES[RANK VALUE])+COUNTIF($H$1:H1612,H1613)),"")</f>
        <v>1777</v>
      </c>
    </row>
    <row r="1614" spans="1:9" x14ac:dyDescent="0.25">
      <c r="A1614" t="s">
        <v>2517</v>
      </c>
      <c r="B1614" s="3" t="s">
        <v>66</v>
      </c>
      <c r="C1614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1614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1614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1</v>
      </c>
      <c r="F1614" s="3">
        <f>SUM(TS_ATHLETES[[#This Row],[GOLD MEDALS]:[BRONZE MEDALS]])</f>
        <v>1</v>
      </c>
      <c r="G1614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10000010</v>
      </c>
      <c r="H1614" s="3">
        <f>IF(TS_ATHLETES[[#This Row],[TOTAL]]=0,"",RANK(TS_ATHLETES[[#This Row],[RANK VALUE]],TS_ATHLETES[RANK VALUE]))</f>
        <v>1224</v>
      </c>
      <c r="I1614" s="3">
        <f>IFERROR(IF(TS_ATHLETES[[#This Row],[TOTAL]]=0,"",RANK(TS_ATHLETES[[#This Row],[RANK VALUE]],TS_ATHLETES[RANK VALUE])+COUNTIF($H$1:H1613,H1614)),"")</f>
        <v>1778</v>
      </c>
    </row>
    <row r="1615" spans="1:9" x14ac:dyDescent="0.25">
      <c r="A1615" t="s">
        <v>2518</v>
      </c>
      <c r="B1615" s="3" t="s">
        <v>66</v>
      </c>
      <c r="C1615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1615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1615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1</v>
      </c>
      <c r="F1615" s="3">
        <f>SUM(TS_ATHLETES[[#This Row],[GOLD MEDALS]:[BRONZE MEDALS]])</f>
        <v>1</v>
      </c>
      <c r="G1615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10000010</v>
      </c>
      <c r="H1615" s="3">
        <f>IF(TS_ATHLETES[[#This Row],[TOTAL]]=0,"",RANK(TS_ATHLETES[[#This Row],[RANK VALUE]],TS_ATHLETES[RANK VALUE]))</f>
        <v>1224</v>
      </c>
      <c r="I1615" s="3">
        <f>IFERROR(IF(TS_ATHLETES[[#This Row],[TOTAL]]=0,"",RANK(TS_ATHLETES[[#This Row],[RANK VALUE]],TS_ATHLETES[RANK VALUE])+COUNTIF($H$1:H1614,H1615)),"")</f>
        <v>1779</v>
      </c>
    </row>
    <row r="1616" spans="1:9" x14ac:dyDescent="0.25">
      <c r="A1616" t="s">
        <v>2519</v>
      </c>
      <c r="B1616" s="3" t="s">
        <v>66</v>
      </c>
      <c r="C1616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1616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1616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1</v>
      </c>
      <c r="F1616" s="3">
        <f>SUM(TS_ATHLETES[[#This Row],[GOLD MEDALS]:[BRONZE MEDALS]])</f>
        <v>1</v>
      </c>
      <c r="G1616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10000010</v>
      </c>
      <c r="H1616" s="3">
        <f>IF(TS_ATHLETES[[#This Row],[TOTAL]]=0,"",RANK(TS_ATHLETES[[#This Row],[RANK VALUE]],TS_ATHLETES[RANK VALUE]))</f>
        <v>1224</v>
      </c>
      <c r="I1616" s="3">
        <f>IFERROR(IF(TS_ATHLETES[[#This Row],[TOTAL]]=0,"",RANK(TS_ATHLETES[[#This Row],[RANK VALUE]],TS_ATHLETES[RANK VALUE])+COUNTIF($H$1:H1615,H1616)),"")</f>
        <v>1780</v>
      </c>
    </row>
    <row r="1617" spans="1:9" x14ac:dyDescent="0.25">
      <c r="A1617" t="s">
        <v>2520</v>
      </c>
      <c r="B1617" s="3" t="s">
        <v>363</v>
      </c>
      <c r="C1617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1</v>
      </c>
      <c r="D1617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1617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1617" s="3">
        <f>SUM(TS_ATHLETES[[#This Row],[GOLD MEDALS]:[BRONZE MEDALS]])</f>
        <v>1</v>
      </c>
      <c r="G1617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10100000</v>
      </c>
      <c r="H1617" s="3">
        <f>IF(TS_ATHLETES[[#This Row],[TOTAL]]=0,"",RANK(TS_ATHLETES[[#This Row],[RANK VALUE]],TS_ATHLETES[RANK VALUE]))</f>
        <v>129</v>
      </c>
      <c r="I1617" s="3">
        <f>IFERROR(IF(TS_ATHLETES[[#This Row],[TOTAL]]=0,"",RANK(TS_ATHLETES[[#This Row],[RANK VALUE]],TS_ATHLETES[RANK VALUE])+COUNTIF($H$1:H1616,H1617)),"")</f>
        <v>582</v>
      </c>
    </row>
    <row r="1618" spans="1:9" x14ac:dyDescent="0.25">
      <c r="A1618" t="s">
        <v>2521</v>
      </c>
      <c r="B1618" s="3" t="s">
        <v>363</v>
      </c>
      <c r="C1618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1</v>
      </c>
      <c r="D1618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1618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1618" s="3">
        <f>SUM(TS_ATHLETES[[#This Row],[GOLD MEDALS]:[BRONZE MEDALS]])</f>
        <v>1</v>
      </c>
      <c r="G1618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10100000</v>
      </c>
      <c r="H1618" s="3">
        <f>IF(TS_ATHLETES[[#This Row],[TOTAL]]=0,"",RANK(TS_ATHLETES[[#This Row],[RANK VALUE]],TS_ATHLETES[RANK VALUE]))</f>
        <v>129</v>
      </c>
      <c r="I1618" s="3">
        <f>IFERROR(IF(TS_ATHLETES[[#This Row],[TOTAL]]=0,"",RANK(TS_ATHLETES[[#This Row],[RANK VALUE]],TS_ATHLETES[RANK VALUE])+COUNTIF($H$1:H1617,H1618)),"")</f>
        <v>583</v>
      </c>
    </row>
    <row r="1619" spans="1:9" x14ac:dyDescent="0.25">
      <c r="A1619" t="s">
        <v>2522</v>
      </c>
      <c r="B1619" s="3" t="s">
        <v>363</v>
      </c>
      <c r="C1619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1</v>
      </c>
      <c r="D1619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1619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1619" s="3">
        <f>SUM(TS_ATHLETES[[#This Row],[GOLD MEDALS]:[BRONZE MEDALS]])</f>
        <v>1</v>
      </c>
      <c r="G1619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10100000</v>
      </c>
      <c r="H1619" s="3">
        <f>IF(TS_ATHLETES[[#This Row],[TOTAL]]=0,"",RANK(TS_ATHLETES[[#This Row],[RANK VALUE]],TS_ATHLETES[RANK VALUE]))</f>
        <v>129</v>
      </c>
      <c r="I1619" s="3">
        <f>IFERROR(IF(TS_ATHLETES[[#This Row],[TOTAL]]=0,"",RANK(TS_ATHLETES[[#This Row],[RANK VALUE]],TS_ATHLETES[RANK VALUE])+COUNTIF($H$1:H1618,H1619)),"")</f>
        <v>584</v>
      </c>
    </row>
    <row r="1620" spans="1:9" x14ac:dyDescent="0.25">
      <c r="A1620" t="s">
        <v>2523</v>
      </c>
      <c r="B1620" s="3" t="s">
        <v>21</v>
      </c>
      <c r="C1620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1620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1</v>
      </c>
      <c r="E1620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1620" s="3">
        <f>SUM(TS_ATHLETES[[#This Row],[GOLD MEDALS]:[BRONZE MEDALS]])</f>
        <v>1</v>
      </c>
      <c r="G1620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10000100</v>
      </c>
      <c r="H1620" s="3">
        <f>IF(TS_ATHLETES[[#This Row],[TOTAL]]=0,"",RANK(TS_ATHLETES[[#This Row],[RANK VALUE]],TS_ATHLETES[RANK VALUE]))</f>
        <v>660</v>
      </c>
      <c r="I1620" s="3">
        <f>IFERROR(IF(TS_ATHLETES[[#This Row],[TOTAL]]=0,"",RANK(TS_ATHLETES[[#This Row],[RANK VALUE]],TS_ATHLETES[RANK VALUE])+COUNTIF($H$1:H1619,H1620)),"")</f>
        <v>1145</v>
      </c>
    </row>
    <row r="1621" spans="1:9" x14ac:dyDescent="0.25">
      <c r="A1621" t="s">
        <v>2524</v>
      </c>
      <c r="B1621" s="3" t="s">
        <v>21</v>
      </c>
      <c r="C1621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1621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1</v>
      </c>
      <c r="E1621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1621" s="3">
        <f>SUM(TS_ATHLETES[[#This Row],[GOLD MEDALS]:[BRONZE MEDALS]])</f>
        <v>1</v>
      </c>
      <c r="G1621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10000100</v>
      </c>
      <c r="H1621" s="3">
        <f>IF(TS_ATHLETES[[#This Row],[TOTAL]]=0,"",RANK(TS_ATHLETES[[#This Row],[RANK VALUE]],TS_ATHLETES[RANK VALUE]))</f>
        <v>660</v>
      </c>
      <c r="I1621" s="3">
        <f>IFERROR(IF(TS_ATHLETES[[#This Row],[TOTAL]]=0,"",RANK(TS_ATHLETES[[#This Row],[RANK VALUE]],TS_ATHLETES[RANK VALUE])+COUNTIF($H$1:H1620,H1621)),"")</f>
        <v>1146</v>
      </c>
    </row>
    <row r="1622" spans="1:9" x14ac:dyDescent="0.25">
      <c r="A1622" t="s">
        <v>2525</v>
      </c>
      <c r="B1622" s="3" t="s">
        <v>100</v>
      </c>
      <c r="C1622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1622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1622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1</v>
      </c>
      <c r="F1622" s="3">
        <f>SUM(TS_ATHLETES[[#This Row],[GOLD MEDALS]:[BRONZE MEDALS]])</f>
        <v>1</v>
      </c>
      <c r="G1622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10000010</v>
      </c>
      <c r="H1622" s="3">
        <f>IF(TS_ATHLETES[[#This Row],[TOTAL]]=0,"",RANK(TS_ATHLETES[[#This Row],[RANK VALUE]],TS_ATHLETES[RANK VALUE]))</f>
        <v>1224</v>
      </c>
      <c r="I1622" s="3">
        <f>IFERROR(IF(TS_ATHLETES[[#This Row],[TOTAL]]=0,"",RANK(TS_ATHLETES[[#This Row],[RANK VALUE]],TS_ATHLETES[RANK VALUE])+COUNTIF($H$1:H1621,H1622)),"")</f>
        <v>1781</v>
      </c>
    </row>
    <row r="1623" spans="1:9" x14ac:dyDescent="0.25">
      <c r="A1623" t="s">
        <v>2526</v>
      </c>
      <c r="B1623" s="3" t="s">
        <v>100</v>
      </c>
      <c r="C1623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1623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1623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1</v>
      </c>
      <c r="F1623" s="3">
        <f>SUM(TS_ATHLETES[[#This Row],[GOLD MEDALS]:[BRONZE MEDALS]])</f>
        <v>1</v>
      </c>
      <c r="G1623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10000010</v>
      </c>
      <c r="H1623" s="3">
        <f>IF(TS_ATHLETES[[#This Row],[TOTAL]]=0,"",RANK(TS_ATHLETES[[#This Row],[RANK VALUE]],TS_ATHLETES[RANK VALUE]))</f>
        <v>1224</v>
      </c>
      <c r="I1623" s="3">
        <f>IFERROR(IF(TS_ATHLETES[[#This Row],[TOTAL]]=0,"",RANK(TS_ATHLETES[[#This Row],[RANK VALUE]],TS_ATHLETES[RANK VALUE])+COUNTIF($H$1:H1622,H1623)),"")</f>
        <v>1782</v>
      </c>
    </row>
    <row r="1624" spans="1:9" x14ac:dyDescent="0.25">
      <c r="A1624" t="s">
        <v>2527</v>
      </c>
      <c r="B1624" s="3" t="s">
        <v>100</v>
      </c>
      <c r="C1624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1624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1624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1</v>
      </c>
      <c r="F1624" s="3">
        <f>SUM(TS_ATHLETES[[#This Row],[GOLD MEDALS]:[BRONZE MEDALS]])</f>
        <v>1</v>
      </c>
      <c r="G1624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10000010</v>
      </c>
      <c r="H1624" s="3">
        <f>IF(TS_ATHLETES[[#This Row],[TOTAL]]=0,"",RANK(TS_ATHLETES[[#This Row],[RANK VALUE]],TS_ATHLETES[RANK VALUE]))</f>
        <v>1224</v>
      </c>
      <c r="I1624" s="3">
        <f>IFERROR(IF(TS_ATHLETES[[#This Row],[TOTAL]]=0,"",RANK(TS_ATHLETES[[#This Row],[RANK VALUE]],TS_ATHLETES[RANK VALUE])+COUNTIF($H$1:H1623,H1624)),"")</f>
        <v>1783</v>
      </c>
    </row>
    <row r="1625" spans="1:9" x14ac:dyDescent="0.25">
      <c r="A1625" t="s">
        <v>2528</v>
      </c>
      <c r="B1625" s="3" t="s">
        <v>363</v>
      </c>
      <c r="C1625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2</v>
      </c>
      <c r="D1625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1625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1625" s="3">
        <f>SUM(TS_ATHLETES[[#This Row],[GOLD MEDALS]:[BRONZE MEDALS]])</f>
        <v>2</v>
      </c>
      <c r="G1625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20200000</v>
      </c>
      <c r="H1625" s="3">
        <f>IF(TS_ATHLETES[[#This Row],[TOTAL]]=0,"",RANK(TS_ATHLETES[[#This Row],[RANK VALUE]],TS_ATHLETES[RANK VALUE]))</f>
        <v>27</v>
      </c>
      <c r="I1625" s="3">
        <f>IFERROR(IF(TS_ATHLETES[[#This Row],[TOTAL]]=0,"",RANK(TS_ATHLETES[[#This Row],[RANK VALUE]],TS_ATHLETES[RANK VALUE])+COUNTIF($H$1:H1624,H1625)),"")</f>
        <v>45</v>
      </c>
    </row>
    <row r="1626" spans="1:9" x14ac:dyDescent="0.25">
      <c r="A1626" t="s">
        <v>2529</v>
      </c>
      <c r="B1626" s="3" t="s">
        <v>363</v>
      </c>
      <c r="C1626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1</v>
      </c>
      <c r="D1626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1626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1626" s="3">
        <f>SUM(TS_ATHLETES[[#This Row],[GOLD MEDALS]:[BRONZE MEDALS]])</f>
        <v>1</v>
      </c>
      <c r="G1626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10100000</v>
      </c>
      <c r="H1626" s="3">
        <f>IF(TS_ATHLETES[[#This Row],[TOTAL]]=0,"",RANK(TS_ATHLETES[[#This Row],[RANK VALUE]],TS_ATHLETES[RANK VALUE]))</f>
        <v>129</v>
      </c>
      <c r="I1626" s="3">
        <f>IFERROR(IF(TS_ATHLETES[[#This Row],[TOTAL]]=0,"",RANK(TS_ATHLETES[[#This Row],[RANK VALUE]],TS_ATHLETES[RANK VALUE])+COUNTIF($H$1:H1625,H1626)),"")</f>
        <v>585</v>
      </c>
    </row>
    <row r="1627" spans="1:9" x14ac:dyDescent="0.25">
      <c r="A1627" t="s">
        <v>2530</v>
      </c>
      <c r="B1627" s="3" t="s">
        <v>363</v>
      </c>
      <c r="C1627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1</v>
      </c>
      <c r="D1627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1627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1627" s="3">
        <f>SUM(TS_ATHLETES[[#This Row],[GOLD MEDALS]:[BRONZE MEDALS]])</f>
        <v>1</v>
      </c>
      <c r="G1627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10100000</v>
      </c>
      <c r="H1627" s="3">
        <f>IF(TS_ATHLETES[[#This Row],[TOTAL]]=0,"",RANK(TS_ATHLETES[[#This Row],[RANK VALUE]],TS_ATHLETES[RANK VALUE]))</f>
        <v>129</v>
      </c>
      <c r="I1627" s="3">
        <f>IFERROR(IF(TS_ATHLETES[[#This Row],[TOTAL]]=0,"",RANK(TS_ATHLETES[[#This Row],[RANK VALUE]],TS_ATHLETES[RANK VALUE])+COUNTIF($H$1:H1626,H1627)),"")</f>
        <v>586</v>
      </c>
    </row>
    <row r="1628" spans="1:9" x14ac:dyDescent="0.25">
      <c r="A1628" t="s">
        <v>2531</v>
      </c>
      <c r="B1628" s="3" t="s">
        <v>363</v>
      </c>
      <c r="C1628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1</v>
      </c>
      <c r="D1628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1628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1628" s="3">
        <f>SUM(TS_ATHLETES[[#This Row],[GOLD MEDALS]:[BRONZE MEDALS]])</f>
        <v>1</v>
      </c>
      <c r="G1628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10100000</v>
      </c>
      <c r="H1628" s="3">
        <f>IF(TS_ATHLETES[[#This Row],[TOTAL]]=0,"",RANK(TS_ATHLETES[[#This Row],[RANK VALUE]],TS_ATHLETES[RANK VALUE]))</f>
        <v>129</v>
      </c>
      <c r="I1628" s="3">
        <f>IFERROR(IF(TS_ATHLETES[[#This Row],[TOTAL]]=0,"",RANK(TS_ATHLETES[[#This Row],[RANK VALUE]],TS_ATHLETES[RANK VALUE])+COUNTIF($H$1:H1627,H1628)),"")</f>
        <v>587</v>
      </c>
    </row>
    <row r="1629" spans="1:9" x14ac:dyDescent="0.25">
      <c r="A1629" t="s">
        <v>2532</v>
      </c>
      <c r="B1629" s="3" t="s">
        <v>128</v>
      </c>
      <c r="C1629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1629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1</v>
      </c>
      <c r="E1629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1629" s="3">
        <f>SUM(TS_ATHLETES[[#This Row],[GOLD MEDALS]:[BRONZE MEDALS]])</f>
        <v>1</v>
      </c>
      <c r="G1629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10000100</v>
      </c>
      <c r="H1629" s="3">
        <f>IF(TS_ATHLETES[[#This Row],[TOTAL]]=0,"",RANK(TS_ATHLETES[[#This Row],[RANK VALUE]],TS_ATHLETES[RANK VALUE]))</f>
        <v>660</v>
      </c>
      <c r="I1629" s="3">
        <f>IFERROR(IF(TS_ATHLETES[[#This Row],[TOTAL]]=0,"",RANK(TS_ATHLETES[[#This Row],[RANK VALUE]],TS_ATHLETES[RANK VALUE])+COUNTIF($H$1:H1628,H1629)),"")</f>
        <v>1147</v>
      </c>
    </row>
    <row r="1630" spans="1:9" x14ac:dyDescent="0.25">
      <c r="A1630" t="s">
        <v>2533</v>
      </c>
      <c r="B1630" s="3" t="s">
        <v>128</v>
      </c>
      <c r="C1630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1630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1</v>
      </c>
      <c r="E1630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1630" s="3">
        <f>SUM(TS_ATHLETES[[#This Row],[GOLD MEDALS]:[BRONZE MEDALS]])</f>
        <v>1</v>
      </c>
      <c r="G1630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10000100</v>
      </c>
      <c r="H1630" s="3">
        <f>IF(TS_ATHLETES[[#This Row],[TOTAL]]=0,"",RANK(TS_ATHLETES[[#This Row],[RANK VALUE]],TS_ATHLETES[RANK VALUE]))</f>
        <v>660</v>
      </c>
      <c r="I1630" s="3">
        <f>IFERROR(IF(TS_ATHLETES[[#This Row],[TOTAL]]=0,"",RANK(TS_ATHLETES[[#This Row],[RANK VALUE]],TS_ATHLETES[RANK VALUE])+COUNTIF($H$1:H1629,H1630)),"")</f>
        <v>1148</v>
      </c>
    </row>
    <row r="1631" spans="1:9" x14ac:dyDescent="0.25">
      <c r="A1631" t="s">
        <v>2534</v>
      </c>
      <c r="B1631" s="3" t="s">
        <v>128</v>
      </c>
      <c r="C1631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1631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1</v>
      </c>
      <c r="E1631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1631" s="3">
        <f>SUM(TS_ATHLETES[[#This Row],[GOLD MEDALS]:[BRONZE MEDALS]])</f>
        <v>1</v>
      </c>
      <c r="G1631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10000100</v>
      </c>
      <c r="H1631" s="3">
        <f>IF(TS_ATHLETES[[#This Row],[TOTAL]]=0,"",RANK(TS_ATHLETES[[#This Row],[RANK VALUE]],TS_ATHLETES[RANK VALUE]))</f>
        <v>660</v>
      </c>
      <c r="I1631" s="3">
        <f>IFERROR(IF(TS_ATHLETES[[#This Row],[TOTAL]]=0,"",RANK(TS_ATHLETES[[#This Row],[RANK VALUE]],TS_ATHLETES[RANK VALUE])+COUNTIF($H$1:H1630,H1631)),"")</f>
        <v>1149</v>
      </c>
    </row>
    <row r="1632" spans="1:9" x14ac:dyDescent="0.25">
      <c r="A1632" t="s">
        <v>2535</v>
      </c>
      <c r="B1632" s="3" t="s">
        <v>128</v>
      </c>
      <c r="C1632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1632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1</v>
      </c>
      <c r="E1632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1632" s="3">
        <f>SUM(TS_ATHLETES[[#This Row],[GOLD MEDALS]:[BRONZE MEDALS]])</f>
        <v>1</v>
      </c>
      <c r="G1632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10000100</v>
      </c>
      <c r="H1632" s="3">
        <f>IF(TS_ATHLETES[[#This Row],[TOTAL]]=0,"",RANK(TS_ATHLETES[[#This Row],[RANK VALUE]],TS_ATHLETES[RANK VALUE]))</f>
        <v>660</v>
      </c>
      <c r="I1632" s="3">
        <f>IFERROR(IF(TS_ATHLETES[[#This Row],[TOTAL]]=0,"",RANK(TS_ATHLETES[[#This Row],[RANK VALUE]],TS_ATHLETES[RANK VALUE])+COUNTIF($H$1:H1631,H1632)),"")</f>
        <v>1150</v>
      </c>
    </row>
    <row r="1633" spans="1:9" x14ac:dyDescent="0.25">
      <c r="A1633" t="s">
        <v>2536</v>
      </c>
      <c r="B1633" s="3" t="s">
        <v>128</v>
      </c>
      <c r="C1633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1633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1</v>
      </c>
      <c r="E1633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1633" s="3">
        <f>SUM(TS_ATHLETES[[#This Row],[GOLD MEDALS]:[BRONZE MEDALS]])</f>
        <v>1</v>
      </c>
      <c r="G1633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10000100</v>
      </c>
      <c r="H1633" s="3">
        <f>IF(TS_ATHLETES[[#This Row],[TOTAL]]=0,"",RANK(TS_ATHLETES[[#This Row],[RANK VALUE]],TS_ATHLETES[RANK VALUE]))</f>
        <v>660</v>
      </c>
      <c r="I1633" s="3">
        <f>IFERROR(IF(TS_ATHLETES[[#This Row],[TOTAL]]=0,"",RANK(TS_ATHLETES[[#This Row],[RANK VALUE]],TS_ATHLETES[RANK VALUE])+COUNTIF($H$1:H1632,H1633)),"")</f>
        <v>1151</v>
      </c>
    </row>
    <row r="1634" spans="1:9" x14ac:dyDescent="0.25">
      <c r="A1634" t="s">
        <v>2537</v>
      </c>
      <c r="B1634" s="3" t="s">
        <v>21</v>
      </c>
      <c r="C1634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1634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1634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1</v>
      </c>
      <c r="F1634" s="3">
        <f>SUM(TS_ATHLETES[[#This Row],[GOLD MEDALS]:[BRONZE MEDALS]])</f>
        <v>1</v>
      </c>
      <c r="G1634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10000010</v>
      </c>
      <c r="H1634" s="3">
        <f>IF(TS_ATHLETES[[#This Row],[TOTAL]]=0,"",RANK(TS_ATHLETES[[#This Row],[RANK VALUE]],TS_ATHLETES[RANK VALUE]))</f>
        <v>1224</v>
      </c>
      <c r="I1634" s="3">
        <f>IFERROR(IF(TS_ATHLETES[[#This Row],[TOTAL]]=0,"",RANK(TS_ATHLETES[[#This Row],[RANK VALUE]],TS_ATHLETES[RANK VALUE])+COUNTIF($H$1:H1633,H1634)),"")</f>
        <v>1784</v>
      </c>
    </row>
    <row r="1635" spans="1:9" x14ac:dyDescent="0.25">
      <c r="A1635" t="s">
        <v>2538</v>
      </c>
      <c r="B1635" s="3" t="s">
        <v>21</v>
      </c>
      <c r="C1635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1635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1635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1</v>
      </c>
      <c r="F1635" s="3">
        <f>SUM(TS_ATHLETES[[#This Row],[GOLD MEDALS]:[BRONZE MEDALS]])</f>
        <v>1</v>
      </c>
      <c r="G1635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10000010</v>
      </c>
      <c r="H1635" s="3">
        <f>IF(TS_ATHLETES[[#This Row],[TOTAL]]=0,"",RANK(TS_ATHLETES[[#This Row],[RANK VALUE]],TS_ATHLETES[RANK VALUE]))</f>
        <v>1224</v>
      </c>
      <c r="I1635" s="3">
        <f>IFERROR(IF(TS_ATHLETES[[#This Row],[TOTAL]]=0,"",RANK(TS_ATHLETES[[#This Row],[RANK VALUE]],TS_ATHLETES[RANK VALUE])+COUNTIF($H$1:H1634,H1635)),"")</f>
        <v>1785</v>
      </c>
    </row>
    <row r="1636" spans="1:9" x14ac:dyDescent="0.25">
      <c r="A1636" t="s">
        <v>2539</v>
      </c>
      <c r="B1636" s="3" t="s">
        <v>21</v>
      </c>
      <c r="C1636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1636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1636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2</v>
      </c>
      <c r="F1636" s="3">
        <f>SUM(TS_ATHLETES[[#This Row],[GOLD MEDALS]:[BRONZE MEDALS]])</f>
        <v>2</v>
      </c>
      <c r="G1636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20000020</v>
      </c>
      <c r="H1636" s="3">
        <f>IF(TS_ATHLETES[[#This Row],[TOTAL]]=0,"",RANK(TS_ATHLETES[[#This Row],[RANK VALUE]],TS_ATHLETES[RANK VALUE]))</f>
        <v>122</v>
      </c>
      <c r="I1636" s="3">
        <f>IFERROR(IF(TS_ATHLETES[[#This Row],[TOTAL]]=0,"",RANK(TS_ATHLETES[[#This Row],[RANK VALUE]],TS_ATHLETES[RANK VALUE])+COUNTIF($H$1:H1635,H1636)),"")</f>
        <v>126</v>
      </c>
    </row>
    <row r="1637" spans="1:9" x14ac:dyDescent="0.25">
      <c r="A1637" t="s">
        <v>2540</v>
      </c>
      <c r="B1637" s="3" t="s">
        <v>21</v>
      </c>
      <c r="C1637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1637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1637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1</v>
      </c>
      <c r="F1637" s="3">
        <f>SUM(TS_ATHLETES[[#This Row],[GOLD MEDALS]:[BRONZE MEDALS]])</f>
        <v>1</v>
      </c>
      <c r="G1637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10000010</v>
      </c>
      <c r="H1637" s="3">
        <f>IF(TS_ATHLETES[[#This Row],[TOTAL]]=0,"",RANK(TS_ATHLETES[[#This Row],[RANK VALUE]],TS_ATHLETES[RANK VALUE]))</f>
        <v>1224</v>
      </c>
      <c r="I1637" s="3">
        <f>IFERROR(IF(TS_ATHLETES[[#This Row],[TOTAL]]=0,"",RANK(TS_ATHLETES[[#This Row],[RANK VALUE]],TS_ATHLETES[RANK VALUE])+COUNTIF($H$1:H1636,H1637)),"")</f>
        <v>1786</v>
      </c>
    </row>
    <row r="1638" spans="1:9" x14ac:dyDescent="0.25">
      <c r="A1638" t="s">
        <v>2541</v>
      </c>
      <c r="B1638" s="3" t="s">
        <v>363</v>
      </c>
      <c r="C1638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1</v>
      </c>
      <c r="D1638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1638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1638" s="3">
        <f>SUM(TS_ATHLETES[[#This Row],[GOLD MEDALS]:[BRONZE MEDALS]])</f>
        <v>1</v>
      </c>
      <c r="G1638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10100000</v>
      </c>
      <c r="H1638" s="3">
        <f>IF(TS_ATHLETES[[#This Row],[TOTAL]]=0,"",RANK(TS_ATHLETES[[#This Row],[RANK VALUE]],TS_ATHLETES[RANK VALUE]))</f>
        <v>129</v>
      </c>
      <c r="I1638" s="3">
        <f>IFERROR(IF(TS_ATHLETES[[#This Row],[TOTAL]]=0,"",RANK(TS_ATHLETES[[#This Row],[RANK VALUE]],TS_ATHLETES[RANK VALUE])+COUNTIF($H$1:H1637,H1638)),"")</f>
        <v>588</v>
      </c>
    </row>
    <row r="1639" spans="1:9" x14ac:dyDescent="0.25">
      <c r="A1639" t="s">
        <v>2542</v>
      </c>
      <c r="B1639" s="3" t="s">
        <v>363</v>
      </c>
      <c r="C1639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1</v>
      </c>
      <c r="D1639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1639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1639" s="3">
        <f>SUM(TS_ATHLETES[[#This Row],[GOLD MEDALS]:[BRONZE MEDALS]])</f>
        <v>1</v>
      </c>
      <c r="G1639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10100000</v>
      </c>
      <c r="H1639" s="3">
        <f>IF(TS_ATHLETES[[#This Row],[TOTAL]]=0,"",RANK(TS_ATHLETES[[#This Row],[RANK VALUE]],TS_ATHLETES[RANK VALUE]))</f>
        <v>129</v>
      </c>
      <c r="I1639" s="3">
        <f>IFERROR(IF(TS_ATHLETES[[#This Row],[TOTAL]]=0,"",RANK(TS_ATHLETES[[#This Row],[RANK VALUE]],TS_ATHLETES[RANK VALUE])+COUNTIF($H$1:H1638,H1639)),"")</f>
        <v>589</v>
      </c>
    </row>
    <row r="1640" spans="1:9" x14ac:dyDescent="0.25">
      <c r="A1640" t="s">
        <v>2543</v>
      </c>
      <c r="B1640" s="3" t="s">
        <v>363</v>
      </c>
      <c r="C1640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1</v>
      </c>
      <c r="D1640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1640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1640" s="3">
        <f>SUM(TS_ATHLETES[[#This Row],[GOLD MEDALS]:[BRONZE MEDALS]])</f>
        <v>1</v>
      </c>
      <c r="G1640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10100000</v>
      </c>
      <c r="H1640" s="3">
        <f>IF(TS_ATHLETES[[#This Row],[TOTAL]]=0,"",RANK(TS_ATHLETES[[#This Row],[RANK VALUE]],TS_ATHLETES[RANK VALUE]))</f>
        <v>129</v>
      </c>
      <c r="I1640" s="3">
        <f>IFERROR(IF(TS_ATHLETES[[#This Row],[TOTAL]]=0,"",RANK(TS_ATHLETES[[#This Row],[RANK VALUE]],TS_ATHLETES[RANK VALUE])+COUNTIF($H$1:H1639,H1640)),"")</f>
        <v>590</v>
      </c>
    </row>
    <row r="1641" spans="1:9" x14ac:dyDescent="0.25">
      <c r="A1641" t="s">
        <v>2544</v>
      </c>
      <c r="B1641" s="3" t="s">
        <v>363</v>
      </c>
      <c r="C1641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1</v>
      </c>
      <c r="D1641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1641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1641" s="3">
        <f>SUM(TS_ATHLETES[[#This Row],[GOLD MEDALS]:[BRONZE MEDALS]])</f>
        <v>1</v>
      </c>
      <c r="G1641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10100000</v>
      </c>
      <c r="H1641" s="3">
        <f>IF(TS_ATHLETES[[#This Row],[TOTAL]]=0,"",RANK(TS_ATHLETES[[#This Row],[RANK VALUE]],TS_ATHLETES[RANK VALUE]))</f>
        <v>129</v>
      </c>
      <c r="I1641" s="3">
        <f>IFERROR(IF(TS_ATHLETES[[#This Row],[TOTAL]]=0,"",RANK(TS_ATHLETES[[#This Row],[RANK VALUE]],TS_ATHLETES[RANK VALUE])+COUNTIF($H$1:H1640,H1641)),"")</f>
        <v>591</v>
      </c>
    </row>
    <row r="1642" spans="1:9" x14ac:dyDescent="0.25">
      <c r="A1642" t="s">
        <v>2545</v>
      </c>
      <c r="B1642" s="3" t="s">
        <v>363</v>
      </c>
      <c r="C1642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1</v>
      </c>
      <c r="D1642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1642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1642" s="3">
        <f>SUM(TS_ATHLETES[[#This Row],[GOLD MEDALS]:[BRONZE MEDALS]])</f>
        <v>1</v>
      </c>
      <c r="G1642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10100000</v>
      </c>
      <c r="H1642" s="3">
        <f>IF(TS_ATHLETES[[#This Row],[TOTAL]]=0,"",RANK(TS_ATHLETES[[#This Row],[RANK VALUE]],TS_ATHLETES[RANK VALUE]))</f>
        <v>129</v>
      </c>
      <c r="I1642" s="3">
        <f>IFERROR(IF(TS_ATHLETES[[#This Row],[TOTAL]]=0,"",RANK(TS_ATHLETES[[#This Row],[RANK VALUE]],TS_ATHLETES[RANK VALUE])+COUNTIF($H$1:H1641,H1642)),"")</f>
        <v>592</v>
      </c>
    </row>
    <row r="1643" spans="1:9" x14ac:dyDescent="0.25">
      <c r="A1643" t="s">
        <v>2546</v>
      </c>
      <c r="B1643" s="3" t="s">
        <v>361</v>
      </c>
      <c r="C1643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1643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1</v>
      </c>
      <c r="E1643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1643" s="3">
        <f>SUM(TS_ATHLETES[[#This Row],[GOLD MEDALS]:[BRONZE MEDALS]])</f>
        <v>1</v>
      </c>
      <c r="G1643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10000100</v>
      </c>
      <c r="H1643" s="3">
        <f>IF(TS_ATHLETES[[#This Row],[TOTAL]]=0,"",RANK(TS_ATHLETES[[#This Row],[RANK VALUE]],TS_ATHLETES[RANK VALUE]))</f>
        <v>660</v>
      </c>
      <c r="I1643" s="3">
        <f>IFERROR(IF(TS_ATHLETES[[#This Row],[TOTAL]]=0,"",RANK(TS_ATHLETES[[#This Row],[RANK VALUE]],TS_ATHLETES[RANK VALUE])+COUNTIF($H$1:H1642,H1643)),"")</f>
        <v>1152</v>
      </c>
    </row>
    <row r="1644" spans="1:9" x14ac:dyDescent="0.25">
      <c r="A1644" t="s">
        <v>2547</v>
      </c>
      <c r="B1644" s="3" t="s">
        <v>361</v>
      </c>
      <c r="C1644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1644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2</v>
      </c>
      <c r="E1644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1644" s="3">
        <f>SUM(TS_ATHLETES[[#This Row],[GOLD MEDALS]:[BRONZE MEDALS]])</f>
        <v>2</v>
      </c>
      <c r="G1644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20000200</v>
      </c>
      <c r="H1644" s="3">
        <f>IF(TS_ATHLETES[[#This Row],[TOTAL]]=0,"",RANK(TS_ATHLETES[[#This Row],[RANK VALUE]],TS_ATHLETES[RANK VALUE]))</f>
        <v>92</v>
      </c>
      <c r="I1644" s="3">
        <f>IFERROR(IF(TS_ATHLETES[[#This Row],[TOTAL]]=0,"",RANK(TS_ATHLETES[[#This Row],[RANK VALUE]],TS_ATHLETES[RANK VALUE])+COUNTIF($H$1:H1643,H1644)),"")</f>
        <v>104</v>
      </c>
    </row>
    <row r="1645" spans="1:9" x14ac:dyDescent="0.25">
      <c r="A1645" t="s">
        <v>2548</v>
      </c>
      <c r="B1645" s="3" t="s">
        <v>361</v>
      </c>
      <c r="C1645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1645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1</v>
      </c>
      <c r="E1645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1645" s="3">
        <f>SUM(TS_ATHLETES[[#This Row],[GOLD MEDALS]:[BRONZE MEDALS]])</f>
        <v>1</v>
      </c>
      <c r="G1645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10000100</v>
      </c>
      <c r="H1645" s="3">
        <f>IF(TS_ATHLETES[[#This Row],[TOTAL]]=0,"",RANK(TS_ATHLETES[[#This Row],[RANK VALUE]],TS_ATHLETES[RANK VALUE]))</f>
        <v>660</v>
      </c>
      <c r="I1645" s="3">
        <f>IFERROR(IF(TS_ATHLETES[[#This Row],[TOTAL]]=0,"",RANK(TS_ATHLETES[[#This Row],[RANK VALUE]],TS_ATHLETES[RANK VALUE])+COUNTIF($H$1:H1644,H1645)),"")</f>
        <v>1153</v>
      </c>
    </row>
    <row r="1646" spans="1:9" x14ac:dyDescent="0.25">
      <c r="A1646" t="s">
        <v>2549</v>
      </c>
      <c r="B1646" s="3" t="s">
        <v>361</v>
      </c>
      <c r="C1646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1646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2</v>
      </c>
      <c r="E1646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1646" s="3">
        <f>SUM(TS_ATHLETES[[#This Row],[GOLD MEDALS]:[BRONZE MEDALS]])</f>
        <v>2</v>
      </c>
      <c r="G1646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20000200</v>
      </c>
      <c r="H1646" s="3">
        <f>IF(TS_ATHLETES[[#This Row],[TOTAL]]=0,"",RANK(TS_ATHLETES[[#This Row],[RANK VALUE]],TS_ATHLETES[RANK VALUE]))</f>
        <v>92</v>
      </c>
      <c r="I1646" s="3">
        <f>IFERROR(IF(TS_ATHLETES[[#This Row],[TOTAL]]=0,"",RANK(TS_ATHLETES[[#This Row],[RANK VALUE]],TS_ATHLETES[RANK VALUE])+COUNTIF($H$1:H1645,H1646)),"")</f>
        <v>105</v>
      </c>
    </row>
    <row r="1647" spans="1:9" x14ac:dyDescent="0.25">
      <c r="A1647" t="s">
        <v>2550</v>
      </c>
      <c r="B1647" s="3" t="s">
        <v>361</v>
      </c>
      <c r="C1647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1647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1</v>
      </c>
      <c r="E1647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1647" s="3">
        <f>SUM(TS_ATHLETES[[#This Row],[GOLD MEDALS]:[BRONZE MEDALS]])</f>
        <v>1</v>
      </c>
      <c r="G1647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10000100</v>
      </c>
      <c r="H1647" s="3">
        <f>IF(TS_ATHLETES[[#This Row],[TOTAL]]=0,"",RANK(TS_ATHLETES[[#This Row],[RANK VALUE]],TS_ATHLETES[RANK VALUE]))</f>
        <v>660</v>
      </c>
      <c r="I1647" s="3">
        <f>IFERROR(IF(TS_ATHLETES[[#This Row],[TOTAL]]=0,"",RANK(TS_ATHLETES[[#This Row],[RANK VALUE]],TS_ATHLETES[RANK VALUE])+COUNTIF($H$1:H1646,H1647)),"")</f>
        <v>1154</v>
      </c>
    </row>
    <row r="1648" spans="1:9" x14ac:dyDescent="0.25">
      <c r="A1648" t="s">
        <v>2551</v>
      </c>
      <c r="B1648" s="3" t="s">
        <v>179</v>
      </c>
      <c r="C1648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1648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1648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1</v>
      </c>
      <c r="F1648" s="3">
        <f>SUM(TS_ATHLETES[[#This Row],[GOLD MEDALS]:[BRONZE MEDALS]])</f>
        <v>1</v>
      </c>
      <c r="G1648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10000010</v>
      </c>
      <c r="H1648" s="3">
        <f>IF(TS_ATHLETES[[#This Row],[TOTAL]]=0,"",RANK(TS_ATHLETES[[#This Row],[RANK VALUE]],TS_ATHLETES[RANK VALUE]))</f>
        <v>1224</v>
      </c>
      <c r="I1648" s="3">
        <f>IFERROR(IF(TS_ATHLETES[[#This Row],[TOTAL]]=0,"",RANK(TS_ATHLETES[[#This Row],[RANK VALUE]],TS_ATHLETES[RANK VALUE])+COUNTIF($H$1:H1647,H1648)),"")</f>
        <v>1787</v>
      </c>
    </row>
    <row r="1649" spans="1:9" x14ac:dyDescent="0.25">
      <c r="A1649" t="s">
        <v>2552</v>
      </c>
      <c r="B1649" s="3" t="s">
        <v>179</v>
      </c>
      <c r="C1649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1649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1649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1</v>
      </c>
      <c r="F1649" s="3">
        <f>SUM(TS_ATHLETES[[#This Row],[GOLD MEDALS]:[BRONZE MEDALS]])</f>
        <v>1</v>
      </c>
      <c r="G1649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10000010</v>
      </c>
      <c r="H1649" s="3">
        <f>IF(TS_ATHLETES[[#This Row],[TOTAL]]=0,"",RANK(TS_ATHLETES[[#This Row],[RANK VALUE]],TS_ATHLETES[RANK VALUE]))</f>
        <v>1224</v>
      </c>
      <c r="I1649" s="3">
        <f>IFERROR(IF(TS_ATHLETES[[#This Row],[TOTAL]]=0,"",RANK(TS_ATHLETES[[#This Row],[RANK VALUE]],TS_ATHLETES[RANK VALUE])+COUNTIF($H$1:H1648,H1649)),"")</f>
        <v>1788</v>
      </c>
    </row>
    <row r="1650" spans="1:9" x14ac:dyDescent="0.25">
      <c r="A1650" t="s">
        <v>2553</v>
      </c>
      <c r="B1650" s="3" t="s">
        <v>179</v>
      </c>
      <c r="C1650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1650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1650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1</v>
      </c>
      <c r="F1650" s="3">
        <f>SUM(TS_ATHLETES[[#This Row],[GOLD MEDALS]:[BRONZE MEDALS]])</f>
        <v>1</v>
      </c>
      <c r="G1650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10000010</v>
      </c>
      <c r="H1650" s="3">
        <f>IF(TS_ATHLETES[[#This Row],[TOTAL]]=0,"",RANK(TS_ATHLETES[[#This Row],[RANK VALUE]],TS_ATHLETES[RANK VALUE]))</f>
        <v>1224</v>
      </c>
      <c r="I1650" s="3">
        <f>IFERROR(IF(TS_ATHLETES[[#This Row],[TOTAL]]=0,"",RANK(TS_ATHLETES[[#This Row],[RANK VALUE]],TS_ATHLETES[RANK VALUE])+COUNTIF($H$1:H1649,H1650)),"")</f>
        <v>1789</v>
      </c>
    </row>
    <row r="1651" spans="1:9" x14ac:dyDescent="0.25">
      <c r="A1651" t="s">
        <v>2554</v>
      </c>
      <c r="B1651" s="3" t="s">
        <v>363</v>
      </c>
      <c r="C1651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1</v>
      </c>
      <c r="D1651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1651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1651" s="3">
        <f>SUM(TS_ATHLETES[[#This Row],[GOLD MEDALS]:[BRONZE MEDALS]])</f>
        <v>1</v>
      </c>
      <c r="G1651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10100000</v>
      </c>
      <c r="H1651" s="3">
        <f>IF(TS_ATHLETES[[#This Row],[TOTAL]]=0,"",RANK(TS_ATHLETES[[#This Row],[RANK VALUE]],TS_ATHLETES[RANK VALUE]))</f>
        <v>129</v>
      </c>
      <c r="I1651" s="3">
        <f>IFERROR(IF(TS_ATHLETES[[#This Row],[TOTAL]]=0,"",RANK(TS_ATHLETES[[#This Row],[RANK VALUE]],TS_ATHLETES[RANK VALUE])+COUNTIF($H$1:H1650,H1651)),"")</f>
        <v>593</v>
      </c>
    </row>
    <row r="1652" spans="1:9" x14ac:dyDescent="0.25">
      <c r="A1652" t="s">
        <v>2555</v>
      </c>
      <c r="B1652" s="3" t="s">
        <v>363</v>
      </c>
      <c r="C1652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1</v>
      </c>
      <c r="D1652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1652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1652" s="3">
        <f>SUM(TS_ATHLETES[[#This Row],[GOLD MEDALS]:[BRONZE MEDALS]])</f>
        <v>1</v>
      </c>
      <c r="G1652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10100000</v>
      </c>
      <c r="H1652" s="3">
        <f>IF(TS_ATHLETES[[#This Row],[TOTAL]]=0,"",RANK(TS_ATHLETES[[#This Row],[RANK VALUE]],TS_ATHLETES[RANK VALUE]))</f>
        <v>129</v>
      </c>
      <c r="I1652" s="3">
        <f>IFERROR(IF(TS_ATHLETES[[#This Row],[TOTAL]]=0,"",RANK(TS_ATHLETES[[#This Row],[RANK VALUE]],TS_ATHLETES[RANK VALUE])+COUNTIF($H$1:H1651,H1652)),"")</f>
        <v>594</v>
      </c>
    </row>
    <row r="1653" spans="1:9" x14ac:dyDescent="0.25">
      <c r="A1653" t="s">
        <v>2556</v>
      </c>
      <c r="B1653" s="3" t="s">
        <v>361</v>
      </c>
      <c r="C1653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1653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1</v>
      </c>
      <c r="E1653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1653" s="3">
        <f>SUM(TS_ATHLETES[[#This Row],[GOLD MEDALS]:[BRONZE MEDALS]])</f>
        <v>1</v>
      </c>
      <c r="G1653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10000100</v>
      </c>
      <c r="H1653" s="3">
        <f>IF(TS_ATHLETES[[#This Row],[TOTAL]]=0,"",RANK(TS_ATHLETES[[#This Row],[RANK VALUE]],TS_ATHLETES[RANK VALUE]))</f>
        <v>660</v>
      </c>
      <c r="I1653" s="3">
        <f>IFERROR(IF(TS_ATHLETES[[#This Row],[TOTAL]]=0,"",RANK(TS_ATHLETES[[#This Row],[RANK VALUE]],TS_ATHLETES[RANK VALUE])+COUNTIF($H$1:H1652,H1653)),"")</f>
        <v>1155</v>
      </c>
    </row>
    <row r="1654" spans="1:9" x14ac:dyDescent="0.25">
      <c r="A1654" t="s">
        <v>2557</v>
      </c>
      <c r="B1654" s="3" t="s">
        <v>21</v>
      </c>
      <c r="C1654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1654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1654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1</v>
      </c>
      <c r="F1654" s="3">
        <f>SUM(TS_ATHLETES[[#This Row],[GOLD MEDALS]:[BRONZE MEDALS]])</f>
        <v>1</v>
      </c>
      <c r="G1654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10000010</v>
      </c>
      <c r="H1654" s="3">
        <f>IF(TS_ATHLETES[[#This Row],[TOTAL]]=0,"",RANK(TS_ATHLETES[[#This Row],[RANK VALUE]],TS_ATHLETES[RANK VALUE]))</f>
        <v>1224</v>
      </c>
      <c r="I1654" s="3">
        <f>IFERROR(IF(TS_ATHLETES[[#This Row],[TOTAL]]=0,"",RANK(TS_ATHLETES[[#This Row],[RANK VALUE]],TS_ATHLETES[RANK VALUE])+COUNTIF($H$1:H1653,H1654)),"")</f>
        <v>1790</v>
      </c>
    </row>
    <row r="1655" spans="1:9" x14ac:dyDescent="0.25">
      <c r="A1655" t="s">
        <v>2558</v>
      </c>
      <c r="B1655" s="3" t="s">
        <v>21</v>
      </c>
      <c r="C1655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1655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1655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1</v>
      </c>
      <c r="F1655" s="3">
        <f>SUM(TS_ATHLETES[[#This Row],[GOLD MEDALS]:[BRONZE MEDALS]])</f>
        <v>1</v>
      </c>
      <c r="G1655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10000010</v>
      </c>
      <c r="H1655" s="3">
        <f>IF(TS_ATHLETES[[#This Row],[TOTAL]]=0,"",RANK(TS_ATHLETES[[#This Row],[RANK VALUE]],TS_ATHLETES[RANK VALUE]))</f>
        <v>1224</v>
      </c>
      <c r="I1655" s="3">
        <f>IFERROR(IF(TS_ATHLETES[[#This Row],[TOTAL]]=0,"",RANK(TS_ATHLETES[[#This Row],[RANK VALUE]],TS_ATHLETES[RANK VALUE])+COUNTIF($H$1:H1654,H1655)),"")</f>
        <v>1791</v>
      </c>
    </row>
    <row r="1656" spans="1:9" x14ac:dyDescent="0.25">
      <c r="A1656" t="s">
        <v>2559</v>
      </c>
      <c r="B1656" s="3" t="s">
        <v>287</v>
      </c>
      <c r="C1656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2</v>
      </c>
      <c r="D1656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1656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1656" s="3">
        <f>SUM(TS_ATHLETES[[#This Row],[GOLD MEDALS]:[BRONZE MEDALS]])</f>
        <v>2</v>
      </c>
      <c r="G1656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20200000</v>
      </c>
      <c r="H1656" s="3">
        <f>IF(TS_ATHLETES[[#This Row],[TOTAL]]=0,"",RANK(TS_ATHLETES[[#This Row],[RANK VALUE]],TS_ATHLETES[RANK VALUE]))</f>
        <v>27</v>
      </c>
      <c r="I1656" s="3">
        <f>IFERROR(IF(TS_ATHLETES[[#This Row],[TOTAL]]=0,"",RANK(TS_ATHLETES[[#This Row],[RANK VALUE]],TS_ATHLETES[RANK VALUE])+COUNTIF($H$1:H1655,H1656)),"")</f>
        <v>46</v>
      </c>
    </row>
    <row r="1657" spans="1:9" x14ac:dyDescent="0.25">
      <c r="A1657" t="s">
        <v>2560</v>
      </c>
      <c r="B1657" s="3" t="s">
        <v>287</v>
      </c>
      <c r="C1657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2</v>
      </c>
      <c r="D1657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1657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1657" s="3">
        <f>SUM(TS_ATHLETES[[#This Row],[GOLD MEDALS]:[BRONZE MEDALS]])</f>
        <v>2</v>
      </c>
      <c r="G1657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20200000</v>
      </c>
      <c r="H1657" s="3">
        <f>IF(TS_ATHLETES[[#This Row],[TOTAL]]=0,"",RANK(TS_ATHLETES[[#This Row],[RANK VALUE]],TS_ATHLETES[RANK VALUE]))</f>
        <v>27</v>
      </c>
      <c r="I1657" s="3">
        <f>IFERROR(IF(TS_ATHLETES[[#This Row],[TOTAL]]=0,"",RANK(TS_ATHLETES[[#This Row],[RANK VALUE]],TS_ATHLETES[RANK VALUE])+COUNTIF($H$1:H1656,H1657)),"")</f>
        <v>47</v>
      </c>
    </row>
    <row r="1658" spans="1:9" x14ac:dyDescent="0.25">
      <c r="A1658" t="s">
        <v>2561</v>
      </c>
      <c r="B1658" s="3" t="s">
        <v>77</v>
      </c>
      <c r="C1658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1658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2</v>
      </c>
      <c r="E1658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1658" s="3">
        <f>SUM(TS_ATHLETES[[#This Row],[GOLD MEDALS]:[BRONZE MEDALS]])</f>
        <v>2</v>
      </c>
      <c r="G1658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20000200</v>
      </c>
      <c r="H1658" s="3">
        <f>IF(TS_ATHLETES[[#This Row],[TOTAL]]=0,"",RANK(TS_ATHLETES[[#This Row],[RANK VALUE]],TS_ATHLETES[RANK VALUE]))</f>
        <v>92</v>
      </c>
      <c r="I1658" s="3">
        <f>IFERROR(IF(TS_ATHLETES[[#This Row],[TOTAL]]=0,"",RANK(TS_ATHLETES[[#This Row],[RANK VALUE]],TS_ATHLETES[RANK VALUE])+COUNTIF($H$1:H1657,H1658)),"")</f>
        <v>106</v>
      </c>
    </row>
    <row r="1659" spans="1:9" x14ac:dyDescent="0.25">
      <c r="A1659" t="s">
        <v>2562</v>
      </c>
      <c r="B1659" s="3" t="s">
        <v>77</v>
      </c>
      <c r="C1659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1659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2</v>
      </c>
      <c r="E1659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1659" s="3">
        <f>SUM(TS_ATHLETES[[#This Row],[GOLD MEDALS]:[BRONZE MEDALS]])</f>
        <v>2</v>
      </c>
      <c r="G1659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20000200</v>
      </c>
      <c r="H1659" s="3">
        <f>IF(TS_ATHLETES[[#This Row],[TOTAL]]=0,"",RANK(TS_ATHLETES[[#This Row],[RANK VALUE]],TS_ATHLETES[RANK VALUE]))</f>
        <v>92</v>
      </c>
      <c r="I1659" s="3">
        <f>IFERROR(IF(TS_ATHLETES[[#This Row],[TOTAL]]=0,"",RANK(TS_ATHLETES[[#This Row],[RANK VALUE]],TS_ATHLETES[RANK VALUE])+COUNTIF($H$1:H1658,H1659)),"")</f>
        <v>107</v>
      </c>
    </row>
    <row r="1660" spans="1:9" x14ac:dyDescent="0.25">
      <c r="A1660" t="s">
        <v>2563</v>
      </c>
      <c r="B1660" s="3" t="s">
        <v>179</v>
      </c>
      <c r="C1660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1660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1660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2</v>
      </c>
      <c r="F1660" s="3">
        <f>SUM(TS_ATHLETES[[#This Row],[GOLD MEDALS]:[BRONZE MEDALS]])</f>
        <v>2</v>
      </c>
      <c r="G1660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20000020</v>
      </c>
      <c r="H1660" s="3">
        <f>IF(TS_ATHLETES[[#This Row],[TOTAL]]=0,"",RANK(TS_ATHLETES[[#This Row],[RANK VALUE]],TS_ATHLETES[RANK VALUE]))</f>
        <v>122</v>
      </c>
      <c r="I1660" s="3">
        <f>IFERROR(IF(TS_ATHLETES[[#This Row],[TOTAL]]=0,"",RANK(TS_ATHLETES[[#This Row],[RANK VALUE]],TS_ATHLETES[RANK VALUE])+COUNTIF($H$1:H1659,H1660)),"")</f>
        <v>127</v>
      </c>
    </row>
    <row r="1661" spans="1:9" x14ac:dyDescent="0.25">
      <c r="A1661" t="s">
        <v>2564</v>
      </c>
      <c r="B1661" s="3" t="s">
        <v>179</v>
      </c>
      <c r="C1661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1661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1661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2</v>
      </c>
      <c r="F1661" s="3">
        <f>SUM(TS_ATHLETES[[#This Row],[GOLD MEDALS]:[BRONZE MEDALS]])</f>
        <v>2</v>
      </c>
      <c r="G1661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20000020</v>
      </c>
      <c r="H1661" s="3">
        <f>IF(TS_ATHLETES[[#This Row],[TOTAL]]=0,"",RANK(TS_ATHLETES[[#This Row],[RANK VALUE]],TS_ATHLETES[RANK VALUE]))</f>
        <v>122</v>
      </c>
      <c r="I1661" s="3">
        <f>IFERROR(IF(TS_ATHLETES[[#This Row],[TOTAL]]=0,"",RANK(TS_ATHLETES[[#This Row],[RANK VALUE]],TS_ATHLETES[RANK VALUE])+COUNTIF($H$1:H1660,H1661)),"")</f>
        <v>128</v>
      </c>
    </row>
    <row r="1662" spans="1:9" x14ac:dyDescent="0.25">
      <c r="A1662" t="s">
        <v>2565</v>
      </c>
      <c r="B1662" s="3" t="s">
        <v>287</v>
      </c>
      <c r="C1662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1</v>
      </c>
      <c r="D1662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1662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1662" s="3">
        <f>SUM(TS_ATHLETES[[#This Row],[GOLD MEDALS]:[BRONZE MEDALS]])</f>
        <v>1</v>
      </c>
      <c r="G1662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10100000</v>
      </c>
      <c r="H1662" s="3">
        <f>IF(TS_ATHLETES[[#This Row],[TOTAL]]=0,"",RANK(TS_ATHLETES[[#This Row],[RANK VALUE]],TS_ATHLETES[RANK VALUE]))</f>
        <v>129</v>
      </c>
      <c r="I1662" s="3">
        <f>IFERROR(IF(TS_ATHLETES[[#This Row],[TOTAL]]=0,"",RANK(TS_ATHLETES[[#This Row],[RANK VALUE]],TS_ATHLETES[RANK VALUE])+COUNTIF($H$1:H1661,H1662)),"")</f>
        <v>595</v>
      </c>
    </row>
    <row r="1663" spans="1:9" x14ac:dyDescent="0.25">
      <c r="A1663" t="s">
        <v>2566</v>
      </c>
      <c r="B1663" s="3" t="s">
        <v>287</v>
      </c>
      <c r="C1663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1</v>
      </c>
      <c r="D1663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1663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1663" s="3">
        <f>SUM(TS_ATHLETES[[#This Row],[GOLD MEDALS]:[BRONZE MEDALS]])</f>
        <v>1</v>
      </c>
      <c r="G1663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10100000</v>
      </c>
      <c r="H1663" s="3">
        <f>IF(TS_ATHLETES[[#This Row],[TOTAL]]=0,"",RANK(TS_ATHLETES[[#This Row],[RANK VALUE]],TS_ATHLETES[RANK VALUE]))</f>
        <v>129</v>
      </c>
      <c r="I1663" s="3">
        <f>IFERROR(IF(TS_ATHLETES[[#This Row],[TOTAL]]=0,"",RANK(TS_ATHLETES[[#This Row],[RANK VALUE]],TS_ATHLETES[RANK VALUE])+COUNTIF($H$1:H1662,H1663)),"")</f>
        <v>596</v>
      </c>
    </row>
    <row r="1664" spans="1:9" x14ac:dyDescent="0.25">
      <c r="A1664" t="s">
        <v>2567</v>
      </c>
      <c r="B1664" s="3" t="s">
        <v>287</v>
      </c>
      <c r="C1664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1</v>
      </c>
      <c r="D1664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1664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1664" s="3">
        <f>SUM(TS_ATHLETES[[#This Row],[GOLD MEDALS]:[BRONZE MEDALS]])</f>
        <v>1</v>
      </c>
      <c r="G1664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10100000</v>
      </c>
      <c r="H1664" s="3">
        <f>IF(TS_ATHLETES[[#This Row],[TOTAL]]=0,"",RANK(TS_ATHLETES[[#This Row],[RANK VALUE]],TS_ATHLETES[RANK VALUE]))</f>
        <v>129</v>
      </c>
      <c r="I1664" s="3">
        <f>IFERROR(IF(TS_ATHLETES[[#This Row],[TOTAL]]=0,"",RANK(TS_ATHLETES[[#This Row],[RANK VALUE]],TS_ATHLETES[RANK VALUE])+COUNTIF($H$1:H1663,H1664)),"")</f>
        <v>597</v>
      </c>
    </row>
    <row r="1665" spans="1:9" x14ac:dyDescent="0.25">
      <c r="A1665" t="s">
        <v>2568</v>
      </c>
      <c r="B1665" s="3" t="s">
        <v>287</v>
      </c>
      <c r="C1665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1</v>
      </c>
      <c r="D1665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1665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1665" s="3">
        <f>SUM(TS_ATHLETES[[#This Row],[GOLD MEDALS]:[BRONZE MEDALS]])</f>
        <v>1</v>
      </c>
      <c r="G1665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10100000</v>
      </c>
      <c r="H1665" s="3">
        <f>IF(TS_ATHLETES[[#This Row],[TOTAL]]=0,"",RANK(TS_ATHLETES[[#This Row],[RANK VALUE]],TS_ATHLETES[RANK VALUE]))</f>
        <v>129</v>
      </c>
      <c r="I1665" s="3">
        <f>IFERROR(IF(TS_ATHLETES[[#This Row],[TOTAL]]=0,"",RANK(TS_ATHLETES[[#This Row],[RANK VALUE]],TS_ATHLETES[RANK VALUE])+COUNTIF($H$1:H1664,H1665)),"")</f>
        <v>598</v>
      </c>
    </row>
    <row r="1666" spans="1:9" x14ac:dyDescent="0.25">
      <c r="A1666" t="s">
        <v>2569</v>
      </c>
      <c r="B1666" s="3" t="s">
        <v>287</v>
      </c>
      <c r="C1666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1</v>
      </c>
      <c r="D1666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1666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1666" s="3">
        <f>SUM(TS_ATHLETES[[#This Row],[GOLD MEDALS]:[BRONZE MEDALS]])</f>
        <v>1</v>
      </c>
      <c r="G1666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10100000</v>
      </c>
      <c r="H1666" s="3">
        <f>IF(TS_ATHLETES[[#This Row],[TOTAL]]=0,"",RANK(TS_ATHLETES[[#This Row],[RANK VALUE]],TS_ATHLETES[RANK VALUE]))</f>
        <v>129</v>
      </c>
      <c r="I1666" s="3">
        <f>IFERROR(IF(TS_ATHLETES[[#This Row],[TOTAL]]=0,"",RANK(TS_ATHLETES[[#This Row],[RANK VALUE]],TS_ATHLETES[RANK VALUE])+COUNTIF($H$1:H1665,H1666)),"")</f>
        <v>599</v>
      </c>
    </row>
    <row r="1667" spans="1:9" x14ac:dyDescent="0.25">
      <c r="A1667" t="s">
        <v>2570</v>
      </c>
      <c r="B1667" s="3" t="s">
        <v>287</v>
      </c>
      <c r="C1667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1</v>
      </c>
      <c r="D1667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1667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1667" s="3">
        <f>SUM(TS_ATHLETES[[#This Row],[GOLD MEDALS]:[BRONZE MEDALS]])</f>
        <v>1</v>
      </c>
      <c r="G1667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10100000</v>
      </c>
      <c r="H1667" s="3">
        <f>IF(TS_ATHLETES[[#This Row],[TOTAL]]=0,"",RANK(TS_ATHLETES[[#This Row],[RANK VALUE]],TS_ATHLETES[RANK VALUE]))</f>
        <v>129</v>
      </c>
      <c r="I1667" s="3">
        <f>IFERROR(IF(TS_ATHLETES[[#This Row],[TOTAL]]=0,"",RANK(TS_ATHLETES[[#This Row],[RANK VALUE]],TS_ATHLETES[RANK VALUE])+COUNTIF($H$1:H1666,H1667)),"")</f>
        <v>600</v>
      </c>
    </row>
    <row r="1668" spans="1:9" x14ac:dyDescent="0.25">
      <c r="A1668" t="s">
        <v>2571</v>
      </c>
      <c r="B1668" s="3" t="s">
        <v>287</v>
      </c>
      <c r="C1668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1</v>
      </c>
      <c r="D1668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1668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1668" s="3">
        <f>SUM(TS_ATHLETES[[#This Row],[GOLD MEDALS]:[BRONZE MEDALS]])</f>
        <v>1</v>
      </c>
      <c r="G1668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10100000</v>
      </c>
      <c r="H1668" s="3">
        <f>IF(TS_ATHLETES[[#This Row],[TOTAL]]=0,"",RANK(TS_ATHLETES[[#This Row],[RANK VALUE]],TS_ATHLETES[RANK VALUE]))</f>
        <v>129</v>
      </c>
      <c r="I1668" s="3">
        <f>IFERROR(IF(TS_ATHLETES[[#This Row],[TOTAL]]=0,"",RANK(TS_ATHLETES[[#This Row],[RANK VALUE]],TS_ATHLETES[RANK VALUE])+COUNTIF($H$1:H1667,H1668)),"")</f>
        <v>601</v>
      </c>
    </row>
    <row r="1669" spans="1:9" x14ac:dyDescent="0.25">
      <c r="A1669" t="s">
        <v>2572</v>
      </c>
      <c r="B1669" s="3" t="s">
        <v>77</v>
      </c>
      <c r="C1669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1669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1</v>
      </c>
      <c r="E1669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1669" s="3">
        <f>SUM(TS_ATHLETES[[#This Row],[GOLD MEDALS]:[BRONZE MEDALS]])</f>
        <v>1</v>
      </c>
      <c r="G1669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10000100</v>
      </c>
      <c r="H1669" s="3">
        <f>IF(TS_ATHLETES[[#This Row],[TOTAL]]=0,"",RANK(TS_ATHLETES[[#This Row],[RANK VALUE]],TS_ATHLETES[RANK VALUE]))</f>
        <v>660</v>
      </c>
      <c r="I1669" s="3">
        <f>IFERROR(IF(TS_ATHLETES[[#This Row],[TOTAL]]=0,"",RANK(TS_ATHLETES[[#This Row],[RANK VALUE]],TS_ATHLETES[RANK VALUE])+COUNTIF($H$1:H1668,H1669)),"")</f>
        <v>1156</v>
      </c>
    </row>
    <row r="1670" spans="1:9" x14ac:dyDescent="0.25">
      <c r="A1670" t="s">
        <v>2573</v>
      </c>
      <c r="B1670" s="3" t="s">
        <v>77</v>
      </c>
      <c r="C1670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1670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1</v>
      </c>
      <c r="E1670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1670" s="3">
        <f>SUM(TS_ATHLETES[[#This Row],[GOLD MEDALS]:[BRONZE MEDALS]])</f>
        <v>1</v>
      </c>
      <c r="G1670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10000100</v>
      </c>
      <c r="H1670" s="3">
        <f>IF(TS_ATHLETES[[#This Row],[TOTAL]]=0,"",RANK(TS_ATHLETES[[#This Row],[RANK VALUE]],TS_ATHLETES[RANK VALUE]))</f>
        <v>660</v>
      </c>
      <c r="I1670" s="3">
        <f>IFERROR(IF(TS_ATHLETES[[#This Row],[TOTAL]]=0,"",RANK(TS_ATHLETES[[#This Row],[RANK VALUE]],TS_ATHLETES[RANK VALUE])+COUNTIF($H$1:H1669,H1670)),"")</f>
        <v>1157</v>
      </c>
    </row>
    <row r="1671" spans="1:9" x14ac:dyDescent="0.25">
      <c r="A1671" t="s">
        <v>2574</v>
      </c>
      <c r="B1671" s="3" t="s">
        <v>77</v>
      </c>
      <c r="C1671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1671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1</v>
      </c>
      <c r="E1671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1671" s="3">
        <f>SUM(TS_ATHLETES[[#This Row],[GOLD MEDALS]:[BRONZE MEDALS]])</f>
        <v>1</v>
      </c>
      <c r="G1671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10000100</v>
      </c>
      <c r="H1671" s="3">
        <f>IF(TS_ATHLETES[[#This Row],[TOTAL]]=0,"",RANK(TS_ATHLETES[[#This Row],[RANK VALUE]],TS_ATHLETES[RANK VALUE]))</f>
        <v>660</v>
      </c>
      <c r="I1671" s="3">
        <f>IFERROR(IF(TS_ATHLETES[[#This Row],[TOTAL]]=0,"",RANK(TS_ATHLETES[[#This Row],[RANK VALUE]],TS_ATHLETES[RANK VALUE])+COUNTIF($H$1:H1670,H1671)),"")</f>
        <v>1158</v>
      </c>
    </row>
    <row r="1672" spans="1:9" x14ac:dyDescent="0.25">
      <c r="A1672" t="s">
        <v>2575</v>
      </c>
      <c r="B1672" s="3" t="s">
        <v>77</v>
      </c>
      <c r="C1672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1672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1</v>
      </c>
      <c r="E1672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1672" s="3">
        <f>SUM(TS_ATHLETES[[#This Row],[GOLD MEDALS]:[BRONZE MEDALS]])</f>
        <v>1</v>
      </c>
      <c r="G1672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10000100</v>
      </c>
      <c r="H1672" s="3">
        <f>IF(TS_ATHLETES[[#This Row],[TOTAL]]=0,"",RANK(TS_ATHLETES[[#This Row],[RANK VALUE]],TS_ATHLETES[RANK VALUE]))</f>
        <v>660</v>
      </c>
      <c r="I1672" s="3">
        <f>IFERROR(IF(TS_ATHLETES[[#This Row],[TOTAL]]=0,"",RANK(TS_ATHLETES[[#This Row],[RANK VALUE]],TS_ATHLETES[RANK VALUE])+COUNTIF($H$1:H1671,H1672)),"")</f>
        <v>1159</v>
      </c>
    </row>
    <row r="1673" spans="1:9" x14ac:dyDescent="0.25">
      <c r="A1673" t="s">
        <v>2576</v>
      </c>
      <c r="B1673" s="3" t="s">
        <v>77</v>
      </c>
      <c r="C1673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1673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1</v>
      </c>
      <c r="E1673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1673" s="3">
        <f>SUM(TS_ATHLETES[[#This Row],[GOLD MEDALS]:[BRONZE MEDALS]])</f>
        <v>1</v>
      </c>
      <c r="G1673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10000100</v>
      </c>
      <c r="H1673" s="3">
        <f>IF(TS_ATHLETES[[#This Row],[TOTAL]]=0,"",RANK(TS_ATHLETES[[#This Row],[RANK VALUE]],TS_ATHLETES[RANK VALUE]))</f>
        <v>660</v>
      </c>
      <c r="I1673" s="3">
        <f>IFERROR(IF(TS_ATHLETES[[#This Row],[TOTAL]]=0,"",RANK(TS_ATHLETES[[#This Row],[RANK VALUE]],TS_ATHLETES[RANK VALUE])+COUNTIF($H$1:H1672,H1673)),"")</f>
        <v>1160</v>
      </c>
    </row>
    <row r="1674" spans="1:9" x14ac:dyDescent="0.25">
      <c r="A1674" t="s">
        <v>2577</v>
      </c>
      <c r="B1674" s="3" t="s">
        <v>77</v>
      </c>
      <c r="C1674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1674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1</v>
      </c>
      <c r="E1674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1674" s="3">
        <f>SUM(TS_ATHLETES[[#This Row],[GOLD MEDALS]:[BRONZE MEDALS]])</f>
        <v>1</v>
      </c>
      <c r="G1674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10000100</v>
      </c>
      <c r="H1674" s="3">
        <f>IF(TS_ATHLETES[[#This Row],[TOTAL]]=0,"",RANK(TS_ATHLETES[[#This Row],[RANK VALUE]],TS_ATHLETES[RANK VALUE]))</f>
        <v>660</v>
      </c>
      <c r="I1674" s="3">
        <f>IFERROR(IF(TS_ATHLETES[[#This Row],[TOTAL]]=0,"",RANK(TS_ATHLETES[[#This Row],[RANK VALUE]],TS_ATHLETES[RANK VALUE])+COUNTIF($H$1:H1673,H1674)),"")</f>
        <v>1161</v>
      </c>
    </row>
    <row r="1675" spans="1:9" x14ac:dyDescent="0.25">
      <c r="A1675" t="s">
        <v>2578</v>
      </c>
      <c r="B1675" s="3" t="s">
        <v>77</v>
      </c>
      <c r="C1675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1675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1</v>
      </c>
      <c r="E1675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1675" s="3">
        <f>SUM(TS_ATHLETES[[#This Row],[GOLD MEDALS]:[BRONZE MEDALS]])</f>
        <v>1</v>
      </c>
      <c r="G1675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10000100</v>
      </c>
      <c r="H1675" s="3">
        <f>IF(TS_ATHLETES[[#This Row],[TOTAL]]=0,"",RANK(TS_ATHLETES[[#This Row],[RANK VALUE]],TS_ATHLETES[RANK VALUE]))</f>
        <v>660</v>
      </c>
      <c r="I1675" s="3">
        <f>IFERROR(IF(TS_ATHLETES[[#This Row],[TOTAL]]=0,"",RANK(TS_ATHLETES[[#This Row],[RANK VALUE]],TS_ATHLETES[RANK VALUE])+COUNTIF($H$1:H1674,H1675)),"")</f>
        <v>1162</v>
      </c>
    </row>
    <row r="1676" spans="1:9" x14ac:dyDescent="0.25">
      <c r="A1676" t="s">
        <v>2579</v>
      </c>
      <c r="B1676" s="3" t="s">
        <v>179</v>
      </c>
      <c r="C1676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1676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1676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1</v>
      </c>
      <c r="F1676" s="3">
        <f>SUM(TS_ATHLETES[[#This Row],[GOLD MEDALS]:[BRONZE MEDALS]])</f>
        <v>1</v>
      </c>
      <c r="G1676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10000010</v>
      </c>
      <c r="H1676" s="3">
        <f>IF(TS_ATHLETES[[#This Row],[TOTAL]]=0,"",RANK(TS_ATHLETES[[#This Row],[RANK VALUE]],TS_ATHLETES[RANK VALUE]))</f>
        <v>1224</v>
      </c>
      <c r="I1676" s="3">
        <f>IFERROR(IF(TS_ATHLETES[[#This Row],[TOTAL]]=0,"",RANK(TS_ATHLETES[[#This Row],[RANK VALUE]],TS_ATHLETES[RANK VALUE])+COUNTIF($H$1:H1675,H1676)),"")</f>
        <v>1792</v>
      </c>
    </row>
    <row r="1677" spans="1:9" x14ac:dyDescent="0.25">
      <c r="A1677" t="s">
        <v>2580</v>
      </c>
      <c r="B1677" s="3" t="s">
        <v>179</v>
      </c>
      <c r="C1677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1677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1677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1</v>
      </c>
      <c r="F1677" s="3">
        <f>SUM(TS_ATHLETES[[#This Row],[GOLD MEDALS]:[BRONZE MEDALS]])</f>
        <v>1</v>
      </c>
      <c r="G1677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10000010</v>
      </c>
      <c r="H1677" s="3">
        <f>IF(TS_ATHLETES[[#This Row],[TOTAL]]=0,"",RANK(TS_ATHLETES[[#This Row],[RANK VALUE]],TS_ATHLETES[RANK VALUE]))</f>
        <v>1224</v>
      </c>
      <c r="I1677" s="3">
        <f>IFERROR(IF(TS_ATHLETES[[#This Row],[TOTAL]]=0,"",RANK(TS_ATHLETES[[#This Row],[RANK VALUE]],TS_ATHLETES[RANK VALUE])+COUNTIF($H$1:H1676,H1677)),"")</f>
        <v>1793</v>
      </c>
    </row>
    <row r="1678" spans="1:9" x14ac:dyDescent="0.25">
      <c r="A1678" t="s">
        <v>2581</v>
      </c>
      <c r="B1678" s="3" t="s">
        <v>179</v>
      </c>
      <c r="C1678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1678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1678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1</v>
      </c>
      <c r="F1678" s="3">
        <f>SUM(TS_ATHLETES[[#This Row],[GOLD MEDALS]:[BRONZE MEDALS]])</f>
        <v>1</v>
      </c>
      <c r="G1678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10000010</v>
      </c>
      <c r="H1678" s="3">
        <f>IF(TS_ATHLETES[[#This Row],[TOTAL]]=0,"",RANK(TS_ATHLETES[[#This Row],[RANK VALUE]],TS_ATHLETES[RANK VALUE]))</f>
        <v>1224</v>
      </c>
      <c r="I1678" s="3">
        <f>IFERROR(IF(TS_ATHLETES[[#This Row],[TOTAL]]=0,"",RANK(TS_ATHLETES[[#This Row],[RANK VALUE]],TS_ATHLETES[RANK VALUE])+COUNTIF($H$1:H1677,H1678)),"")</f>
        <v>1794</v>
      </c>
    </row>
    <row r="1679" spans="1:9" x14ac:dyDescent="0.25">
      <c r="A1679" t="s">
        <v>2582</v>
      </c>
      <c r="B1679" s="3" t="s">
        <v>179</v>
      </c>
      <c r="C1679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1679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1679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1</v>
      </c>
      <c r="F1679" s="3">
        <f>SUM(TS_ATHLETES[[#This Row],[GOLD MEDALS]:[BRONZE MEDALS]])</f>
        <v>1</v>
      </c>
      <c r="G1679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10000010</v>
      </c>
      <c r="H1679" s="3">
        <f>IF(TS_ATHLETES[[#This Row],[TOTAL]]=0,"",RANK(TS_ATHLETES[[#This Row],[RANK VALUE]],TS_ATHLETES[RANK VALUE]))</f>
        <v>1224</v>
      </c>
      <c r="I1679" s="3">
        <f>IFERROR(IF(TS_ATHLETES[[#This Row],[TOTAL]]=0,"",RANK(TS_ATHLETES[[#This Row],[RANK VALUE]],TS_ATHLETES[RANK VALUE])+COUNTIF($H$1:H1678,H1679)),"")</f>
        <v>1795</v>
      </c>
    </row>
    <row r="1680" spans="1:9" x14ac:dyDescent="0.25">
      <c r="A1680" t="s">
        <v>2583</v>
      </c>
      <c r="B1680" s="3" t="s">
        <v>179</v>
      </c>
      <c r="C1680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1680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1680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1</v>
      </c>
      <c r="F1680" s="3">
        <f>SUM(TS_ATHLETES[[#This Row],[GOLD MEDALS]:[BRONZE MEDALS]])</f>
        <v>1</v>
      </c>
      <c r="G1680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10000010</v>
      </c>
      <c r="H1680" s="3">
        <f>IF(TS_ATHLETES[[#This Row],[TOTAL]]=0,"",RANK(TS_ATHLETES[[#This Row],[RANK VALUE]],TS_ATHLETES[RANK VALUE]))</f>
        <v>1224</v>
      </c>
      <c r="I1680" s="3">
        <f>IFERROR(IF(TS_ATHLETES[[#This Row],[TOTAL]]=0,"",RANK(TS_ATHLETES[[#This Row],[RANK VALUE]],TS_ATHLETES[RANK VALUE])+COUNTIF($H$1:H1679,H1680)),"")</f>
        <v>1796</v>
      </c>
    </row>
    <row r="1681" spans="1:9" x14ac:dyDescent="0.25">
      <c r="A1681" t="s">
        <v>2584</v>
      </c>
      <c r="B1681" s="3" t="s">
        <v>179</v>
      </c>
      <c r="C1681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1681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1681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1</v>
      </c>
      <c r="F1681" s="3">
        <f>SUM(TS_ATHLETES[[#This Row],[GOLD MEDALS]:[BRONZE MEDALS]])</f>
        <v>1</v>
      </c>
      <c r="G1681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10000010</v>
      </c>
      <c r="H1681" s="3">
        <f>IF(TS_ATHLETES[[#This Row],[TOTAL]]=0,"",RANK(TS_ATHLETES[[#This Row],[RANK VALUE]],TS_ATHLETES[RANK VALUE]))</f>
        <v>1224</v>
      </c>
      <c r="I1681" s="3">
        <f>IFERROR(IF(TS_ATHLETES[[#This Row],[TOTAL]]=0,"",RANK(TS_ATHLETES[[#This Row],[RANK VALUE]],TS_ATHLETES[RANK VALUE])+COUNTIF($H$1:H1680,H1681)),"")</f>
        <v>1797</v>
      </c>
    </row>
    <row r="1682" spans="1:9" x14ac:dyDescent="0.25">
      <c r="A1682" t="s">
        <v>2585</v>
      </c>
      <c r="B1682" s="3" t="s">
        <v>179</v>
      </c>
      <c r="C1682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1682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1682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1</v>
      </c>
      <c r="F1682" s="3">
        <f>SUM(TS_ATHLETES[[#This Row],[GOLD MEDALS]:[BRONZE MEDALS]])</f>
        <v>1</v>
      </c>
      <c r="G1682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10000010</v>
      </c>
      <c r="H1682" s="3">
        <f>IF(TS_ATHLETES[[#This Row],[TOTAL]]=0,"",RANK(TS_ATHLETES[[#This Row],[RANK VALUE]],TS_ATHLETES[RANK VALUE]))</f>
        <v>1224</v>
      </c>
      <c r="I1682" s="3">
        <f>IFERROR(IF(TS_ATHLETES[[#This Row],[TOTAL]]=0,"",RANK(TS_ATHLETES[[#This Row],[RANK VALUE]],TS_ATHLETES[RANK VALUE])+COUNTIF($H$1:H1681,H1682)),"")</f>
        <v>1798</v>
      </c>
    </row>
    <row r="1683" spans="1:9" x14ac:dyDescent="0.25">
      <c r="A1683" t="s">
        <v>2586</v>
      </c>
      <c r="B1683" s="3" t="s">
        <v>77</v>
      </c>
      <c r="C1683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1</v>
      </c>
      <c r="D1683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1683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1683" s="3">
        <f>SUM(TS_ATHLETES[[#This Row],[GOLD MEDALS]:[BRONZE MEDALS]])</f>
        <v>1</v>
      </c>
      <c r="G1683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10100000</v>
      </c>
      <c r="H1683" s="3">
        <f>IF(TS_ATHLETES[[#This Row],[TOTAL]]=0,"",RANK(TS_ATHLETES[[#This Row],[RANK VALUE]],TS_ATHLETES[RANK VALUE]))</f>
        <v>129</v>
      </c>
      <c r="I1683" s="3">
        <f>IFERROR(IF(TS_ATHLETES[[#This Row],[TOTAL]]=0,"",RANK(TS_ATHLETES[[#This Row],[RANK VALUE]],TS_ATHLETES[RANK VALUE])+COUNTIF($H$1:H1682,H1683)),"")</f>
        <v>602</v>
      </c>
    </row>
    <row r="1684" spans="1:9" x14ac:dyDescent="0.25">
      <c r="A1684" t="s">
        <v>2587</v>
      </c>
      <c r="B1684" s="3" t="s">
        <v>136</v>
      </c>
      <c r="C1684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1684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1</v>
      </c>
      <c r="E1684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1684" s="3">
        <f>SUM(TS_ATHLETES[[#This Row],[GOLD MEDALS]:[BRONZE MEDALS]])</f>
        <v>1</v>
      </c>
      <c r="G1684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10000100</v>
      </c>
      <c r="H1684" s="3">
        <f>IF(TS_ATHLETES[[#This Row],[TOTAL]]=0,"",RANK(TS_ATHLETES[[#This Row],[RANK VALUE]],TS_ATHLETES[RANK VALUE]))</f>
        <v>660</v>
      </c>
      <c r="I1684" s="3">
        <f>IFERROR(IF(TS_ATHLETES[[#This Row],[TOTAL]]=0,"",RANK(TS_ATHLETES[[#This Row],[RANK VALUE]],TS_ATHLETES[RANK VALUE])+COUNTIF($H$1:H1683,H1684)),"")</f>
        <v>1163</v>
      </c>
    </row>
    <row r="1685" spans="1:9" x14ac:dyDescent="0.25">
      <c r="A1685" t="s">
        <v>2588</v>
      </c>
      <c r="B1685" s="3" t="s">
        <v>136</v>
      </c>
      <c r="C1685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1685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1</v>
      </c>
      <c r="E1685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1685" s="3">
        <f>SUM(TS_ATHLETES[[#This Row],[GOLD MEDALS]:[BRONZE MEDALS]])</f>
        <v>1</v>
      </c>
      <c r="G1685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10000100</v>
      </c>
      <c r="H1685" s="3">
        <f>IF(TS_ATHLETES[[#This Row],[TOTAL]]=0,"",RANK(TS_ATHLETES[[#This Row],[RANK VALUE]],TS_ATHLETES[RANK VALUE]))</f>
        <v>660</v>
      </c>
      <c r="I1685" s="3">
        <f>IFERROR(IF(TS_ATHLETES[[#This Row],[TOTAL]]=0,"",RANK(TS_ATHLETES[[#This Row],[RANK VALUE]],TS_ATHLETES[RANK VALUE])+COUNTIF($H$1:H1684,H1685)),"")</f>
        <v>1164</v>
      </c>
    </row>
    <row r="1686" spans="1:9" x14ac:dyDescent="0.25">
      <c r="A1686" t="s">
        <v>2589</v>
      </c>
      <c r="B1686" s="3" t="s">
        <v>136</v>
      </c>
      <c r="C1686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1686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1</v>
      </c>
      <c r="E1686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1686" s="3">
        <f>SUM(TS_ATHLETES[[#This Row],[GOLD MEDALS]:[BRONZE MEDALS]])</f>
        <v>1</v>
      </c>
      <c r="G1686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10000100</v>
      </c>
      <c r="H1686" s="3">
        <f>IF(TS_ATHLETES[[#This Row],[TOTAL]]=0,"",RANK(TS_ATHLETES[[#This Row],[RANK VALUE]],TS_ATHLETES[RANK VALUE]))</f>
        <v>660</v>
      </c>
      <c r="I1686" s="3">
        <f>IFERROR(IF(TS_ATHLETES[[#This Row],[TOTAL]]=0,"",RANK(TS_ATHLETES[[#This Row],[RANK VALUE]],TS_ATHLETES[RANK VALUE])+COUNTIF($H$1:H1685,H1686)),"")</f>
        <v>1165</v>
      </c>
    </row>
    <row r="1687" spans="1:9" x14ac:dyDescent="0.25">
      <c r="A1687" t="s">
        <v>2590</v>
      </c>
      <c r="B1687" s="3" t="s">
        <v>179</v>
      </c>
      <c r="C1687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1687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1687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1</v>
      </c>
      <c r="F1687" s="3">
        <f>SUM(TS_ATHLETES[[#This Row],[GOLD MEDALS]:[BRONZE MEDALS]])</f>
        <v>1</v>
      </c>
      <c r="G1687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10000010</v>
      </c>
      <c r="H1687" s="3">
        <f>IF(TS_ATHLETES[[#This Row],[TOTAL]]=0,"",RANK(TS_ATHLETES[[#This Row],[RANK VALUE]],TS_ATHLETES[RANK VALUE]))</f>
        <v>1224</v>
      </c>
      <c r="I1687" s="3">
        <f>IFERROR(IF(TS_ATHLETES[[#This Row],[TOTAL]]=0,"",RANK(TS_ATHLETES[[#This Row],[RANK VALUE]],TS_ATHLETES[RANK VALUE])+COUNTIF($H$1:H1686,H1687)),"")</f>
        <v>1799</v>
      </c>
    </row>
    <row r="1688" spans="1:9" x14ac:dyDescent="0.25">
      <c r="A1688" t="s">
        <v>2591</v>
      </c>
      <c r="B1688" s="3" t="s">
        <v>179</v>
      </c>
      <c r="C1688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1688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1688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1</v>
      </c>
      <c r="F1688" s="3">
        <f>SUM(TS_ATHLETES[[#This Row],[GOLD MEDALS]:[BRONZE MEDALS]])</f>
        <v>1</v>
      </c>
      <c r="G1688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10000010</v>
      </c>
      <c r="H1688" s="3">
        <f>IF(TS_ATHLETES[[#This Row],[TOTAL]]=0,"",RANK(TS_ATHLETES[[#This Row],[RANK VALUE]],TS_ATHLETES[RANK VALUE]))</f>
        <v>1224</v>
      </c>
      <c r="I1688" s="3">
        <f>IFERROR(IF(TS_ATHLETES[[#This Row],[TOTAL]]=0,"",RANK(TS_ATHLETES[[#This Row],[RANK VALUE]],TS_ATHLETES[RANK VALUE])+COUNTIF($H$1:H1687,H1688)),"")</f>
        <v>1800</v>
      </c>
    </row>
    <row r="1689" spans="1:9" x14ac:dyDescent="0.25">
      <c r="A1689" t="s">
        <v>2592</v>
      </c>
      <c r="B1689" s="3" t="s">
        <v>179</v>
      </c>
      <c r="C1689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1689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1689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1</v>
      </c>
      <c r="F1689" s="3">
        <f>SUM(TS_ATHLETES[[#This Row],[GOLD MEDALS]:[BRONZE MEDALS]])</f>
        <v>1</v>
      </c>
      <c r="G1689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10000010</v>
      </c>
      <c r="H1689" s="3">
        <f>IF(TS_ATHLETES[[#This Row],[TOTAL]]=0,"",RANK(TS_ATHLETES[[#This Row],[RANK VALUE]],TS_ATHLETES[RANK VALUE]))</f>
        <v>1224</v>
      </c>
      <c r="I1689" s="3">
        <f>IFERROR(IF(TS_ATHLETES[[#This Row],[TOTAL]]=0,"",RANK(TS_ATHLETES[[#This Row],[RANK VALUE]],TS_ATHLETES[RANK VALUE])+COUNTIF($H$1:H1688,H1689)),"")</f>
        <v>1801</v>
      </c>
    </row>
    <row r="1690" spans="1:9" x14ac:dyDescent="0.25">
      <c r="A1690" t="s">
        <v>2593</v>
      </c>
      <c r="B1690" s="3" t="s">
        <v>77</v>
      </c>
      <c r="C1690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1</v>
      </c>
      <c r="D1690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1690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1690" s="3">
        <f>SUM(TS_ATHLETES[[#This Row],[GOLD MEDALS]:[BRONZE MEDALS]])</f>
        <v>1</v>
      </c>
      <c r="G1690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10100000</v>
      </c>
      <c r="H1690" s="3">
        <f>IF(TS_ATHLETES[[#This Row],[TOTAL]]=0,"",RANK(TS_ATHLETES[[#This Row],[RANK VALUE]],TS_ATHLETES[RANK VALUE]))</f>
        <v>129</v>
      </c>
      <c r="I1690" s="3">
        <f>IFERROR(IF(TS_ATHLETES[[#This Row],[TOTAL]]=0,"",RANK(TS_ATHLETES[[#This Row],[RANK VALUE]],TS_ATHLETES[RANK VALUE])+COUNTIF($H$1:H1689,H1690)),"")</f>
        <v>603</v>
      </c>
    </row>
    <row r="1691" spans="1:9" x14ac:dyDescent="0.25">
      <c r="A1691" t="s">
        <v>2594</v>
      </c>
      <c r="B1691" s="3" t="s">
        <v>179</v>
      </c>
      <c r="C1691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1691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1</v>
      </c>
      <c r="E1691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1691" s="3">
        <f>SUM(TS_ATHLETES[[#This Row],[GOLD MEDALS]:[BRONZE MEDALS]])</f>
        <v>1</v>
      </c>
      <c r="G1691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10000100</v>
      </c>
      <c r="H1691" s="3">
        <f>IF(TS_ATHLETES[[#This Row],[TOTAL]]=0,"",RANK(TS_ATHLETES[[#This Row],[RANK VALUE]],TS_ATHLETES[RANK VALUE]))</f>
        <v>660</v>
      </c>
      <c r="I1691" s="3">
        <f>IFERROR(IF(TS_ATHLETES[[#This Row],[TOTAL]]=0,"",RANK(TS_ATHLETES[[#This Row],[RANK VALUE]],TS_ATHLETES[RANK VALUE])+COUNTIF($H$1:H1690,H1691)),"")</f>
        <v>1166</v>
      </c>
    </row>
    <row r="1692" spans="1:9" x14ac:dyDescent="0.25">
      <c r="A1692" t="s">
        <v>2595</v>
      </c>
      <c r="B1692" s="3" t="s">
        <v>179</v>
      </c>
      <c r="C1692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1692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1</v>
      </c>
      <c r="E1692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1692" s="3">
        <f>SUM(TS_ATHLETES[[#This Row],[GOLD MEDALS]:[BRONZE MEDALS]])</f>
        <v>1</v>
      </c>
      <c r="G1692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10000100</v>
      </c>
      <c r="H1692" s="3">
        <f>IF(TS_ATHLETES[[#This Row],[TOTAL]]=0,"",RANK(TS_ATHLETES[[#This Row],[RANK VALUE]],TS_ATHLETES[RANK VALUE]))</f>
        <v>660</v>
      </c>
      <c r="I1692" s="3">
        <f>IFERROR(IF(TS_ATHLETES[[#This Row],[TOTAL]]=0,"",RANK(TS_ATHLETES[[#This Row],[RANK VALUE]],TS_ATHLETES[RANK VALUE])+COUNTIF($H$1:H1691,H1692)),"")</f>
        <v>1167</v>
      </c>
    </row>
    <row r="1693" spans="1:9" x14ac:dyDescent="0.25">
      <c r="A1693" t="s">
        <v>2596</v>
      </c>
      <c r="B1693" s="3" t="s">
        <v>136</v>
      </c>
      <c r="C1693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1693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1693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1</v>
      </c>
      <c r="F1693" s="3">
        <f>SUM(TS_ATHLETES[[#This Row],[GOLD MEDALS]:[BRONZE MEDALS]])</f>
        <v>1</v>
      </c>
      <c r="G1693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10000010</v>
      </c>
      <c r="H1693" s="3">
        <f>IF(TS_ATHLETES[[#This Row],[TOTAL]]=0,"",RANK(TS_ATHLETES[[#This Row],[RANK VALUE]],TS_ATHLETES[RANK VALUE]))</f>
        <v>1224</v>
      </c>
      <c r="I1693" s="3">
        <f>IFERROR(IF(TS_ATHLETES[[#This Row],[TOTAL]]=0,"",RANK(TS_ATHLETES[[#This Row],[RANK VALUE]],TS_ATHLETES[RANK VALUE])+COUNTIF($H$1:H1692,H1693)),"")</f>
        <v>1802</v>
      </c>
    </row>
    <row r="1694" spans="1:9" x14ac:dyDescent="0.25">
      <c r="A1694" t="s">
        <v>2597</v>
      </c>
      <c r="B1694" s="3" t="s">
        <v>136</v>
      </c>
      <c r="C1694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1694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1694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1</v>
      </c>
      <c r="F1694" s="3">
        <f>SUM(TS_ATHLETES[[#This Row],[GOLD MEDALS]:[BRONZE MEDALS]])</f>
        <v>1</v>
      </c>
      <c r="G1694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10000010</v>
      </c>
      <c r="H1694" s="3">
        <f>IF(TS_ATHLETES[[#This Row],[TOTAL]]=0,"",RANK(TS_ATHLETES[[#This Row],[RANK VALUE]],TS_ATHLETES[RANK VALUE]))</f>
        <v>1224</v>
      </c>
      <c r="I1694" s="3">
        <f>IFERROR(IF(TS_ATHLETES[[#This Row],[TOTAL]]=0,"",RANK(TS_ATHLETES[[#This Row],[RANK VALUE]],TS_ATHLETES[RANK VALUE])+COUNTIF($H$1:H1693,H1694)),"")</f>
        <v>1803</v>
      </c>
    </row>
    <row r="1695" spans="1:9" x14ac:dyDescent="0.25">
      <c r="A1695" t="s">
        <v>2598</v>
      </c>
      <c r="B1695" s="3" t="s">
        <v>136</v>
      </c>
      <c r="C1695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1695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1695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1</v>
      </c>
      <c r="F1695" s="3">
        <f>SUM(TS_ATHLETES[[#This Row],[GOLD MEDALS]:[BRONZE MEDALS]])</f>
        <v>1</v>
      </c>
      <c r="G1695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10000010</v>
      </c>
      <c r="H1695" s="3">
        <f>IF(TS_ATHLETES[[#This Row],[TOTAL]]=0,"",RANK(TS_ATHLETES[[#This Row],[RANK VALUE]],TS_ATHLETES[RANK VALUE]))</f>
        <v>1224</v>
      </c>
      <c r="I1695" s="3">
        <f>IFERROR(IF(TS_ATHLETES[[#This Row],[TOTAL]]=0,"",RANK(TS_ATHLETES[[#This Row],[RANK VALUE]],TS_ATHLETES[RANK VALUE])+COUNTIF($H$1:H1694,H1695)),"")</f>
        <v>1804</v>
      </c>
    </row>
    <row r="1696" spans="1:9" x14ac:dyDescent="0.25">
      <c r="A1696" t="s">
        <v>2599</v>
      </c>
      <c r="B1696" s="3" t="s">
        <v>321</v>
      </c>
      <c r="C1696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1</v>
      </c>
      <c r="D1696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1696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1696" s="3">
        <f>SUM(TS_ATHLETES[[#This Row],[GOLD MEDALS]:[BRONZE MEDALS]])</f>
        <v>1</v>
      </c>
      <c r="G1696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10100000</v>
      </c>
      <c r="H1696" s="3">
        <f>IF(TS_ATHLETES[[#This Row],[TOTAL]]=0,"",RANK(TS_ATHLETES[[#This Row],[RANK VALUE]],TS_ATHLETES[RANK VALUE]))</f>
        <v>129</v>
      </c>
      <c r="I1696" s="3">
        <f>IFERROR(IF(TS_ATHLETES[[#This Row],[TOTAL]]=0,"",RANK(TS_ATHLETES[[#This Row],[RANK VALUE]],TS_ATHLETES[RANK VALUE])+COUNTIF($H$1:H1695,H1696)),"")</f>
        <v>604</v>
      </c>
    </row>
    <row r="1697" spans="1:9" x14ac:dyDescent="0.25">
      <c r="A1697" t="s">
        <v>2600</v>
      </c>
      <c r="B1697" s="3" t="s">
        <v>321</v>
      </c>
      <c r="C1697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1</v>
      </c>
      <c r="D1697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1697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1697" s="3">
        <f>SUM(TS_ATHLETES[[#This Row],[GOLD MEDALS]:[BRONZE MEDALS]])</f>
        <v>1</v>
      </c>
      <c r="G1697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10100000</v>
      </c>
      <c r="H1697" s="3">
        <f>IF(TS_ATHLETES[[#This Row],[TOTAL]]=0,"",RANK(TS_ATHLETES[[#This Row],[RANK VALUE]],TS_ATHLETES[RANK VALUE]))</f>
        <v>129</v>
      </c>
      <c r="I1697" s="3">
        <f>IFERROR(IF(TS_ATHLETES[[#This Row],[TOTAL]]=0,"",RANK(TS_ATHLETES[[#This Row],[RANK VALUE]],TS_ATHLETES[RANK VALUE])+COUNTIF($H$1:H1696,H1697)),"")</f>
        <v>605</v>
      </c>
    </row>
    <row r="1698" spans="1:9" x14ac:dyDescent="0.25">
      <c r="A1698" t="s">
        <v>2601</v>
      </c>
      <c r="B1698" s="3" t="s">
        <v>641</v>
      </c>
      <c r="C1698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1698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1</v>
      </c>
      <c r="E1698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1698" s="3">
        <f>SUM(TS_ATHLETES[[#This Row],[GOLD MEDALS]:[BRONZE MEDALS]])</f>
        <v>1</v>
      </c>
      <c r="G1698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10000100</v>
      </c>
      <c r="H1698" s="3">
        <f>IF(TS_ATHLETES[[#This Row],[TOTAL]]=0,"",RANK(TS_ATHLETES[[#This Row],[RANK VALUE]],TS_ATHLETES[RANK VALUE]))</f>
        <v>660</v>
      </c>
      <c r="I1698" s="3">
        <f>IFERROR(IF(TS_ATHLETES[[#This Row],[TOTAL]]=0,"",RANK(TS_ATHLETES[[#This Row],[RANK VALUE]],TS_ATHLETES[RANK VALUE])+COUNTIF($H$1:H1697,H1698)),"")</f>
        <v>1168</v>
      </c>
    </row>
    <row r="1699" spans="1:9" x14ac:dyDescent="0.25">
      <c r="A1699" t="s">
        <v>2602</v>
      </c>
      <c r="B1699" s="3" t="s">
        <v>641</v>
      </c>
      <c r="C1699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1699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1</v>
      </c>
      <c r="E1699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1699" s="3">
        <f>SUM(TS_ATHLETES[[#This Row],[GOLD MEDALS]:[BRONZE MEDALS]])</f>
        <v>1</v>
      </c>
      <c r="G1699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10000100</v>
      </c>
      <c r="H1699" s="3">
        <f>IF(TS_ATHLETES[[#This Row],[TOTAL]]=0,"",RANK(TS_ATHLETES[[#This Row],[RANK VALUE]],TS_ATHLETES[RANK VALUE]))</f>
        <v>660</v>
      </c>
      <c r="I1699" s="3">
        <f>IFERROR(IF(TS_ATHLETES[[#This Row],[TOTAL]]=0,"",RANK(TS_ATHLETES[[#This Row],[RANK VALUE]],TS_ATHLETES[RANK VALUE])+COUNTIF($H$1:H1698,H1699)),"")</f>
        <v>1169</v>
      </c>
    </row>
    <row r="1700" spans="1:9" x14ac:dyDescent="0.25">
      <c r="A1700" t="s">
        <v>2603</v>
      </c>
      <c r="B1700" s="3" t="s">
        <v>363</v>
      </c>
      <c r="C1700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1700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1700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1</v>
      </c>
      <c r="F1700" s="3">
        <f>SUM(TS_ATHLETES[[#This Row],[GOLD MEDALS]:[BRONZE MEDALS]])</f>
        <v>1</v>
      </c>
      <c r="G1700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10000010</v>
      </c>
      <c r="H1700" s="3">
        <f>IF(TS_ATHLETES[[#This Row],[TOTAL]]=0,"",RANK(TS_ATHLETES[[#This Row],[RANK VALUE]],TS_ATHLETES[RANK VALUE]))</f>
        <v>1224</v>
      </c>
      <c r="I1700" s="3">
        <f>IFERROR(IF(TS_ATHLETES[[#This Row],[TOTAL]]=0,"",RANK(TS_ATHLETES[[#This Row],[RANK VALUE]],TS_ATHLETES[RANK VALUE])+COUNTIF($H$1:H1699,H1700)),"")</f>
        <v>1805</v>
      </c>
    </row>
    <row r="1701" spans="1:9" x14ac:dyDescent="0.25">
      <c r="A1701" t="s">
        <v>2604</v>
      </c>
      <c r="B1701" s="3" t="s">
        <v>363</v>
      </c>
      <c r="C1701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1</v>
      </c>
      <c r="D1701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1701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1</v>
      </c>
      <c r="F1701" s="3">
        <f>SUM(TS_ATHLETES[[#This Row],[GOLD MEDALS]:[BRONZE MEDALS]])</f>
        <v>2</v>
      </c>
      <c r="G1701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20100010</v>
      </c>
      <c r="H1701" s="3">
        <f>IF(TS_ATHLETES[[#This Row],[TOTAL]]=0,"",RANK(TS_ATHLETES[[#This Row],[RANK VALUE]],TS_ATHLETES[RANK VALUE]))</f>
        <v>71</v>
      </c>
      <c r="I1701" s="3">
        <f>IFERROR(IF(TS_ATHLETES[[#This Row],[TOTAL]]=0,"",RANK(TS_ATHLETES[[#This Row],[RANK VALUE]],TS_ATHLETES[RANK VALUE])+COUNTIF($H$1:H1700,H1701)),"")</f>
        <v>91</v>
      </c>
    </row>
    <row r="1702" spans="1:9" x14ac:dyDescent="0.25">
      <c r="A1702" t="s">
        <v>2605</v>
      </c>
      <c r="B1702" s="3" t="s">
        <v>287</v>
      </c>
      <c r="C1702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1</v>
      </c>
      <c r="D1702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1702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1702" s="3">
        <f>SUM(TS_ATHLETES[[#This Row],[GOLD MEDALS]:[BRONZE MEDALS]])</f>
        <v>1</v>
      </c>
      <c r="G1702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10100000</v>
      </c>
      <c r="H1702" s="3">
        <f>IF(TS_ATHLETES[[#This Row],[TOTAL]]=0,"",RANK(TS_ATHLETES[[#This Row],[RANK VALUE]],TS_ATHLETES[RANK VALUE]))</f>
        <v>129</v>
      </c>
      <c r="I1702" s="3">
        <f>IFERROR(IF(TS_ATHLETES[[#This Row],[TOTAL]]=0,"",RANK(TS_ATHLETES[[#This Row],[RANK VALUE]],TS_ATHLETES[RANK VALUE])+COUNTIF($H$1:H1701,H1702)),"")</f>
        <v>606</v>
      </c>
    </row>
    <row r="1703" spans="1:9" x14ac:dyDescent="0.25">
      <c r="A1703" t="s">
        <v>2606</v>
      </c>
      <c r="B1703" s="3" t="s">
        <v>287</v>
      </c>
      <c r="C1703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1</v>
      </c>
      <c r="D1703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1703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1703" s="3">
        <f>SUM(TS_ATHLETES[[#This Row],[GOLD MEDALS]:[BRONZE MEDALS]])</f>
        <v>1</v>
      </c>
      <c r="G1703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10100000</v>
      </c>
      <c r="H1703" s="3">
        <f>IF(TS_ATHLETES[[#This Row],[TOTAL]]=0,"",RANK(TS_ATHLETES[[#This Row],[RANK VALUE]],TS_ATHLETES[RANK VALUE]))</f>
        <v>129</v>
      </c>
      <c r="I1703" s="3">
        <f>IFERROR(IF(TS_ATHLETES[[#This Row],[TOTAL]]=0,"",RANK(TS_ATHLETES[[#This Row],[RANK VALUE]],TS_ATHLETES[RANK VALUE])+COUNTIF($H$1:H1702,H1703)),"")</f>
        <v>607</v>
      </c>
    </row>
    <row r="1704" spans="1:9" x14ac:dyDescent="0.25">
      <c r="A1704" t="s">
        <v>2607</v>
      </c>
      <c r="B1704" s="3" t="s">
        <v>333</v>
      </c>
      <c r="C1704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1704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1</v>
      </c>
      <c r="E1704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1704" s="3">
        <f>SUM(TS_ATHLETES[[#This Row],[GOLD MEDALS]:[BRONZE MEDALS]])</f>
        <v>1</v>
      </c>
      <c r="G1704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10000100</v>
      </c>
      <c r="H1704" s="3">
        <f>IF(TS_ATHLETES[[#This Row],[TOTAL]]=0,"",RANK(TS_ATHLETES[[#This Row],[RANK VALUE]],TS_ATHLETES[RANK VALUE]))</f>
        <v>660</v>
      </c>
      <c r="I1704" s="3">
        <f>IFERROR(IF(TS_ATHLETES[[#This Row],[TOTAL]]=0,"",RANK(TS_ATHLETES[[#This Row],[RANK VALUE]],TS_ATHLETES[RANK VALUE])+COUNTIF($H$1:H1703,H1704)),"")</f>
        <v>1170</v>
      </c>
    </row>
    <row r="1705" spans="1:9" x14ac:dyDescent="0.25">
      <c r="A1705" t="s">
        <v>2608</v>
      </c>
      <c r="B1705" s="3" t="s">
        <v>333</v>
      </c>
      <c r="C1705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1705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1</v>
      </c>
      <c r="E1705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1705" s="3">
        <f>SUM(TS_ATHLETES[[#This Row],[GOLD MEDALS]:[BRONZE MEDALS]])</f>
        <v>1</v>
      </c>
      <c r="G1705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10000100</v>
      </c>
      <c r="H1705" s="3">
        <f>IF(TS_ATHLETES[[#This Row],[TOTAL]]=0,"",RANK(TS_ATHLETES[[#This Row],[RANK VALUE]],TS_ATHLETES[RANK VALUE]))</f>
        <v>660</v>
      </c>
      <c r="I1705" s="3">
        <f>IFERROR(IF(TS_ATHLETES[[#This Row],[TOTAL]]=0,"",RANK(TS_ATHLETES[[#This Row],[RANK VALUE]],TS_ATHLETES[RANK VALUE])+COUNTIF($H$1:H1704,H1705)),"")</f>
        <v>1171</v>
      </c>
    </row>
    <row r="1706" spans="1:9" x14ac:dyDescent="0.25">
      <c r="A1706" t="s">
        <v>2609</v>
      </c>
      <c r="B1706" s="3" t="s">
        <v>98</v>
      </c>
      <c r="C1706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1706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1706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1</v>
      </c>
      <c r="F1706" s="3">
        <f>SUM(TS_ATHLETES[[#This Row],[GOLD MEDALS]:[BRONZE MEDALS]])</f>
        <v>1</v>
      </c>
      <c r="G1706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10000010</v>
      </c>
      <c r="H1706" s="3">
        <f>IF(TS_ATHLETES[[#This Row],[TOTAL]]=0,"",RANK(TS_ATHLETES[[#This Row],[RANK VALUE]],TS_ATHLETES[RANK VALUE]))</f>
        <v>1224</v>
      </c>
      <c r="I1706" s="3">
        <f>IFERROR(IF(TS_ATHLETES[[#This Row],[TOTAL]]=0,"",RANK(TS_ATHLETES[[#This Row],[RANK VALUE]],TS_ATHLETES[RANK VALUE])+COUNTIF($H$1:H1705,H1706)),"")</f>
        <v>1806</v>
      </c>
    </row>
    <row r="1707" spans="1:9" x14ac:dyDescent="0.25">
      <c r="A1707" t="s">
        <v>2610</v>
      </c>
      <c r="B1707" s="3" t="s">
        <v>98</v>
      </c>
      <c r="C1707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1707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1707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1</v>
      </c>
      <c r="F1707" s="3">
        <f>SUM(TS_ATHLETES[[#This Row],[GOLD MEDALS]:[BRONZE MEDALS]])</f>
        <v>1</v>
      </c>
      <c r="G1707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10000010</v>
      </c>
      <c r="H1707" s="3">
        <f>IF(TS_ATHLETES[[#This Row],[TOTAL]]=0,"",RANK(TS_ATHLETES[[#This Row],[RANK VALUE]],TS_ATHLETES[RANK VALUE]))</f>
        <v>1224</v>
      </c>
      <c r="I1707" s="3">
        <f>IFERROR(IF(TS_ATHLETES[[#This Row],[TOTAL]]=0,"",RANK(TS_ATHLETES[[#This Row],[RANK VALUE]],TS_ATHLETES[RANK VALUE])+COUNTIF($H$1:H1706,H1707)),"")</f>
        <v>1807</v>
      </c>
    </row>
    <row r="1708" spans="1:9" x14ac:dyDescent="0.25">
      <c r="A1708" t="s">
        <v>2611</v>
      </c>
      <c r="B1708" s="3" t="s">
        <v>363</v>
      </c>
      <c r="C1708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1</v>
      </c>
      <c r="D1708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1708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1708" s="3">
        <f>SUM(TS_ATHLETES[[#This Row],[GOLD MEDALS]:[BRONZE MEDALS]])</f>
        <v>1</v>
      </c>
      <c r="G1708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10100000</v>
      </c>
      <c r="H1708" s="3">
        <f>IF(TS_ATHLETES[[#This Row],[TOTAL]]=0,"",RANK(TS_ATHLETES[[#This Row],[RANK VALUE]],TS_ATHLETES[RANK VALUE]))</f>
        <v>129</v>
      </c>
      <c r="I1708" s="3">
        <f>IFERROR(IF(TS_ATHLETES[[#This Row],[TOTAL]]=0,"",RANK(TS_ATHLETES[[#This Row],[RANK VALUE]],TS_ATHLETES[RANK VALUE])+COUNTIF($H$1:H1707,H1708)),"")</f>
        <v>608</v>
      </c>
    </row>
    <row r="1709" spans="1:9" x14ac:dyDescent="0.25">
      <c r="A1709" t="s">
        <v>2612</v>
      </c>
      <c r="B1709" s="3" t="s">
        <v>363</v>
      </c>
      <c r="C1709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1709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1</v>
      </c>
      <c r="E1709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1709" s="3">
        <f>SUM(TS_ATHLETES[[#This Row],[GOLD MEDALS]:[BRONZE MEDALS]])</f>
        <v>1</v>
      </c>
      <c r="G1709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10000100</v>
      </c>
      <c r="H1709" s="3">
        <f>IF(TS_ATHLETES[[#This Row],[TOTAL]]=0,"",RANK(TS_ATHLETES[[#This Row],[RANK VALUE]],TS_ATHLETES[RANK VALUE]))</f>
        <v>660</v>
      </c>
      <c r="I1709" s="3">
        <f>IFERROR(IF(TS_ATHLETES[[#This Row],[TOTAL]]=0,"",RANK(TS_ATHLETES[[#This Row],[RANK VALUE]],TS_ATHLETES[RANK VALUE])+COUNTIF($H$1:H1708,H1709)),"")</f>
        <v>1172</v>
      </c>
    </row>
    <row r="1710" spans="1:9" x14ac:dyDescent="0.25">
      <c r="A1710" t="s">
        <v>2613</v>
      </c>
      <c r="B1710" s="3" t="s">
        <v>363</v>
      </c>
      <c r="C1710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1710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1</v>
      </c>
      <c r="E1710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1710" s="3">
        <f>SUM(TS_ATHLETES[[#This Row],[GOLD MEDALS]:[BRONZE MEDALS]])</f>
        <v>1</v>
      </c>
      <c r="G1710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10000100</v>
      </c>
      <c r="H1710" s="3">
        <f>IF(TS_ATHLETES[[#This Row],[TOTAL]]=0,"",RANK(TS_ATHLETES[[#This Row],[RANK VALUE]],TS_ATHLETES[RANK VALUE]))</f>
        <v>660</v>
      </c>
      <c r="I1710" s="3">
        <f>IFERROR(IF(TS_ATHLETES[[#This Row],[TOTAL]]=0,"",RANK(TS_ATHLETES[[#This Row],[RANK VALUE]],TS_ATHLETES[RANK VALUE])+COUNTIF($H$1:H1709,H1710)),"")</f>
        <v>1173</v>
      </c>
    </row>
    <row r="1711" spans="1:9" x14ac:dyDescent="0.25">
      <c r="A1711" t="s">
        <v>2614</v>
      </c>
      <c r="B1711" s="3" t="s">
        <v>98</v>
      </c>
      <c r="C1711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1711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1711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1</v>
      </c>
      <c r="F1711" s="3">
        <f>SUM(TS_ATHLETES[[#This Row],[GOLD MEDALS]:[BRONZE MEDALS]])</f>
        <v>1</v>
      </c>
      <c r="G1711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10000010</v>
      </c>
      <c r="H1711" s="3">
        <f>IF(TS_ATHLETES[[#This Row],[TOTAL]]=0,"",RANK(TS_ATHLETES[[#This Row],[RANK VALUE]],TS_ATHLETES[RANK VALUE]))</f>
        <v>1224</v>
      </c>
      <c r="I1711" s="3">
        <f>IFERROR(IF(TS_ATHLETES[[#This Row],[TOTAL]]=0,"",RANK(TS_ATHLETES[[#This Row],[RANK VALUE]],TS_ATHLETES[RANK VALUE])+COUNTIF($H$1:H1710,H1711)),"")</f>
        <v>1808</v>
      </c>
    </row>
    <row r="1712" spans="1:9" x14ac:dyDescent="0.25">
      <c r="A1712" t="s">
        <v>2615</v>
      </c>
      <c r="B1712" s="3" t="s">
        <v>98</v>
      </c>
      <c r="C1712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1712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1712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1</v>
      </c>
      <c r="F1712" s="3">
        <f>SUM(TS_ATHLETES[[#This Row],[GOLD MEDALS]:[BRONZE MEDALS]])</f>
        <v>1</v>
      </c>
      <c r="G1712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10000010</v>
      </c>
      <c r="H1712" s="3">
        <f>IF(TS_ATHLETES[[#This Row],[TOTAL]]=0,"",RANK(TS_ATHLETES[[#This Row],[RANK VALUE]],TS_ATHLETES[RANK VALUE]))</f>
        <v>1224</v>
      </c>
      <c r="I1712" s="3">
        <f>IFERROR(IF(TS_ATHLETES[[#This Row],[TOTAL]]=0,"",RANK(TS_ATHLETES[[#This Row],[RANK VALUE]],TS_ATHLETES[RANK VALUE])+COUNTIF($H$1:H1711,H1712)),"")</f>
        <v>1809</v>
      </c>
    </row>
    <row r="1713" spans="1:9" x14ac:dyDescent="0.25">
      <c r="A1713" t="s">
        <v>2616</v>
      </c>
      <c r="B1713" s="3" t="s">
        <v>51</v>
      </c>
      <c r="C1713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1</v>
      </c>
      <c r="D1713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1713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1713" s="3">
        <f>SUM(TS_ATHLETES[[#This Row],[GOLD MEDALS]:[BRONZE MEDALS]])</f>
        <v>1</v>
      </c>
      <c r="G1713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10100000</v>
      </c>
      <c r="H1713" s="3">
        <f>IF(TS_ATHLETES[[#This Row],[TOTAL]]=0,"",RANK(TS_ATHLETES[[#This Row],[RANK VALUE]],TS_ATHLETES[RANK VALUE]))</f>
        <v>129</v>
      </c>
      <c r="I1713" s="3">
        <f>IFERROR(IF(TS_ATHLETES[[#This Row],[TOTAL]]=0,"",RANK(TS_ATHLETES[[#This Row],[RANK VALUE]],TS_ATHLETES[RANK VALUE])+COUNTIF($H$1:H1712,H1713)),"")</f>
        <v>609</v>
      </c>
    </row>
    <row r="1714" spans="1:9" x14ac:dyDescent="0.25">
      <c r="A1714" t="s">
        <v>2617</v>
      </c>
      <c r="B1714" s="3" t="s">
        <v>51</v>
      </c>
      <c r="C1714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1</v>
      </c>
      <c r="D1714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1714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1714" s="3">
        <f>SUM(TS_ATHLETES[[#This Row],[GOLD MEDALS]:[BRONZE MEDALS]])</f>
        <v>1</v>
      </c>
      <c r="G1714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10100000</v>
      </c>
      <c r="H1714" s="3">
        <f>IF(TS_ATHLETES[[#This Row],[TOTAL]]=0,"",RANK(TS_ATHLETES[[#This Row],[RANK VALUE]],TS_ATHLETES[RANK VALUE]))</f>
        <v>129</v>
      </c>
      <c r="I1714" s="3">
        <f>IFERROR(IF(TS_ATHLETES[[#This Row],[TOTAL]]=0,"",RANK(TS_ATHLETES[[#This Row],[RANK VALUE]],TS_ATHLETES[RANK VALUE])+COUNTIF($H$1:H1713,H1714)),"")</f>
        <v>610</v>
      </c>
    </row>
    <row r="1715" spans="1:9" x14ac:dyDescent="0.25">
      <c r="A1715" t="s">
        <v>2618</v>
      </c>
      <c r="B1715" s="3" t="s">
        <v>51</v>
      </c>
      <c r="C1715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1</v>
      </c>
      <c r="D1715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1715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1715" s="3">
        <f>SUM(TS_ATHLETES[[#This Row],[GOLD MEDALS]:[BRONZE MEDALS]])</f>
        <v>1</v>
      </c>
      <c r="G1715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10100000</v>
      </c>
      <c r="H1715" s="3">
        <f>IF(TS_ATHLETES[[#This Row],[TOTAL]]=0,"",RANK(TS_ATHLETES[[#This Row],[RANK VALUE]],TS_ATHLETES[RANK VALUE]))</f>
        <v>129</v>
      </c>
      <c r="I1715" s="3">
        <f>IFERROR(IF(TS_ATHLETES[[#This Row],[TOTAL]]=0,"",RANK(TS_ATHLETES[[#This Row],[RANK VALUE]],TS_ATHLETES[RANK VALUE])+COUNTIF($H$1:H1714,H1715)),"")</f>
        <v>611</v>
      </c>
    </row>
    <row r="1716" spans="1:9" x14ac:dyDescent="0.25">
      <c r="A1716" t="s">
        <v>2619</v>
      </c>
      <c r="B1716" s="3" t="s">
        <v>51</v>
      </c>
      <c r="C1716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1</v>
      </c>
      <c r="D1716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1716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1716" s="3">
        <f>SUM(TS_ATHLETES[[#This Row],[GOLD MEDALS]:[BRONZE MEDALS]])</f>
        <v>1</v>
      </c>
      <c r="G1716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10100000</v>
      </c>
      <c r="H1716" s="3">
        <f>IF(TS_ATHLETES[[#This Row],[TOTAL]]=0,"",RANK(TS_ATHLETES[[#This Row],[RANK VALUE]],TS_ATHLETES[RANK VALUE]))</f>
        <v>129</v>
      </c>
      <c r="I1716" s="3">
        <f>IFERROR(IF(TS_ATHLETES[[#This Row],[TOTAL]]=0,"",RANK(TS_ATHLETES[[#This Row],[RANK VALUE]],TS_ATHLETES[RANK VALUE])+COUNTIF($H$1:H1715,H1716)),"")</f>
        <v>612</v>
      </c>
    </row>
    <row r="1717" spans="1:9" x14ac:dyDescent="0.25">
      <c r="A1717" t="s">
        <v>2620</v>
      </c>
      <c r="B1717" s="3" t="s">
        <v>51</v>
      </c>
      <c r="C1717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1</v>
      </c>
      <c r="D1717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1717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1717" s="3">
        <f>SUM(TS_ATHLETES[[#This Row],[GOLD MEDALS]:[BRONZE MEDALS]])</f>
        <v>1</v>
      </c>
      <c r="G1717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10100000</v>
      </c>
      <c r="H1717" s="3">
        <f>IF(TS_ATHLETES[[#This Row],[TOTAL]]=0,"",RANK(TS_ATHLETES[[#This Row],[RANK VALUE]],TS_ATHLETES[RANK VALUE]))</f>
        <v>129</v>
      </c>
      <c r="I1717" s="3">
        <f>IFERROR(IF(TS_ATHLETES[[#This Row],[TOTAL]]=0,"",RANK(TS_ATHLETES[[#This Row],[RANK VALUE]],TS_ATHLETES[RANK VALUE])+COUNTIF($H$1:H1716,H1717)),"")</f>
        <v>613</v>
      </c>
    </row>
    <row r="1718" spans="1:9" x14ac:dyDescent="0.25">
      <c r="A1718" t="s">
        <v>2621</v>
      </c>
      <c r="B1718" s="3" t="s">
        <v>51</v>
      </c>
      <c r="C1718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1</v>
      </c>
      <c r="D1718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1718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1718" s="3">
        <f>SUM(TS_ATHLETES[[#This Row],[GOLD MEDALS]:[BRONZE MEDALS]])</f>
        <v>1</v>
      </c>
      <c r="G1718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10100000</v>
      </c>
      <c r="H1718" s="3">
        <f>IF(TS_ATHLETES[[#This Row],[TOTAL]]=0,"",RANK(TS_ATHLETES[[#This Row],[RANK VALUE]],TS_ATHLETES[RANK VALUE]))</f>
        <v>129</v>
      </c>
      <c r="I1718" s="3">
        <f>IFERROR(IF(TS_ATHLETES[[#This Row],[TOTAL]]=0,"",RANK(TS_ATHLETES[[#This Row],[RANK VALUE]],TS_ATHLETES[RANK VALUE])+COUNTIF($H$1:H1717,H1718)),"")</f>
        <v>614</v>
      </c>
    </row>
    <row r="1719" spans="1:9" x14ac:dyDescent="0.25">
      <c r="A1719" t="s">
        <v>2622</v>
      </c>
      <c r="B1719" s="3" t="s">
        <v>51</v>
      </c>
      <c r="C1719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1</v>
      </c>
      <c r="D1719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1719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1719" s="3">
        <f>SUM(TS_ATHLETES[[#This Row],[GOLD MEDALS]:[BRONZE MEDALS]])</f>
        <v>1</v>
      </c>
      <c r="G1719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10100000</v>
      </c>
      <c r="H1719" s="3">
        <f>IF(TS_ATHLETES[[#This Row],[TOTAL]]=0,"",RANK(TS_ATHLETES[[#This Row],[RANK VALUE]],TS_ATHLETES[RANK VALUE]))</f>
        <v>129</v>
      </c>
      <c r="I1719" s="3">
        <f>IFERROR(IF(TS_ATHLETES[[#This Row],[TOTAL]]=0,"",RANK(TS_ATHLETES[[#This Row],[RANK VALUE]],TS_ATHLETES[RANK VALUE])+COUNTIF($H$1:H1718,H1719)),"")</f>
        <v>615</v>
      </c>
    </row>
    <row r="1720" spans="1:9" x14ac:dyDescent="0.25">
      <c r="A1720" t="s">
        <v>2623</v>
      </c>
      <c r="B1720" s="3" t="s">
        <v>51</v>
      </c>
      <c r="C1720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1</v>
      </c>
      <c r="D1720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1720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1720" s="3">
        <f>SUM(TS_ATHLETES[[#This Row],[GOLD MEDALS]:[BRONZE MEDALS]])</f>
        <v>1</v>
      </c>
      <c r="G1720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10100000</v>
      </c>
      <c r="H1720" s="3">
        <f>IF(TS_ATHLETES[[#This Row],[TOTAL]]=0,"",RANK(TS_ATHLETES[[#This Row],[RANK VALUE]],TS_ATHLETES[RANK VALUE]))</f>
        <v>129</v>
      </c>
      <c r="I1720" s="3">
        <f>IFERROR(IF(TS_ATHLETES[[#This Row],[TOTAL]]=0,"",RANK(TS_ATHLETES[[#This Row],[RANK VALUE]],TS_ATHLETES[RANK VALUE])+COUNTIF($H$1:H1719,H1720)),"")</f>
        <v>616</v>
      </c>
    </row>
    <row r="1721" spans="1:9" x14ac:dyDescent="0.25">
      <c r="A1721" t="s">
        <v>2624</v>
      </c>
      <c r="B1721" s="3" t="s">
        <v>51</v>
      </c>
      <c r="C1721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1</v>
      </c>
      <c r="D1721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1721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1721" s="3">
        <f>SUM(TS_ATHLETES[[#This Row],[GOLD MEDALS]:[BRONZE MEDALS]])</f>
        <v>1</v>
      </c>
      <c r="G1721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10100000</v>
      </c>
      <c r="H1721" s="3">
        <f>IF(TS_ATHLETES[[#This Row],[TOTAL]]=0,"",RANK(TS_ATHLETES[[#This Row],[RANK VALUE]],TS_ATHLETES[RANK VALUE]))</f>
        <v>129</v>
      </c>
      <c r="I1721" s="3">
        <f>IFERROR(IF(TS_ATHLETES[[#This Row],[TOTAL]]=0,"",RANK(TS_ATHLETES[[#This Row],[RANK VALUE]],TS_ATHLETES[RANK VALUE])+COUNTIF($H$1:H1720,H1721)),"")</f>
        <v>617</v>
      </c>
    </row>
    <row r="1722" spans="1:9" x14ac:dyDescent="0.25">
      <c r="A1722" t="s">
        <v>2625</v>
      </c>
      <c r="B1722" s="3" t="s">
        <v>51</v>
      </c>
      <c r="C1722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1</v>
      </c>
      <c r="D1722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1722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1722" s="3">
        <f>SUM(TS_ATHLETES[[#This Row],[GOLD MEDALS]:[BRONZE MEDALS]])</f>
        <v>1</v>
      </c>
      <c r="G1722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10100000</v>
      </c>
      <c r="H1722" s="3">
        <f>IF(TS_ATHLETES[[#This Row],[TOTAL]]=0,"",RANK(TS_ATHLETES[[#This Row],[RANK VALUE]],TS_ATHLETES[RANK VALUE]))</f>
        <v>129</v>
      </c>
      <c r="I1722" s="3">
        <f>IFERROR(IF(TS_ATHLETES[[#This Row],[TOTAL]]=0,"",RANK(TS_ATHLETES[[#This Row],[RANK VALUE]],TS_ATHLETES[RANK VALUE])+COUNTIF($H$1:H1721,H1722)),"")</f>
        <v>618</v>
      </c>
    </row>
    <row r="1723" spans="1:9" x14ac:dyDescent="0.25">
      <c r="A1723" t="s">
        <v>2626</v>
      </c>
      <c r="B1723" s="3" t="s">
        <v>51</v>
      </c>
      <c r="C1723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1</v>
      </c>
      <c r="D1723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1723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1723" s="3">
        <f>SUM(TS_ATHLETES[[#This Row],[GOLD MEDALS]:[BRONZE MEDALS]])</f>
        <v>1</v>
      </c>
      <c r="G1723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10100000</v>
      </c>
      <c r="H1723" s="3">
        <f>IF(TS_ATHLETES[[#This Row],[TOTAL]]=0,"",RANK(TS_ATHLETES[[#This Row],[RANK VALUE]],TS_ATHLETES[RANK VALUE]))</f>
        <v>129</v>
      </c>
      <c r="I1723" s="3">
        <f>IFERROR(IF(TS_ATHLETES[[#This Row],[TOTAL]]=0,"",RANK(TS_ATHLETES[[#This Row],[RANK VALUE]],TS_ATHLETES[RANK VALUE])+COUNTIF($H$1:H1722,H1723)),"")</f>
        <v>619</v>
      </c>
    </row>
    <row r="1724" spans="1:9" x14ac:dyDescent="0.25">
      <c r="A1724" t="s">
        <v>2627</v>
      </c>
      <c r="B1724" s="3" t="s">
        <v>51</v>
      </c>
      <c r="C1724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1</v>
      </c>
      <c r="D1724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1724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1724" s="3">
        <f>SUM(TS_ATHLETES[[#This Row],[GOLD MEDALS]:[BRONZE MEDALS]])</f>
        <v>1</v>
      </c>
      <c r="G1724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10100000</v>
      </c>
      <c r="H1724" s="3">
        <f>IF(TS_ATHLETES[[#This Row],[TOTAL]]=0,"",RANK(TS_ATHLETES[[#This Row],[RANK VALUE]],TS_ATHLETES[RANK VALUE]))</f>
        <v>129</v>
      </c>
      <c r="I1724" s="3">
        <f>IFERROR(IF(TS_ATHLETES[[#This Row],[TOTAL]]=0,"",RANK(TS_ATHLETES[[#This Row],[RANK VALUE]],TS_ATHLETES[RANK VALUE])+COUNTIF($H$1:H1723,H1724)),"")</f>
        <v>620</v>
      </c>
    </row>
    <row r="1725" spans="1:9" x14ac:dyDescent="0.25">
      <c r="A1725" t="s">
        <v>2628</v>
      </c>
      <c r="B1725" s="3" t="s">
        <v>175</v>
      </c>
      <c r="C1725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1725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1</v>
      </c>
      <c r="E1725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1725" s="3">
        <f>SUM(TS_ATHLETES[[#This Row],[GOLD MEDALS]:[BRONZE MEDALS]])</f>
        <v>1</v>
      </c>
      <c r="G1725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10000100</v>
      </c>
      <c r="H1725" s="3">
        <f>IF(TS_ATHLETES[[#This Row],[TOTAL]]=0,"",RANK(TS_ATHLETES[[#This Row],[RANK VALUE]],TS_ATHLETES[RANK VALUE]))</f>
        <v>660</v>
      </c>
      <c r="I1725" s="3">
        <f>IFERROR(IF(TS_ATHLETES[[#This Row],[TOTAL]]=0,"",RANK(TS_ATHLETES[[#This Row],[RANK VALUE]],TS_ATHLETES[RANK VALUE])+COUNTIF($H$1:H1724,H1725)),"")</f>
        <v>1174</v>
      </c>
    </row>
    <row r="1726" spans="1:9" x14ac:dyDescent="0.25">
      <c r="A1726" t="s">
        <v>2629</v>
      </c>
      <c r="B1726" s="3" t="s">
        <v>175</v>
      </c>
      <c r="C1726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1726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1</v>
      </c>
      <c r="E1726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1726" s="3">
        <f>SUM(TS_ATHLETES[[#This Row],[GOLD MEDALS]:[BRONZE MEDALS]])</f>
        <v>1</v>
      </c>
      <c r="G1726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10000100</v>
      </c>
      <c r="H1726" s="3">
        <f>IF(TS_ATHLETES[[#This Row],[TOTAL]]=0,"",RANK(TS_ATHLETES[[#This Row],[RANK VALUE]],TS_ATHLETES[RANK VALUE]))</f>
        <v>660</v>
      </c>
      <c r="I1726" s="3">
        <f>IFERROR(IF(TS_ATHLETES[[#This Row],[TOTAL]]=0,"",RANK(TS_ATHLETES[[#This Row],[RANK VALUE]],TS_ATHLETES[RANK VALUE])+COUNTIF($H$1:H1725,H1726)),"")</f>
        <v>1175</v>
      </c>
    </row>
    <row r="1727" spans="1:9" x14ac:dyDescent="0.25">
      <c r="A1727" t="s">
        <v>2630</v>
      </c>
      <c r="B1727" s="3" t="s">
        <v>175</v>
      </c>
      <c r="C1727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1727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1</v>
      </c>
      <c r="E1727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1727" s="3">
        <f>SUM(TS_ATHLETES[[#This Row],[GOLD MEDALS]:[BRONZE MEDALS]])</f>
        <v>1</v>
      </c>
      <c r="G1727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10000100</v>
      </c>
      <c r="H1727" s="3">
        <f>IF(TS_ATHLETES[[#This Row],[TOTAL]]=0,"",RANK(TS_ATHLETES[[#This Row],[RANK VALUE]],TS_ATHLETES[RANK VALUE]))</f>
        <v>660</v>
      </c>
      <c r="I1727" s="3">
        <f>IFERROR(IF(TS_ATHLETES[[#This Row],[TOTAL]]=0,"",RANK(TS_ATHLETES[[#This Row],[RANK VALUE]],TS_ATHLETES[RANK VALUE])+COUNTIF($H$1:H1726,H1727)),"")</f>
        <v>1176</v>
      </c>
    </row>
    <row r="1728" spans="1:9" x14ac:dyDescent="0.25">
      <c r="A1728" t="s">
        <v>2631</v>
      </c>
      <c r="B1728" s="3" t="s">
        <v>175</v>
      </c>
      <c r="C1728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1728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1</v>
      </c>
      <c r="E1728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1728" s="3">
        <f>SUM(TS_ATHLETES[[#This Row],[GOLD MEDALS]:[BRONZE MEDALS]])</f>
        <v>1</v>
      </c>
      <c r="G1728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10000100</v>
      </c>
      <c r="H1728" s="3">
        <f>IF(TS_ATHLETES[[#This Row],[TOTAL]]=0,"",RANK(TS_ATHLETES[[#This Row],[RANK VALUE]],TS_ATHLETES[RANK VALUE]))</f>
        <v>660</v>
      </c>
      <c r="I1728" s="3">
        <f>IFERROR(IF(TS_ATHLETES[[#This Row],[TOTAL]]=0,"",RANK(TS_ATHLETES[[#This Row],[RANK VALUE]],TS_ATHLETES[RANK VALUE])+COUNTIF($H$1:H1727,H1728)),"")</f>
        <v>1177</v>
      </c>
    </row>
    <row r="1729" spans="1:9" x14ac:dyDescent="0.25">
      <c r="A1729" t="s">
        <v>2632</v>
      </c>
      <c r="B1729" s="3" t="s">
        <v>175</v>
      </c>
      <c r="C1729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1729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1</v>
      </c>
      <c r="E1729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1729" s="3">
        <f>SUM(TS_ATHLETES[[#This Row],[GOLD MEDALS]:[BRONZE MEDALS]])</f>
        <v>1</v>
      </c>
      <c r="G1729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10000100</v>
      </c>
      <c r="H1729" s="3">
        <f>IF(TS_ATHLETES[[#This Row],[TOTAL]]=0,"",RANK(TS_ATHLETES[[#This Row],[RANK VALUE]],TS_ATHLETES[RANK VALUE]))</f>
        <v>660</v>
      </c>
      <c r="I1729" s="3">
        <f>IFERROR(IF(TS_ATHLETES[[#This Row],[TOTAL]]=0,"",RANK(TS_ATHLETES[[#This Row],[RANK VALUE]],TS_ATHLETES[RANK VALUE])+COUNTIF($H$1:H1728,H1729)),"")</f>
        <v>1178</v>
      </c>
    </row>
    <row r="1730" spans="1:9" x14ac:dyDescent="0.25">
      <c r="A1730" t="s">
        <v>2633</v>
      </c>
      <c r="B1730" s="3" t="s">
        <v>175</v>
      </c>
      <c r="C1730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1730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1</v>
      </c>
      <c r="E1730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1730" s="3">
        <f>SUM(TS_ATHLETES[[#This Row],[GOLD MEDALS]:[BRONZE MEDALS]])</f>
        <v>1</v>
      </c>
      <c r="G1730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10000100</v>
      </c>
      <c r="H1730" s="3">
        <f>IF(TS_ATHLETES[[#This Row],[TOTAL]]=0,"",RANK(TS_ATHLETES[[#This Row],[RANK VALUE]],TS_ATHLETES[RANK VALUE]))</f>
        <v>660</v>
      </c>
      <c r="I1730" s="3">
        <f>IFERROR(IF(TS_ATHLETES[[#This Row],[TOTAL]]=0,"",RANK(TS_ATHLETES[[#This Row],[RANK VALUE]],TS_ATHLETES[RANK VALUE])+COUNTIF($H$1:H1729,H1730)),"")</f>
        <v>1179</v>
      </c>
    </row>
    <row r="1731" spans="1:9" x14ac:dyDescent="0.25">
      <c r="A1731" t="s">
        <v>2634</v>
      </c>
      <c r="B1731" s="3" t="s">
        <v>175</v>
      </c>
      <c r="C1731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1731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1</v>
      </c>
      <c r="E1731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1731" s="3">
        <f>SUM(TS_ATHLETES[[#This Row],[GOLD MEDALS]:[BRONZE MEDALS]])</f>
        <v>1</v>
      </c>
      <c r="G1731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10000100</v>
      </c>
      <c r="H1731" s="3">
        <f>IF(TS_ATHLETES[[#This Row],[TOTAL]]=0,"",RANK(TS_ATHLETES[[#This Row],[RANK VALUE]],TS_ATHLETES[RANK VALUE]))</f>
        <v>660</v>
      </c>
      <c r="I1731" s="3">
        <f>IFERROR(IF(TS_ATHLETES[[#This Row],[TOTAL]]=0,"",RANK(TS_ATHLETES[[#This Row],[RANK VALUE]],TS_ATHLETES[RANK VALUE])+COUNTIF($H$1:H1730,H1731)),"")</f>
        <v>1180</v>
      </c>
    </row>
    <row r="1732" spans="1:9" x14ac:dyDescent="0.25">
      <c r="A1732" t="s">
        <v>2635</v>
      </c>
      <c r="B1732" s="3" t="s">
        <v>175</v>
      </c>
      <c r="C1732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1732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1</v>
      </c>
      <c r="E1732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1732" s="3">
        <f>SUM(TS_ATHLETES[[#This Row],[GOLD MEDALS]:[BRONZE MEDALS]])</f>
        <v>1</v>
      </c>
      <c r="G1732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10000100</v>
      </c>
      <c r="H1732" s="3">
        <f>IF(TS_ATHLETES[[#This Row],[TOTAL]]=0,"",RANK(TS_ATHLETES[[#This Row],[RANK VALUE]],TS_ATHLETES[RANK VALUE]))</f>
        <v>660</v>
      </c>
      <c r="I1732" s="3">
        <f>IFERROR(IF(TS_ATHLETES[[#This Row],[TOTAL]]=0,"",RANK(TS_ATHLETES[[#This Row],[RANK VALUE]],TS_ATHLETES[RANK VALUE])+COUNTIF($H$1:H1731,H1732)),"")</f>
        <v>1181</v>
      </c>
    </row>
    <row r="1733" spans="1:9" x14ac:dyDescent="0.25">
      <c r="A1733" t="s">
        <v>2636</v>
      </c>
      <c r="B1733" s="3" t="s">
        <v>175</v>
      </c>
      <c r="C1733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1733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1</v>
      </c>
      <c r="E1733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1733" s="3">
        <f>SUM(TS_ATHLETES[[#This Row],[GOLD MEDALS]:[BRONZE MEDALS]])</f>
        <v>1</v>
      </c>
      <c r="G1733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10000100</v>
      </c>
      <c r="H1733" s="3">
        <f>IF(TS_ATHLETES[[#This Row],[TOTAL]]=0,"",RANK(TS_ATHLETES[[#This Row],[RANK VALUE]],TS_ATHLETES[RANK VALUE]))</f>
        <v>660</v>
      </c>
      <c r="I1733" s="3">
        <f>IFERROR(IF(TS_ATHLETES[[#This Row],[TOTAL]]=0,"",RANK(TS_ATHLETES[[#This Row],[RANK VALUE]],TS_ATHLETES[RANK VALUE])+COUNTIF($H$1:H1732,H1733)),"")</f>
        <v>1182</v>
      </c>
    </row>
    <row r="1734" spans="1:9" x14ac:dyDescent="0.25">
      <c r="A1734" t="s">
        <v>2637</v>
      </c>
      <c r="B1734" s="3" t="s">
        <v>175</v>
      </c>
      <c r="C1734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1734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1</v>
      </c>
      <c r="E1734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1734" s="3">
        <f>SUM(TS_ATHLETES[[#This Row],[GOLD MEDALS]:[BRONZE MEDALS]])</f>
        <v>1</v>
      </c>
      <c r="G1734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10000100</v>
      </c>
      <c r="H1734" s="3">
        <f>IF(TS_ATHLETES[[#This Row],[TOTAL]]=0,"",RANK(TS_ATHLETES[[#This Row],[RANK VALUE]],TS_ATHLETES[RANK VALUE]))</f>
        <v>660</v>
      </c>
      <c r="I1734" s="3">
        <f>IFERROR(IF(TS_ATHLETES[[#This Row],[TOTAL]]=0,"",RANK(TS_ATHLETES[[#This Row],[RANK VALUE]],TS_ATHLETES[RANK VALUE])+COUNTIF($H$1:H1733,H1734)),"")</f>
        <v>1183</v>
      </c>
    </row>
    <row r="1735" spans="1:9" x14ac:dyDescent="0.25">
      <c r="A1735" t="s">
        <v>2638</v>
      </c>
      <c r="B1735" s="3" t="s">
        <v>175</v>
      </c>
      <c r="C1735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1735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1</v>
      </c>
      <c r="E1735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1735" s="3">
        <f>SUM(TS_ATHLETES[[#This Row],[GOLD MEDALS]:[BRONZE MEDALS]])</f>
        <v>1</v>
      </c>
      <c r="G1735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10000100</v>
      </c>
      <c r="H1735" s="3">
        <f>IF(TS_ATHLETES[[#This Row],[TOTAL]]=0,"",RANK(TS_ATHLETES[[#This Row],[RANK VALUE]],TS_ATHLETES[RANK VALUE]))</f>
        <v>660</v>
      </c>
      <c r="I1735" s="3">
        <f>IFERROR(IF(TS_ATHLETES[[#This Row],[TOTAL]]=0,"",RANK(TS_ATHLETES[[#This Row],[RANK VALUE]],TS_ATHLETES[RANK VALUE])+COUNTIF($H$1:H1734,H1735)),"")</f>
        <v>1184</v>
      </c>
    </row>
    <row r="1736" spans="1:9" x14ac:dyDescent="0.25">
      <c r="A1736" t="s">
        <v>2639</v>
      </c>
      <c r="B1736" s="3" t="s">
        <v>175</v>
      </c>
      <c r="C1736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1736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1</v>
      </c>
      <c r="E1736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1736" s="3">
        <f>SUM(TS_ATHLETES[[#This Row],[GOLD MEDALS]:[BRONZE MEDALS]])</f>
        <v>1</v>
      </c>
      <c r="G1736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10000100</v>
      </c>
      <c r="H1736" s="3">
        <f>IF(TS_ATHLETES[[#This Row],[TOTAL]]=0,"",RANK(TS_ATHLETES[[#This Row],[RANK VALUE]],TS_ATHLETES[RANK VALUE]))</f>
        <v>660</v>
      </c>
      <c r="I1736" s="3">
        <f>IFERROR(IF(TS_ATHLETES[[#This Row],[TOTAL]]=0,"",RANK(TS_ATHLETES[[#This Row],[RANK VALUE]],TS_ATHLETES[RANK VALUE])+COUNTIF($H$1:H1735,H1736)),"")</f>
        <v>1185</v>
      </c>
    </row>
    <row r="1737" spans="1:9" x14ac:dyDescent="0.25">
      <c r="A1737" t="s">
        <v>2640</v>
      </c>
      <c r="B1737" s="3" t="s">
        <v>363</v>
      </c>
      <c r="C1737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1737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1737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1</v>
      </c>
      <c r="F1737" s="3">
        <f>SUM(TS_ATHLETES[[#This Row],[GOLD MEDALS]:[BRONZE MEDALS]])</f>
        <v>1</v>
      </c>
      <c r="G1737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10000010</v>
      </c>
      <c r="H1737" s="3">
        <f>IF(TS_ATHLETES[[#This Row],[TOTAL]]=0,"",RANK(TS_ATHLETES[[#This Row],[RANK VALUE]],TS_ATHLETES[RANK VALUE]))</f>
        <v>1224</v>
      </c>
      <c r="I1737" s="3">
        <f>IFERROR(IF(TS_ATHLETES[[#This Row],[TOTAL]]=0,"",RANK(TS_ATHLETES[[#This Row],[RANK VALUE]],TS_ATHLETES[RANK VALUE])+COUNTIF($H$1:H1736,H1737)),"")</f>
        <v>1810</v>
      </c>
    </row>
    <row r="1738" spans="1:9" x14ac:dyDescent="0.25">
      <c r="A1738" t="s">
        <v>2641</v>
      </c>
      <c r="B1738" s="3" t="s">
        <v>363</v>
      </c>
      <c r="C1738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1738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1738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1</v>
      </c>
      <c r="F1738" s="3">
        <f>SUM(TS_ATHLETES[[#This Row],[GOLD MEDALS]:[BRONZE MEDALS]])</f>
        <v>1</v>
      </c>
      <c r="G1738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10000010</v>
      </c>
      <c r="H1738" s="3">
        <f>IF(TS_ATHLETES[[#This Row],[TOTAL]]=0,"",RANK(TS_ATHLETES[[#This Row],[RANK VALUE]],TS_ATHLETES[RANK VALUE]))</f>
        <v>1224</v>
      </c>
      <c r="I1738" s="3">
        <f>IFERROR(IF(TS_ATHLETES[[#This Row],[TOTAL]]=0,"",RANK(TS_ATHLETES[[#This Row],[RANK VALUE]],TS_ATHLETES[RANK VALUE])+COUNTIF($H$1:H1737,H1738)),"")</f>
        <v>1811</v>
      </c>
    </row>
    <row r="1739" spans="1:9" x14ac:dyDescent="0.25">
      <c r="A1739" t="s">
        <v>2642</v>
      </c>
      <c r="B1739" s="3" t="s">
        <v>363</v>
      </c>
      <c r="C1739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1739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1739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1</v>
      </c>
      <c r="F1739" s="3">
        <f>SUM(TS_ATHLETES[[#This Row],[GOLD MEDALS]:[BRONZE MEDALS]])</f>
        <v>1</v>
      </c>
      <c r="G1739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10000010</v>
      </c>
      <c r="H1739" s="3">
        <f>IF(TS_ATHLETES[[#This Row],[TOTAL]]=0,"",RANK(TS_ATHLETES[[#This Row],[RANK VALUE]],TS_ATHLETES[RANK VALUE]))</f>
        <v>1224</v>
      </c>
      <c r="I1739" s="3">
        <f>IFERROR(IF(TS_ATHLETES[[#This Row],[TOTAL]]=0,"",RANK(TS_ATHLETES[[#This Row],[RANK VALUE]],TS_ATHLETES[RANK VALUE])+COUNTIF($H$1:H1738,H1739)),"")</f>
        <v>1812</v>
      </c>
    </row>
    <row r="1740" spans="1:9" x14ac:dyDescent="0.25">
      <c r="A1740" t="s">
        <v>2643</v>
      </c>
      <c r="B1740" s="3" t="s">
        <v>363</v>
      </c>
      <c r="C1740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1740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1740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1</v>
      </c>
      <c r="F1740" s="3">
        <f>SUM(TS_ATHLETES[[#This Row],[GOLD MEDALS]:[BRONZE MEDALS]])</f>
        <v>1</v>
      </c>
      <c r="G1740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10000010</v>
      </c>
      <c r="H1740" s="3">
        <f>IF(TS_ATHLETES[[#This Row],[TOTAL]]=0,"",RANK(TS_ATHLETES[[#This Row],[RANK VALUE]],TS_ATHLETES[RANK VALUE]))</f>
        <v>1224</v>
      </c>
      <c r="I1740" s="3">
        <f>IFERROR(IF(TS_ATHLETES[[#This Row],[TOTAL]]=0,"",RANK(TS_ATHLETES[[#This Row],[RANK VALUE]],TS_ATHLETES[RANK VALUE])+COUNTIF($H$1:H1739,H1740)),"")</f>
        <v>1813</v>
      </c>
    </row>
    <row r="1741" spans="1:9" x14ac:dyDescent="0.25">
      <c r="A1741" t="s">
        <v>2644</v>
      </c>
      <c r="B1741" s="3" t="s">
        <v>363</v>
      </c>
      <c r="C1741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1741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1741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1</v>
      </c>
      <c r="F1741" s="3">
        <f>SUM(TS_ATHLETES[[#This Row],[GOLD MEDALS]:[BRONZE MEDALS]])</f>
        <v>1</v>
      </c>
      <c r="G1741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10000010</v>
      </c>
      <c r="H1741" s="3">
        <f>IF(TS_ATHLETES[[#This Row],[TOTAL]]=0,"",RANK(TS_ATHLETES[[#This Row],[RANK VALUE]],TS_ATHLETES[RANK VALUE]))</f>
        <v>1224</v>
      </c>
      <c r="I1741" s="3">
        <f>IFERROR(IF(TS_ATHLETES[[#This Row],[TOTAL]]=0,"",RANK(TS_ATHLETES[[#This Row],[RANK VALUE]],TS_ATHLETES[RANK VALUE])+COUNTIF($H$1:H1740,H1741)),"")</f>
        <v>1814</v>
      </c>
    </row>
    <row r="1742" spans="1:9" x14ac:dyDescent="0.25">
      <c r="A1742" t="s">
        <v>2645</v>
      </c>
      <c r="B1742" s="3" t="s">
        <v>363</v>
      </c>
      <c r="C1742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1742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1742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1</v>
      </c>
      <c r="F1742" s="3">
        <f>SUM(TS_ATHLETES[[#This Row],[GOLD MEDALS]:[BRONZE MEDALS]])</f>
        <v>1</v>
      </c>
      <c r="G1742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10000010</v>
      </c>
      <c r="H1742" s="3">
        <f>IF(TS_ATHLETES[[#This Row],[TOTAL]]=0,"",RANK(TS_ATHLETES[[#This Row],[RANK VALUE]],TS_ATHLETES[RANK VALUE]))</f>
        <v>1224</v>
      </c>
      <c r="I1742" s="3">
        <f>IFERROR(IF(TS_ATHLETES[[#This Row],[TOTAL]]=0,"",RANK(TS_ATHLETES[[#This Row],[RANK VALUE]],TS_ATHLETES[RANK VALUE])+COUNTIF($H$1:H1741,H1742)),"")</f>
        <v>1815</v>
      </c>
    </row>
    <row r="1743" spans="1:9" x14ac:dyDescent="0.25">
      <c r="A1743" t="s">
        <v>2646</v>
      </c>
      <c r="B1743" s="3" t="s">
        <v>363</v>
      </c>
      <c r="C1743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1743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1743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1</v>
      </c>
      <c r="F1743" s="3">
        <f>SUM(TS_ATHLETES[[#This Row],[GOLD MEDALS]:[BRONZE MEDALS]])</f>
        <v>1</v>
      </c>
      <c r="G1743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10000010</v>
      </c>
      <c r="H1743" s="3">
        <f>IF(TS_ATHLETES[[#This Row],[TOTAL]]=0,"",RANK(TS_ATHLETES[[#This Row],[RANK VALUE]],TS_ATHLETES[RANK VALUE]))</f>
        <v>1224</v>
      </c>
      <c r="I1743" s="3">
        <f>IFERROR(IF(TS_ATHLETES[[#This Row],[TOTAL]]=0,"",RANK(TS_ATHLETES[[#This Row],[RANK VALUE]],TS_ATHLETES[RANK VALUE])+COUNTIF($H$1:H1742,H1743)),"")</f>
        <v>1816</v>
      </c>
    </row>
    <row r="1744" spans="1:9" x14ac:dyDescent="0.25">
      <c r="A1744" t="s">
        <v>2647</v>
      </c>
      <c r="B1744" s="3" t="s">
        <v>363</v>
      </c>
      <c r="C1744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1744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1744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1</v>
      </c>
      <c r="F1744" s="3">
        <f>SUM(TS_ATHLETES[[#This Row],[GOLD MEDALS]:[BRONZE MEDALS]])</f>
        <v>1</v>
      </c>
      <c r="G1744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10000010</v>
      </c>
      <c r="H1744" s="3">
        <f>IF(TS_ATHLETES[[#This Row],[TOTAL]]=0,"",RANK(TS_ATHLETES[[#This Row],[RANK VALUE]],TS_ATHLETES[RANK VALUE]))</f>
        <v>1224</v>
      </c>
      <c r="I1744" s="3">
        <f>IFERROR(IF(TS_ATHLETES[[#This Row],[TOTAL]]=0,"",RANK(TS_ATHLETES[[#This Row],[RANK VALUE]],TS_ATHLETES[RANK VALUE])+COUNTIF($H$1:H1743,H1744)),"")</f>
        <v>1817</v>
      </c>
    </row>
    <row r="1745" spans="1:9" x14ac:dyDescent="0.25">
      <c r="A1745" t="s">
        <v>2648</v>
      </c>
      <c r="B1745" s="3" t="s">
        <v>363</v>
      </c>
      <c r="C1745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1745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1745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1</v>
      </c>
      <c r="F1745" s="3">
        <f>SUM(TS_ATHLETES[[#This Row],[GOLD MEDALS]:[BRONZE MEDALS]])</f>
        <v>1</v>
      </c>
      <c r="G1745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10000010</v>
      </c>
      <c r="H1745" s="3">
        <f>IF(TS_ATHLETES[[#This Row],[TOTAL]]=0,"",RANK(TS_ATHLETES[[#This Row],[RANK VALUE]],TS_ATHLETES[RANK VALUE]))</f>
        <v>1224</v>
      </c>
      <c r="I1745" s="3">
        <f>IFERROR(IF(TS_ATHLETES[[#This Row],[TOTAL]]=0,"",RANK(TS_ATHLETES[[#This Row],[RANK VALUE]],TS_ATHLETES[RANK VALUE])+COUNTIF($H$1:H1744,H1745)),"")</f>
        <v>1818</v>
      </c>
    </row>
    <row r="1746" spans="1:9" x14ac:dyDescent="0.25">
      <c r="A1746" t="s">
        <v>2649</v>
      </c>
      <c r="B1746" s="3" t="s">
        <v>363</v>
      </c>
      <c r="C1746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1746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1746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1</v>
      </c>
      <c r="F1746" s="3">
        <f>SUM(TS_ATHLETES[[#This Row],[GOLD MEDALS]:[BRONZE MEDALS]])</f>
        <v>1</v>
      </c>
      <c r="G1746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10000010</v>
      </c>
      <c r="H1746" s="3">
        <f>IF(TS_ATHLETES[[#This Row],[TOTAL]]=0,"",RANK(TS_ATHLETES[[#This Row],[RANK VALUE]],TS_ATHLETES[RANK VALUE]))</f>
        <v>1224</v>
      </c>
      <c r="I1746" s="3">
        <f>IFERROR(IF(TS_ATHLETES[[#This Row],[TOTAL]]=0,"",RANK(TS_ATHLETES[[#This Row],[RANK VALUE]],TS_ATHLETES[RANK VALUE])+COUNTIF($H$1:H1745,H1746)),"")</f>
        <v>1819</v>
      </c>
    </row>
    <row r="1747" spans="1:9" x14ac:dyDescent="0.25">
      <c r="A1747" t="s">
        <v>2650</v>
      </c>
      <c r="B1747" s="3" t="s">
        <v>363</v>
      </c>
      <c r="C1747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1747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1747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1</v>
      </c>
      <c r="F1747" s="3">
        <f>SUM(TS_ATHLETES[[#This Row],[GOLD MEDALS]:[BRONZE MEDALS]])</f>
        <v>1</v>
      </c>
      <c r="G1747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10000010</v>
      </c>
      <c r="H1747" s="3">
        <f>IF(TS_ATHLETES[[#This Row],[TOTAL]]=0,"",RANK(TS_ATHLETES[[#This Row],[RANK VALUE]],TS_ATHLETES[RANK VALUE]))</f>
        <v>1224</v>
      </c>
      <c r="I1747" s="3">
        <f>IFERROR(IF(TS_ATHLETES[[#This Row],[TOTAL]]=0,"",RANK(TS_ATHLETES[[#This Row],[RANK VALUE]],TS_ATHLETES[RANK VALUE])+COUNTIF($H$1:H1746,H1747)),"")</f>
        <v>1820</v>
      </c>
    </row>
    <row r="1748" spans="1:9" x14ac:dyDescent="0.25">
      <c r="A1748" t="s">
        <v>2651</v>
      </c>
      <c r="B1748" s="3" t="s">
        <v>363</v>
      </c>
      <c r="C1748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1748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1748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1</v>
      </c>
      <c r="F1748" s="3">
        <f>SUM(TS_ATHLETES[[#This Row],[GOLD MEDALS]:[BRONZE MEDALS]])</f>
        <v>1</v>
      </c>
      <c r="G1748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10000010</v>
      </c>
      <c r="H1748" s="3">
        <f>IF(TS_ATHLETES[[#This Row],[TOTAL]]=0,"",RANK(TS_ATHLETES[[#This Row],[RANK VALUE]],TS_ATHLETES[RANK VALUE]))</f>
        <v>1224</v>
      </c>
      <c r="I1748" s="3">
        <f>IFERROR(IF(TS_ATHLETES[[#This Row],[TOTAL]]=0,"",RANK(TS_ATHLETES[[#This Row],[RANK VALUE]],TS_ATHLETES[RANK VALUE])+COUNTIF($H$1:H1747,H1748)),"")</f>
        <v>1821</v>
      </c>
    </row>
    <row r="1749" spans="1:9" x14ac:dyDescent="0.25">
      <c r="A1749" t="s">
        <v>2652</v>
      </c>
      <c r="B1749" s="3" t="s">
        <v>77</v>
      </c>
      <c r="C1749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1</v>
      </c>
      <c r="D1749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1749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1749" s="3">
        <f>SUM(TS_ATHLETES[[#This Row],[GOLD MEDALS]:[BRONZE MEDALS]])</f>
        <v>1</v>
      </c>
      <c r="G1749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10100000</v>
      </c>
      <c r="H1749" s="3">
        <f>IF(TS_ATHLETES[[#This Row],[TOTAL]]=0,"",RANK(TS_ATHLETES[[#This Row],[RANK VALUE]],TS_ATHLETES[RANK VALUE]))</f>
        <v>129</v>
      </c>
      <c r="I1749" s="3">
        <f>IFERROR(IF(TS_ATHLETES[[#This Row],[TOTAL]]=0,"",RANK(TS_ATHLETES[[#This Row],[RANK VALUE]],TS_ATHLETES[RANK VALUE])+COUNTIF($H$1:H1748,H1749)),"")</f>
        <v>621</v>
      </c>
    </row>
    <row r="1750" spans="1:9" x14ac:dyDescent="0.25">
      <c r="A1750" t="s">
        <v>2653</v>
      </c>
      <c r="B1750" s="3" t="s">
        <v>77</v>
      </c>
      <c r="C1750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1</v>
      </c>
      <c r="D1750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1750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1750" s="3">
        <f>SUM(TS_ATHLETES[[#This Row],[GOLD MEDALS]:[BRONZE MEDALS]])</f>
        <v>1</v>
      </c>
      <c r="G1750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10100000</v>
      </c>
      <c r="H1750" s="3">
        <f>IF(TS_ATHLETES[[#This Row],[TOTAL]]=0,"",RANK(TS_ATHLETES[[#This Row],[RANK VALUE]],TS_ATHLETES[RANK VALUE]))</f>
        <v>129</v>
      </c>
      <c r="I1750" s="3">
        <f>IFERROR(IF(TS_ATHLETES[[#This Row],[TOTAL]]=0,"",RANK(TS_ATHLETES[[#This Row],[RANK VALUE]],TS_ATHLETES[RANK VALUE])+COUNTIF($H$1:H1749,H1750)),"")</f>
        <v>622</v>
      </c>
    </row>
    <row r="1751" spans="1:9" x14ac:dyDescent="0.25">
      <c r="A1751" t="s">
        <v>2654</v>
      </c>
      <c r="B1751" s="3" t="s">
        <v>77</v>
      </c>
      <c r="C1751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1</v>
      </c>
      <c r="D1751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1751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1751" s="3">
        <f>SUM(TS_ATHLETES[[#This Row],[GOLD MEDALS]:[BRONZE MEDALS]])</f>
        <v>1</v>
      </c>
      <c r="G1751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10100000</v>
      </c>
      <c r="H1751" s="3">
        <f>IF(TS_ATHLETES[[#This Row],[TOTAL]]=0,"",RANK(TS_ATHLETES[[#This Row],[RANK VALUE]],TS_ATHLETES[RANK VALUE]))</f>
        <v>129</v>
      </c>
      <c r="I1751" s="3">
        <f>IFERROR(IF(TS_ATHLETES[[#This Row],[TOTAL]]=0,"",RANK(TS_ATHLETES[[#This Row],[RANK VALUE]],TS_ATHLETES[RANK VALUE])+COUNTIF($H$1:H1750,H1751)),"")</f>
        <v>623</v>
      </c>
    </row>
    <row r="1752" spans="1:9" x14ac:dyDescent="0.25">
      <c r="A1752" t="s">
        <v>2655</v>
      </c>
      <c r="B1752" s="3" t="s">
        <v>77</v>
      </c>
      <c r="C1752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1</v>
      </c>
      <c r="D1752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1752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1752" s="3">
        <f>SUM(TS_ATHLETES[[#This Row],[GOLD MEDALS]:[BRONZE MEDALS]])</f>
        <v>1</v>
      </c>
      <c r="G1752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10100000</v>
      </c>
      <c r="H1752" s="3">
        <f>IF(TS_ATHLETES[[#This Row],[TOTAL]]=0,"",RANK(TS_ATHLETES[[#This Row],[RANK VALUE]],TS_ATHLETES[RANK VALUE]))</f>
        <v>129</v>
      </c>
      <c r="I1752" s="3">
        <f>IFERROR(IF(TS_ATHLETES[[#This Row],[TOTAL]]=0,"",RANK(TS_ATHLETES[[#This Row],[RANK VALUE]],TS_ATHLETES[RANK VALUE])+COUNTIF($H$1:H1751,H1752)),"")</f>
        <v>624</v>
      </c>
    </row>
    <row r="1753" spans="1:9" x14ac:dyDescent="0.25">
      <c r="A1753" t="s">
        <v>2656</v>
      </c>
      <c r="B1753" s="3" t="s">
        <v>77</v>
      </c>
      <c r="C1753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1</v>
      </c>
      <c r="D1753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1753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1753" s="3">
        <f>SUM(TS_ATHLETES[[#This Row],[GOLD MEDALS]:[BRONZE MEDALS]])</f>
        <v>1</v>
      </c>
      <c r="G1753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10100000</v>
      </c>
      <c r="H1753" s="3">
        <f>IF(TS_ATHLETES[[#This Row],[TOTAL]]=0,"",RANK(TS_ATHLETES[[#This Row],[RANK VALUE]],TS_ATHLETES[RANK VALUE]))</f>
        <v>129</v>
      </c>
      <c r="I1753" s="3">
        <f>IFERROR(IF(TS_ATHLETES[[#This Row],[TOTAL]]=0,"",RANK(TS_ATHLETES[[#This Row],[RANK VALUE]],TS_ATHLETES[RANK VALUE])+COUNTIF($H$1:H1752,H1753)),"")</f>
        <v>625</v>
      </c>
    </row>
    <row r="1754" spans="1:9" x14ac:dyDescent="0.25">
      <c r="A1754" t="s">
        <v>2657</v>
      </c>
      <c r="B1754" s="3" t="s">
        <v>77</v>
      </c>
      <c r="C1754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1</v>
      </c>
      <c r="D1754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1754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1754" s="3">
        <f>SUM(TS_ATHLETES[[#This Row],[GOLD MEDALS]:[BRONZE MEDALS]])</f>
        <v>1</v>
      </c>
      <c r="G1754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10100000</v>
      </c>
      <c r="H1754" s="3">
        <f>IF(TS_ATHLETES[[#This Row],[TOTAL]]=0,"",RANK(TS_ATHLETES[[#This Row],[RANK VALUE]],TS_ATHLETES[RANK VALUE]))</f>
        <v>129</v>
      </c>
      <c r="I1754" s="3">
        <f>IFERROR(IF(TS_ATHLETES[[#This Row],[TOTAL]]=0,"",RANK(TS_ATHLETES[[#This Row],[RANK VALUE]],TS_ATHLETES[RANK VALUE])+COUNTIF($H$1:H1753,H1754)),"")</f>
        <v>626</v>
      </c>
    </row>
    <row r="1755" spans="1:9" x14ac:dyDescent="0.25">
      <c r="A1755" t="s">
        <v>2658</v>
      </c>
      <c r="B1755" s="3" t="s">
        <v>77</v>
      </c>
      <c r="C1755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1</v>
      </c>
      <c r="D1755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1755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1755" s="3">
        <f>SUM(TS_ATHLETES[[#This Row],[GOLD MEDALS]:[BRONZE MEDALS]])</f>
        <v>1</v>
      </c>
      <c r="G1755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10100000</v>
      </c>
      <c r="H1755" s="3">
        <f>IF(TS_ATHLETES[[#This Row],[TOTAL]]=0,"",RANK(TS_ATHLETES[[#This Row],[RANK VALUE]],TS_ATHLETES[RANK VALUE]))</f>
        <v>129</v>
      </c>
      <c r="I1755" s="3">
        <f>IFERROR(IF(TS_ATHLETES[[#This Row],[TOTAL]]=0,"",RANK(TS_ATHLETES[[#This Row],[RANK VALUE]],TS_ATHLETES[RANK VALUE])+COUNTIF($H$1:H1754,H1755)),"")</f>
        <v>627</v>
      </c>
    </row>
    <row r="1756" spans="1:9" x14ac:dyDescent="0.25">
      <c r="A1756" t="s">
        <v>2659</v>
      </c>
      <c r="B1756" s="3" t="s">
        <v>77</v>
      </c>
      <c r="C1756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1</v>
      </c>
      <c r="D1756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1756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1756" s="3">
        <f>SUM(TS_ATHLETES[[#This Row],[GOLD MEDALS]:[BRONZE MEDALS]])</f>
        <v>1</v>
      </c>
      <c r="G1756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10100000</v>
      </c>
      <c r="H1756" s="3">
        <f>IF(TS_ATHLETES[[#This Row],[TOTAL]]=0,"",RANK(TS_ATHLETES[[#This Row],[RANK VALUE]],TS_ATHLETES[RANK VALUE]))</f>
        <v>129</v>
      </c>
      <c r="I1756" s="3">
        <f>IFERROR(IF(TS_ATHLETES[[#This Row],[TOTAL]]=0,"",RANK(TS_ATHLETES[[#This Row],[RANK VALUE]],TS_ATHLETES[RANK VALUE])+COUNTIF($H$1:H1755,H1756)),"")</f>
        <v>628</v>
      </c>
    </row>
    <row r="1757" spans="1:9" x14ac:dyDescent="0.25">
      <c r="A1757" t="s">
        <v>2660</v>
      </c>
      <c r="B1757" s="3" t="s">
        <v>77</v>
      </c>
      <c r="C1757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1</v>
      </c>
      <c r="D1757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1757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1757" s="3">
        <f>SUM(TS_ATHLETES[[#This Row],[GOLD MEDALS]:[BRONZE MEDALS]])</f>
        <v>1</v>
      </c>
      <c r="G1757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10100000</v>
      </c>
      <c r="H1757" s="3">
        <f>IF(TS_ATHLETES[[#This Row],[TOTAL]]=0,"",RANK(TS_ATHLETES[[#This Row],[RANK VALUE]],TS_ATHLETES[RANK VALUE]))</f>
        <v>129</v>
      </c>
      <c r="I1757" s="3">
        <f>IFERROR(IF(TS_ATHLETES[[#This Row],[TOTAL]]=0,"",RANK(TS_ATHLETES[[#This Row],[RANK VALUE]],TS_ATHLETES[RANK VALUE])+COUNTIF($H$1:H1756,H1757)),"")</f>
        <v>629</v>
      </c>
    </row>
    <row r="1758" spans="1:9" x14ac:dyDescent="0.25">
      <c r="A1758" t="s">
        <v>2661</v>
      </c>
      <c r="B1758" s="3" t="s">
        <v>77</v>
      </c>
      <c r="C1758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1</v>
      </c>
      <c r="D1758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1758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1758" s="3">
        <f>SUM(TS_ATHLETES[[#This Row],[GOLD MEDALS]:[BRONZE MEDALS]])</f>
        <v>1</v>
      </c>
      <c r="G1758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10100000</v>
      </c>
      <c r="H1758" s="3">
        <f>IF(TS_ATHLETES[[#This Row],[TOTAL]]=0,"",RANK(TS_ATHLETES[[#This Row],[RANK VALUE]],TS_ATHLETES[RANK VALUE]))</f>
        <v>129</v>
      </c>
      <c r="I1758" s="3">
        <f>IFERROR(IF(TS_ATHLETES[[#This Row],[TOTAL]]=0,"",RANK(TS_ATHLETES[[#This Row],[RANK VALUE]],TS_ATHLETES[RANK VALUE])+COUNTIF($H$1:H1757,H1758)),"")</f>
        <v>630</v>
      </c>
    </row>
    <row r="1759" spans="1:9" x14ac:dyDescent="0.25">
      <c r="A1759" t="s">
        <v>2662</v>
      </c>
      <c r="B1759" s="3" t="s">
        <v>77</v>
      </c>
      <c r="C1759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1</v>
      </c>
      <c r="D1759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1759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1759" s="3">
        <f>SUM(TS_ATHLETES[[#This Row],[GOLD MEDALS]:[BRONZE MEDALS]])</f>
        <v>1</v>
      </c>
      <c r="G1759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10100000</v>
      </c>
      <c r="H1759" s="3">
        <f>IF(TS_ATHLETES[[#This Row],[TOTAL]]=0,"",RANK(TS_ATHLETES[[#This Row],[RANK VALUE]],TS_ATHLETES[RANK VALUE]))</f>
        <v>129</v>
      </c>
      <c r="I1759" s="3">
        <f>IFERROR(IF(TS_ATHLETES[[#This Row],[TOTAL]]=0,"",RANK(TS_ATHLETES[[#This Row],[RANK VALUE]],TS_ATHLETES[RANK VALUE])+COUNTIF($H$1:H1758,H1759)),"")</f>
        <v>631</v>
      </c>
    </row>
    <row r="1760" spans="1:9" x14ac:dyDescent="0.25">
      <c r="A1760" t="s">
        <v>2663</v>
      </c>
      <c r="B1760" s="3" t="s">
        <v>77</v>
      </c>
      <c r="C1760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1</v>
      </c>
      <c r="D1760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1760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1760" s="3">
        <f>SUM(TS_ATHLETES[[#This Row],[GOLD MEDALS]:[BRONZE MEDALS]])</f>
        <v>1</v>
      </c>
      <c r="G1760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10100000</v>
      </c>
      <c r="H1760" s="3">
        <f>IF(TS_ATHLETES[[#This Row],[TOTAL]]=0,"",RANK(TS_ATHLETES[[#This Row],[RANK VALUE]],TS_ATHLETES[RANK VALUE]))</f>
        <v>129</v>
      </c>
      <c r="I1760" s="3">
        <f>IFERROR(IF(TS_ATHLETES[[#This Row],[TOTAL]]=0,"",RANK(TS_ATHLETES[[#This Row],[RANK VALUE]],TS_ATHLETES[RANK VALUE])+COUNTIF($H$1:H1759,H1760)),"")</f>
        <v>632</v>
      </c>
    </row>
    <row r="1761" spans="1:9" x14ac:dyDescent="0.25">
      <c r="A1761" t="s">
        <v>2664</v>
      </c>
      <c r="B1761" s="3" t="s">
        <v>536</v>
      </c>
      <c r="C1761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1761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1</v>
      </c>
      <c r="E1761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1761" s="3">
        <f>SUM(TS_ATHLETES[[#This Row],[GOLD MEDALS]:[BRONZE MEDALS]])</f>
        <v>1</v>
      </c>
      <c r="G1761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10000100</v>
      </c>
      <c r="H1761" s="3">
        <f>IF(TS_ATHLETES[[#This Row],[TOTAL]]=0,"",RANK(TS_ATHLETES[[#This Row],[RANK VALUE]],TS_ATHLETES[RANK VALUE]))</f>
        <v>660</v>
      </c>
      <c r="I1761" s="3">
        <f>IFERROR(IF(TS_ATHLETES[[#This Row],[TOTAL]]=0,"",RANK(TS_ATHLETES[[#This Row],[RANK VALUE]],TS_ATHLETES[RANK VALUE])+COUNTIF($H$1:H1760,H1761)),"")</f>
        <v>1186</v>
      </c>
    </row>
    <row r="1762" spans="1:9" x14ac:dyDescent="0.25">
      <c r="A1762" t="s">
        <v>2665</v>
      </c>
      <c r="B1762" s="3" t="s">
        <v>536</v>
      </c>
      <c r="C1762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1762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1</v>
      </c>
      <c r="E1762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1762" s="3">
        <f>SUM(TS_ATHLETES[[#This Row],[GOLD MEDALS]:[BRONZE MEDALS]])</f>
        <v>1</v>
      </c>
      <c r="G1762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10000100</v>
      </c>
      <c r="H1762" s="3">
        <f>IF(TS_ATHLETES[[#This Row],[TOTAL]]=0,"",RANK(TS_ATHLETES[[#This Row],[RANK VALUE]],TS_ATHLETES[RANK VALUE]))</f>
        <v>660</v>
      </c>
      <c r="I1762" s="3">
        <f>IFERROR(IF(TS_ATHLETES[[#This Row],[TOTAL]]=0,"",RANK(TS_ATHLETES[[#This Row],[RANK VALUE]],TS_ATHLETES[RANK VALUE])+COUNTIF($H$1:H1761,H1762)),"")</f>
        <v>1187</v>
      </c>
    </row>
    <row r="1763" spans="1:9" x14ac:dyDescent="0.25">
      <c r="A1763" t="s">
        <v>2666</v>
      </c>
      <c r="B1763" s="3" t="s">
        <v>536</v>
      </c>
      <c r="C1763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1763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1</v>
      </c>
      <c r="E1763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1763" s="3">
        <f>SUM(TS_ATHLETES[[#This Row],[GOLD MEDALS]:[BRONZE MEDALS]])</f>
        <v>1</v>
      </c>
      <c r="G1763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10000100</v>
      </c>
      <c r="H1763" s="3">
        <f>IF(TS_ATHLETES[[#This Row],[TOTAL]]=0,"",RANK(TS_ATHLETES[[#This Row],[RANK VALUE]],TS_ATHLETES[RANK VALUE]))</f>
        <v>660</v>
      </c>
      <c r="I1763" s="3">
        <f>IFERROR(IF(TS_ATHLETES[[#This Row],[TOTAL]]=0,"",RANK(TS_ATHLETES[[#This Row],[RANK VALUE]],TS_ATHLETES[RANK VALUE])+COUNTIF($H$1:H1762,H1763)),"")</f>
        <v>1188</v>
      </c>
    </row>
    <row r="1764" spans="1:9" x14ac:dyDescent="0.25">
      <c r="A1764" t="s">
        <v>2667</v>
      </c>
      <c r="B1764" s="3" t="s">
        <v>536</v>
      </c>
      <c r="C1764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1764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1</v>
      </c>
      <c r="E1764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1764" s="3">
        <f>SUM(TS_ATHLETES[[#This Row],[GOLD MEDALS]:[BRONZE MEDALS]])</f>
        <v>1</v>
      </c>
      <c r="G1764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10000100</v>
      </c>
      <c r="H1764" s="3">
        <f>IF(TS_ATHLETES[[#This Row],[TOTAL]]=0,"",RANK(TS_ATHLETES[[#This Row],[RANK VALUE]],TS_ATHLETES[RANK VALUE]))</f>
        <v>660</v>
      </c>
      <c r="I1764" s="3">
        <f>IFERROR(IF(TS_ATHLETES[[#This Row],[TOTAL]]=0,"",RANK(TS_ATHLETES[[#This Row],[RANK VALUE]],TS_ATHLETES[RANK VALUE])+COUNTIF($H$1:H1763,H1764)),"")</f>
        <v>1189</v>
      </c>
    </row>
    <row r="1765" spans="1:9" x14ac:dyDescent="0.25">
      <c r="A1765" t="s">
        <v>2668</v>
      </c>
      <c r="B1765" s="3" t="s">
        <v>536</v>
      </c>
      <c r="C1765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1765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1</v>
      </c>
      <c r="E1765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1765" s="3">
        <f>SUM(TS_ATHLETES[[#This Row],[GOLD MEDALS]:[BRONZE MEDALS]])</f>
        <v>1</v>
      </c>
      <c r="G1765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10000100</v>
      </c>
      <c r="H1765" s="3">
        <f>IF(TS_ATHLETES[[#This Row],[TOTAL]]=0,"",RANK(TS_ATHLETES[[#This Row],[RANK VALUE]],TS_ATHLETES[RANK VALUE]))</f>
        <v>660</v>
      </c>
      <c r="I1765" s="3">
        <f>IFERROR(IF(TS_ATHLETES[[#This Row],[TOTAL]]=0,"",RANK(TS_ATHLETES[[#This Row],[RANK VALUE]],TS_ATHLETES[RANK VALUE])+COUNTIF($H$1:H1764,H1765)),"")</f>
        <v>1190</v>
      </c>
    </row>
    <row r="1766" spans="1:9" x14ac:dyDescent="0.25">
      <c r="A1766" t="s">
        <v>2669</v>
      </c>
      <c r="B1766" s="3" t="s">
        <v>536</v>
      </c>
      <c r="C1766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1766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1</v>
      </c>
      <c r="E1766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1766" s="3">
        <f>SUM(TS_ATHLETES[[#This Row],[GOLD MEDALS]:[BRONZE MEDALS]])</f>
        <v>1</v>
      </c>
      <c r="G1766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10000100</v>
      </c>
      <c r="H1766" s="3">
        <f>IF(TS_ATHLETES[[#This Row],[TOTAL]]=0,"",RANK(TS_ATHLETES[[#This Row],[RANK VALUE]],TS_ATHLETES[RANK VALUE]))</f>
        <v>660</v>
      </c>
      <c r="I1766" s="3">
        <f>IFERROR(IF(TS_ATHLETES[[#This Row],[TOTAL]]=0,"",RANK(TS_ATHLETES[[#This Row],[RANK VALUE]],TS_ATHLETES[RANK VALUE])+COUNTIF($H$1:H1765,H1766)),"")</f>
        <v>1191</v>
      </c>
    </row>
    <row r="1767" spans="1:9" x14ac:dyDescent="0.25">
      <c r="A1767" t="s">
        <v>2670</v>
      </c>
      <c r="B1767" s="3" t="s">
        <v>536</v>
      </c>
      <c r="C1767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1767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1</v>
      </c>
      <c r="E1767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1767" s="3">
        <f>SUM(TS_ATHLETES[[#This Row],[GOLD MEDALS]:[BRONZE MEDALS]])</f>
        <v>1</v>
      </c>
      <c r="G1767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10000100</v>
      </c>
      <c r="H1767" s="3">
        <f>IF(TS_ATHLETES[[#This Row],[TOTAL]]=0,"",RANK(TS_ATHLETES[[#This Row],[RANK VALUE]],TS_ATHLETES[RANK VALUE]))</f>
        <v>660</v>
      </c>
      <c r="I1767" s="3">
        <f>IFERROR(IF(TS_ATHLETES[[#This Row],[TOTAL]]=0,"",RANK(TS_ATHLETES[[#This Row],[RANK VALUE]],TS_ATHLETES[RANK VALUE])+COUNTIF($H$1:H1766,H1767)),"")</f>
        <v>1192</v>
      </c>
    </row>
    <row r="1768" spans="1:9" x14ac:dyDescent="0.25">
      <c r="A1768" t="s">
        <v>2671</v>
      </c>
      <c r="B1768" s="3" t="s">
        <v>536</v>
      </c>
      <c r="C1768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1768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1</v>
      </c>
      <c r="E1768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1768" s="3">
        <f>SUM(TS_ATHLETES[[#This Row],[GOLD MEDALS]:[BRONZE MEDALS]])</f>
        <v>1</v>
      </c>
      <c r="G1768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10000100</v>
      </c>
      <c r="H1768" s="3">
        <f>IF(TS_ATHLETES[[#This Row],[TOTAL]]=0,"",RANK(TS_ATHLETES[[#This Row],[RANK VALUE]],TS_ATHLETES[RANK VALUE]))</f>
        <v>660</v>
      </c>
      <c r="I1768" s="3">
        <f>IFERROR(IF(TS_ATHLETES[[#This Row],[TOTAL]]=0,"",RANK(TS_ATHLETES[[#This Row],[RANK VALUE]],TS_ATHLETES[RANK VALUE])+COUNTIF($H$1:H1767,H1768)),"")</f>
        <v>1193</v>
      </c>
    </row>
    <row r="1769" spans="1:9" x14ac:dyDescent="0.25">
      <c r="A1769" t="s">
        <v>2672</v>
      </c>
      <c r="B1769" s="3" t="s">
        <v>536</v>
      </c>
      <c r="C1769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1769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1</v>
      </c>
      <c r="E1769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1769" s="3">
        <f>SUM(TS_ATHLETES[[#This Row],[GOLD MEDALS]:[BRONZE MEDALS]])</f>
        <v>1</v>
      </c>
      <c r="G1769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10000100</v>
      </c>
      <c r="H1769" s="3">
        <f>IF(TS_ATHLETES[[#This Row],[TOTAL]]=0,"",RANK(TS_ATHLETES[[#This Row],[RANK VALUE]],TS_ATHLETES[RANK VALUE]))</f>
        <v>660</v>
      </c>
      <c r="I1769" s="3">
        <f>IFERROR(IF(TS_ATHLETES[[#This Row],[TOTAL]]=0,"",RANK(TS_ATHLETES[[#This Row],[RANK VALUE]],TS_ATHLETES[RANK VALUE])+COUNTIF($H$1:H1768,H1769)),"")</f>
        <v>1194</v>
      </c>
    </row>
    <row r="1770" spans="1:9" x14ac:dyDescent="0.25">
      <c r="A1770" t="s">
        <v>2673</v>
      </c>
      <c r="B1770" s="3" t="s">
        <v>536</v>
      </c>
      <c r="C1770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1770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1</v>
      </c>
      <c r="E1770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1770" s="3">
        <f>SUM(TS_ATHLETES[[#This Row],[GOLD MEDALS]:[BRONZE MEDALS]])</f>
        <v>1</v>
      </c>
      <c r="G1770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10000100</v>
      </c>
      <c r="H1770" s="3">
        <f>IF(TS_ATHLETES[[#This Row],[TOTAL]]=0,"",RANK(TS_ATHLETES[[#This Row],[RANK VALUE]],TS_ATHLETES[RANK VALUE]))</f>
        <v>660</v>
      </c>
      <c r="I1770" s="3">
        <f>IFERROR(IF(TS_ATHLETES[[#This Row],[TOTAL]]=0,"",RANK(TS_ATHLETES[[#This Row],[RANK VALUE]],TS_ATHLETES[RANK VALUE])+COUNTIF($H$1:H1769,H1770)),"")</f>
        <v>1195</v>
      </c>
    </row>
    <row r="1771" spans="1:9" x14ac:dyDescent="0.25">
      <c r="A1771" t="s">
        <v>2674</v>
      </c>
      <c r="B1771" s="3" t="s">
        <v>536</v>
      </c>
      <c r="C1771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1771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1</v>
      </c>
      <c r="E1771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1771" s="3">
        <f>SUM(TS_ATHLETES[[#This Row],[GOLD MEDALS]:[BRONZE MEDALS]])</f>
        <v>1</v>
      </c>
      <c r="G1771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10000100</v>
      </c>
      <c r="H1771" s="3">
        <f>IF(TS_ATHLETES[[#This Row],[TOTAL]]=0,"",RANK(TS_ATHLETES[[#This Row],[RANK VALUE]],TS_ATHLETES[RANK VALUE]))</f>
        <v>660</v>
      </c>
      <c r="I1771" s="3">
        <f>IFERROR(IF(TS_ATHLETES[[#This Row],[TOTAL]]=0,"",RANK(TS_ATHLETES[[#This Row],[RANK VALUE]],TS_ATHLETES[RANK VALUE])+COUNTIF($H$1:H1770,H1771)),"")</f>
        <v>1196</v>
      </c>
    </row>
    <row r="1772" spans="1:9" x14ac:dyDescent="0.25">
      <c r="A1772" t="s">
        <v>2675</v>
      </c>
      <c r="B1772" s="3" t="s">
        <v>536</v>
      </c>
      <c r="C1772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1772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1</v>
      </c>
      <c r="E1772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1772" s="3">
        <f>SUM(TS_ATHLETES[[#This Row],[GOLD MEDALS]:[BRONZE MEDALS]])</f>
        <v>1</v>
      </c>
      <c r="G1772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10000100</v>
      </c>
      <c r="H1772" s="3">
        <f>IF(TS_ATHLETES[[#This Row],[TOTAL]]=0,"",RANK(TS_ATHLETES[[#This Row],[RANK VALUE]],TS_ATHLETES[RANK VALUE]))</f>
        <v>660</v>
      </c>
      <c r="I1772" s="3">
        <f>IFERROR(IF(TS_ATHLETES[[#This Row],[TOTAL]]=0,"",RANK(TS_ATHLETES[[#This Row],[RANK VALUE]],TS_ATHLETES[RANK VALUE])+COUNTIF($H$1:H1771,H1772)),"")</f>
        <v>1197</v>
      </c>
    </row>
    <row r="1773" spans="1:9" x14ac:dyDescent="0.25">
      <c r="A1773" t="s">
        <v>2676</v>
      </c>
      <c r="B1773" s="3" t="s">
        <v>363</v>
      </c>
      <c r="C1773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1773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1773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1</v>
      </c>
      <c r="F1773" s="3">
        <f>SUM(TS_ATHLETES[[#This Row],[GOLD MEDALS]:[BRONZE MEDALS]])</f>
        <v>1</v>
      </c>
      <c r="G1773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10000010</v>
      </c>
      <c r="H1773" s="3">
        <f>IF(TS_ATHLETES[[#This Row],[TOTAL]]=0,"",RANK(TS_ATHLETES[[#This Row],[RANK VALUE]],TS_ATHLETES[RANK VALUE]))</f>
        <v>1224</v>
      </c>
      <c r="I1773" s="3">
        <f>IFERROR(IF(TS_ATHLETES[[#This Row],[TOTAL]]=0,"",RANK(TS_ATHLETES[[#This Row],[RANK VALUE]],TS_ATHLETES[RANK VALUE])+COUNTIF($H$1:H1772,H1773)),"")</f>
        <v>1822</v>
      </c>
    </row>
    <row r="1774" spans="1:9" x14ac:dyDescent="0.25">
      <c r="A1774" t="s">
        <v>2677</v>
      </c>
      <c r="B1774" s="3" t="s">
        <v>363</v>
      </c>
      <c r="C1774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1774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1774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1</v>
      </c>
      <c r="F1774" s="3">
        <f>SUM(TS_ATHLETES[[#This Row],[GOLD MEDALS]:[BRONZE MEDALS]])</f>
        <v>1</v>
      </c>
      <c r="G1774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10000010</v>
      </c>
      <c r="H1774" s="3">
        <f>IF(TS_ATHLETES[[#This Row],[TOTAL]]=0,"",RANK(TS_ATHLETES[[#This Row],[RANK VALUE]],TS_ATHLETES[RANK VALUE]))</f>
        <v>1224</v>
      </c>
      <c r="I1774" s="3">
        <f>IFERROR(IF(TS_ATHLETES[[#This Row],[TOTAL]]=0,"",RANK(TS_ATHLETES[[#This Row],[RANK VALUE]],TS_ATHLETES[RANK VALUE])+COUNTIF($H$1:H1773,H1774)),"")</f>
        <v>1823</v>
      </c>
    </row>
    <row r="1775" spans="1:9" x14ac:dyDescent="0.25">
      <c r="A1775" t="s">
        <v>2678</v>
      </c>
      <c r="B1775" s="3" t="s">
        <v>363</v>
      </c>
      <c r="C1775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1775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1775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1</v>
      </c>
      <c r="F1775" s="3">
        <f>SUM(TS_ATHLETES[[#This Row],[GOLD MEDALS]:[BRONZE MEDALS]])</f>
        <v>1</v>
      </c>
      <c r="G1775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10000010</v>
      </c>
      <c r="H1775" s="3">
        <f>IF(TS_ATHLETES[[#This Row],[TOTAL]]=0,"",RANK(TS_ATHLETES[[#This Row],[RANK VALUE]],TS_ATHLETES[RANK VALUE]))</f>
        <v>1224</v>
      </c>
      <c r="I1775" s="3">
        <f>IFERROR(IF(TS_ATHLETES[[#This Row],[TOTAL]]=0,"",RANK(TS_ATHLETES[[#This Row],[RANK VALUE]],TS_ATHLETES[RANK VALUE])+COUNTIF($H$1:H1774,H1775)),"")</f>
        <v>1824</v>
      </c>
    </row>
    <row r="1776" spans="1:9" x14ac:dyDescent="0.25">
      <c r="A1776" t="s">
        <v>2679</v>
      </c>
      <c r="B1776" s="3" t="s">
        <v>363</v>
      </c>
      <c r="C1776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1776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1776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1</v>
      </c>
      <c r="F1776" s="3">
        <f>SUM(TS_ATHLETES[[#This Row],[GOLD MEDALS]:[BRONZE MEDALS]])</f>
        <v>1</v>
      </c>
      <c r="G1776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10000010</v>
      </c>
      <c r="H1776" s="3">
        <f>IF(TS_ATHLETES[[#This Row],[TOTAL]]=0,"",RANK(TS_ATHLETES[[#This Row],[RANK VALUE]],TS_ATHLETES[RANK VALUE]))</f>
        <v>1224</v>
      </c>
      <c r="I1776" s="3">
        <f>IFERROR(IF(TS_ATHLETES[[#This Row],[TOTAL]]=0,"",RANK(TS_ATHLETES[[#This Row],[RANK VALUE]],TS_ATHLETES[RANK VALUE])+COUNTIF($H$1:H1775,H1776)),"")</f>
        <v>1825</v>
      </c>
    </row>
    <row r="1777" spans="1:9" x14ac:dyDescent="0.25">
      <c r="A1777" t="s">
        <v>2680</v>
      </c>
      <c r="B1777" s="3" t="s">
        <v>363</v>
      </c>
      <c r="C1777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1777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1777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1</v>
      </c>
      <c r="F1777" s="3">
        <f>SUM(TS_ATHLETES[[#This Row],[GOLD MEDALS]:[BRONZE MEDALS]])</f>
        <v>1</v>
      </c>
      <c r="G1777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10000010</v>
      </c>
      <c r="H1777" s="3">
        <f>IF(TS_ATHLETES[[#This Row],[TOTAL]]=0,"",RANK(TS_ATHLETES[[#This Row],[RANK VALUE]],TS_ATHLETES[RANK VALUE]))</f>
        <v>1224</v>
      </c>
      <c r="I1777" s="3">
        <f>IFERROR(IF(TS_ATHLETES[[#This Row],[TOTAL]]=0,"",RANK(TS_ATHLETES[[#This Row],[RANK VALUE]],TS_ATHLETES[RANK VALUE])+COUNTIF($H$1:H1776,H1777)),"")</f>
        <v>1826</v>
      </c>
    </row>
    <row r="1778" spans="1:9" x14ac:dyDescent="0.25">
      <c r="A1778" t="s">
        <v>2681</v>
      </c>
      <c r="B1778" s="3" t="s">
        <v>363</v>
      </c>
      <c r="C1778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1778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1778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1</v>
      </c>
      <c r="F1778" s="3">
        <f>SUM(TS_ATHLETES[[#This Row],[GOLD MEDALS]:[BRONZE MEDALS]])</f>
        <v>1</v>
      </c>
      <c r="G1778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10000010</v>
      </c>
      <c r="H1778" s="3">
        <f>IF(TS_ATHLETES[[#This Row],[TOTAL]]=0,"",RANK(TS_ATHLETES[[#This Row],[RANK VALUE]],TS_ATHLETES[RANK VALUE]))</f>
        <v>1224</v>
      </c>
      <c r="I1778" s="3">
        <f>IFERROR(IF(TS_ATHLETES[[#This Row],[TOTAL]]=0,"",RANK(TS_ATHLETES[[#This Row],[RANK VALUE]],TS_ATHLETES[RANK VALUE])+COUNTIF($H$1:H1777,H1778)),"")</f>
        <v>1827</v>
      </c>
    </row>
    <row r="1779" spans="1:9" x14ac:dyDescent="0.25">
      <c r="A1779" t="s">
        <v>2682</v>
      </c>
      <c r="B1779" s="3" t="s">
        <v>363</v>
      </c>
      <c r="C1779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1779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1779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1</v>
      </c>
      <c r="F1779" s="3">
        <f>SUM(TS_ATHLETES[[#This Row],[GOLD MEDALS]:[BRONZE MEDALS]])</f>
        <v>1</v>
      </c>
      <c r="G1779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10000010</v>
      </c>
      <c r="H1779" s="3">
        <f>IF(TS_ATHLETES[[#This Row],[TOTAL]]=0,"",RANK(TS_ATHLETES[[#This Row],[RANK VALUE]],TS_ATHLETES[RANK VALUE]))</f>
        <v>1224</v>
      </c>
      <c r="I1779" s="3">
        <f>IFERROR(IF(TS_ATHLETES[[#This Row],[TOTAL]]=0,"",RANK(TS_ATHLETES[[#This Row],[RANK VALUE]],TS_ATHLETES[RANK VALUE])+COUNTIF($H$1:H1778,H1779)),"")</f>
        <v>1828</v>
      </c>
    </row>
    <row r="1780" spans="1:9" x14ac:dyDescent="0.25">
      <c r="A1780" t="s">
        <v>2683</v>
      </c>
      <c r="B1780" s="3" t="s">
        <v>363</v>
      </c>
      <c r="C1780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1780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1780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1</v>
      </c>
      <c r="F1780" s="3">
        <f>SUM(TS_ATHLETES[[#This Row],[GOLD MEDALS]:[BRONZE MEDALS]])</f>
        <v>1</v>
      </c>
      <c r="G1780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10000010</v>
      </c>
      <c r="H1780" s="3">
        <f>IF(TS_ATHLETES[[#This Row],[TOTAL]]=0,"",RANK(TS_ATHLETES[[#This Row],[RANK VALUE]],TS_ATHLETES[RANK VALUE]))</f>
        <v>1224</v>
      </c>
      <c r="I1780" s="3">
        <f>IFERROR(IF(TS_ATHLETES[[#This Row],[TOTAL]]=0,"",RANK(TS_ATHLETES[[#This Row],[RANK VALUE]],TS_ATHLETES[RANK VALUE])+COUNTIF($H$1:H1779,H1780)),"")</f>
        <v>1829</v>
      </c>
    </row>
    <row r="1781" spans="1:9" x14ac:dyDescent="0.25">
      <c r="A1781" t="s">
        <v>2684</v>
      </c>
      <c r="B1781" s="3" t="s">
        <v>363</v>
      </c>
      <c r="C1781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1781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1781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1</v>
      </c>
      <c r="F1781" s="3">
        <f>SUM(TS_ATHLETES[[#This Row],[GOLD MEDALS]:[BRONZE MEDALS]])</f>
        <v>1</v>
      </c>
      <c r="G1781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10000010</v>
      </c>
      <c r="H1781" s="3">
        <f>IF(TS_ATHLETES[[#This Row],[TOTAL]]=0,"",RANK(TS_ATHLETES[[#This Row],[RANK VALUE]],TS_ATHLETES[RANK VALUE]))</f>
        <v>1224</v>
      </c>
      <c r="I1781" s="3">
        <f>IFERROR(IF(TS_ATHLETES[[#This Row],[TOTAL]]=0,"",RANK(TS_ATHLETES[[#This Row],[RANK VALUE]],TS_ATHLETES[RANK VALUE])+COUNTIF($H$1:H1780,H1781)),"")</f>
        <v>1830</v>
      </c>
    </row>
    <row r="1782" spans="1:9" x14ac:dyDescent="0.25">
      <c r="A1782" t="s">
        <v>2685</v>
      </c>
      <c r="B1782" s="3" t="s">
        <v>363</v>
      </c>
      <c r="C1782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1782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1782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1</v>
      </c>
      <c r="F1782" s="3">
        <f>SUM(TS_ATHLETES[[#This Row],[GOLD MEDALS]:[BRONZE MEDALS]])</f>
        <v>1</v>
      </c>
      <c r="G1782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10000010</v>
      </c>
      <c r="H1782" s="3">
        <f>IF(TS_ATHLETES[[#This Row],[TOTAL]]=0,"",RANK(TS_ATHLETES[[#This Row],[RANK VALUE]],TS_ATHLETES[RANK VALUE]))</f>
        <v>1224</v>
      </c>
      <c r="I1782" s="3">
        <f>IFERROR(IF(TS_ATHLETES[[#This Row],[TOTAL]]=0,"",RANK(TS_ATHLETES[[#This Row],[RANK VALUE]],TS_ATHLETES[RANK VALUE])+COUNTIF($H$1:H1781,H1782)),"")</f>
        <v>1831</v>
      </c>
    </row>
    <row r="1783" spans="1:9" x14ac:dyDescent="0.25">
      <c r="A1783" t="s">
        <v>2686</v>
      </c>
      <c r="B1783" s="3" t="s">
        <v>363</v>
      </c>
      <c r="C1783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1783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1783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1</v>
      </c>
      <c r="F1783" s="3">
        <f>SUM(TS_ATHLETES[[#This Row],[GOLD MEDALS]:[BRONZE MEDALS]])</f>
        <v>1</v>
      </c>
      <c r="G1783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10000010</v>
      </c>
      <c r="H1783" s="3">
        <f>IF(TS_ATHLETES[[#This Row],[TOTAL]]=0,"",RANK(TS_ATHLETES[[#This Row],[RANK VALUE]],TS_ATHLETES[RANK VALUE]))</f>
        <v>1224</v>
      </c>
      <c r="I1783" s="3">
        <f>IFERROR(IF(TS_ATHLETES[[#This Row],[TOTAL]]=0,"",RANK(TS_ATHLETES[[#This Row],[RANK VALUE]],TS_ATHLETES[RANK VALUE])+COUNTIF($H$1:H1782,H1783)),"")</f>
        <v>1832</v>
      </c>
    </row>
    <row r="1784" spans="1:9" x14ac:dyDescent="0.25">
      <c r="A1784" t="s">
        <v>2687</v>
      </c>
      <c r="B1784" s="3" t="s">
        <v>363</v>
      </c>
      <c r="C1784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1784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1784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1</v>
      </c>
      <c r="F1784" s="3">
        <f>SUM(TS_ATHLETES[[#This Row],[GOLD MEDALS]:[BRONZE MEDALS]])</f>
        <v>1</v>
      </c>
      <c r="G1784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10000010</v>
      </c>
      <c r="H1784" s="3">
        <f>IF(TS_ATHLETES[[#This Row],[TOTAL]]=0,"",RANK(TS_ATHLETES[[#This Row],[RANK VALUE]],TS_ATHLETES[RANK VALUE]))</f>
        <v>1224</v>
      </c>
      <c r="I1784" s="3">
        <f>IFERROR(IF(TS_ATHLETES[[#This Row],[TOTAL]]=0,"",RANK(TS_ATHLETES[[#This Row],[RANK VALUE]],TS_ATHLETES[RANK VALUE])+COUNTIF($H$1:H1783,H1784)),"")</f>
        <v>1833</v>
      </c>
    </row>
    <row r="1785" spans="1:9" x14ac:dyDescent="0.25">
      <c r="A1785" t="s">
        <v>2688</v>
      </c>
      <c r="B1785" s="3" t="s">
        <v>536</v>
      </c>
      <c r="C1785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1</v>
      </c>
      <c r="D1785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1785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1785" s="3">
        <f>SUM(TS_ATHLETES[[#This Row],[GOLD MEDALS]:[BRONZE MEDALS]])</f>
        <v>1</v>
      </c>
      <c r="G1785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10100000</v>
      </c>
      <c r="H1785" s="3">
        <f>IF(TS_ATHLETES[[#This Row],[TOTAL]]=0,"",RANK(TS_ATHLETES[[#This Row],[RANK VALUE]],TS_ATHLETES[RANK VALUE]))</f>
        <v>129</v>
      </c>
      <c r="I1785" s="3">
        <f>IFERROR(IF(TS_ATHLETES[[#This Row],[TOTAL]]=0,"",RANK(TS_ATHLETES[[#This Row],[RANK VALUE]],TS_ATHLETES[RANK VALUE])+COUNTIF($H$1:H1784,H1785)),"")</f>
        <v>633</v>
      </c>
    </row>
    <row r="1786" spans="1:9" x14ac:dyDescent="0.25">
      <c r="A1786" t="s">
        <v>2689</v>
      </c>
      <c r="B1786" s="3" t="s">
        <v>536</v>
      </c>
      <c r="C1786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1</v>
      </c>
      <c r="D1786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1786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1786" s="3">
        <f>SUM(TS_ATHLETES[[#This Row],[GOLD MEDALS]:[BRONZE MEDALS]])</f>
        <v>1</v>
      </c>
      <c r="G1786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10100000</v>
      </c>
      <c r="H1786" s="3">
        <f>IF(TS_ATHLETES[[#This Row],[TOTAL]]=0,"",RANK(TS_ATHLETES[[#This Row],[RANK VALUE]],TS_ATHLETES[RANK VALUE]))</f>
        <v>129</v>
      </c>
      <c r="I1786" s="3">
        <f>IFERROR(IF(TS_ATHLETES[[#This Row],[TOTAL]]=0,"",RANK(TS_ATHLETES[[#This Row],[RANK VALUE]],TS_ATHLETES[RANK VALUE])+COUNTIF($H$1:H1785,H1786)),"")</f>
        <v>634</v>
      </c>
    </row>
    <row r="1787" spans="1:9" x14ac:dyDescent="0.25">
      <c r="A1787" t="s">
        <v>2690</v>
      </c>
      <c r="B1787" s="3" t="s">
        <v>536</v>
      </c>
      <c r="C1787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1</v>
      </c>
      <c r="D1787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1787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1787" s="3">
        <f>SUM(TS_ATHLETES[[#This Row],[GOLD MEDALS]:[BRONZE MEDALS]])</f>
        <v>1</v>
      </c>
      <c r="G1787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10100000</v>
      </c>
      <c r="H1787" s="3">
        <f>IF(TS_ATHLETES[[#This Row],[TOTAL]]=0,"",RANK(TS_ATHLETES[[#This Row],[RANK VALUE]],TS_ATHLETES[RANK VALUE]))</f>
        <v>129</v>
      </c>
      <c r="I1787" s="3">
        <f>IFERROR(IF(TS_ATHLETES[[#This Row],[TOTAL]]=0,"",RANK(TS_ATHLETES[[#This Row],[RANK VALUE]],TS_ATHLETES[RANK VALUE])+COUNTIF($H$1:H1786,H1787)),"")</f>
        <v>635</v>
      </c>
    </row>
    <row r="1788" spans="1:9" x14ac:dyDescent="0.25">
      <c r="A1788" t="s">
        <v>2691</v>
      </c>
      <c r="B1788" s="3" t="s">
        <v>536</v>
      </c>
      <c r="C1788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1</v>
      </c>
      <c r="D1788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1788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1788" s="3">
        <f>SUM(TS_ATHLETES[[#This Row],[GOLD MEDALS]:[BRONZE MEDALS]])</f>
        <v>1</v>
      </c>
      <c r="G1788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10100000</v>
      </c>
      <c r="H1788" s="3">
        <f>IF(TS_ATHLETES[[#This Row],[TOTAL]]=0,"",RANK(TS_ATHLETES[[#This Row],[RANK VALUE]],TS_ATHLETES[RANK VALUE]))</f>
        <v>129</v>
      </c>
      <c r="I1788" s="3">
        <f>IFERROR(IF(TS_ATHLETES[[#This Row],[TOTAL]]=0,"",RANK(TS_ATHLETES[[#This Row],[RANK VALUE]],TS_ATHLETES[RANK VALUE])+COUNTIF($H$1:H1787,H1788)),"")</f>
        <v>636</v>
      </c>
    </row>
    <row r="1789" spans="1:9" x14ac:dyDescent="0.25">
      <c r="A1789" t="s">
        <v>2692</v>
      </c>
      <c r="B1789" s="3" t="s">
        <v>536</v>
      </c>
      <c r="C1789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1</v>
      </c>
      <c r="D1789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1789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1789" s="3">
        <f>SUM(TS_ATHLETES[[#This Row],[GOLD MEDALS]:[BRONZE MEDALS]])</f>
        <v>1</v>
      </c>
      <c r="G1789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10100000</v>
      </c>
      <c r="H1789" s="3">
        <f>IF(TS_ATHLETES[[#This Row],[TOTAL]]=0,"",RANK(TS_ATHLETES[[#This Row],[RANK VALUE]],TS_ATHLETES[RANK VALUE]))</f>
        <v>129</v>
      </c>
      <c r="I1789" s="3">
        <f>IFERROR(IF(TS_ATHLETES[[#This Row],[TOTAL]]=0,"",RANK(TS_ATHLETES[[#This Row],[RANK VALUE]],TS_ATHLETES[RANK VALUE])+COUNTIF($H$1:H1788,H1789)),"")</f>
        <v>637</v>
      </c>
    </row>
    <row r="1790" spans="1:9" x14ac:dyDescent="0.25">
      <c r="A1790" t="s">
        <v>2693</v>
      </c>
      <c r="B1790" s="3" t="s">
        <v>536</v>
      </c>
      <c r="C1790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1</v>
      </c>
      <c r="D1790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1790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1790" s="3">
        <f>SUM(TS_ATHLETES[[#This Row],[GOLD MEDALS]:[BRONZE MEDALS]])</f>
        <v>1</v>
      </c>
      <c r="G1790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10100000</v>
      </c>
      <c r="H1790" s="3">
        <f>IF(TS_ATHLETES[[#This Row],[TOTAL]]=0,"",RANK(TS_ATHLETES[[#This Row],[RANK VALUE]],TS_ATHLETES[RANK VALUE]))</f>
        <v>129</v>
      </c>
      <c r="I1790" s="3">
        <f>IFERROR(IF(TS_ATHLETES[[#This Row],[TOTAL]]=0,"",RANK(TS_ATHLETES[[#This Row],[RANK VALUE]],TS_ATHLETES[RANK VALUE])+COUNTIF($H$1:H1789,H1790)),"")</f>
        <v>638</v>
      </c>
    </row>
    <row r="1791" spans="1:9" x14ac:dyDescent="0.25">
      <c r="A1791" t="s">
        <v>2694</v>
      </c>
      <c r="B1791" s="3" t="s">
        <v>536</v>
      </c>
      <c r="C1791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1</v>
      </c>
      <c r="D1791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1791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1791" s="3">
        <f>SUM(TS_ATHLETES[[#This Row],[GOLD MEDALS]:[BRONZE MEDALS]])</f>
        <v>1</v>
      </c>
      <c r="G1791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10100000</v>
      </c>
      <c r="H1791" s="3">
        <f>IF(TS_ATHLETES[[#This Row],[TOTAL]]=0,"",RANK(TS_ATHLETES[[#This Row],[RANK VALUE]],TS_ATHLETES[RANK VALUE]))</f>
        <v>129</v>
      </c>
      <c r="I1791" s="3">
        <f>IFERROR(IF(TS_ATHLETES[[#This Row],[TOTAL]]=0,"",RANK(TS_ATHLETES[[#This Row],[RANK VALUE]],TS_ATHLETES[RANK VALUE])+COUNTIF($H$1:H1790,H1791)),"")</f>
        <v>639</v>
      </c>
    </row>
    <row r="1792" spans="1:9" x14ac:dyDescent="0.25">
      <c r="A1792" t="s">
        <v>2695</v>
      </c>
      <c r="B1792" s="3" t="s">
        <v>536</v>
      </c>
      <c r="C1792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1</v>
      </c>
      <c r="D1792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1792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1792" s="3">
        <f>SUM(TS_ATHLETES[[#This Row],[GOLD MEDALS]:[BRONZE MEDALS]])</f>
        <v>1</v>
      </c>
      <c r="G1792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10100000</v>
      </c>
      <c r="H1792" s="3">
        <f>IF(TS_ATHLETES[[#This Row],[TOTAL]]=0,"",RANK(TS_ATHLETES[[#This Row],[RANK VALUE]],TS_ATHLETES[RANK VALUE]))</f>
        <v>129</v>
      </c>
      <c r="I1792" s="3">
        <f>IFERROR(IF(TS_ATHLETES[[#This Row],[TOTAL]]=0,"",RANK(TS_ATHLETES[[#This Row],[RANK VALUE]],TS_ATHLETES[RANK VALUE])+COUNTIF($H$1:H1791,H1792)),"")</f>
        <v>640</v>
      </c>
    </row>
    <row r="1793" spans="1:9" x14ac:dyDescent="0.25">
      <c r="A1793" t="s">
        <v>2696</v>
      </c>
      <c r="B1793" s="3" t="s">
        <v>536</v>
      </c>
      <c r="C1793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1</v>
      </c>
      <c r="D1793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1793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1793" s="3">
        <f>SUM(TS_ATHLETES[[#This Row],[GOLD MEDALS]:[BRONZE MEDALS]])</f>
        <v>1</v>
      </c>
      <c r="G1793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10100000</v>
      </c>
      <c r="H1793" s="3">
        <f>IF(TS_ATHLETES[[#This Row],[TOTAL]]=0,"",RANK(TS_ATHLETES[[#This Row],[RANK VALUE]],TS_ATHLETES[RANK VALUE]))</f>
        <v>129</v>
      </c>
      <c r="I1793" s="3">
        <f>IFERROR(IF(TS_ATHLETES[[#This Row],[TOTAL]]=0,"",RANK(TS_ATHLETES[[#This Row],[RANK VALUE]],TS_ATHLETES[RANK VALUE])+COUNTIF($H$1:H1792,H1793)),"")</f>
        <v>641</v>
      </c>
    </row>
    <row r="1794" spans="1:9" x14ac:dyDescent="0.25">
      <c r="A1794" t="s">
        <v>2697</v>
      </c>
      <c r="B1794" s="3" t="s">
        <v>536</v>
      </c>
      <c r="C1794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1</v>
      </c>
      <c r="D1794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1794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1794" s="3">
        <f>SUM(TS_ATHLETES[[#This Row],[GOLD MEDALS]:[BRONZE MEDALS]])</f>
        <v>1</v>
      </c>
      <c r="G1794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10100000</v>
      </c>
      <c r="H1794" s="3">
        <f>IF(TS_ATHLETES[[#This Row],[TOTAL]]=0,"",RANK(TS_ATHLETES[[#This Row],[RANK VALUE]],TS_ATHLETES[RANK VALUE]))</f>
        <v>129</v>
      </c>
      <c r="I1794" s="3">
        <f>IFERROR(IF(TS_ATHLETES[[#This Row],[TOTAL]]=0,"",RANK(TS_ATHLETES[[#This Row],[RANK VALUE]],TS_ATHLETES[RANK VALUE])+COUNTIF($H$1:H1793,H1794)),"")</f>
        <v>642</v>
      </c>
    </row>
    <row r="1795" spans="1:9" x14ac:dyDescent="0.25">
      <c r="A1795" t="s">
        <v>2698</v>
      </c>
      <c r="B1795" s="3" t="s">
        <v>536</v>
      </c>
      <c r="C1795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1</v>
      </c>
      <c r="D1795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1795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1795" s="3">
        <f>SUM(TS_ATHLETES[[#This Row],[GOLD MEDALS]:[BRONZE MEDALS]])</f>
        <v>1</v>
      </c>
      <c r="G1795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10100000</v>
      </c>
      <c r="H1795" s="3">
        <f>IF(TS_ATHLETES[[#This Row],[TOTAL]]=0,"",RANK(TS_ATHLETES[[#This Row],[RANK VALUE]],TS_ATHLETES[RANK VALUE]))</f>
        <v>129</v>
      </c>
      <c r="I1795" s="3">
        <f>IFERROR(IF(TS_ATHLETES[[#This Row],[TOTAL]]=0,"",RANK(TS_ATHLETES[[#This Row],[RANK VALUE]],TS_ATHLETES[RANK VALUE])+COUNTIF($H$1:H1794,H1795)),"")</f>
        <v>643</v>
      </c>
    </row>
    <row r="1796" spans="1:9" x14ac:dyDescent="0.25">
      <c r="A1796" t="s">
        <v>2699</v>
      </c>
      <c r="B1796" s="3" t="s">
        <v>536</v>
      </c>
      <c r="C1796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1</v>
      </c>
      <c r="D1796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1796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1796" s="3">
        <f>SUM(TS_ATHLETES[[#This Row],[GOLD MEDALS]:[BRONZE MEDALS]])</f>
        <v>1</v>
      </c>
      <c r="G1796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10100000</v>
      </c>
      <c r="H1796" s="3">
        <f>IF(TS_ATHLETES[[#This Row],[TOTAL]]=0,"",RANK(TS_ATHLETES[[#This Row],[RANK VALUE]],TS_ATHLETES[RANK VALUE]))</f>
        <v>129</v>
      </c>
      <c r="I1796" s="3">
        <f>IFERROR(IF(TS_ATHLETES[[#This Row],[TOTAL]]=0,"",RANK(TS_ATHLETES[[#This Row],[RANK VALUE]],TS_ATHLETES[RANK VALUE])+COUNTIF($H$1:H1795,H1796)),"")</f>
        <v>644</v>
      </c>
    </row>
    <row r="1797" spans="1:9" x14ac:dyDescent="0.25">
      <c r="A1797" t="s">
        <v>2700</v>
      </c>
      <c r="B1797" s="3" t="s">
        <v>536</v>
      </c>
      <c r="C1797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1</v>
      </c>
      <c r="D1797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1797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1797" s="3">
        <f>SUM(TS_ATHLETES[[#This Row],[GOLD MEDALS]:[BRONZE MEDALS]])</f>
        <v>1</v>
      </c>
      <c r="G1797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10100000</v>
      </c>
      <c r="H1797" s="3">
        <f>IF(TS_ATHLETES[[#This Row],[TOTAL]]=0,"",RANK(TS_ATHLETES[[#This Row],[RANK VALUE]],TS_ATHLETES[RANK VALUE]))</f>
        <v>129</v>
      </c>
      <c r="I1797" s="3">
        <f>IFERROR(IF(TS_ATHLETES[[#This Row],[TOTAL]]=0,"",RANK(TS_ATHLETES[[#This Row],[RANK VALUE]],TS_ATHLETES[RANK VALUE])+COUNTIF($H$1:H1796,H1797)),"")</f>
        <v>645</v>
      </c>
    </row>
    <row r="1798" spans="1:9" x14ac:dyDescent="0.25">
      <c r="A1798" t="s">
        <v>2701</v>
      </c>
      <c r="B1798" s="3" t="s">
        <v>92</v>
      </c>
      <c r="C1798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1798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1</v>
      </c>
      <c r="E1798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1798" s="3">
        <f>SUM(TS_ATHLETES[[#This Row],[GOLD MEDALS]:[BRONZE MEDALS]])</f>
        <v>1</v>
      </c>
      <c r="G1798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10000100</v>
      </c>
      <c r="H1798" s="3">
        <f>IF(TS_ATHLETES[[#This Row],[TOTAL]]=0,"",RANK(TS_ATHLETES[[#This Row],[RANK VALUE]],TS_ATHLETES[RANK VALUE]))</f>
        <v>660</v>
      </c>
      <c r="I1798" s="3">
        <f>IFERROR(IF(TS_ATHLETES[[#This Row],[TOTAL]]=0,"",RANK(TS_ATHLETES[[#This Row],[RANK VALUE]],TS_ATHLETES[RANK VALUE])+COUNTIF($H$1:H1797,H1798)),"")</f>
        <v>1198</v>
      </c>
    </row>
    <row r="1799" spans="1:9" x14ac:dyDescent="0.25">
      <c r="A1799" t="s">
        <v>2702</v>
      </c>
      <c r="B1799" s="3" t="s">
        <v>92</v>
      </c>
      <c r="C1799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1799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1</v>
      </c>
      <c r="E1799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1799" s="3">
        <f>SUM(TS_ATHLETES[[#This Row],[GOLD MEDALS]:[BRONZE MEDALS]])</f>
        <v>1</v>
      </c>
      <c r="G1799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10000100</v>
      </c>
      <c r="H1799" s="3">
        <f>IF(TS_ATHLETES[[#This Row],[TOTAL]]=0,"",RANK(TS_ATHLETES[[#This Row],[RANK VALUE]],TS_ATHLETES[RANK VALUE]))</f>
        <v>660</v>
      </c>
      <c r="I1799" s="3">
        <f>IFERROR(IF(TS_ATHLETES[[#This Row],[TOTAL]]=0,"",RANK(TS_ATHLETES[[#This Row],[RANK VALUE]],TS_ATHLETES[RANK VALUE])+COUNTIF($H$1:H1798,H1799)),"")</f>
        <v>1199</v>
      </c>
    </row>
    <row r="1800" spans="1:9" x14ac:dyDescent="0.25">
      <c r="A1800" t="s">
        <v>2703</v>
      </c>
      <c r="B1800" s="3" t="s">
        <v>92</v>
      </c>
      <c r="C1800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1800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1</v>
      </c>
      <c r="E1800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1800" s="3">
        <f>SUM(TS_ATHLETES[[#This Row],[GOLD MEDALS]:[BRONZE MEDALS]])</f>
        <v>1</v>
      </c>
      <c r="G1800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10000100</v>
      </c>
      <c r="H1800" s="3">
        <f>IF(TS_ATHLETES[[#This Row],[TOTAL]]=0,"",RANK(TS_ATHLETES[[#This Row],[RANK VALUE]],TS_ATHLETES[RANK VALUE]))</f>
        <v>660</v>
      </c>
      <c r="I1800" s="3">
        <f>IFERROR(IF(TS_ATHLETES[[#This Row],[TOTAL]]=0,"",RANK(TS_ATHLETES[[#This Row],[RANK VALUE]],TS_ATHLETES[RANK VALUE])+COUNTIF($H$1:H1799,H1800)),"")</f>
        <v>1200</v>
      </c>
    </row>
    <row r="1801" spans="1:9" x14ac:dyDescent="0.25">
      <c r="A1801" t="s">
        <v>2704</v>
      </c>
      <c r="B1801" s="3" t="s">
        <v>92</v>
      </c>
      <c r="C1801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1801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1</v>
      </c>
      <c r="E1801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1801" s="3">
        <f>SUM(TS_ATHLETES[[#This Row],[GOLD MEDALS]:[BRONZE MEDALS]])</f>
        <v>1</v>
      </c>
      <c r="G1801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10000100</v>
      </c>
      <c r="H1801" s="3">
        <f>IF(TS_ATHLETES[[#This Row],[TOTAL]]=0,"",RANK(TS_ATHLETES[[#This Row],[RANK VALUE]],TS_ATHLETES[RANK VALUE]))</f>
        <v>660</v>
      </c>
      <c r="I1801" s="3">
        <f>IFERROR(IF(TS_ATHLETES[[#This Row],[TOTAL]]=0,"",RANK(TS_ATHLETES[[#This Row],[RANK VALUE]],TS_ATHLETES[RANK VALUE])+COUNTIF($H$1:H1800,H1801)),"")</f>
        <v>1201</v>
      </c>
    </row>
    <row r="1802" spans="1:9" x14ac:dyDescent="0.25">
      <c r="A1802" t="s">
        <v>2705</v>
      </c>
      <c r="B1802" s="3" t="s">
        <v>92</v>
      </c>
      <c r="C1802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1802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1</v>
      </c>
      <c r="E1802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1802" s="3">
        <f>SUM(TS_ATHLETES[[#This Row],[GOLD MEDALS]:[BRONZE MEDALS]])</f>
        <v>1</v>
      </c>
      <c r="G1802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10000100</v>
      </c>
      <c r="H1802" s="3">
        <f>IF(TS_ATHLETES[[#This Row],[TOTAL]]=0,"",RANK(TS_ATHLETES[[#This Row],[RANK VALUE]],TS_ATHLETES[RANK VALUE]))</f>
        <v>660</v>
      </c>
      <c r="I1802" s="3">
        <f>IFERROR(IF(TS_ATHLETES[[#This Row],[TOTAL]]=0,"",RANK(TS_ATHLETES[[#This Row],[RANK VALUE]],TS_ATHLETES[RANK VALUE])+COUNTIF($H$1:H1801,H1802)),"")</f>
        <v>1202</v>
      </c>
    </row>
    <row r="1803" spans="1:9" x14ac:dyDescent="0.25">
      <c r="A1803" t="s">
        <v>2706</v>
      </c>
      <c r="B1803" s="3" t="s">
        <v>92</v>
      </c>
      <c r="C1803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1803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1</v>
      </c>
      <c r="E1803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1803" s="3">
        <f>SUM(TS_ATHLETES[[#This Row],[GOLD MEDALS]:[BRONZE MEDALS]])</f>
        <v>1</v>
      </c>
      <c r="G1803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10000100</v>
      </c>
      <c r="H1803" s="3">
        <f>IF(TS_ATHLETES[[#This Row],[TOTAL]]=0,"",RANK(TS_ATHLETES[[#This Row],[RANK VALUE]],TS_ATHLETES[RANK VALUE]))</f>
        <v>660</v>
      </c>
      <c r="I1803" s="3">
        <f>IFERROR(IF(TS_ATHLETES[[#This Row],[TOTAL]]=0,"",RANK(TS_ATHLETES[[#This Row],[RANK VALUE]],TS_ATHLETES[RANK VALUE])+COUNTIF($H$1:H1802,H1803)),"")</f>
        <v>1203</v>
      </c>
    </row>
    <row r="1804" spans="1:9" x14ac:dyDescent="0.25">
      <c r="A1804" t="s">
        <v>2707</v>
      </c>
      <c r="B1804" s="3" t="s">
        <v>92</v>
      </c>
      <c r="C1804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1804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1</v>
      </c>
      <c r="E1804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1804" s="3">
        <f>SUM(TS_ATHLETES[[#This Row],[GOLD MEDALS]:[BRONZE MEDALS]])</f>
        <v>1</v>
      </c>
      <c r="G1804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10000100</v>
      </c>
      <c r="H1804" s="3">
        <f>IF(TS_ATHLETES[[#This Row],[TOTAL]]=0,"",RANK(TS_ATHLETES[[#This Row],[RANK VALUE]],TS_ATHLETES[RANK VALUE]))</f>
        <v>660</v>
      </c>
      <c r="I1804" s="3">
        <f>IFERROR(IF(TS_ATHLETES[[#This Row],[TOTAL]]=0,"",RANK(TS_ATHLETES[[#This Row],[RANK VALUE]],TS_ATHLETES[RANK VALUE])+COUNTIF($H$1:H1803,H1804)),"")</f>
        <v>1204</v>
      </c>
    </row>
    <row r="1805" spans="1:9" x14ac:dyDescent="0.25">
      <c r="A1805" t="s">
        <v>2708</v>
      </c>
      <c r="B1805" s="3" t="s">
        <v>92</v>
      </c>
      <c r="C1805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1805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1</v>
      </c>
      <c r="E1805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1805" s="3">
        <f>SUM(TS_ATHLETES[[#This Row],[GOLD MEDALS]:[BRONZE MEDALS]])</f>
        <v>1</v>
      </c>
      <c r="G1805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10000100</v>
      </c>
      <c r="H1805" s="3">
        <f>IF(TS_ATHLETES[[#This Row],[TOTAL]]=0,"",RANK(TS_ATHLETES[[#This Row],[RANK VALUE]],TS_ATHLETES[RANK VALUE]))</f>
        <v>660</v>
      </c>
      <c r="I1805" s="3">
        <f>IFERROR(IF(TS_ATHLETES[[#This Row],[TOTAL]]=0,"",RANK(TS_ATHLETES[[#This Row],[RANK VALUE]],TS_ATHLETES[RANK VALUE])+COUNTIF($H$1:H1804,H1805)),"")</f>
        <v>1205</v>
      </c>
    </row>
    <row r="1806" spans="1:9" x14ac:dyDescent="0.25">
      <c r="A1806" t="s">
        <v>2709</v>
      </c>
      <c r="B1806" s="3" t="s">
        <v>92</v>
      </c>
      <c r="C1806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1806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1</v>
      </c>
      <c r="E1806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1806" s="3">
        <f>SUM(TS_ATHLETES[[#This Row],[GOLD MEDALS]:[BRONZE MEDALS]])</f>
        <v>1</v>
      </c>
      <c r="G1806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10000100</v>
      </c>
      <c r="H1806" s="3">
        <f>IF(TS_ATHLETES[[#This Row],[TOTAL]]=0,"",RANK(TS_ATHLETES[[#This Row],[RANK VALUE]],TS_ATHLETES[RANK VALUE]))</f>
        <v>660</v>
      </c>
      <c r="I1806" s="3">
        <f>IFERROR(IF(TS_ATHLETES[[#This Row],[TOTAL]]=0,"",RANK(TS_ATHLETES[[#This Row],[RANK VALUE]],TS_ATHLETES[RANK VALUE])+COUNTIF($H$1:H1805,H1806)),"")</f>
        <v>1206</v>
      </c>
    </row>
    <row r="1807" spans="1:9" x14ac:dyDescent="0.25">
      <c r="A1807" t="s">
        <v>2710</v>
      </c>
      <c r="B1807" s="3" t="s">
        <v>92</v>
      </c>
      <c r="C1807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1807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1</v>
      </c>
      <c r="E1807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1807" s="3">
        <f>SUM(TS_ATHLETES[[#This Row],[GOLD MEDALS]:[BRONZE MEDALS]])</f>
        <v>1</v>
      </c>
      <c r="G1807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10000100</v>
      </c>
      <c r="H1807" s="3">
        <f>IF(TS_ATHLETES[[#This Row],[TOTAL]]=0,"",RANK(TS_ATHLETES[[#This Row],[RANK VALUE]],TS_ATHLETES[RANK VALUE]))</f>
        <v>660</v>
      </c>
      <c r="I1807" s="3">
        <f>IFERROR(IF(TS_ATHLETES[[#This Row],[TOTAL]]=0,"",RANK(TS_ATHLETES[[#This Row],[RANK VALUE]],TS_ATHLETES[RANK VALUE])+COUNTIF($H$1:H1806,H1807)),"")</f>
        <v>1207</v>
      </c>
    </row>
    <row r="1808" spans="1:9" x14ac:dyDescent="0.25">
      <c r="A1808" t="s">
        <v>2711</v>
      </c>
      <c r="B1808" s="3" t="s">
        <v>92</v>
      </c>
      <c r="C1808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1808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1</v>
      </c>
      <c r="E1808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1808" s="3">
        <f>SUM(TS_ATHLETES[[#This Row],[GOLD MEDALS]:[BRONZE MEDALS]])</f>
        <v>1</v>
      </c>
      <c r="G1808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10000100</v>
      </c>
      <c r="H1808" s="3">
        <f>IF(TS_ATHLETES[[#This Row],[TOTAL]]=0,"",RANK(TS_ATHLETES[[#This Row],[RANK VALUE]],TS_ATHLETES[RANK VALUE]))</f>
        <v>660</v>
      </c>
      <c r="I1808" s="3">
        <f>IFERROR(IF(TS_ATHLETES[[#This Row],[TOTAL]]=0,"",RANK(TS_ATHLETES[[#This Row],[RANK VALUE]],TS_ATHLETES[RANK VALUE])+COUNTIF($H$1:H1807,H1808)),"")</f>
        <v>1208</v>
      </c>
    </row>
    <row r="1809" spans="1:9" x14ac:dyDescent="0.25">
      <c r="A1809" t="s">
        <v>2712</v>
      </c>
      <c r="B1809" s="3" t="s">
        <v>92</v>
      </c>
      <c r="C1809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1809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1</v>
      </c>
      <c r="E1809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1809" s="3">
        <f>SUM(TS_ATHLETES[[#This Row],[GOLD MEDALS]:[BRONZE MEDALS]])</f>
        <v>1</v>
      </c>
      <c r="G1809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10000100</v>
      </c>
      <c r="H1809" s="3">
        <f>IF(TS_ATHLETES[[#This Row],[TOTAL]]=0,"",RANK(TS_ATHLETES[[#This Row],[RANK VALUE]],TS_ATHLETES[RANK VALUE]))</f>
        <v>660</v>
      </c>
      <c r="I1809" s="3">
        <f>IFERROR(IF(TS_ATHLETES[[#This Row],[TOTAL]]=0,"",RANK(TS_ATHLETES[[#This Row],[RANK VALUE]],TS_ATHLETES[RANK VALUE])+COUNTIF($H$1:H1808,H1809)),"")</f>
        <v>1209</v>
      </c>
    </row>
    <row r="1810" spans="1:9" x14ac:dyDescent="0.25">
      <c r="A1810" t="s">
        <v>2713</v>
      </c>
      <c r="B1810" s="3" t="s">
        <v>92</v>
      </c>
      <c r="C1810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1810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1</v>
      </c>
      <c r="E1810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1810" s="3">
        <f>SUM(TS_ATHLETES[[#This Row],[GOLD MEDALS]:[BRONZE MEDALS]])</f>
        <v>1</v>
      </c>
      <c r="G1810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10000100</v>
      </c>
      <c r="H1810" s="3">
        <f>IF(TS_ATHLETES[[#This Row],[TOTAL]]=0,"",RANK(TS_ATHLETES[[#This Row],[RANK VALUE]],TS_ATHLETES[RANK VALUE]))</f>
        <v>660</v>
      </c>
      <c r="I1810" s="3">
        <f>IFERROR(IF(TS_ATHLETES[[#This Row],[TOTAL]]=0,"",RANK(TS_ATHLETES[[#This Row],[RANK VALUE]],TS_ATHLETES[RANK VALUE])+COUNTIF($H$1:H1809,H1810)),"")</f>
        <v>1210</v>
      </c>
    </row>
    <row r="1811" spans="1:9" x14ac:dyDescent="0.25">
      <c r="A1811" t="s">
        <v>2714</v>
      </c>
      <c r="B1811" s="3" t="s">
        <v>175</v>
      </c>
      <c r="C1811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1811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1811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1</v>
      </c>
      <c r="F1811" s="3">
        <f>SUM(TS_ATHLETES[[#This Row],[GOLD MEDALS]:[BRONZE MEDALS]])</f>
        <v>1</v>
      </c>
      <c r="G1811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10000010</v>
      </c>
      <c r="H1811" s="3">
        <f>IF(TS_ATHLETES[[#This Row],[TOTAL]]=0,"",RANK(TS_ATHLETES[[#This Row],[RANK VALUE]],TS_ATHLETES[RANK VALUE]))</f>
        <v>1224</v>
      </c>
      <c r="I1811" s="3">
        <f>IFERROR(IF(TS_ATHLETES[[#This Row],[TOTAL]]=0,"",RANK(TS_ATHLETES[[#This Row],[RANK VALUE]],TS_ATHLETES[RANK VALUE])+COUNTIF($H$1:H1810,H1811)),"")</f>
        <v>1834</v>
      </c>
    </row>
    <row r="1812" spans="1:9" x14ac:dyDescent="0.25">
      <c r="A1812" t="s">
        <v>2715</v>
      </c>
      <c r="B1812" s="3" t="s">
        <v>175</v>
      </c>
      <c r="C1812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1812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1812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1</v>
      </c>
      <c r="F1812" s="3">
        <f>SUM(TS_ATHLETES[[#This Row],[GOLD MEDALS]:[BRONZE MEDALS]])</f>
        <v>1</v>
      </c>
      <c r="G1812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10000010</v>
      </c>
      <c r="H1812" s="3">
        <f>IF(TS_ATHLETES[[#This Row],[TOTAL]]=0,"",RANK(TS_ATHLETES[[#This Row],[RANK VALUE]],TS_ATHLETES[RANK VALUE]))</f>
        <v>1224</v>
      </c>
      <c r="I1812" s="3">
        <f>IFERROR(IF(TS_ATHLETES[[#This Row],[TOTAL]]=0,"",RANK(TS_ATHLETES[[#This Row],[RANK VALUE]],TS_ATHLETES[RANK VALUE])+COUNTIF($H$1:H1811,H1812)),"")</f>
        <v>1835</v>
      </c>
    </row>
    <row r="1813" spans="1:9" x14ac:dyDescent="0.25">
      <c r="A1813" t="s">
        <v>2716</v>
      </c>
      <c r="B1813" s="3" t="s">
        <v>175</v>
      </c>
      <c r="C1813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1813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1813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1</v>
      </c>
      <c r="F1813" s="3">
        <f>SUM(TS_ATHLETES[[#This Row],[GOLD MEDALS]:[BRONZE MEDALS]])</f>
        <v>1</v>
      </c>
      <c r="G1813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10000010</v>
      </c>
      <c r="H1813" s="3">
        <f>IF(TS_ATHLETES[[#This Row],[TOTAL]]=0,"",RANK(TS_ATHLETES[[#This Row],[RANK VALUE]],TS_ATHLETES[RANK VALUE]))</f>
        <v>1224</v>
      </c>
      <c r="I1813" s="3">
        <f>IFERROR(IF(TS_ATHLETES[[#This Row],[TOTAL]]=0,"",RANK(TS_ATHLETES[[#This Row],[RANK VALUE]],TS_ATHLETES[RANK VALUE])+COUNTIF($H$1:H1812,H1813)),"")</f>
        <v>1836</v>
      </c>
    </row>
    <row r="1814" spans="1:9" x14ac:dyDescent="0.25">
      <c r="A1814" t="s">
        <v>2717</v>
      </c>
      <c r="B1814" s="3" t="s">
        <v>175</v>
      </c>
      <c r="C1814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1814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1814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1</v>
      </c>
      <c r="F1814" s="3">
        <f>SUM(TS_ATHLETES[[#This Row],[GOLD MEDALS]:[BRONZE MEDALS]])</f>
        <v>1</v>
      </c>
      <c r="G1814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10000010</v>
      </c>
      <c r="H1814" s="3">
        <f>IF(TS_ATHLETES[[#This Row],[TOTAL]]=0,"",RANK(TS_ATHLETES[[#This Row],[RANK VALUE]],TS_ATHLETES[RANK VALUE]))</f>
        <v>1224</v>
      </c>
      <c r="I1814" s="3">
        <f>IFERROR(IF(TS_ATHLETES[[#This Row],[TOTAL]]=0,"",RANK(TS_ATHLETES[[#This Row],[RANK VALUE]],TS_ATHLETES[RANK VALUE])+COUNTIF($H$1:H1813,H1814)),"")</f>
        <v>1837</v>
      </c>
    </row>
    <row r="1815" spans="1:9" x14ac:dyDescent="0.25">
      <c r="A1815" t="s">
        <v>2718</v>
      </c>
      <c r="B1815" s="3" t="s">
        <v>175</v>
      </c>
      <c r="C1815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1815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1815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1</v>
      </c>
      <c r="F1815" s="3">
        <f>SUM(TS_ATHLETES[[#This Row],[GOLD MEDALS]:[BRONZE MEDALS]])</f>
        <v>1</v>
      </c>
      <c r="G1815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10000010</v>
      </c>
      <c r="H1815" s="3">
        <f>IF(TS_ATHLETES[[#This Row],[TOTAL]]=0,"",RANK(TS_ATHLETES[[#This Row],[RANK VALUE]],TS_ATHLETES[RANK VALUE]))</f>
        <v>1224</v>
      </c>
      <c r="I1815" s="3">
        <f>IFERROR(IF(TS_ATHLETES[[#This Row],[TOTAL]]=0,"",RANK(TS_ATHLETES[[#This Row],[RANK VALUE]],TS_ATHLETES[RANK VALUE])+COUNTIF($H$1:H1814,H1815)),"")</f>
        <v>1838</v>
      </c>
    </row>
    <row r="1816" spans="1:9" x14ac:dyDescent="0.25">
      <c r="A1816" t="s">
        <v>2719</v>
      </c>
      <c r="B1816" s="3" t="s">
        <v>175</v>
      </c>
      <c r="C1816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1816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1816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1</v>
      </c>
      <c r="F1816" s="3">
        <f>SUM(TS_ATHLETES[[#This Row],[GOLD MEDALS]:[BRONZE MEDALS]])</f>
        <v>1</v>
      </c>
      <c r="G1816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10000010</v>
      </c>
      <c r="H1816" s="3">
        <f>IF(TS_ATHLETES[[#This Row],[TOTAL]]=0,"",RANK(TS_ATHLETES[[#This Row],[RANK VALUE]],TS_ATHLETES[RANK VALUE]))</f>
        <v>1224</v>
      </c>
      <c r="I1816" s="3">
        <f>IFERROR(IF(TS_ATHLETES[[#This Row],[TOTAL]]=0,"",RANK(TS_ATHLETES[[#This Row],[RANK VALUE]],TS_ATHLETES[RANK VALUE])+COUNTIF($H$1:H1815,H1816)),"")</f>
        <v>1839</v>
      </c>
    </row>
    <row r="1817" spans="1:9" x14ac:dyDescent="0.25">
      <c r="A1817" t="s">
        <v>2720</v>
      </c>
      <c r="B1817" s="3" t="s">
        <v>175</v>
      </c>
      <c r="C1817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1817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1817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1</v>
      </c>
      <c r="F1817" s="3">
        <f>SUM(TS_ATHLETES[[#This Row],[GOLD MEDALS]:[BRONZE MEDALS]])</f>
        <v>1</v>
      </c>
      <c r="G1817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10000010</v>
      </c>
      <c r="H1817" s="3">
        <f>IF(TS_ATHLETES[[#This Row],[TOTAL]]=0,"",RANK(TS_ATHLETES[[#This Row],[RANK VALUE]],TS_ATHLETES[RANK VALUE]))</f>
        <v>1224</v>
      </c>
      <c r="I1817" s="3">
        <f>IFERROR(IF(TS_ATHLETES[[#This Row],[TOTAL]]=0,"",RANK(TS_ATHLETES[[#This Row],[RANK VALUE]],TS_ATHLETES[RANK VALUE])+COUNTIF($H$1:H1816,H1817)),"")</f>
        <v>1840</v>
      </c>
    </row>
    <row r="1818" spans="1:9" x14ac:dyDescent="0.25">
      <c r="A1818" t="s">
        <v>2721</v>
      </c>
      <c r="B1818" s="3" t="s">
        <v>175</v>
      </c>
      <c r="C1818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1818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1818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1</v>
      </c>
      <c r="F1818" s="3">
        <f>SUM(TS_ATHLETES[[#This Row],[GOLD MEDALS]:[BRONZE MEDALS]])</f>
        <v>1</v>
      </c>
      <c r="G1818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10000010</v>
      </c>
      <c r="H1818" s="3">
        <f>IF(TS_ATHLETES[[#This Row],[TOTAL]]=0,"",RANK(TS_ATHLETES[[#This Row],[RANK VALUE]],TS_ATHLETES[RANK VALUE]))</f>
        <v>1224</v>
      </c>
      <c r="I1818" s="3">
        <f>IFERROR(IF(TS_ATHLETES[[#This Row],[TOTAL]]=0,"",RANK(TS_ATHLETES[[#This Row],[RANK VALUE]],TS_ATHLETES[RANK VALUE])+COUNTIF($H$1:H1817,H1818)),"")</f>
        <v>1841</v>
      </c>
    </row>
    <row r="1819" spans="1:9" x14ac:dyDescent="0.25">
      <c r="A1819" t="s">
        <v>2722</v>
      </c>
      <c r="B1819" s="3" t="s">
        <v>175</v>
      </c>
      <c r="C1819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1819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1819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1</v>
      </c>
      <c r="F1819" s="3">
        <f>SUM(TS_ATHLETES[[#This Row],[GOLD MEDALS]:[BRONZE MEDALS]])</f>
        <v>1</v>
      </c>
      <c r="G1819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10000010</v>
      </c>
      <c r="H1819" s="3">
        <f>IF(TS_ATHLETES[[#This Row],[TOTAL]]=0,"",RANK(TS_ATHLETES[[#This Row],[RANK VALUE]],TS_ATHLETES[RANK VALUE]))</f>
        <v>1224</v>
      </c>
      <c r="I1819" s="3">
        <f>IFERROR(IF(TS_ATHLETES[[#This Row],[TOTAL]]=0,"",RANK(TS_ATHLETES[[#This Row],[RANK VALUE]],TS_ATHLETES[RANK VALUE])+COUNTIF($H$1:H1818,H1819)),"")</f>
        <v>1842</v>
      </c>
    </row>
    <row r="1820" spans="1:9" x14ac:dyDescent="0.25">
      <c r="A1820" t="s">
        <v>2781</v>
      </c>
      <c r="B1820" s="3" t="s">
        <v>175</v>
      </c>
      <c r="C1820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1820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1820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1</v>
      </c>
      <c r="F1820" s="3">
        <f>SUM(TS_ATHLETES[[#This Row],[GOLD MEDALS]:[BRONZE MEDALS]])</f>
        <v>1</v>
      </c>
      <c r="G1820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10000010</v>
      </c>
      <c r="H1820" s="3">
        <f>IF(TS_ATHLETES[[#This Row],[TOTAL]]=0,"",RANK(TS_ATHLETES[[#This Row],[RANK VALUE]],TS_ATHLETES[RANK VALUE]))</f>
        <v>1224</v>
      </c>
      <c r="I1820" s="3">
        <f>IFERROR(IF(TS_ATHLETES[[#This Row],[TOTAL]]=0,"",RANK(TS_ATHLETES[[#This Row],[RANK VALUE]],TS_ATHLETES[RANK VALUE])+COUNTIF($H$1:H1819,H1820)),"")</f>
        <v>1843</v>
      </c>
    </row>
    <row r="1821" spans="1:9" x14ac:dyDescent="0.25">
      <c r="A1821" t="s">
        <v>2723</v>
      </c>
      <c r="B1821" s="3" t="s">
        <v>175</v>
      </c>
      <c r="C1821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1821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1821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1</v>
      </c>
      <c r="F1821" s="3">
        <f>SUM(TS_ATHLETES[[#This Row],[GOLD MEDALS]:[BRONZE MEDALS]])</f>
        <v>1</v>
      </c>
      <c r="G1821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10000010</v>
      </c>
      <c r="H1821" s="3">
        <f>IF(TS_ATHLETES[[#This Row],[TOTAL]]=0,"",RANK(TS_ATHLETES[[#This Row],[RANK VALUE]],TS_ATHLETES[RANK VALUE]))</f>
        <v>1224</v>
      </c>
      <c r="I1821" s="3">
        <f>IFERROR(IF(TS_ATHLETES[[#This Row],[TOTAL]]=0,"",RANK(TS_ATHLETES[[#This Row],[RANK VALUE]],TS_ATHLETES[RANK VALUE])+COUNTIF($H$1:H1820,H1821)),"")</f>
        <v>1844</v>
      </c>
    </row>
    <row r="1822" spans="1:9" x14ac:dyDescent="0.25">
      <c r="A1822" t="s">
        <v>2724</v>
      </c>
      <c r="B1822" s="3" t="s">
        <v>175</v>
      </c>
      <c r="C1822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1822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1822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1</v>
      </c>
      <c r="F1822" s="3">
        <f>SUM(TS_ATHLETES[[#This Row],[GOLD MEDALS]:[BRONZE MEDALS]])</f>
        <v>1</v>
      </c>
      <c r="G1822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10000010</v>
      </c>
      <c r="H1822" s="3">
        <f>IF(TS_ATHLETES[[#This Row],[TOTAL]]=0,"",RANK(TS_ATHLETES[[#This Row],[RANK VALUE]],TS_ATHLETES[RANK VALUE]))</f>
        <v>1224</v>
      </c>
      <c r="I1822" s="3">
        <f>IFERROR(IF(TS_ATHLETES[[#This Row],[TOTAL]]=0,"",RANK(TS_ATHLETES[[#This Row],[RANK VALUE]],TS_ATHLETES[RANK VALUE])+COUNTIF($H$1:H1821,H1822)),"")</f>
        <v>1845</v>
      </c>
    </row>
    <row r="1823" spans="1:9" x14ac:dyDescent="0.25">
      <c r="A1823" t="s">
        <v>2725</v>
      </c>
      <c r="B1823" s="3" t="s">
        <v>175</v>
      </c>
      <c r="C1823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1823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1823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1</v>
      </c>
      <c r="F1823" s="3">
        <f>SUM(TS_ATHLETES[[#This Row],[GOLD MEDALS]:[BRONZE MEDALS]])</f>
        <v>1</v>
      </c>
      <c r="G1823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10000010</v>
      </c>
      <c r="H1823" s="3">
        <f>IF(TS_ATHLETES[[#This Row],[TOTAL]]=0,"",RANK(TS_ATHLETES[[#This Row],[RANK VALUE]],TS_ATHLETES[RANK VALUE]))</f>
        <v>1224</v>
      </c>
      <c r="I1823" s="3">
        <f>IFERROR(IF(TS_ATHLETES[[#This Row],[TOTAL]]=0,"",RANK(TS_ATHLETES[[#This Row],[RANK VALUE]],TS_ATHLETES[RANK VALUE])+COUNTIF($H$1:H1822,H1823)),"")</f>
        <v>1846</v>
      </c>
    </row>
    <row r="1824" spans="1:9" x14ac:dyDescent="0.25">
      <c r="A1824" t="s">
        <v>2726</v>
      </c>
      <c r="B1824" s="3" t="s">
        <v>363</v>
      </c>
      <c r="C1824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1</v>
      </c>
      <c r="D1824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1824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1824" s="3">
        <f>SUM(TS_ATHLETES[[#This Row],[GOLD MEDALS]:[BRONZE MEDALS]])</f>
        <v>1</v>
      </c>
      <c r="G1824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10100000</v>
      </c>
      <c r="H1824" s="3">
        <f>IF(TS_ATHLETES[[#This Row],[TOTAL]]=0,"",RANK(TS_ATHLETES[[#This Row],[RANK VALUE]],TS_ATHLETES[RANK VALUE]))</f>
        <v>129</v>
      </c>
      <c r="I1824" s="3">
        <f>IFERROR(IF(TS_ATHLETES[[#This Row],[TOTAL]]=0,"",RANK(TS_ATHLETES[[#This Row],[RANK VALUE]],TS_ATHLETES[RANK VALUE])+COUNTIF($H$1:H1823,H1824)),"")</f>
        <v>646</v>
      </c>
    </row>
    <row r="1825" spans="1:9" x14ac:dyDescent="0.25">
      <c r="A1825" t="s">
        <v>2727</v>
      </c>
      <c r="B1825" s="3" t="s">
        <v>363</v>
      </c>
      <c r="C1825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1</v>
      </c>
      <c r="D1825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1825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1825" s="3">
        <f>SUM(TS_ATHLETES[[#This Row],[GOLD MEDALS]:[BRONZE MEDALS]])</f>
        <v>1</v>
      </c>
      <c r="G1825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10100000</v>
      </c>
      <c r="H1825" s="3">
        <f>IF(TS_ATHLETES[[#This Row],[TOTAL]]=0,"",RANK(TS_ATHLETES[[#This Row],[RANK VALUE]],TS_ATHLETES[RANK VALUE]))</f>
        <v>129</v>
      </c>
      <c r="I1825" s="3">
        <f>IFERROR(IF(TS_ATHLETES[[#This Row],[TOTAL]]=0,"",RANK(TS_ATHLETES[[#This Row],[RANK VALUE]],TS_ATHLETES[RANK VALUE])+COUNTIF($H$1:H1824,H1825)),"")</f>
        <v>647</v>
      </c>
    </row>
    <row r="1826" spans="1:9" x14ac:dyDescent="0.25">
      <c r="A1826" t="s">
        <v>2728</v>
      </c>
      <c r="B1826" s="3" t="s">
        <v>363</v>
      </c>
      <c r="C1826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1</v>
      </c>
      <c r="D1826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1826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1826" s="3">
        <f>SUM(TS_ATHLETES[[#This Row],[GOLD MEDALS]:[BRONZE MEDALS]])</f>
        <v>1</v>
      </c>
      <c r="G1826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10100000</v>
      </c>
      <c r="H1826" s="3">
        <f>IF(TS_ATHLETES[[#This Row],[TOTAL]]=0,"",RANK(TS_ATHLETES[[#This Row],[RANK VALUE]],TS_ATHLETES[RANK VALUE]))</f>
        <v>129</v>
      </c>
      <c r="I1826" s="3">
        <f>IFERROR(IF(TS_ATHLETES[[#This Row],[TOTAL]]=0,"",RANK(TS_ATHLETES[[#This Row],[RANK VALUE]],TS_ATHLETES[RANK VALUE])+COUNTIF($H$1:H1825,H1826)),"")</f>
        <v>648</v>
      </c>
    </row>
    <row r="1827" spans="1:9" x14ac:dyDescent="0.25">
      <c r="A1827" t="s">
        <v>2729</v>
      </c>
      <c r="B1827" s="3" t="s">
        <v>363</v>
      </c>
      <c r="C1827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1</v>
      </c>
      <c r="D1827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1827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1827" s="3">
        <f>SUM(TS_ATHLETES[[#This Row],[GOLD MEDALS]:[BRONZE MEDALS]])</f>
        <v>1</v>
      </c>
      <c r="G1827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10100000</v>
      </c>
      <c r="H1827" s="3">
        <f>IF(TS_ATHLETES[[#This Row],[TOTAL]]=0,"",RANK(TS_ATHLETES[[#This Row],[RANK VALUE]],TS_ATHLETES[RANK VALUE]))</f>
        <v>129</v>
      </c>
      <c r="I1827" s="3">
        <f>IFERROR(IF(TS_ATHLETES[[#This Row],[TOTAL]]=0,"",RANK(TS_ATHLETES[[#This Row],[RANK VALUE]],TS_ATHLETES[RANK VALUE])+COUNTIF($H$1:H1826,H1827)),"")</f>
        <v>649</v>
      </c>
    </row>
    <row r="1828" spans="1:9" x14ac:dyDescent="0.25">
      <c r="A1828" t="s">
        <v>2730</v>
      </c>
      <c r="B1828" s="3" t="s">
        <v>363</v>
      </c>
      <c r="C1828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1</v>
      </c>
      <c r="D1828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1828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1828" s="3">
        <f>SUM(TS_ATHLETES[[#This Row],[GOLD MEDALS]:[BRONZE MEDALS]])</f>
        <v>1</v>
      </c>
      <c r="G1828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10100000</v>
      </c>
      <c r="H1828" s="3">
        <f>IF(TS_ATHLETES[[#This Row],[TOTAL]]=0,"",RANK(TS_ATHLETES[[#This Row],[RANK VALUE]],TS_ATHLETES[RANK VALUE]))</f>
        <v>129</v>
      </c>
      <c r="I1828" s="3">
        <f>IFERROR(IF(TS_ATHLETES[[#This Row],[TOTAL]]=0,"",RANK(TS_ATHLETES[[#This Row],[RANK VALUE]],TS_ATHLETES[RANK VALUE])+COUNTIF($H$1:H1827,H1828)),"")</f>
        <v>650</v>
      </c>
    </row>
    <row r="1829" spans="1:9" x14ac:dyDescent="0.25">
      <c r="A1829" t="s">
        <v>2731</v>
      </c>
      <c r="B1829" s="3" t="s">
        <v>363</v>
      </c>
      <c r="C1829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1</v>
      </c>
      <c r="D1829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1829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1829" s="3">
        <f>SUM(TS_ATHLETES[[#This Row],[GOLD MEDALS]:[BRONZE MEDALS]])</f>
        <v>1</v>
      </c>
      <c r="G1829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10100000</v>
      </c>
      <c r="H1829" s="3">
        <f>IF(TS_ATHLETES[[#This Row],[TOTAL]]=0,"",RANK(TS_ATHLETES[[#This Row],[RANK VALUE]],TS_ATHLETES[RANK VALUE]))</f>
        <v>129</v>
      </c>
      <c r="I1829" s="3">
        <f>IFERROR(IF(TS_ATHLETES[[#This Row],[TOTAL]]=0,"",RANK(TS_ATHLETES[[#This Row],[RANK VALUE]],TS_ATHLETES[RANK VALUE])+COUNTIF($H$1:H1828,H1829)),"")</f>
        <v>651</v>
      </c>
    </row>
    <row r="1830" spans="1:9" x14ac:dyDescent="0.25">
      <c r="A1830" t="s">
        <v>2732</v>
      </c>
      <c r="B1830" s="3" t="s">
        <v>363</v>
      </c>
      <c r="C1830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1</v>
      </c>
      <c r="D1830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1830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1830" s="3">
        <f>SUM(TS_ATHLETES[[#This Row],[GOLD MEDALS]:[BRONZE MEDALS]])</f>
        <v>1</v>
      </c>
      <c r="G1830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10100000</v>
      </c>
      <c r="H1830" s="3">
        <f>IF(TS_ATHLETES[[#This Row],[TOTAL]]=0,"",RANK(TS_ATHLETES[[#This Row],[RANK VALUE]],TS_ATHLETES[RANK VALUE]))</f>
        <v>129</v>
      </c>
      <c r="I1830" s="3">
        <f>IFERROR(IF(TS_ATHLETES[[#This Row],[TOTAL]]=0,"",RANK(TS_ATHLETES[[#This Row],[RANK VALUE]],TS_ATHLETES[RANK VALUE])+COUNTIF($H$1:H1829,H1830)),"")</f>
        <v>652</v>
      </c>
    </row>
    <row r="1831" spans="1:9" x14ac:dyDescent="0.25">
      <c r="A1831" t="s">
        <v>2733</v>
      </c>
      <c r="B1831" s="3" t="s">
        <v>363</v>
      </c>
      <c r="C1831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1</v>
      </c>
      <c r="D1831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1831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1831" s="3">
        <f>SUM(TS_ATHLETES[[#This Row],[GOLD MEDALS]:[BRONZE MEDALS]])</f>
        <v>1</v>
      </c>
      <c r="G1831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10100000</v>
      </c>
      <c r="H1831" s="3">
        <f>IF(TS_ATHLETES[[#This Row],[TOTAL]]=0,"",RANK(TS_ATHLETES[[#This Row],[RANK VALUE]],TS_ATHLETES[RANK VALUE]))</f>
        <v>129</v>
      </c>
      <c r="I1831" s="3">
        <f>IFERROR(IF(TS_ATHLETES[[#This Row],[TOTAL]]=0,"",RANK(TS_ATHLETES[[#This Row],[RANK VALUE]],TS_ATHLETES[RANK VALUE])+COUNTIF($H$1:H1830,H1831)),"")</f>
        <v>653</v>
      </c>
    </row>
    <row r="1832" spans="1:9" x14ac:dyDescent="0.25">
      <c r="A1832" t="s">
        <v>2734</v>
      </c>
      <c r="B1832" s="3" t="s">
        <v>363</v>
      </c>
      <c r="C1832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1</v>
      </c>
      <c r="D1832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1832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1832" s="3">
        <f>SUM(TS_ATHLETES[[#This Row],[GOLD MEDALS]:[BRONZE MEDALS]])</f>
        <v>1</v>
      </c>
      <c r="G1832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10100000</v>
      </c>
      <c r="H1832" s="3">
        <f>IF(TS_ATHLETES[[#This Row],[TOTAL]]=0,"",RANK(TS_ATHLETES[[#This Row],[RANK VALUE]],TS_ATHLETES[RANK VALUE]))</f>
        <v>129</v>
      </c>
      <c r="I1832" s="3">
        <f>IFERROR(IF(TS_ATHLETES[[#This Row],[TOTAL]]=0,"",RANK(TS_ATHLETES[[#This Row],[RANK VALUE]],TS_ATHLETES[RANK VALUE])+COUNTIF($H$1:H1831,H1832)),"")</f>
        <v>654</v>
      </c>
    </row>
    <row r="1833" spans="1:9" x14ac:dyDescent="0.25">
      <c r="A1833" t="s">
        <v>2735</v>
      </c>
      <c r="B1833" s="3" t="s">
        <v>363</v>
      </c>
      <c r="C1833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1</v>
      </c>
      <c r="D1833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1833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1833" s="3">
        <f>SUM(TS_ATHLETES[[#This Row],[GOLD MEDALS]:[BRONZE MEDALS]])</f>
        <v>1</v>
      </c>
      <c r="G1833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10100000</v>
      </c>
      <c r="H1833" s="3">
        <f>IF(TS_ATHLETES[[#This Row],[TOTAL]]=0,"",RANK(TS_ATHLETES[[#This Row],[RANK VALUE]],TS_ATHLETES[RANK VALUE]))</f>
        <v>129</v>
      </c>
      <c r="I1833" s="3">
        <f>IFERROR(IF(TS_ATHLETES[[#This Row],[TOTAL]]=0,"",RANK(TS_ATHLETES[[#This Row],[RANK VALUE]],TS_ATHLETES[RANK VALUE])+COUNTIF($H$1:H1832,H1833)),"")</f>
        <v>655</v>
      </c>
    </row>
    <row r="1834" spans="1:9" x14ac:dyDescent="0.25">
      <c r="A1834" t="s">
        <v>2736</v>
      </c>
      <c r="B1834" s="3" t="s">
        <v>363</v>
      </c>
      <c r="C1834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1</v>
      </c>
      <c r="D1834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1834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1834" s="3">
        <f>SUM(TS_ATHLETES[[#This Row],[GOLD MEDALS]:[BRONZE MEDALS]])</f>
        <v>1</v>
      </c>
      <c r="G1834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10100000</v>
      </c>
      <c r="H1834" s="3">
        <f>IF(TS_ATHLETES[[#This Row],[TOTAL]]=0,"",RANK(TS_ATHLETES[[#This Row],[RANK VALUE]],TS_ATHLETES[RANK VALUE]))</f>
        <v>129</v>
      </c>
      <c r="I1834" s="3">
        <f>IFERROR(IF(TS_ATHLETES[[#This Row],[TOTAL]]=0,"",RANK(TS_ATHLETES[[#This Row],[RANK VALUE]],TS_ATHLETES[RANK VALUE])+COUNTIF($H$1:H1833,H1834)),"")</f>
        <v>656</v>
      </c>
    </row>
    <row r="1835" spans="1:9" x14ac:dyDescent="0.25">
      <c r="A1835" t="s">
        <v>2737</v>
      </c>
      <c r="B1835" s="3" t="s">
        <v>363</v>
      </c>
      <c r="C1835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1</v>
      </c>
      <c r="D1835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1835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1835" s="3">
        <f>SUM(TS_ATHLETES[[#This Row],[GOLD MEDALS]:[BRONZE MEDALS]])</f>
        <v>1</v>
      </c>
      <c r="G1835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10100000</v>
      </c>
      <c r="H1835" s="3">
        <f>IF(TS_ATHLETES[[#This Row],[TOTAL]]=0,"",RANK(TS_ATHLETES[[#This Row],[RANK VALUE]],TS_ATHLETES[RANK VALUE]))</f>
        <v>129</v>
      </c>
      <c r="I1835" s="3">
        <f>IFERROR(IF(TS_ATHLETES[[#This Row],[TOTAL]]=0,"",RANK(TS_ATHLETES[[#This Row],[RANK VALUE]],TS_ATHLETES[RANK VALUE])+COUNTIF($H$1:H1834,H1835)),"")</f>
        <v>657</v>
      </c>
    </row>
    <row r="1836" spans="1:9" x14ac:dyDescent="0.25">
      <c r="A1836" t="s">
        <v>2738</v>
      </c>
      <c r="B1836" s="3" t="s">
        <v>363</v>
      </c>
      <c r="C1836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1</v>
      </c>
      <c r="D1836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1836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1836" s="3">
        <f>SUM(TS_ATHLETES[[#This Row],[GOLD MEDALS]:[BRONZE MEDALS]])</f>
        <v>1</v>
      </c>
      <c r="G1836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10100000</v>
      </c>
      <c r="H1836" s="3">
        <f>IF(TS_ATHLETES[[#This Row],[TOTAL]]=0,"",RANK(TS_ATHLETES[[#This Row],[RANK VALUE]],TS_ATHLETES[RANK VALUE]))</f>
        <v>129</v>
      </c>
      <c r="I1836" s="3">
        <f>IFERROR(IF(TS_ATHLETES[[#This Row],[TOTAL]]=0,"",RANK(TS_ATHLETES[[#This Row],[RANK VALUE]],TS_ATHLETES[RANK VALUE])+COUNTIF($H$1:H1835,H1836)),"")</f>
        <v>658</v>
      </c>
    </row>
    <row r="1837" spans="1:9" x14ac:dyDescent="0.25">
      <c r="A1837" t="s">
        <v>2739</v>
      </c>
      <c r="B1837" s="3" t="s">
        <v>175</v>
      </c>
      <c r="C1837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1837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1</v>
      </c>
      <c r="E1837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1837" s="3">
        <f>SUM(TS_ATHLETES[[#This Row],[GOLD MEDALS]:[BRONZE MEDALS]])</f>
        <v>1</v>
      </c>
      <c r="G1837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10000100</v>
      </c>
      <c r="H1837" s="3">
        <f>IF(TS_ATHLETES[[#This Row],[TOTAL]]=0,"",RANK(TS_ATHLETES[[#This Row],[RANK VALUE]],TS_ATHLETES[RANK VALUE]))</f>
        <v>660</v>
      </c>
      <c r="I1837" s="3">
        <f>IFERROR(IF(TS_ATHLETES[[#This Row],[TOTAL]]=0,"",RANK(TS_ATHLETES[[#This Row],[RANK VALUE]],TS_ATHLETES[RANK VALUE])+COUNTIF($H$1:H1836,H1837)),"")</f>
        <v>1211</v>
      </c>
    </row>
    <row r="1838" spans="1:9" x14ac:dyDescent="0.25">
      <c r="A1838" t="s">
        <v>2740</v>
      </c>
      <c r="B1838" s="3" t="s">
        <v>175</v>
      </c>
      <c r="C1838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1838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1</v>
      </c>
      <c r="E1838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1838" s="3">
        <f>SUM(TS_ATHLETES[[#This Row],[GOLD MEDALS]:[BRONZE MEDALS]])</f>
        <v>1</v>
      </c>
      <c r="G1838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10000100</v>
      </c>
      <c r="H1838" s="3">
        <f>IF(TS_ATHLETES[[#This Row],[TOTAL]]=0,"",RANK(TS_ATHLETES[[#This Row],[RANK VALUE]],TS_ATHLETES[RANK VALUE]))</f>
        <v>660</v>
      </c>
      <c r="I1838" s="3">
        <f>IFERROR(IF(TS_ATHLETES[[#This Row],[TOTAL]]=0,"",RANK(TS_ATHLETES[[#This Row],[RANK VALUE]],TS_ATHLETES[RANK VALUE])+COUNTIF($H$1:H1837,H1838)),"")</f>
        <v>1212</v>
      </c>
    </row>
    <row r="1839" spans="1:9" x14ac:dyDescent="0.25">
      <c r="A1839" t="s">
        <v>2741</v>
      </c>
      <c r="B1839" s="3" t="s">
        <v>175</v>
      </c>
      <c r="C1839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1839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1</v>
      </c>
      <c r="E1839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1839" s="3">
        <f>SUM(TS_ATHLETES[[#This Row],[GOLD MEDALS]:[BRONZE MEDALS]])</f>
        <v>1</v>
      </c>
      <c r="G1839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10000100</v>
      </c>
      <c r="H1839" s="3">
        <f>IF(TS_ATHLETES[[#This Row],[TOTAL]]=0,"",RANK(TS_ATHLETES[[#This Row],[RANK VALUE]],TS_ATHLETES[RANK VALUE]))</f>
        <v>660</v>
      </c>
      <c r="I1839" s="3">
        <f>IFERROR(IF(TS_ATHLETES[[#This Row],[TOTAL]]=0,"",RANK(TS_ATHLETES[[#This Row],[RANK VALUE]],TS_ATHLETES[RANK VALUE])+COUNTIF($H$1:H1838,H1839)),"")</f>
        <v>1213</v>
      </c>
    </row>
    <row r="1840" spans="1:9" x14ac:dyDescent="0.25">
      <c r="A1840" t="s">
        <v>2742</v>
      </c>
      <c r="B1840" s="3" t="s">
        <v>175</v>
      </c>
      <c r="C1840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1840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1</v>
      </c>
      <c r="E1840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1840" s="3">
        <f>SUM(TS_ATHLETES[[#This Row],[GOLD MEDALS]:[BRONZE MEDALS]])</f>
        <v>1</v>
      </c>
      <c r="G1840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10000100</v>
      </c>
      <c r="H1840" s="3">
        <f>IF(TS_ATHLETES[[#This Row],[TOTAL]]=0,"",RANK(TS_ATHLETES[[#This Row],[RANK VALUE]],TS_ATHLETES[RANK VALUE]))</f>
        <v>660</v>
      </c>
      <c r="I1840" s="3">
        <f>IFERROR(IF(TS_ATHLETES[[#This Row],[TOTAL]]=0,"",RANK(TS_ATHLETES[[#This Row],[RANK VALUE]],TS_ATHLETES[RANK VALUE])+COUNTIF($H$1:H1839,H1840)),"")</f>
        <v>1214</v>
      </c>
    </row>
    <row r="1841" spans="1:9" x14ac:dyDescent="0.25">
      <c r="A1841" t="s">
        <v>2743</v>
      </c>
      <c r="B1841" s="3" t="s">
        <v>175</v>
      </c>
      <c r="C1841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1841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1</v>
      </c>
      <c r="E1841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1841" s="3">
        <f>SUM(TS_ATHLETES[[#This Row],[GOLD MEDALS]:[BRONZE MEDALS]])</f>
        <v>1</v>
      </c>
      <c r="G1841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10000100</v>
      </c>
      <c r="H1841" s="3">
        <f>IF(TS_ATHLETES[[#This Row],[TOTAL]]=0,"",RANK(TS_ATHLETES[[#This Row],[RANK VALUE]],TS_ATHLETES[RANK VALUE]))</f>
        <v>660</v>
      </c>
      <c r="I1841" s="3">
        <f>IFERROR(IF(TS_ATHLETES[[#This Row],[TOTAL]]=0,"",RANK(TS_ATHLETES[[#This Row],[RANK VALUE]],TS_ATHLETES[RANK VALUE])+COUNTIF($H$1:H1840,H1841)),"")</f>
        <v>1215</v>
      </c>
    </row>
    <row r="1842" spans="1:9" x14ac:dyDescent="0.25">
      <c r="A1842" t="s">
        <v>2744</v>
      </c>
      <c r="B1842" s="3" t="s">
        <v>175</v>
      </c>
      <c r="C1842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1842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1</v>
      </c>
      <c r="E1842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1842" s="3">
        <f>SUM(TS_ATHLETES[[#This Row],[GOLD MEDALS]:[BRONZE MEDALS]])</f>
        <v>1</v>
      </c>
      <c r="G1842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10000100</v>
      </c>
      <c r="H1842" s="3">
        <f>IF(TS_ATHLETES[[#This Row],[TOTAL]]=0,"",RANK(TS_ATHLETES[[#This Row],[RANK VALUE]],TS_ATHLETES[RANK VALUE]))</f>
        <v>660</v>
      </c>
      <c r="I1842" s="3">
        <f>IFERROR(IF(TS_ATHLETES[[#This Row],[TOTAL]]=0,"",RANK(TS_ATHLETES[[#This Row],[RANK VALUE]],TS_ATHLETES[RANK VALUE])+COUNTIF($H$1:H1841,H1842)),"")</f>
        <v>1216</v>
      </c>
    </row>
    <row r="1843" spans="1:9" x14ac:dyDescent="0.25">
      <c r="A1843" t="s">
        <v>2745</v>
      </c>
      <c r="B1843" s="3" t="s">
        <v>175</v>
      </c>
      <c r="C1843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1843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1</v>
      </c>
      <c r="E1843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1843" s="3">
        <f>SUM(TS_ATHLETES[[#This Row],[GOLD MEDALS]:[BRONZE MEDALS]])</f>
        <v>1</v>
      </c>
      <c r="G1843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10000100</v>
      </c>
      <c r="H1843" s="3">
        <f>IF(TS_ATHLETES[[#This Row],[TOTAL]]=0,"",RANK(TS_ATHLETES[[#This Row],[RANK VALUE]],TS_ATHLETES[RANK VALUE]))</f>
        <v>660</v>
      </c>
      <c r="I1843" s="3">
        <f>IFERROR(IF(TS_ATHLETES[[#This Row],[TOTAL]]=0,"",RANK(TS_ATHLETES[[#This Row],[RANK VALUE]],TS_ATHLETES[RANK VALUE])+COUNTIF($H$1:H1842,H1843)),"")</f>
        <v>1217</v>
      </c>
    </row>
    <row r="1844" spans="1:9" x14ac:dyDescent="0.25">
      <c r="A1844" t="s">
        <v>2746</v>
      </c>
      <c r="B1844" s="3" t="s">
        <v>175</v>
      </c>
      <c r="C1844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1844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1</v>
      </c>
      <c r="E1844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1844" s="3">
        <f>SUM(TS_ATHLETES[[#This Row],[GOLD MEDALS]:[BRONZE MEDALS]])</f>
        <v>1</v>
      </c>
      <c r="G1844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10000100</v>
      </c>
      <c r="H1844" s="3">
        <f>IF(TS_ATHLETES[[#This Row],[TOTAL]]=0,"",RANK(TS_ATHLETES[[#This Row],[RANK VALUE]],TS_ATHLETES[RANK VALUE]))</f>
        <v>660</v>
      </c>
      <c r="I1844" s="3">
        <f>IFERROR(IF(TS_ATHLETES[[#This Row],[TOTAL]]=0,"",RANK(TS_ATHLETES[[#This Row],[RANK VALUE]],TS_ATHLETES[RANK VALUE])+COUNTIF($H$1:H1843,H1844)),"")</f>
        <v>1218</v>
      </c>
    </row>
    <row r="1845" spans="1:9" x14ac:dyDescent="0.25">
      <c r="A1845" t="s">
        <v>2747</v>
      </c>
      <c r="B1845" s="3" t="s">
        <v>175</v>
      </c>
      <c r="C1845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1845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1</v>
      </c>
      <c r="E1845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1845" s="3">
        <f>SUM(TS_ATHLETES[[#This Row],[GOLD MEDALS]:[BRONZE MEDALS]])</f>
        <v>1</v>
      </c>
      <c r="G1845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10000100</v>
      </c>
      <c r="H1845" s="3">
        <f>IF(TS_ATHLETES[[#This Row],[TOTAL]]=0,"",RANK(TS_ATHLETES[[#This Row],[RANK VALUE]],TS_ATHLETES[RANK VALUE]))</f>
        <v>660</v>
      </c>
      <c r="I1845" s="3">
        <f>IFERROR(IF(TS_ATHLETES[[#This Row],[TOTAL]]=0,"",RANK(TS_ATHLETES[[#This Row],[RANK VALUE]],TS_ATHLETES[RANK VALUE])+COUNTIF($H$1:H1844,H1845)),"")</f>
        <v>1219</v>
      </c>
    </row>
    <row r="1846" spans="1:9" x14ac:dyDescent="0.25">
      <c r="A1846" t="s">
        <v>2748</v>
      </c>
      <c r="B1846" s="3" t="s">
        <v>175</v>
      </c>
      <c r="C1846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1846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1</v>
      </c>
      <c r="E1846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1846" s="3">
        <f>SUM(TS_ATHLETES[[#This Row],[GOLD MEDALS]:[BRONZE MEDALS]])</f>
        <v>1</v>
      </c>
      <c r="G1846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10000100</v>
      </c>
      <c r="H1846" s="3">
        <f>IF(TS_ATHLETES[[#This Row],[TOTAL]]=0,"",RANK(TS_ATHLETES[[#This Row],[RANK VALUE]],TS_ATHLETES[RANK VALUE]))</f>
        <v>660</v>
      </c>
      <c r="I1846" s="3">
        <f>IFERROR(IF(TS_ATHLETES[[#This Row],[TOTAL]]=0,"",RANK(TS_ATHLETES[[#This Row],[RANK VALUE]],TS_ATHLETES[RANK VALUE])+COUNTIF($H$1:H1845,H1846)),"")</f>
        <v>1220</v>
      </c>
    </row>
    <row r="1847" spans="1:9" x14ac:dyDescent="0.25">
      <c r="A1847" t="s">
        <v>2749</v>
      </c>
      <c r="B1847" s="3" t="s">
        <v>175</v>
      </c>
      <c r="C1847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1847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1</v>
      </c>
      <c r="E1847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1847" s="3">
        <f>SUM(TS_ATHLETES[[#This Row],[GOLD MEDALS]:[BRONZE MEDALS]])</f>
        <v>1</v>
      </c>
      <c r="G1847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10000100</v>
      </c>
      <c r="H1847" s="3">
        <f>IF(TS_ATHLETES[[#This Row],[TOTAL]]=0,"",RANK(TS_ATHLETES[[#This Row],[RANK VALUE]],TS_ATHLETES[RANK VALUE]))</f>
        <v>660</v>
      </c>
      <c r="I1847" s="3">
        <f>IFERROR(IF(TS_ATHLETES[[#This Row],[TOTAL]]=0,"",RANK(TS_ATHLETES[[#This Row],[RANK VALUE]],TS_ATHLETES[RANK VALUE])+COUNTIF($H$1:H1846,H1847)),"")</f>
        <v>1221</v>
      </c>
    </row>
    <row r="1848" spans="1:9" x14ac:dyDescent="0.25">
      <c r="A1848" t="s">
        <v>2750</v>
      </c>
      <c r="B1848" s="3" t="s">
        <v>175</v>
      </c>
      <c r="C1848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1848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1</v>
      </c>
      <c r="E1848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1848" s="3">
        <f>SUM(TS_ATHLETES[[#This Row],[GOLD MEDALS]:[BRONZE MEDALS]])</f>
        <v>1</v>
      </c>
      <c r="G1848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10000100</v>
      </c>
      <c r="H1848" s="3">
        <f>IF(TS_ATHLETES[[#This Row],[TOTAL]]=0,"",RANK(TS_ATHLETES[[#This Row],[RANK VALUE]],TS_ATHLETES[RANK VALUE]))</f>
        <v>660</v>
      </c>
      <c r="I1848" s="3">
        <f>IFERROR(IF(TS_ATHLETES[[#This Row],[TOTAL]]=0,"",RANK(TS_ATHLETES[[#This Row],[RANK VALUE]],TS_ATHLETES[RANK VALUE])+COUNTIF($H$1:H1847,H1848)),"")</f>
        <v>1222</v>
      </c>
    </row>
    <row r="1849" spans="1:9" x14ac:dyDescent="0.25">
      <c r="A1849" t="s">
        <v>2751</v>
      </c>
      <c r="B1849" s="3" t="s">
        <v>175</v>
      </c>
      <c r="C1849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1849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1</v>
      </c>
      <c r="E1849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1849" s="3">
        <f>SUM(TS_ATHLETES[[#This Row],[GOLD MEDALS]:[BRONZE MEDALS]])</f>
        <v>1</v>
      </c>
      <c r="G1849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10000100</v>
      </c>
      <c r="H1849" s="3">
        <f>IF(TS_ATHLETES[[#This Row],[TOTAL]]=0,"",RANK(TS_ATHLETES[[#This Row],[RANK VALUE]],TS_ATHLETES[RANK VALUE]))</f>
        <v>660</v>
      </c>
      <c r="I1849" s="3">
        <f>IFERROR(IF(TS_ATHLETES[[#This Row],[TOTAL]]=0,"",RANK(TS_ATHLETES[[#This Row],[RANK VALUE]],TS_ATHLETES[RANK VALUE])+COUNTIF($H$1:H1848,H1849)),"")</f>
        <v>1223</v>
      </c>
    </row>
    <row r="1850" spans="1:9" x14ac:dyDescent="0.25">
      <c r="A1850" t="s">
        <v>2752</v>
      </c>
      <c r="B1850" s="3" t="s">
        <v>287</v>
      </c>
      <c r="C1850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1850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1850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1</v>
      </c>
      <c r="F1850" s="3">
        <f>SUM(TS_ATHLETES[[#This Row],[GOLD MEDALS]:[BRONZE MEDALS]])</f>
        <v>1</v>
      </c>
      <c r="G1850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10000010</v>
      </c>
      <c r="H1850" s="3">
        <f>IF(TS_ATHLETES[[#This Row],[TOTAL]]=0,"",RANK(TS_ATHLETES[[#This Row],[RANK VALUE]],TS_ATHLETES[RANK VALUE]))</f>
        <v>1224</v>
      </c>
      <c r="I1850" s="3">
        <f>IFERROR(IF(TS_ATHLETES[[#This Row],[TOTAL]]=0,"",RANK(TS_ATHLETES[[#This Row],[RANK VALUE]],TS_ATHLETES[RANK VALUE])+COUNTIF($H$1:H1849,H1850)),"")</f>
        <v>1847</v>
      </c>
    </row>
    <row r="1851" spans="1:9" x14ac:dyDescent="0.25">
      <c r="A1851" t="s">
        <v>2753</v>
      </c>
      <c r="B1851" s="3" t="s">
        <v>287</v>
      </c>
      <c r="C1851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1851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1851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1</v>
      </c>
      <c r="F1851" s="3">
        <f>SUM(TS_ATHLETES[[#This Row],[GOLD MEDALS]:[BRONZE MEDALS]])</f>
        <v>1</v>
      </c>
      <c r="G1851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10000010</v>
      </c>
      <c r="H1851" s="3">
        <f>IF(TS_ATHLETES[[#This Row],[TOTAL]]=0,"",RANK(TS_ATHLETES[[#This Row],[RANK VALUE]],TS_ATHLETES[RANK VALUE]))</f>
        <v>1224</v>
      </c>
      <c r="I1851" s="3">
        <f>IFERROR(IF(TS_ATHLETES[[#This Row],[TOTAL]]=0,"",RANK(TS_ATHLETES[[#This Row],[RANK VALUE]],TS_ATHLETES[RANK VALUE])+COUNTIF($H$1:H1850,H1851)),"")</f>
        <v>1848</v>
      </c>
    </row>
    <row r="1852" spans="1:9" x14ac:dyDescent="0.25">
      <c r="A1852" t="s">
        <v>2754</v>
      </c>
      <c r="B1852" s="3" t="s">
        <v>287</v>
      </c>
      <c r="C1852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1852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1852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1</v>
      </c>
      <c r="F1852" s="3">
        <f>SUM(TS_ATHLETES[[#This Row],[GOLD MEDALS]:[BRONZE MEDALS]])</f>
        <v>1</v>
      </c>
      <c r="G1852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10000010</v>
      </c>
      <c r="H1852" s="3">
        <f>IF(TS_ATHLETES[[#This Row],[TOTAL]]=0,"",RANK(TS_ATHLETES[[#This Row],[RANK VALUE]],TS_ATHLETES[RANK VALUE]))</f>
        <v>1224</v>
      </c>
      <c r="I1852" s="3">
        <f>IFERROR(IF(TS_ATHLETES[[#This Row],[TOTAL]]=0,"",RANK(TS_ATHLETES[[#This Row],[RANK VALUE]],TS_ATHLETES[RANK VALUE])+COUNTIF($H$1:H1851,H1852)),"")</f>
        <v>1849</v>
      </c>
    </row>
    <row r="1853" spans="1:9" x14ac:dyDescent="0.25">
      <c r="A1853" t="s">
        <v>2755</v>
      </c>
      <c r="B1853" s="3" t="s">
        <v>287</v>
      </c>
      <c r="C1853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1853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1853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1</v>
      </c>
      <c r="F1853" s="3">
        <f>SUM(TS_ATHLETES[[#This Row],[GOLD MEDALS]:[BRONZE MEDALS]])</f>
        <v>1</v>
      </c>
      <c r="G1853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10000010</v>
      </c>
      <c r="H1853" s="3">
        <f>IF(TS_ATHLETES[[#This Row],[TOTAL]]=0,"",RANK(TS_ATHLETES[[#This Row],[RANK VALUE]],TS_ATHLETES[RANK VALUE]))</f>
        <v>1224</v>
      </c>
      <c r="I1853" s="3">
        <f>IFERROR(IF(TS_ATHLETES[[#This Row],[TOTAL]]=0,"",RANK(TS_ATHLETES[[#This Row],[RANK VALUE]],TS_ATHLETES[RANK VALUE])+COUNTIF($H$1:H1852,H1853)),"")</f>
        <v>1850</v>
      </c>
    </row>
    <row r="1854" spans="1:9" x14ac:dyDescent="0.25">
      <c r="A1854" t="s">
        <v>2756</v>
      </c>
      <c r="B1854" s="3" t="s">
        <v>287</v>
      </c>
      <c r="C1854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1854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1854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1</v>
      </c>
      <c r="F1854" s="3">
        <f>SUM(TS_ATHLETES[[#This Row],[GOLD MEDALS]:[BRONZE MEDALS]])</f>
        <v>1</v>
      </c>
      <c r="G1854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10000010</v>
      </c>
      <c r="H1854" s="3">
        <f>IF(TS_ATHLETES[[#This Row],[TOTAL]]=0,"",RANK(TS_ATHLETES[[#This Row],[RANK VALUE]],TS_ATHLETES[RANK VALUE]))</f>
        <v>1224</v>
      </c>
      <c r="I1854" s="3">
        <f>IFERROR(IF(TS_ATHLETES[[#This Row],[TOTAL]]=0,"",RANK(TS_ATHLETES[[#This Row],[RANK VALUE]],TS_ATHLETES[RANK VALUE])+COUNTIF($H$1:H1853,H1854)),"")</f>
        <v>1851</v>
      </c>
    </row>
    <row r="1855" spans="1:9" x14ac:dyDescent="0.25">
      <c r="A1855" t="s">
        <v>2757</v>
      </c>
      <c r="B1855" s="3" t="s">
        <v>287</v>
      </c>
      <c r="C1855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1855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1855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1</v>
      </c>
      <c r="F1855" s="3">
        <f>SUM(TS_ATHLETES[[#This Row],[GOLD MEDALS]:[BRONZE MEDALS]])</f>
        <v>1</v>
      </c>
      <c r="G1855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10000010</v>
      </c>
      <c r="H1855" s="3">
        <f>IF(TS_ATHLETES[[#This Row],[TOTAL]]=0,"",RANK(TS_ATHLETES[[#This Row],[RANK VALUE]],TS_ATHLETES[RANK VALUE]))</f>
        <v>1224</v>
      </c>
      <c r="I1855" s="3">
        <f>IFERROR(IF(TS_ATHLETES[[#This Row],[TOTAL]]=0,"",RANK(TS_ATHLETES[[#This Row],[RANK VALUE]],TS_ATHLETES[RANK VALUE])+COUNTIF($H$1:H1854,H1855)),"")</f>
        <v>1852</v>
      </c>
    </row>
    <row r="1856" spans="1:9" x14ac:dyDescent="0.25">
      <c r="A1856" t="s">
        <v>2758</v>
      </c>
      <c r="B1856" s="3" t="s">
        <v>287</v>
      </c>
      <c r="C1856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1856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1856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1</v>
      </c>
      <c r="F1856" s="3">
        <f>SUM(TS_ATHLETES[[#This Row],[GOLD MEDALS]:[BRONZE MEDALS]])</f>
        <v>1</v>
      </c>
      <c r="G1856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10000010</v>
      </c>
      <c r="H1856" s="3">
        <f>IF(TS_ATHLETES[[#This Row],[TOTAL]]=0,"",RANK(TS_ATHLETES[[#This Row],[RANK VALUE]],TS_ATHLETES[RANK VALUE]))</f>
        <v>1224</v>
      </c>
      <c r="I1856" s="3">
        <f>IFERROR(IF(TS_ATHLETES[[#This Row],[TOTAL]]=0,"",RANK(TS_ATHLETES[[#This Row],[RANK VALUE]],TS_ATHLETES[RANK VALUE])+COUNTIF($H$1:H1855,H1856)),"")</f>
        <v>1853</v>
      </c>
    </row>
    <row r="1857" spans="1:9" x14ac:dyDescent="0.25">
      <c r="A1857" t="s">
        <v>2759</v>
      </c>
      <c r="B1857" s="3" t="s">
        <v>287</v>
      </c>
      <c r="C1857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1857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1857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1</v>
      </c>
      <c r="F1857" s="3">
        <f>SUM(TS_ATHLETES[[#This Row],[GOLD MEDALS]:[BRONZE MEDALS]])</f>
        <v>1</v>
      </c>
      <c r="G1857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10000010</v>
      </c>
      <c r="H1857" s="3">
        <f>IF(TS_ATHLETES[[#This Row],[TOTAL]]=0,"",RANK(TS_ATHLETES[[#This Row],[RANK VALUE]],TS_ATHLETES[RANK VALUE]))</f>
        <v>1224</v>
      </c>
      <c r="I1857" s="3">
        <f>IFERROR(IF(TS_ATHLETES[[#This Row],[TOTAL]]=0,"",RANK(TS_ATHLETES[[#This Row],[RANK VALUE]],TS_ATHLETES[RANK VALUE])+COUNTIF($H$1:H1856,H1857)),"")</f>
        <v>1854</v>
      </c>
    </row>
    <row r="1858" spans="1:9" x14ac:dyDescent="0.25">
      <c r="A1858" t="s">
        <v>2760</v>
      </c>
      <c r="B1858" s="3" t="s">
        <v>287</v>
      </c>
      <c r="C1858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1858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1858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1</v>
      </c>
      <c r="F1858" s="3">
        <f>SUM(TS_ATHLETES[[#This Row],[GOLD MEDALS]:[BRONZE MEDALS]])</f>
        <v>1</v>
      </c>
      <c r="G1858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10000010</v>
      </c>
      <c r="H1858" s="3">
        <f>IF(TS_ATHLETES[[#This Row],[TOTAL]]=0,"",RANK(TS_ATHLETES[[#This Row],[RANK VALUE]],TS_ATHLETES[RANK VALUE]))</f>
        <v>1224</v>
      </c>
      <c r="I1858" s="3">
        <f>IFERROR(IF(TS_ATHLETES[[#This Row],[TOTAL]]=0,"",RANK(TS_ATHLETES[[#This Row],[RANK VALUE]],TS_ATHLETES[RANK VALUE])+COUNTIF($H$1:H1857,H1858)),"")</f>
        <v>1855</v>
      </c>
    </row>
    <row r="1859" spans="1:9" x14ac:dyDescent="0.25">
      <c r="A1859" t="s">
        <v>2761</v>
      </c>
      <c r="B1859" s="3" t="s">
        <v>287</v>
      </c>
      <c r="C1859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1859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1859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1</v>
      </c>
      <c r="F1859" s="3">
        <f>SUM(TS_ATHLETES[[#This Row],[GOLD MEDALS]:[BRONZE MEDALS]])</f>
        <v>1</v>
      </c>
      <c r="G1859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10000010</v>
      </c>
      <c r="H1859" s="3">
        <f>IF(TS_ATHLETES[[#This Row],[TOTAL]]=0,"",RANK(TS_ATHLETES[[#This Row],[RANK VALUE]],TS_ATHLETES[RANK VALUE]))</f>
        <v>1224</v>
      </c>
      <c r="I1859" s="3">
        <f>IFERROR(IF(TS_ATHLETES[[#This Row],[TOTAL]]=0,"",RANK(TS_ATHLETES[[#This Row],[RANK VALUE]],TS_ATHLETES[RANK VALUE])+COUNTIF($H$1:H1858,H1859)),"")</f>
        <v>1856</v>
      </c>
    </row>
    <row r="1860" spans="1:9" x14ac:dyDescent="0.25">
      <c r="A1860" t="s">
        <v>2762</v>
      </c>
      <c r="B1860" s="3" t="s">
        <v>287</v>
      </c>
      <c r="C1860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1860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1860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1</v>
      </c>
      <c r="F1860" s="3">
        <f>SUM(TS_ATHLETES[[#This Row],[GOLD MEDALS]:[BRONZE MEDALS]])</f>
        <v>1</v>
      </c>
      <c r="G1860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10000010</v>
      </c>
      <c r="H1860" s="3">
        <f>IF(TS_ATHLETES[[#This Row],[TOTAL]]=0,"",RANK(TS_ATHLETES[[#This Row],[RANK VALUE]],TS_ATHLETES[RANK VALUE]))</f>
        <v>1224</v>
      </c>
      <c r="I1860" s="3">
        <f>IFERROR(IF(TS_ATHLETES[[#This Row],[TOTAL]]=0,"",RANK(TS_ATHLETES[[#This Row],[RANK VALUE]],TS_ATHLETES[RANK VALUE])+COUNTIF($H$1:H1859,H1860)),"")</f>
        <v>1857</v>
      </c>
    </row>
    <row r="1861" spans="1:9" x14ac:dyDescent="0.25">
      <c r="A1861" t="s">
        <v>2763</v>
      </c>
      <c r="B1861" s="3" t="s">
        <v>287</v>
      </c>
      <c r="C1861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1861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1861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1</v>
      </c>
      <c r="F1861" s="3">
        <f>SUM(TS_ATHLETES[[#This Row],[GOLD MEDALS]:[BRONZE MEDALS]])</f>
        <v>1</v>
      </c>
      <c r="G1861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10000010</v>
      </c>
      <c r="H1861" s="3">
        <f>IF(TS_ATHLETES[[#This Row],[TOTAL]]=0,"",RANK(TS_ATHLETES[[#This Row],[RANK VALUE]],TS_ATHLETES[RANK VALUE]))</f>
        <v>1224</v>
      </c>
      <c r="I1861" s="3">
        <f>IFERROR(IF(TS_ATHLETES[[#This Row],[TOTAL]]=0,"",RANK(TS_ATHLETES[[#This Row],[RANK VALUE]],TS_ATHLETES[RANK VALUE])+COUNTIF($H$1:H1860,H1861)),"")</f>
        <v>1858</v>
      </c>
    </row>
    <row r="1862" spans="1:9" x14ac:dyDescent="0.25">
      <c r="A1862" t="s">
        <v>2764</v>
      </c>
      <c r="B1862" s="3" t="s">
        <v>287</v>
      </c>
      <c r="C1862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0</v>
      </c>
      <c r="D1862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1862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1</v>
      </c>
      <c r="F1862" s="3">
        <f>SUM(TS_ATHLETES[[#This Row],[GOLD MEDALS]:[BRONZE MEDALS]])</f>
        <v>1</v>
      </c>
      <c r="G1862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10000010</v>
      </c>
      <c r="H1862" s="3">
        <f>IF(TS_ATHLETES[[#This Row],[TOTAL]]=0,"",RANK(TS_ATHLETES[[#This Row],[RANK VALUE]],TS_ATHLETES[RANK VALUE]))</f>
        <v>1224</v>
      </c>
      <c r="I1862" s="3">
        <f>IFERROR(IF(TS_ATHLETES[[#This Row],[TOTAL]]=0,"",RANK(TS_ATHLETES[[#This Row],[RANK VALUE]],TS_ATHLETES[RANK VALUE])+COUNTIF($H$1:H1861,H1862)),"")</f>
        <v>1859</v>
      </c>
    </row>
    <row r="1863" spans="1:9" x14ac:dyDescent="0.25">
      <c r="A1863" t="s">
        <v>2861</v>
      </c>
      <c r="B1863" s="3" t="s">
        <v>136</v>
      </c>
      <c r="C1863" s="3">
        <f>IF(I_VIEW=1, COUNTIFS(T_ATHLETE_MEDALS[MEDAL],"Gold",T_ATHLETE_MEDALS[Winner],TS_ATHLETES[[#This Row],[ATHLETE]]), IF(I_VIEW=2,IF(TS_ATHLETES[[#This Row],[COUNTRY]]=I_CV_CNTRY,COUNTIFS(T_ATHLETE_MEDALS[MEDAL],"Gold",T_ATHLETE_MEDALS[Winner],TS_ATHLETES[[#This Row],[ATHLETE]]),0),IF(I_VIEW=3, COUNTIFS(T_ATHLETE_MEDALS[MEDAL],"Gold",T_ATHLETE_MEDALS[Winner],TS_ATHLETES[[#This Row],[ATHLETE]],T_ATHLETE_MEDALS[SPORT],I_SV_SPORT))))</f>
        <v>1</v>
      </c>
      <c r="D1863" s="3">
        <f>IF(I_VIEW=1, COUNTIFS(T_ATHLETE_MEDALS[MEDAL],"Silver",T_ATHLETE_MEDALS[Winner],TS_ATHLETES[[#This Row],[ATHLETE]]), IF(I_VIEW=2,IF(TS_ATHLETES[[#This Row],[COUNTRY]]=I_CV_CNTRY,COUNTIFS(T_ATHLETE_MEDALS[MEDAL],"Silver",T_ATHLETE_MEDALS[Winner],TS_ATHLETES[[#This Row],[ATHLETE]]),0),IF(I_VIEW=3, COUNTIFS(T_ATHLETE_MEDALS[MEDAL],"Silver",T_ATHLETE_MEDALS[Winner],TS_ATHLETES[[#This Row],[ATHLETE]],T_ATHLETE_MEDALS[SPORT],I_SV_SPORT))))</f>
        <v>0</v>
      </c>
      <c r="E1863" s="3">
        <f>IF(I_VIEW=1, COUNTIFS(T_ATHLETE_MEDALS[MEDAL],"Bronze",T_ATHLETE_MEDALS[Winner],TS_ATHLETES[[#This Row],[ATHLETE]]), IF(I_VIEW=2,IF(TS_ATHLETES[[#This Row],[COUNTRY]]=I_CV_CNTRY,COUNTIFS(T_ATHLETE_MEDALS[MEDAL],"Bronze",T_ATHLETE_MEDALS[Winner],TS_ATHLETES[[#This Row],[ATHLETE]]),0),IF(I_VIEW=3, COUNTIFS(T_ATHLETE_MEDALS[MEDAL],"Bronze",T_ATHLETE_MEDALS[Winner],TS_ATHLETES[[#This Row],[ATHLETE]],T_ATHLETE_MEDALS[SPORT],I_SV_SPORT))))</f>
        <v>0</v>
      </c>
      <c r="F1863" s="3">
        <f>SUM(TS_ATHLETES[[#This Row],[GOLD MEDALS]:[BRONZE MEDALS]])</f>
        <v>1</v>
      </c>
      <c r="G1863" s="3">
        <f>IF(TS_ATHLETES[[#This Row],[TOTAL]]=0,"",IF(I_RANK_METHOD="Total",(TS_ATHLETES[[#This Row],[TOTAL]]*10000000),0)+(TS_ATHLETES[[#This Row],[GOLD MEDALS]]*100000)+(TS_ATHLETES[[#This Row],[SILVER MEDALS]]*100)+(TS_ATHLETES[[#This Row],[BRONZE MEDALS]]*10))</f>
        <v>10100000</v>
      </c>
      <c r="H1863" s="3">
        <f>IF(TS_ATHLETES[[#This Row],[TOTAL]]=0,"",RANK(TS_ATHLETES[[#This Row],[RANK VALUE]],TS_ATHLETES[RANK VALUE]))</f>
        <v>129</v>
      </c>
      <c r="I1863" s="3">
        <f>IFERROR(IF(TS_ATHLETES[[#This Row],[TOTAL]]=0,"",RANK(TS_ATHLETES[[#This Row],[RANK VALUE]],TS_ATHLETES[RANK VALUE])+COUNTIF($H$1:H1862,H1863)),"")</f>
        <v>659</v>
      </c>
    </row>
  </sheetData>
  <pageMargins left="0.7" right="0.7" top="0.75" bottom="0.75" header="0.3" footer="0.3"/>
  <tableParts count="1">
    <tablePart r:id="rId1"/>
  </tableParts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AE52"/>
  <sheetViews>
    <sheetView zoomScale="70" zoomScaleNormal="70" workbookViewId="0">
      <selection activeCell="E9" sqref="E9"/>
    </sheetView>
  </sheetViews>
  <sheetFormatPr defaultRowHeight="15" x14ac:dyDescent="0.25"/>
  <cols>
    <col min="3" max="3" width="20.140625" customWidth="1"/>
    <col min="5" max="5" width="32.42578125" bestFit="1" customWidth="1"/>
    <col min="6" max="6" width="29" bestFit="1" customWidth="1"/>
    <col min="9" max="9" width="14.85546875" customWidth="1"/>
    <col min="10" max="10" width="14.85546875" bestFit="1" customWidth="1"/>
    <col min="12" max="12" width="12.85546875" bestFit="1" customWidth="1"/>
    <col min="13" max="13" width="29" bestFit="1" customWidth="1"/>
    <col min="19" max="19" width="14" customWidth="1"/>
    <col min="20" max="20" width="17.85546875" customWidth="1"/>
    <col min="25" max="25" width="9.140625" customWidth="1"/>
    <col min="26" max="30" width="4.7109375" customWidth="1"/>
  </cols>
  <sheetData>
    <row r="1" spans="1:31" x14ac:dyDescent="0.25">
      <c r="A1" t="s">
        <v>1046</v>
      </c>
      <c r="J1" t="s">
        <v>885</v>
      </c>
      <c r="O1" s="14"/>
      <c r="P1" s="14" t="s">
        <v>462</v>
      </c>
      <c r="S1" t="s">
        <v>1050</v>
      </c>
      <c r="U1" s="47"/>
      <c r="V1" s="47"/>
      <c r="W1" s="47"/>
      <c r="X1" s="47"/>
    </row>
    <row r="2" spans="1:31" ht="15" customHeight="1" thickBot="1" x14ac:dyDescent="0.3">
      <c r="A2" s="149"/>
      <c r="B2" s="149" t="s">
        <v>435</v>
      </c>
      <c r="C2" s="149" t="s">
        <v>436</v>
      </c>
      <c r="E2" t="s">
        <v>437</v>
      </c>
      <c r="F2" s="32">
        <f t="array" ref="F2">SUM(IF(LEN(C3:C52)&gt;0,1,0))</f>
        <v>32</v>
      </c>
      <c r="J2" s="5">
        <v>1</v>
      </c>
      <c r="O2" s="47"/>
      <c r="P2" s="47"/>
      <c r="Q2" s="47"/>
      <c r="R2" s="14"/>
      <c r="S2" s="14"/>
      <c r="T2" s="14"/>
      <c r="U2" s="47"/>
      <c r="V2" s="161"/>
      <c r="W2" s="161"/>
      <c r="X2" s="47"/>
    </row>
    <row r="3" spans="1:31" x14ac:dyDescent="0.25">
      <c r="A3" s="149">
        <v>1</v>
      </c>
      <c r="B3" s="150">
        <f t="array" ref="B3">IFERROR(SMALL(IF(I_SV_SPORT=T_2016_EVENT_RESULTS[SPORT],ROW(T_2016_EVENT_RESULTS[Event]),""),A3)-ROW(T_2016_EVENT_RESULTS[#Headers]),"")</f>
        <v>215</v>
      </c>
      <c r="C3" s="149" t="str">
        <f>IFERROR(INDEX(T_2016_EVENT_RESULTS[Event],B3),"")</f>
        <v>Women's 50m Freestyle</v>
      </c>
      <c r="E3" s="2" t="s">
        <v>438</v>
      </c>
      <c r="F3">
        <f>IFERROR(INDEX($B$3:$B$52,MATCH(I_SV_EVENTNAME,$C$3:$C$52,0)),"")</f>
        <v>238</v>
      </c>
      <c r="H3" s="17" t="s">
        <v>886</v>
      </c>
      <c r="I3" s="18" t="s">
        <v>892</v>
      </c>
      <c r="J3" s="19"/>
      <c r="O3" s="47"/>
      <c r="P3" s="47"/>
      <c r="Q3" s="47"/>
      <c r="R3" s="14"/>
      <c r="S3" s="14"/>
      <c r="T3" s="14"/>
      <c r="U3" s="47"/>
      <c r="V3" s="161"/>
      <c r="W3" s="161"/>
      <c r="X3" s="47"/>
    </row>
    <row r="4" spans="1:31" ht="18" x14ac:dyDescent="0.35">
      <c r="A4" s="149">
        <v>2</v>
      </c>
      <c r="B4" s="150">
        <f t="array" ref="B4">IFERROR(SMALL(IF(I_SV_SPORT=T_2016_EVENT_RESULTS[SPORT],ROW(T_2016_EVENT_RESULTS[Event]),""),A4)-ROW(T_2016_EVENT_RESULTS[#Headers]),"")</f>
        <v>216</v>
      </c>
      <c r="C4" s="149" t="str">
        <f>IFERROR(INDEX(T_2016_EVENT_RESULTS[Event],B4),"")</f>
        <v>Women's 100m Freestyle</v>
      </c>
      <c r="E4" t="s">
        <v>457</v>
      </c>
      <c r="F4">
        <f>IF(INDEX(T_2016_EVENT_RESULTS[SPORT],F3)=I_SV_SPORT,F3,"")</f>
        <v>238</v>
      </c>
      <c r="H4" s="20">
        <v>2</v>
      </c>
      <c r="I4" s="21" t="s">
        <v>887</v>
      </c>
      <c r="J4" s="30">
        <f>IFERROR(IF(I_VIEW=1,COUNTIF(T_2016_EVENT_RESULTS[Gold - Country],"&lt;&gt;"&amp;"")+COUNTIF(T_2016_EVENT_RESULTS[Gold - Country - 2],"&lt;&gt;"&amp;""),IF(I_VIEW=2,COUNTIFS(T_2016_EVENT_RESULTS[Gold - Country],I_CV_CNTRY)+COUNTIFS(T_2016_EVENT_RESULTS[Gold - Country - 2],I_CV_CNTRY),
COUNTIFS(T_2016_EVENT_RESULTS[SPORT],I_SV_SPORT,T_2016_EVENT_RESULTS[Gold - Country],"&lt;&gt;"&amp;"")+COUNTIFS(T_2016_EVENT_RESULTS[SPORT],I_SV_SPORT,T_2016_EVENT_RESULTS[Gold - Country - 2],"&lt;&gt;"&amp;""))),"")</f>
        <v>307</v>
      </c>
      <c r="S4" s="14"/>
      <c r="U4" s="47"/>
      <c r="V4" s="161"/>
      <c r="W4" s="161"/>
      <c r="X4" s="47"/>
    </row>
    <row r="5" spans="1:31" ht="18" customHeight="1" x14ac:dyDescent="0.35">
      <c r="A5" s="149">
        <v>3</v>
      </c>
      <c r="B5" s="150">
        <f t="array" ref="B5">IFERROR(SMALL(IF(I_SV_SPORT=T_2016_EVENT_RESULTS[SPORT],ROW(T_2016_EVENT_RESULTS[Event]),""),A5)-ROW(T_2016_EVENT_RESULTS[#Headers]),"")</f>
        <v>217</v>
      </c>
      <c r="C5" s="149" t="str">
        <f>IFERROR(INDEX(T_2016_EVENT_RESULTS[Event],B5),"")</f>
        <v>Women's 200m Freestyle</v>
      </c>
      <c r="E5" t="s">
        <v>458</v>
      </c>
      <c r="F5" t="str">
        <f>IFERROR(INDEX(T_2016_EVENT_RESULTS[EVENT TYPE],C_EVENTNAME_ROW),"")</f>
        <v>IND</v>
      </c>
      <c r="H5" s="20">
        <v>3</v>
      </c>
      <c r="I5" s="21" t="s">
        <v>888</v>
      </c>
      <c r="J5" s="30">
        <f>IFERROR(IF(I_VIEW=1,COUNTIF(T_2016_EVENT_RESULTS[Silver - Country],"&lt;&gt;"&amp;"")+COUNTIF(T_2016_EVENT_RESULTS[Silver - Country - 2],"&lt;&gt;"&amp;"")+COUNTIF(T_2016_EVENT_RESULTS[Silver - Country - 3],"&lt;&gt;"&amp;""),IF(I_VIEW=2,COUNTIFS(T_2016_EVENT_RESULTS[Silver - Country],I_CV_CNTRY)+COUNTIFS(T_2016_EVENT_RESULTS[Silver - Country - 2],I_CV_CNTRY)+COUNTIFS(T_2016_EVENT_RESULTS[Silver - Country - 3],I_CV_CNTRY),
COUNTIFS(T_2016_EVENT_RESULTS[SPORT],I_SV_SPORT,T_2016_EVENT_RESULTS[Silver - Country],"&lt;&gt;"&amp;"")+COUNTIFS(T_2016_EVENT_RESULTS[SPORT],I_SV_SPORT,T_2016_EVENT_RESULTS[Silver - Country - 2],"&lt;&gt;"&amp;"")+COUNTIFS(T_2016_EVENT_RESULTS[SPORT],I_SV_SPORT,T_2016_EVENT_RESULTS[Silver - Country - 3],"&lt;&gt;"&amp;""))),"")</f>
        <v>307</v>
      </c>
      <c r="U5" s="47"/>
      <c r="V5" s="47"/>
      <c r="W5" s="47"/>
      <c r="X5" s="47"/>
    </row>
    <row r="6" spans="1:31" ht="18" x14ac:dyDescent="0.35">
      <c r="A6" s="149">
        <v>4</v>
      </c>
      <c r="B6" s="150">
        <f t="array" ref="B6">IFERROR(SMALL(IF(I_SV_SPORT=T_2016_EVENT_RESULTS[SPORT],ROW(T_2016_EVENT_RESULTS[Event]),""),A6)-ROW(T_2016_EVENT_RESULTS[#Headers]),"")</f>
        <v>218</v>
      </c>
      <c r="C6" s="149" t="str">
        <f>IFERROR(INDEX(T_2016_EVENT_RESULTS[Event],B6),"")</f>
        <v>Women's 400m Freestyle</v>
      </c>
      <c r="E6" t="s">
        <v>891</v>
      </c>
      <c r="F6" t="str">
        <f>IFERROR(IF(I_VIEW=2,INDEX(T_COUNTRIES[Int Olympic Committee code],MATCH(I_CV_COUNTRY,T_COUNTRIES[Country],0)),"BLNK"),"")</f>
        <v>BLNK</v>
      </c>
      <c r="H6" s="20">
        <v>4</v>
      </c>
      <c r="I6" s="21" t="s">
        <v>889</v>
      </c>
      <c r="J6" s="30">
        <f>IFERROR(IF(I_VIEW=1,COUNTIF(T_2016_EVENT_RESULTS[Bronze - Country],"&lt;&gt;"&amp;"")+COUNTIF(T_2016_EVENT_RESULTS[Bronze - Country - 2],"&lt;&gt;"&amp;""),IF(I_VIEW=2,COUNTIFS(T_2016_EVENT_RESULTS[Bronze - Country],I_CV_CNTRY)+COUNTIFS(T_2016_EVENT_RESULTS[Bronze - Country - 2],I_CV_CNTRY),
COUNTIFS(T_2016_EVENT_RESULTS[SPORT],I_SV_SPORT,T_2016_EVENT_RESULTS[Bronze - Country],"&lt;&gt;"&amp;"")+COUNTIFS(T_2016_EVENT_RESULTS[SPORT],I_SV_SPORT,T_2016_EVENT_RESULTS[Bronze - Country - 2],"&lt;&gt;"&amp;""))),"")</f>
        <v>360</v>
      </c>
      <c r="U6" t="s">
        <v>2859</v>
      </c>
    </row>
    <row r="7" spans="1:31" ht="18" x14ac:dyDescent="0.35">
      <c r="A7" s="149">
        <v>5</v>
      </c>
      <c r="B7" s="150">
        <f t="array" ref="B7">IFERROR(SMALL(IF(I_SV_SPORT=T_2016_EVENT_RESULTS[SPORT],ROW(T_2016_EVENT_RESULTS[Event]),""),A7)-ROW(T_2016_EVENT_RESULTS[#Headers]),"")</f>
        <v>219</v>
      </c>
      <c r="C7" s="149" t="str">
        <f>IFERROR(INDEX(T_2016_EVENT_RESULTS[Event],B7),"")</f>
        <v>Women's 800m Freestyle</v>
      </c>
      <c r="E7" t="s">
        <v>894</v>
      </c>
      <c r="F7" t="str">
        <f>IF(I_VIEW=3,INDEX(T_SPORTS[SPORT ABBR],MATCH(I_SV_SPORT,T_SPORTS[SPORT],0)),"BLNK")</f>
        <v>BLNK</v>
      </c>
      <c r="H7" s="20">
        <v>5</v>
      </c>
      <c r="I7" s="21" t="s">
        <v>890</v>
      </c>
      <c r="J7" s="30">
        <f>SUM(H!J4,H!J5,H!J6)</f>
        <v>974</v>
      </c>
    </row>
    <row r="8" spans="1:31" ht="18.75" thickBot="1" x14ac:dyDescent="0.4">
      <c r="A8" s="149">
        <v>6</v>
      </c>
      <c r="B8" s="150">
        <f t="array" ref="B8">IFERROR(SMALL(IF(I_SV_SPORT=T_2016_EVENT_RESULTS[SPORT],ROW(T_2016_EVENT_RESULTS[Event]),""),A8)-ROW(T_2016_EVENT_RESULTS[#Headers]),"")</f>
        <v>220</v>
      </c>
      <c r="C8" s="149" t="str">
        <f>IFERROR(INDEX(T_2016_EVENT_RESULTS[Event],B8),"")</f>
        <v>Women's 100m Backstroke</v>
      </c>
      <c r="E8" t="s">
        <v>1051</v>
      </c>
      <c r="F8" t="str">
        <f>IF(I_VIEW=1,"OLY_LOGO","BLNK")</f>
        <v>OLY_LOGO</v>
      </c>
      <c r="H8" s="25">
        <v>1</v>
      </c>
      <c r="I8" s="26" t="s">
        <v>397</v>
      </c>
      <c r="J8" s="58">
        <f t="array" ref="J8">IFERROR(IF(I_VIEW=1,COUNTA(T_2016_EVENT_RESULTS[Event]),IF(I_VIEW=2,SUM(IF((T_2016_EVENT_RESULTS[Gold - Country]=I_CV_CNTRY)+(T_2016_EVENT_RESULTS[Gold - Country - 2]=I_CV_CNTRY)+(T_2016_EVENT_RESULTS[Silver - Country]=I_CV_CNTRY)+(T_2016_EVENT_RESULTS[Silver - Country - 2]=I_CV_CNTRY)+(T_2016_EVENT_RESULTS[Silver - Country - 3]=I_CV_CNTRY)+(T_2016_EVENT_RESULTS[Bronze - Country]=I_CV_CNTRY)+(T_2016_EVENT_RESULTS[Bronze - Country - 2]=I_CV_CNTRY),1,0)),COUNTIFS(T_2016_EVENT_RESULTS[SPORT],I_SV_SPORT))),"")</f>
        <v>306</v>
      </c>
    </row>
    <row r="9" spans="1:31" x14ac:dyDescent="0.25">
      <c r="A9" s="149">
        <v>7</v>
      </c>
      <c r="B9" s="150">
        <f t="array" ref="B9">IFERROR(SMALL(IF(I_SV_SPORT=T_2016_EVENT_RESULTS[SPORT],ROW(T_2016_EVENT_RESULTS[Event]),""),A9)-ROW(T_2016_EVENT_RESULTS[#Headers]),"")</f>
        <v>221</v>
      </c>
      <c r="C9" s="149" t="str">
        <f>IFERROR(INDEX(T_2016_EVENT_RESULTS[Event],B9),"")</f>
        <v>Women's 200m Backstroke</v>
      </c>
    </row>
    <row r="10" spans="1:31" ht="15.75" thickBot="1" x14ac:dyDescent="0.3">
      <c r="A10" s="149">
        <v>8</v>
      </c>
      <c r="B10" s="150">
        <f t="array" ref="B10">IFERROR(SMALL(IF(I_SV_SPORT=T_2016_EVENT_RESULTS[SPORT],ROW(T_2016_EVENT_RESULTS[Event]),""),A10)-ROW(T_2016_EVENT_RESULTS[#Headers]),"")</f>
        <v>222</v>
      </c>
      <c r="C10" s="149" t="str">
        <f>IFERROR(INDEX(T_2016_EVENT_RESULTS[Event],B10),"")</f>
        <v>Women's 100m Breaststroke</v>
      </c>
    </row>
    <row r="11" spans="1:31" ht="23.25" x14ac:dyDescent="0.35">
      <c r="A11" s="149">
        <v>9</v>
      </c>
      <c r="B11" s="150">
        <f t="array" ref="B11">IFERROR(SMALL(IF(I_SV_SPORT=T_2016_EVENT_RESULTS[SPORT],ROW(T_2016_EVENT_RESULTS[Event]),""),A11)-ROW(T_2016_EVENT_RESULTS[#Headers]),"")</f>
        <v>223</v>
      </c>
      <c r="C11" s="149" t="str">
        <f>IFERROR(INDEX(T_2016_EVENT_RESULTS[Event],B11),"")</f>
        <v>Women's 200m Breaststroke</v>
      </c>
      <c r="F11" s="17"/>
      <c r="G11" s="18"/>
      <c r="H11" s="18"/>
      <c r="I11" s="18"/>
      <c r="J11" s="18"/>
      <c r="K11" s="18"/>
      <c r="L11" s="18"/>
      <c r="M11" s="19"/>
      <c r="P11" s="17" t="s">
        <v>972</v>
      </c>
      <c r="Q11" s="36">
        <v>0</v>
      </c>
      <c r="R11" s="18"/>
      <c r="S11" s="18" t="s">
        <v>974</v>
      </c>
      <c r="T11" s="51">
        <f>IFERROR(COUNTIF(TS_ATHLETES[TOTAL],"&gt;0"),"")</f>
        <v>1859</v>
      </c>
      <c r="U11" s="51">
        <f>IFERROR(SUM(TS_ATHLETES[TOTAL]),"")</f>
        <v>2026</v>
      </c>
      <c r="V11" s="18" t="s">
        <v>1042</v>
      </c>
      <c r="W11" s="18"/>
      <c r="X11" s="18"/>
      <c r="Y11" s="49"/>
      <c r="Z11" s="18"/>
      <c r="AA11" s="18"/>
      <c r="AB11" s="18"/>
      <c r="AC11" s="18"/>
      <c r="AD11" s="18"/>
      <c r="AE11" s="19"/>
    </row>
    <row r="12" spans="1:31" x14ac:dyDescent="0.25">
      <c r="A12" s="149">
        <v>10</v>
      </c>
      <c r="B12" s="150">
        <f t="array" ref="B12">IFERROR(SMALL(IF(I_SV_SPORT=T_2016_EVENT_RESULTS[SPORT],ROW(T_2016_EVENT_RESULTS[Event]),""),A12)-ROW(T_2016_EVENT_RESULTS[#Headers]),"")</f>
        <v>224</v>
      </c>
      <c r="C12" s="149" t="str">
        <f>IFERROR(INDEX(T_2016_EVENT_RESULTS[Event],B12),"")</f>
        <v>Women's 100m Butterfly</v>
      </c>
      <c r="F12" s="20" t="s">
        <v>972</v>
      </c>
      <c r="G12" s="21"/>
      <c r="H12" s="21"/>
      <c r="I12" s="21"/>
      <c r="J12" s="21" t="s">
        <v>974</v>
      </c>
      <c r="K12" s="22">
        <f>IF(I_VIEW=2,COUNTIF(T_SPORTS[CV - Total],"&gt;0"),IF(I_VIEW = 1, COUNTIF(T_SV_MEDALS[TOTAL],"&gt;0"),COUNTIF(T_SV_MEDALS[SV_TOTAL],"&gt;0")))</f>
        <v>87</v>
      </c>
      <c r="L12" s="21"/>
      <c r="M12" s="44" t="s">
        <v>1039</v>
      </c>
      <c r="P12" s="20"/>
      <c r="Q12" s="21"/>
      <c r="R12" s="21"/>
      <c r="S12" s="21"/>
      <c r="T12" s="21"/>
      <c r="U12" s="21"/>
      <c r="V12" s="21"/>
      <c r="W12" s="21"/>
      <c r="X12" s="21"/>
      <c r="Y12" s="21"/>
      <c r="Z12" s="21"/>
      <c r="AA12" s="21"/>
      <c r="AB12" s="21"/>
      <c r="AC12" s="21"/>
      <c r="AD12" s="21"/>
      <c r="AE12" s="23"/>
    </row>
    <row r="13" spans="1:31" x14ac:dyDescent="0.25">
      <c r="A13" s="149">
        <v>11</v>
      </c>
      <c r="B13" s="150">
        <f t="array" ref="B13">IFERROR(SMALL(IF(I_SV_SPORT=T_2016_EVENT_RESULTS[SPORT],ROW(T_2016_EVENT_RESULTS[Event]),""),A13)-ROW(T_2016_EVENT_RESULTS[#Headers]),"")</f>
        <v>225</v>
      </c>
      <c r="C13" s="149" t="str">
        <f>IFERROR(INDEX(T_2016_EVENT_RESULTS[Event],B13),"")</f>
        <v>Women's 200m Butterfly</v>
      </c>
      <c r="F13" s="33">
        <v>0</v>
      </c>
      <c r="G13" s="21" t="s">
        <v>1009</v>
      </c>
      <c r="H13" s="21" t="s">
        <v>1008</v>
      </c>
      <c r="I13" s="24" t="s">
        <v>892</v>
      </c>
      <c r="J13" s="21" t="s">
        <v>970</v>
      </c>
      <c r="K13" s="21" t="s">
        <v>971</v>
      </c>
      <c r="L13" s="21" t="s">
        <v>973</v>
      </c>
      <c r="M13" s="23" t="s">
        <v>976</v>
      </c>
      <c r="P13" s="41" t="s">
        <v>1007</v>
      </c>
      <c r="Q13" s="21" t="s">
        <v>1009</v>
      </c>
      <c r="R13" s="21" t="s">
        <v>1008</v>
      </c>
      <c r="S13" s="45" t="s">
        <v>1043</v>
      </c>
      <c r="T13" s="45" t="s">
        <v>1041</v>
      </c>
      <c r="U13" s="45" t="s">
        <v>0</v>
      </c>
      <c r="V13" s="45" t="s">
        <v>390</v>
      </c>
      <c r="W13" s="45" t="s">
        <v>1044</v>
      </c>
      <c r="X13" s="45" t="s">
        <v>1045</v>
      </c>
      <c r="Y13" s="21">
        <v>1</v>
      </c>
      <c r="Z13" s="21">
        <v>2</v>
      </c>
      <c r="AA13" s="21">
        <v>3</v>
      </c>
      <c r="AB13" s="21">
        <v>4</v>
      </c>
      <c r="AC13" s="21">
        <v>5</v>
      </c>
      <c r="AD13" s="21">
        <v>6</v>
      </c>
      <c r="AE13" s="23" t="s">
        <v>402</v>
      </c>
    </row>
    <row r="14" spans="1:31" ht="19.5" x14ac:dyDescent="0.35">
      <c r="A14" s="149">
        <v>12</v>
      </c>
      <c r="B14" s="150">
        <f t="array" ref="B14">IFERROR(SMALL(IF(I_SV_SPORT=T_2016_EVENT_RESULTS[SPORT],ROW(T_2016_EVENT_RESULTS[Event]),""),A14)-ROW(T_2016_EVENT_RESULTS[#Headers]),"")</f>
        <v>226</v>
      </c>
      <c r="C14" s="149" t="str">
        <f>IFERROR(INDEX(T_2016_EVENT_RESULTS[Event],B14),"")</f>
        <v>Women's 200m Individual Medley</v>
      </c>
      <c r="F14" s="48">
        <f>F13+1</f>
        <v>1</v>
      </c>
      <c r="G14" s="21">
        <f>IFERROR(IF($F14&gt;$K$12,"",IF(I_VIEW=1,MATCH($F14, T_SV_MEDALS[ADJ_RANK],0),IF(I_VIEW=2,MATCH($F14, T_SPORTS[CV - Adj - Rank],0),IF(I_VIEW=3,MATCH($F14, T_SV_MEDALS[SV_ADJ_RANK],0),"")))),"")</f>
        <v>199</v>
      </c>
      <c r="H14" s="21">
        <f>IF($F14&gt;$K$12,"",IF(I_VIEW =2, INDEX(T_SPORTS[CV - Rank],$G14),IF(I_VIEW=1,INDEX(T_SV_MEDALS[RANK],$G14),INDEX(T_SV_MEDALS[SV_RANK],$G14))))</f>
        <v>1</v>
      </c>
      <c r="I14" s="21" t="str">
        <f>IFERROR(IF(I_VIEW=1,INDEX(T_SV_MEDALS[COUNTRY],$G14),""),"")</f>
        <v>United States</v>
      </c>
      <c r="J14" s="21" t="str">
        <f>IFERROR(IF(I_VIEW=2,INDEX(T_SPORTS[SPORT],$G14),""),"")</f>
        <v/>
      </c>
      <c r="K14" s="21" t="str">
        <f>IFERROR(IF(I_VIEW=3,INDEX(T_SV_MEDALS[COUNTRY],$G14),""),"")</f>
        <v/>
      </c>
      <c r="L14" s="21" t="str">
        <f>IFERROR(IF(H14="","",CHOOSE(I_VIEW,I14,J14,K14)),"")</f>
        <v>United States</v>
      </c>
      <c r="M14" s="23" t="str">
        <f>IF(L14="","BLNK",IF(I_VIEW=2,"BLNK",INDEX(T_COUNTRIES[Int Olympic Committee code],MATCH(L14,T_COUNTRIES[Country],0))))</f>
        <v>USA</v>
      </c>
      <c r="P14" s="40">
        <f>Q11+1</f>
        <v>1</v>
      </c>
      <c r="Q14" s="21">
        <f>IFERROR(IF($P14&gt;$T$11,"",MATCH($P14, TS_ATHLETES[ADJ RANK],0) ),"")</f>
        <v>162</v>
      </c>
      <c r="R14" s="21">
        <f>IF(Q14="","",INDEX(TS_ATHLETES[RANK],Q14))</f>
        <v>1</v>
      </c>
      <c r="S14" s="21" t="str">
        <f t="shared" ref="S14:S18" si="0">IF(Q14="","BLNK",U14)</f>
        <v>USA</v>
      </c>
      <c r="T14" s="21" t="str">
        <f>IF(Q14="","",INDEX(TS_ATHLETES[ATHLETE],Q14))</f>
        <v>PHELPS Michael</v>
      </c>
      <c r="U14" s="21" t="str">
        <f>IF(Q14="","",INDEX(TS_ATHLETES[COUNTRY],Q14))</f>
        <v>USA</v>
      </c>
      <c r="V14" s="21">
        <f>IF(Q14="","",INDEX(TS_ATHLETES[GOLD MEDALS],Q14))</f>
        <v>5</v>
      </c>
      <c r="W14" s="21">
        <f>IF(Q14="","",INDEX(TS_ATHLETES[SILVER MEDALS],Q14))</f>
        <v>1</v>
      </c>
      <c r="X14" s="21">
        <f>IF(Q14="","",INDEX(TS_ATHLETES[BRONZE MEDALS],Q14))</f>
        <v>0</v>
      </c>
      <c r="Y14" s="50" t="str">
        <f t="shared" ref="Y14:AD18" si="1">IF($Q14="","",IF($V14&gt;=Y$13,"n",IF($V14+$W14&gt;=Y$13,"n",IF($V14+$W14+$X14&gt;=Y$13,"n",""))))</f>
        <v>n</v>
      </c>
      <c r="Z14" s="50" t="str">
        <f t="shared" si="1"/>
        <v>n</v>
      </c>
      <c r="AA14" s="50" t="str">
        <f t="shared" si="1"/>
        <v>n</v>
      </c>
      <c r="AB14" s="50" t="str">
        <f t="shared" si="1"/>
        <v>n</v>
      </c>
      <c r="AC14" s="50" t="str">
        <f t="shared" si="1"/>
        <v>n</v>
      </c>
      <c r="AD14" s="50" t="str">
        <f t="shared" si="1"/>
        <v>n</v>
      </c>
      <c r="AE14" s="23">
        <f t="shared" ref="AE14:AE18" si="2">IF(Q14="","",SUM(V14:X14))</f>
        <v>6</v>
      </c>
    </row>
    <row r="15" spans="1:31" ht="19.5" x14ac:dyDescent="0.35">
      <c r="A15" s="149">
        <v>13</v>
      </c>
      <c r="B15" s="150">
        <f t="array" ref="B15">IFERROR(SMALL(IF(I_SV_SPORT=T_2016_EVENT_RESULTS[SPORT],ROW(T_2016_EVENT_RESULTS[Event]),""),A15)-ROW(T_2016_EVENT_RESULTS[#Headers]),"")</f>
        <v>227</v>
      </c>
      <c r="C15" s="149" t="str">
        <f>IFERROR(INDEX(T_2016_EVENT_RESULTS[Event],B15),"")</f>
        <v>Women's 400m Individual Medley</v>
      </c>
      <c r="F15" s="20">
        <f>F14+1</f>
        <v>2</v>
      </c>
      <c r="G15" s="21">
        <f>IFERROR(IF($F15&gt;$K$12,"",IF(I_VIEW=1,MATCH($F15, T_SV_MEDALS[ADJ_RANK],0),IF(I_VIEW=2,MATCH($F15, T_SPORTS[CV - Adj - Rank],0),IF(I_VIEW=3,MATCH($F15, T_SV_MEDALS[SV_ADJ_RANK],0),"")))),"")</f>
        <v>40</v>
      </c>
      <c r="H15" s="21">
        <f>IF($F15&gt;$K$12,"",IF(I_VIEW =2, INDEX(T_SPORTS[CV - Rank],$G15),IF(I_VIEW=1,INDEX(T_SV_MEDALS[RANK],$G15),INDEX(T_SV_MEDALS[SV_RANK],$G15))))</f>
        <v>2</v>
      </c>
      <c r="I15" s="21" t="str">
        <f>IFERROR(IF(I_VIEW=1,INDEX(T_SV_MEDALS[COUNTRY],$G15),""),"")</f>
        <v>China</v>
      </c>
      <c r="J15" s="21" t="str">
        <f>IFERROR(IF(I_VIEW=2,INDEX(T_SPORTS[SPORT],$G15),""),"")</f>
        <v/>
      </c>
      <c r="K15" s="21" t="str">
        <f>IFERROR(IF(I_VIEW=3,INDEX(T_SV_MEDALS[COUNTRY],$G15),""),"")</f>
        <v/>
      </c>
      <c r="L15" s="21" t="str">
        <f>IFERROR(IF(H15="","",CHOOSE(I_VIEW,I15,J15,K15)),"")</f>
        <v>China</v>
      </c>
      <c r="M15" s="23" t="str">
        <f>IF(L15="","BLNK",IF(I_VIEW=2,"BLNK",INDEX(T_COUNTRIES[Int Olympic Committee code],MATCH(L15,T_COUNTRIES[Country],0))))</f>
        <v>CHN</v>
      </c>
      <c r="P15" s="20">
        <f>P14+1</f>
        <v>2</v>
      </c>
      <c r="Q15" s="21">
        <f>IFERROR(IF($P15&gt;$T$11,"",MATCH($P15, TS_ATHLETES[ADJ RANK],0) ),"")</f>
        <v>146</v>
      </c>
      <c r="R15" s="21">
        <f>IF(Q15="","",INDEX(TS_ATHLETES[RANK],Q15))</f>
        <v>2</v>
      </c>
      <c r="S15" s="21" t="str">
        <f t="shared" si="0"/>
        <v>USA</v>
      </c>
      <c r="T15" s="21" t="str">
        <f>IF(Q15="","",INDEX(TS_ATHLETES[ATHLETE],Q15))</f>
        <v>LEDECKY Katie</v>
      </c>
      <c r="U15" s="21" t="str">
        <f>IF(Q15="","",INDEX(TS_ATHLETES[COUNTRY],Q15))</f>
        <v>USA</v>
      </c>
      <c r="V15" s="21">
        <f>IF(Q15="","",INDEX(TS_ATHLETES[GOLD MEDALS],Q15))</f>
        <v>4</v>
      </c>
      <c r="W15" s="21">
        <f>IF(Q15="","",INDEX(TS_ATHLETES[SILVER MEDALS],Q15))</f>
        <v>1</v>
      </c>
      <c r="X15" s="21">
        <f>IF(Q15="","",INDEX(TS_ATHLETES[BRONZE MEDALS],Q15))</f>
        <v>0</v>
      </c>
      <c r="Y15" s="50" t="str">
        <f t="shared" si="1"/>
        <v>n</v>
      </c>
      <c r="Z15" s="50" t="str">
        <f t="shared" si="1"/>
        <v>n</v>
      </c>
      <c r="AA15" s="50" t="str">
        <f t="shared" si="1"/>
        <v>n</v>
      </c>
      <c r="AB15" s="50" t="str">
        <f t="shared" si="1"/>
        <v>n</v>
      </c>
      <c r="AC15" s="50" t="str">
        <f t="shared" si="1"/>
        <v>n</v>
      </c>
      <c r="AD15" s="50" t="str">
        <f t="shared" si="1"/>
        <v/>
      </c>
      <c r="AE15" s="23">
        <f t="shared" si="2"/>
        <v>5</v>
      </c>
    </row>
    <row r="16" spans="1:31" ht="19.5" x14ac:dyDescent="0.35">
      <c r="A16" s="149">
        <v>14</v>
      </c>
      <c r="B16" s="150">
        <f t="array" ref="B16">IFERROR(SMALL(IF(I_SV_SPORT=T_2016_EVENT_RESULTS[SPORT],ROW(T_2016_EVENT_RESULTS[Event]),""),A16)-ROW(T_2016_EVENT_RESULTS[#Headers]),"")</f>
        <v>228</v>
      </c>
      <c r="C16" s="149" t="str">
        <f>IFERROR(INDEX(T_2016_EVENT_RESULTS[Event],B16),"")</f>
        <v>Men's 50m Freestyle</v>
      </c>
      <c r="F16" s="20">
        <f t="shared" ref="F16:F18" si="3">F15+1</f>
        <v>3</v>
      </c>
      <c r="G16" s="21">
        <f>IFERROR(IF($F16&gt;$K$12,"",IF(I_VIEW=1,MATCH($F16, T_SV_MEDALS[ADJ_RANK],0),IF(I_VIEW=2,MATCH($F16, T_SPORTS[CV - Adj - Rank],0),IF(I_VIEW=3,MATCH($F16, T_SV_MEDALS[SV_ADJ_RANK],0),"")))),"")</f>
        <v>74</v>
      </c>
      <c r="H16" s="21">
        <f>IF($F16&gt;$K$12,"",IF(I_VIEW =2, INDEX(T_SPORTS[CV - Rank],$G16),IF(I_VIEW=1,INDEX(T_SV_MEDALS[RANK],$G16),INDEX(T_SV_MEDALS[SV_RANK],$G16))))</f>
        <v>3</v>
      </c>
      <c r="I16" s="21" t="str">
        <f>IFERROR(IF(I_VIEW=1,INDEX(T_SV_MEDALS[COUNTRY],$G16),""),"")</f>
        <v>Great Britain</v>
      </c>
      <c r="J16" s="21" t="str">
        <f>IFERROR(IF(I_VIEW=2,INDEX(T_SPORTS[SPORT],$G16),""),"")</f>
        <v/>
      </c>
      <c r="K16" s="21" t="str">
        <f>IFERROR(IF(I_VIEW=3,INDEX(T_SV_MEDALS[COUNTRY],$G16),""),"")</f>
        <v/>
      </c>
      <c r="L16" s="21" t="str">
        <f>IFERROR(IF(H16="","",CHOOSE(I_VIEW,I16,J16,K16)),"")</f>
        <v>Great Britain</v>
      </c>
      <c r="M16" s="23" t="str">
        <f>IF(L16="","BLNK",IF(I_VIEW=2,"BLNK",INDEX(T_COUNTRIES[Int Olympic Committee code],MATCH(L16,T_COUNTRIES[Country],0))))</f>
        <v>GBR</v>
      </c>
      <c r="P16" s="20">
        <f t="shared" ref="P16:P18" si="4">P15+1</f>
        <v>3</v>
      </c>
      <c r="Q16" s="21">
        <f>IFERROR(IF($P16&gt;$T$11,"",MATCH($P16, TS_ATHLETES[ADJ RANK],0) ),"")</f>
        <v>9</v>
      </c>
      <c r="R16" s="21">
        <f>IF(Q16="","",INDEX(TS_ATHLETES[RANK],Q16))</f>
        <v>3</v>
      </c>
      <c r="S16" s="21" t="str">
        <f t="shared" si="0"/>
        <v>USA</v>
      </c>
      <c r="T16" s="21" t="str">
        <f>IF(Q16="","",INDEX(TS_ATHLETES[ATHLETE],Q16))</f>
        <v>BILES Simone</v>
      </c>
      <c r="U16" s="21" t="str">
        <f>IF(Q16="","",INDEX(TS_ATHLETES[COUNTRY],Q16))</f>
        <v>USA</v>
      </c>
      <c r="V16" s="21">
        <f>IF(Q16="","",INDEX(TS_ATHLETES[GOLD MEDALS],Q16))</f>
        <v>4</v>
      </c>
      <c r="W16" s="21">
        <f>IF(Q16="","",INDEX(TS_ATHLETES[SILVER MEDALS],Q16))</f>
        <v>0</v>
      </c>
      <c r="X16" s="21">
        <f>IF(Q16="","",INDEX(TS_ATHLETES[BRONZE MEDALS],Q16))</f>
        <v>1</v>
      </c>
      <c r="Y16" s="50" t="str">
        <f t="shared" si="1"/>
        <v>n</v>
      </c>
      <c r="Z16" s="50" t="str">
        <f t="shared" si="1"/>
        <v>n</v>
      </c>
      <c r="AA16" s="50" t="str">
        <f t="shared" si="1"/>
        <v>n</v>
      </c>
      <c r="AB16" s="50" t="str">
        <f t="shared" si="1"/>
        <v>n</v>
      </c>
      <c r="AC16" s="50" t="str">
        <f t="shared" si="1"/>
        <v>n</v>
      </c>
      <c r="AD16" s="50" t="str">
        <f t="shared" si="1"/>
        <v/>
      </c>
      <c r="AE16" s="23">
        <f t="shared" si="2"/>
        <v>5</v>
      </c>
    </row>
    <row r="17" spans="1:31" ht="19.5" x14ac:dyDescent="0.35">
      <c r="A17" s="149">
        <v>15</v>
      </c>
      <c r="B17" s="150">
        <f t="array" ref="B17">IFERROR(SMALL(IF(I_SV_SPORT=T_2016_EVENT_RESULTS[SPORT],ROW(T_2016_EVENT_RESULTS[Event]),""),A17)-ROW(T_2016_EVENT_RESULTS[#Headers]),"")</f>
        <v>229</v>
      </c>
      <c r="C17" s="149" t="str">
        <f>IFERROR(INDEX(T_2016_EVENT_RESULTS[Event],B17),"")</f>
        <v>Men's 100m Freestyle</v>
      </c>
      <c r="F17" s="20">
        <f t="shared" si="3"/>
        <v>4</v>
      </c>
      <c r="G17" s="21">
        <f>IFERROR(IF($F17&gt;$K$12,"",IF(I_VIEW=1,MATCH($F17, T_SV_MEDALS[ADJ_RANK],0),IF(I_VIEW=2,MATCH($F17, T_SPORTS[CV - Adj - Rank],0),IF(I_VIEW=3,MATCH($F17, T_SV_MEDALS[SV_ADJ_RANK],0),"")))),"")</f>
        <v>158</v>
      </c>
      <c r="H17" s="21">
        <f>IF($F17&gt;$K$12,"",IF(I_VIEW =2, INDEX(T_SPORTS[CV - Rank],$G17),IF(I_VIEW=1,INDEX(T_SV_MEDALS[RANK],$G17),INDEX(T_SV_MEDALS[SV_RANK],$G17))))</f>
        <v>4</v>
      </c>
      <c r="I17" s="21" t="str">
        <f>IFERROR(IF(I_VIEW=1,INDEX(T_SV_MEDALS[COUNTRY],$G17),""),"")</f>
        <v>Russian Federation</v>
      </c>
      <c r="J17" s="21" t="str">
        <f>IFERROR(IF(I_VIEW=2,INDEX(T_SPORTS[SPORT],$G17),""),"")</f>
        <v/>
      </c>
      <c r="K17" s="21" t="str">
        <f>IFERROR(IF(I_VIEW=3,INDEX(T_SV_MEDALS[COUNTRY],$G17),""),"")</f>
        <v/>
      </c>
      <c r="L17" s="21" t="str">
        <f>IFERROR(IF(H17="","",CHOOSE(I_VIEW,I17,J17,K17)),"")</f>
        <v>Russian Federation</v>
      </c>
      <c r="M17" s="23" t="str">
        <f>IF(L17="","BLNK",IF(I_VIEW=2,"BLNK",INDEX(T_COUNTRIES[Int Olympic Committee code],MATCH(L17,T_COUNTRIES[Country],0))))</f>
        <v>RUS</v>
      </c>
      <c r="P17" s="20">
        <f t="shared" si="4"/>
        <v>4</v>
      </c>
      <c r="Q17" s="21">
        <f>IFERROR(IF($P17&gt;$T$11,"",MATCH($P17, TS_ATHLETES[ADJ RANK],0) ),"")</f>
        <v>147</v>
      </c>
      <c r="R17" s="21">
        <f>IF(Q17="","",INDEX(TS_ATHLETES[RANK],Q17))</f>
        <v>4</v>
      </c>
      <c r="S17" s="21" t="str">
        <f t="shared" si="0"/>
        <v>HUN</v>
      </c>
      <c r="T17" s="21" t="str">
        <f>IF(Q17="","",INDEX(TS_ATHLETES[ATHLETE],Q17))</f>
        <v>HOSSZU Katinka</v>
      </c>
      <c r="U17" s="21" t="str">
        <f>IF(Q17="","",INDEX(TS_ATHLETES[COUNTRY],Q17))</f>
        <v>HUN</v>
      </c>
      <c r="V17" s="21">
        <f>IF(Q17="","",INDEX(TS_ATHLETES[GOLD MEDALS],Q17))</f>
        <v>3</v>
      </c>
      <c r="W17" s="21">
        <f>IF(Q17="","",INDEX(TS_ATHLETES[SILVER MEDALS],Q17))</f>
        <v>1</v>
      </c>
      <c r="X17" s="21">
        <f>IF(Q17="","",INDEX(TS_ATHLETES[BRONZE MEDALS],Q17))</f>
        <v>0</v>
      </c>
      <c r="Y17" s="50" t="str">
        <f t="shared" si="1"/>
        <v>n</v>
      </c>
      <c r="Z17" s="50" t="str">
        <f t="shared" si="1"/>
        <v>n</v>
      </c>
      <c r="AA17" s="50" t="str">
        <f t="shared" si="1"/>
        <v>n</v>
      </c>
      <c r="AB17" s="50" t="str">
        <f t="shared" si="1"/>
        <v>n</v>
      </c>
      <c r="AC17" s="50" t="str">
        <f t="shared" si="1"/>
        <v/>
      </c>
      <c r="AD17" s="50" t="str">
        <f t="shared" si="1"/>
        <v/>
      </c>
      <c r="AE17" s="23">
        <f t="shared" si="2"/>
        <v>4</v>
      </c>
    </row>
    <row r="18" spans="1:31" ht="19.5" x14ac:dyDescent="0.35">
      <c r="A18" s="149">
        <v>16</v>
      </c>
      <c r="B18" s="150">
        <f t="array" ref="B18">IFERROR(SMALL(IF(I_SV_SPORT=T_2016_EVENT_RESULTS[SPORT],ROW(T_2016_EVENT_RESULTS[Event]),""),A18)-ROW(T_2016_EVENT_RESULTS[#Headers]),"")</f>
        <v>230</v>
      </c>
      <c r="C18" s="149" t="str">
        <f>IFERROR(INDEX(T_2016_EVENT_RESULTS[Event],B18),"")</f>
        <v>Men's 200m Freestyle</v>
      </c>
      <c r="F18" s="20">
        <f t="shared" si="3"/>
        <v>5</v>
      </c>
      <c r="G18" s="21">
        <f>IFERROR(IF($F18&gt;$K$12,"",IF(I_VIEW=1,MATCH($F18, T_SV_MEDALS[ADJ_RANK],0),IF(I_VIEW=2,MATCH($F18, T_SPORTS[CV - Adj - Rank],0),IF(I_VIEW=3,MATCH($F18, T_SV_MEDALS[SV_ADJ_RANK],0),"")))),"")</f>
        <v>72</v>
      </c>
      <c r="H18" s="21">
        <f>IF($F18&gt;$K$12,"",IF(I_VIEW =2, INDEX(T_SPORTS[CV - Rank],$G18),IF(I_VIEW=1,INDEX(T_SV_MEDALS[RANK],$G18),INDEX(T_SV_MEDALS[SV_RANK],$G18))))</f>
        <v>5</v>
      </c>
      <c r="I18" s="21" t="str">
        <f>IFERROR(IF(I_VIEW=1,INDEX(T_SV_MEDALS[COUNTRY],$G18),""),"")</f>
        <v>Germany</v>
      </c>
      <c r="J18" s="21" t="str">
        <f>IFERROR(IF(I_VIEW=2,INDEX(T_SPORTS[SPORT],$G18),""),"")</f>
        <v/>
      </c>
      <c r="K18" s="21" t="str">
        <f>IFERROR(IF(I_VIEW=3,INDEX(T_SV_MEDALS[COUNTRY],$G18),""),"")</f>
        <v/>
      </c>
      <c r="L18" s="21" t="str">
        <f>IFERROR(IF(H18="","",CHOOSE(I_VIEW,I18,J18,K18)),"")</f>
        <v>Germany</v>
      </c>
      <c r="M18" s="23" t="str">
        <f>IF(L18="","BLNK",IF(I_VIEW=2,"BLNK",INDEX(T_COUNTRIES[Int Olympic Committee code],MATCH(L18,T_COUNTRIES[Country],0))))</f>
        <v>GER</v>
      </c>
      <c r="P18" s="20">
        <f t="shared" si="4"/>
        <v>5</v>
      </c>
      <c r="Q18" s="21">
        <f>IFERROR(IF($P18&gt;$T$11,"",MATCH($P18, TS_ATHLETES[ADJ RANK],0) ),"")</f>
        <v>357</v>
      </c>
      <c r="R18" s="21">
        <f>IF(Q18="","",INDEX(TS_ATHLETES[RANK],Q18))</f>
        <v>5</v>
      </c>
      <c r="S18" s="21" t="str">
        <f t="shared" si="0"/>
        <v>USA</v>
      </c>
      <c r="T18" s="21" t="str">
        <f>IF(Q18="","",INDEX(TS_ATHLETES[ATHLETE],Q18))</f>
        <v>MANUEL Simone</v>
      </c>
      <c r="U18" s="21" t="str">
        <f>IF(Q18="","",INDEX(TS_ATHLETES[COUNTRY],Q18))</f>
        <v>USA</v>
      </c>
      <c r="V18" s="21">
        <f>IF(Q18="","",INDEX(TS_ATHLETES[GOLD MEDALS],Q18))</f>
        <v>2</v>
      </c>
      <c r="W18" s="21">
        <f>IF(Q18="","",INDEX(TS_ATHLETES[SILVER MEDALS],Q18))</f>
        <v>2</v>
      </c>
      <c r="X18" s="21">
        <f>IF(Q18="","",INDEX(TS_ATHLETES[BRONZE MEDALS],Q18))</f>
        <v>0</v>
      </c>
      <c r="Y18" s="50" t="str">
        <f t="shared" si="1"/>
        <v>n</v>
      </c>
      <c r="Z18" s="50" t="str">
        <f t="shared" si="1"/>
        <v>n</v>
      </c>
      <c r="AA18" s="50" t="str">
        <f t="shared" si="1"/>
        <v>n</v>
      </c>
      <c r="AB18" s="50" t="str">
        <f t="shared" si="1"/>
        <v>n</v>
      </c>
      <c r="AC18" s="50" t="str">
        <f t="shared" si="1"/>
        <v/>
      </c>
      <c r="AD18" s="50" t="str">
        <f t="shared" si="1"/>
        <v/>
      </c>
      <c r="AE18" s="23">
        <f t="shared" si="2"/>
        <v>4</v>
      </c>
    </row>
    <row r="19" spans="1:31" x14ac:dyDescent="0.25">
      <c r="A19" s="149">
        <v>17</v>
      </c>
      <c r="B19" s="150">
        <f t="array" ref="B19">IFERROR(SMALL(IF(I_SV_SPORT=T_2016_EVENT_RESULTS[SPORT],ROW(T_2016_EVENT_RESULTS[Event]),""),A19)-ROW(T_2016_EVENT_RESULTS[#Headers]),"")</f>
        <v>231</v>
      </c>
      <c r="C19" s="149" t="str">
        <f>IFERROR(INDEX(T_2016_EVENT_RESULTS[Event],B19),"")</f>
        <v>Men's 400m Freestyle</v>
      </c>
      <c r="F19" s="20"/>
      <c r="G19" s="21"/>
      <c r="H19" s="21"/>
      <c r="I19" s="21"/>
      <c r="J19" s="21"/>
      <c r="K19" s="21"/>
      <c r="L19" s="21"/>
      <c r="M19" s="23"/>
      <c r="P19" s="20"/>
      <c r="Q19" s="21"/>
      <c r="R19" s="21"/>
      <c r="S19" s="21"/>
      <c r="T19" s="21"/>
      <c r="U19" s="21"/>
      <c r="V19" s="21"/>
      <c r="W19" s="21"/>
      <c r="X19" s="21"/>
      <c r="Y19" s="21"/>
      <c r="Z19" s="21"/>
      <c r="AA19" s="21"/>
      <c r="AB19" s="21"/>
      <c r="AC19" s="21"/>
      <c r="AD19" s="21"/>
      <c r="AE19" s="23"/>
    </row>
    <row r="20" spans="1:31" ht="15.75" thickBot="1" x14ac:dyDescent="0.3">
      <c r="A20" s="149">
        <v>18</v>
      </c>
      <c r="B20" s="150">
        <f t="array" ref="B20">IFERROR(SMALL(IF(I_SV_SPORT=T_2016_EVENT_RESULTS[SPORT],ROW(T_2016_EVENT_RESULTS[Event]),""),A20)-ROW(T_2016_EVENT_RESULTS[#Headers]),"")</f>
        <v>232</v>
      </c>
      <c r="C20" s="149" t="str">
        <f>IFERROR(INDEX(T_2016_EVENT_RESULTS[Event],B20),"")</f>
        <v>Men's 1500m Freestyle</v>
      </c>
      <c r="F20" s="25"/>
      <c r="G20" s="26" t="s">
        <v>975</v>
      </c>
      <c r="H20" s="57">
        <f>IF(H18="","",IF(I_VIEW=1,COUNTIF(T_SV_MEDALS[RANK],$H$18),IF(I_VIEW=2,COUNTIF(T_SPORTS[CV - Rank],$H$18),IF(I_VIEW=3,COUNTIF(T_SV_MEDALS[SV_RANK],$H$18),""))))</f>
        <v>1</v>
      </c>
      <c r="I20" s="57" t="str">
        <f>IF(OR(H20="",H20=1),"",IF(I_VIEW=2,H20&amp;" Sports ranked at "&amp;$H$18,H20&amp;" Countries ranked at "&amp;$H$18))</f>
        <v/>
      </c>
      <c r="J20" s="26"/>
      <c r="K20" s="26"/>
      <c r="L20" s="26"/>
      <c r="M20" s="27"/>
      <c r="P20" s="59">
        <f>IF(R18="","",COUNTIF(TS_ATHLETES[RANK],R18))</f>
        <v>1</v>
      </c>
      <c r="Q20" s="57" t="str">
        <f>IF(OR(P20="",P20=1),"",P20&amp;" Athletes ranked at "&amp;R18)</f>
        <v/>
      </c>
      <c r="R20" s="26"/>
      <c r="S20" s="26"/>
      <c r="T20" s="26"/>
      <c r="U20" s="26"/>
      <c r="V20" s="26"/>
      <c r="W20" s="26"/>
      <c r="X20" s="26"/>
      <c r="Y20" s="26"/>
      <c r="Z20" s="26"/>
      <c r="AA20" s="26"/>
      <c r="AB20" s="26"/>
      <c r="AC20" s="26"/>
      <c r="AD20" s="26"/>
      <c r="AE20" s="27"/>
    </row>
    <row r="21" spans="1:31" ht="15.75" thickBot="1" x14ac:dyDescent="0.3">
      <c r="A21" s="149">
        <v>19</v>
      </c>
      <c r="B21" s="150">
        <f t="array" ref="B21">IFERROR(SMALL(IF(I_SV_SPORT=T_2016_EVENT_RESULTS[SPORT],ROW(T_2016_EVENT_RESULTS[Event]),""),A21)-ROW(T_2016_EVENT_RESULTS[#Headers]),"")</f>
        <v>233</v>
      </c>
      <c r="C21" s="149" t="str">
        <f>IFERROR(INDEX(T_2016_EVENT_RESULTS[Event],B21),"")</f>
        <v>Men's 100m Backstroke</v>
      </c>
    </row>
    <row r="22" spans="1:31" x14ac:dyDescent="0.25">
      <c r="A22" s="149">
        <v>20</v>
      </c>
      <c r="B22" s="150">
        <f t="array" ref="B22">IFERROR(SMALL(IF(I_SV_SPORT=T_2016_EVENT_RESULTS[SPORT],ROW(T_2016_EVENT_RESULTS[Event]),""),A22)-ROW(T_2016_EVENT_RESULTS[#Headers]),"")</f>
        <v>234</v>
      </c>
      <c r="C22" s="149" t="str">
        <f>IFERROR(INDEX(T_2016_EVENT_RESULTS[Event],B22),"")</f>
        <v>Men's 200m Backstroke</v>
      </c>
      <c r="G22" s="17"/>
      <c r="H22" s="18"/>
      <c r="I22" s="18"/>
      <c r="J22" s="18"/>
      <c r="K22" s="18"/>
      <c r="L22" s="18"/>
      <c r="M22" s="18"/>
      <c r="N22" s="18"/>
      <c r="O22" s="18"/>
      <c r="P22" s="19"/>
    </row>
    <row r="23" spans="1:31" x14ac:dyDescent="0.25">
      <c r="A23" s="149">
        <v>21</v>
      </c>
      <c r="B23" s="150">
        <f t="array" ref="B23">IFERROR(SMALL(IF(I_SV_SPORT=T_2016_EVENT_RESULTS[SPORT],ROW(T_2016_EVENT_RESULTS[Event]),""),A23)-ROW(T_2016_EVENT_RESULTS[#Headers]),"")</f>
        <v>235</v>
      </c>
      <c r="C23" s="149" t="str">
        <f>IFERROR(INDEX(T_2016_EVENT_RESULTS[Event],B23),"")</f>
        <v>Men's 100m Breaststroke</v>
      </c>
      <c r="G23" s="20" t="s">
        <v>979</v>
      </c>
      <c r="H23" s="21"/>
      <c r="I23" s="21"/>
      <c r="J23" s="21"/>
      <c r="K23" s="21"/>
      <c r="L23" s="21"/>
      <c r="M23" s="21"/>
      <c r="N23" s="21"/>
      <c r="O23" s="21"/>
      <c r="P23" s="23"/>
    </row>
    <row r="24" spans="1:31" x14ac:dyDescent="0.25">
      <c r="A24" s="149">
        <v>22</v>
      </c>
      <c r="B24" s="150">
        <f t="array" ref="B24">IFERROR(SMALL(IF(I_SV_SPORT=T_2016_EVENT_RESULTS[SPORT],ROW(T_2016_EVENT_RESULTS[Event]),""),A24)-ROW(T_2016_EVENT_RESULTS[#Headers]),"")</f>
        <v>236</v>
      </c>
      <c r="C24" s="149" t="str">
        <f>IFERROR(INDEX(T_2016_EVENT_RESULTS[Event],B24),"")</f>
        <v>Men's 200m Breaststroke</v>
      </c>
      <c r="G24" s="20"/>
      <c r="H24" s="21" t="s">
        <v>980</v>
      </c>
      <c r="I24" s="21" t="s">
        <v>981</v>
      </c>
      <c r="J24" s="21" t="s">
        <v>986</v>
      </c>
      <c r="K24" s="21" t="s">
        <v>982</v>
      </c>
      <c r="L24" s="21" t="s">
        <v>983</v>
      </c>
      <c r="M24" s="21" t="s">
        <v>987</v>
      </c>
      <c r="N24" s="21" t="s">
        <v>984</v>
      </c>
      <c r="O24" s="21" t="s">
        <v>985</v>
      </c>
      <c r="P24" s="23" t="s">
        <v>988</v>
      </c>
    </row>
    <row r="25" spans="1:31" x14ac:dyDescent="0.25">
      <c r="A25" s="149">
        <v>23</v>
      </c>
      <c r="B25" s="150">
        <f t="array" ref="B25">IFERROR(SMALL(IF(I_SV_SPORT=T_2016_EVENT_RESULTS[SPORT],ROW(T_2016_EVENT_RESULTS[Event]),""),A25)-ROW(T_2016_EVENT_RESULTS[#Headers]),"")</f>
        <v>237</v>
      </c>
      <c r="C25" s="149" t="str">
        <f>IFERROR(INDEX(T_2016_EVENT_RESULTS[Event],B25),"")</f>
        <v>Men's 100m Butterfly</v>
      </c>
      <c r="G25" s="20" t="s">
        <v>390</v>
      </c>
      <c r="H25" s="21" t="str">
        <f>IFERROR(INDEX(T_2016_EVENT_RESULTS[Gold - Country],C_EVENTNAME_ROW),"")</f>
        <v>USA</v>
      </c>
      <c r="I25" s="21" t="str">
        <f>IFERROR(INDEX(T_2016_EVENT_RESULTS[Gold - Athlete],C_EVENTNAME_ROW),"")</f>
        <v>PHELPS Michael</v>
      </c>
      <c r="J25" s="21" t="str">
        <f>IFERROR(IF(LEN(INDEX(T_2016_EVENT_RESULTS[Gold - Country],C_EVENTNAME_ROW))=0,"BLNK",INDEX(T_2016_EVENT_RESULTS[Gold - Country],C_EVENTNAME_ROW)),"BLNK")</f>
        <v>USA</v>
      </c>
      <c r="K25" s="21">
        <f>IFERROR(INDEX(T_2016_EVENT_RESULTS[Gold - Country - 2],C_EVENTNAME_ROW),"")</f>
        <v>0</v>
      </c>
      <c r="L25" s="21">
        <f>IFERROR(INDEX(T_2016_EVENT_RESULTS[Gold - Athlete - 2],C_EVENTNAME_ROW),"")</f>
        <v>0</v>
      </c>
      <c r="M25" s="21" t="str">
        <f>IFERROR(IF(LEN(INDEX(T_2016_EVENT_RESULTS[Gold - Country - 2],C_EVENTNAME_ROW))=0,"BLNK",INDEX(T_2016_EVENT_RESULTS[Gold - Country - 2],C_EVENTNAME_ROW)),"BLNK")</f>
        <v>BLNK</v>
      </c>
      <c r="N25" s="28"/>
      <c r="O25" s="28"/>
      <c r="P25" s="29"/>
    </row>
    <row r="26" spans="1:31" x14ac:dyDescent="0.25">
      <c r="A26" s="149">
        <v>24</v>
      </c>
      <c r="B26" s="150">
        <f t="array" ref="B26">IFERROR(SMALL(IF(I_SV_SPORT=T_2016_EVENT_RESULTS[SPORT],ROW(T_2016_EVENT_RESULTS[Event]),""),A26)-ROW(T_2016_EVENT_RESULTS[#Headers]),"")</f>
        <v>238</v>
      </c>
      <c r="C26" s="149" t="str">
        <f>IFERROR(INDEX(T_2016_EVENT_RESULTS[Event],B26),"")</f>
        <v>Men's 200m Butterfly</v>
      </c>
      <c r="G26" s="20" t="s">
        <v>864</v>
      </c>
      <c r="H26" s="21" t="str">
        <f>IFERROR(INDEX(T_2016_EVENT_RESULTS[Silver - Country],C_EVENTNAME_ROW),"")</f>
        <v>JPN</v>
      </c>
      <c r="I26" s="21" t="str">
        <f>IFERROR(INDEX(T_2016_EVENT_RESULTS[Silver - Athlete],C_EVENTNAME_ROW),"")</f>
        <v>SAKAI Masato</v>
      </c>
      <c r="J26" s="21" t="str">
        <f>IFERROR(IF(LEN(INDEX(T_2016_EVENT_RESULTS[Silver - Country],C_EVENTNAME_ROW))=0,"BLNK",INDEX(T_2016_EVENT_RESULTS[Silver - Country],C_EVENTNAME_ROW)),"BLNK")</f>
        <v>JPN</v>
      </c>
      <c r="K26" s="21">
        <f>IFERROR(INDEX(T_2016_EVENT_RESULTS[Silver - Country - 2],C_EVENTNAME_ROW),"")</f>
        <v>0</v>
      </c>
      <c r="L26" s="21">
        <f>IFERROR(INDEX(T_2016_EVENT_RESULTS[Silver - Athlete - 2],C_EVENTNAME_ROW),"")</f>
        <v>0</v>
      </c>
      <c r="M26" s="21" t="str">
        <f>IFERROR(IF(LEN(INDEX(T_2016_EVENT_RESULTS[Silver - Country - 2],C_EVENTNAME_ROW))=0,"BLNK",INDEX(T_2016_EVENT_RESULTS[Silver - Country - 2],C_EVENTNAME_ROW)),"BLNK")</f>
        <v>BLNK</v>
      </c>
      <c r="N26" s="21">
        <f>IFERROR(INDEX(T_2016_EVENT_RESULTS[Silver - Country - 3],C_EVENTNAME_ROW),"")</f>
        <v>0</v>
      </c>
      <c r="O26" s="21">
        <f>IFERROR(INDEX(T_2016_EVENT_RESULTS[Silver - Athlete - 3],C_EVENTNAME_ROW),"")</f>
        <v>0</v>
      </c>
      <c r="P26" s="23" t="str">
        <f>IFERROR(IF(LEN(INDEX(T_2016_EVENT_RESULTS[Silver - Country - 3],C_EVENTNAME_ROW))=0,"BLNK",INDEX(T_2016_EVENT_RESULTS[Silver - Country - 3],C_EVENTNAME_ROW)),"BLNK")</f>
        <v>BLNK</v>
      </c>
    </row>
    <row r="27" spans="1:31" x14ac:dyDescent="0.25">
      <c r="A27" s="149">
        <v>25</v>
      </c>
      <c r="B27" s="150">
        <f t="array" ref="B27">IFERROR(SMALL(IF(I_SV_SPORT=T_2016_EVENT_RESULTS[SPORT],ROW(T_2016_EVENT_RESULTS[Event]),""),A27)-ROW(T_2016_EVENT_RESULTS[#Headers]),"")</f>
        <v>239</v>
      </c>
      <c r="C27" s="149" t="str">
        <f>IFERROR(INDEX(T_2016_EVENT_RESULTS[Event],B27),"")</f>
        <v>Men's 200m Individual Medley</v>
      </c>
      <c r="G27" s="20" t="s">
        <v>865</v>
      </c>
      <c r="H27" s="21" t="str">
        <f>IFERROR(INDEX(T_2016_EVENT_RESULTS[Bronze - Country],C_EVENTNAME_ROW),"")</f>
        <v>HUN</v>
      </c>
      <c r="I27" s="21" t="str">
        <f>IFERROR(INDEX(T_2016_EVENT_RESULTS[Bronze - Athlete],C_EVENTNAME_ROW),"")</f>
        <v>KENDERESI Tamas</v>
      </c>
      <c r="J27" s="21" t="str">
        <f>IFERROR(IF(LEN(INDEX(T_2016_EVENT_RESULTS[Bronze - Country],C_EVENTNAME_ROW))=0,"BLNK",INDEX(T_2016_EVENT_RESULTS[Bronze - Country],C_EVENTNAME_ROW)),"BLNK")</f>
        <v>HUN</v>
      </c>
      <c r="K27" s="21">
        <f>IFERROR(INDEX(T_2016_EVENT_RESULTS[Bronze - Country - 2],C_EVENTNAME_ROW),"")</f>
        <v>0</v>
      </c>
      <c r="L27" s="21" t="str">
        <f>IFERROR(INDEX(T_2016_EVENT_RESULTS[Bronze - Athlete - 2],C_EVENTNAME_ROW),"")</f>
        <v/>
      </c>
      <c r="M27" s="21" t="str">
        <f>IFERROR(IF(LEN(INDEX(T_2016_EVENT_RESULTS[Bronze - Country - 2],C_EVENTNAME_ROW))=0,"BLNK",INDEX(T_2016_EVENT_RESULTS[Bronze - Country - 2],C_EVENTNAME_ROW)),"BLNK")</f>
        <v>BLNK</v>
      </c>
      <c r="N27" s="28"/>
      <c r="O27" s="28"/>
      <c r="P27" s="29"/>
    </row>
    <row r="28" spans="1:31" ht="15.75" thickBot="1" x14ac:dyDescent="0.3">
      <c r="A28" s="149">
        <v>26</v>
      </c>
      <c r="B28" s="150">
        <f t="array" ref="B28">IFERROR(SMALL(IF(I_SV_SPORT=T_2016_EVENT_RESULTS[SPORT],ROW(T_2016_EVENT_RESULTS[Event]),""),A28)-ROW(T_2016_EVENT_RESULTS[#Headers]),"")</f>
        <v>240</v>
      </c>
      <c r="C28" s="149" t="str">
        <f>IFERROR(INDEX(T_2016_EVENT_RESULTS[Event],B28),"")</f>
        <v>Men's 400m Individual Medley</v>
      </c>
      <c r="G28" s="25"/>
      <c r="H28" s="26"/>
      <c r="I28" s="26"/>
      <c r="J28" s="26"/>
      <c r="K28" s="26"/>
      <c r="L28" s="26"/>
      <c r="M28" s="26"/>
      <c r="N28" s="26"/>
      <c r="O28" s="26"/>
      <c r="P28" s="27"/>
    </row>
    <row r="29" spans="1:31" ht="15.75" thickBot="1" x14ac:dyDescent="0.3">
      <c r="A29" s="149">
        <v>27</v>
      </c>
      <c r="B29" s="150">
        <f t="array" ref="B29">IFERROR(SMALL(IF(I_SV_SPORT=T_2016_EVENT_RESULTS[SPORT],ROW(T_2016_EVENT_RESULTS[Event]),""),A29)-ROW(T_2016_EVENT_RESULTS[#Headers]),"")</f>
        <v>241</v>
      </c>
      <c r="C29" s="149" t="str">
        <f>IFERROR(INDEX(T_2016_EVENT_RESULTS[Event],B29),"")</f>
        <v>Women's 4 x 100m Freestyle Relay</v>
      </c>
    </row>
    <row r="30" spans="1:31" x14ac:dyDescent="0.25">
      <c r="A30" s="149">
        <v>28</v>
      </c>
      <c r="B30" s="150">
        <f t="array" ref="B30">IFERROR(SMALL(IF(I_SV_SPORT=T_2016_EVENT_RESULTS[SPORT],ROW(T_2016_EVENT_RESULTS[Event]),""),A30)-ROW(T_2016_EVENT_RESULTS[#Headers]),"")</f>
        <v>242</v>
      </c>
      <c r="C30" s="149" t="str">
        <f>IFERROR(INDEX(T_2016_EVENT_RESULTS[Event],B30),"")</f>
        <v>Women's 4 x 200m Freestyle Relay</v>
      </c>
      <c r="I30" s="17" t="s">
        <v>989</v>
      </c>
      <c r="J30" s="18"/>
      <c r="K30" s="18" t="s">
        <v>1052</v>
      </c>
      <c r="L30" s="51">
        <f>IFERROR(IF(MATCH("",L33:L40,0)=1,0,IFERROR(MATCH("",L33:L40,0)-1,8)),8)</f>
        <v>8</v>
      </c>
      <c r="M30" s="19" t="s">
        <v>2860</v>
      </c>
    </row>
    <row r="31" spans="1:31" x14ac:dyDescent="0.25">
      <c r="A31" s="149">
        <v>29</v>
      </c>
      <c r="B31" s="150">
        <f t="array" ref="B31">IFERROR(SMALL(IF(I_SV_SPORT=T_2016_EVENT_RESULTS[SPORT],ROW(T_2016_EVENT_RESULTS[Event]),""),A31)-ROW(T_2016_EVENT_RESULTS[#Headers]),"")</f>
        <v>243</v>
      </c>
      <c r="C31" s="149" t="str">
        <f>IFERROR(INDEX(T_2016_EVENT_RESULTS[Event],B31),"")</f>
        <v>Women's 4 x 100m Medley Relay</v>
      </c>
      <c r="I31" s="20" t="s">
        <v>972</v>
      </c>
      <c r="J31" s="21"/>
      <c r="K31" s="21"/>
      <c r="L31" s="21"/>
      <c r="M31" s="23"/>
    </row>
    <row r="32" spans="1:31" x14ac:dyDescent="0.25">
      <c r="A32" s="149">
        <v>30</v>
      </c>
      <c r="B32" s="150">
        <f t="array" ref="B32">IFERROR(SMALL(IF(I_SV_SPORT=T_2016_EVENT_RESULTS[SPORT],ROW(T_2016_EVENT_RESULTS[Event]),""),A32)-ROW(T_2016_EVENT_RESULTS[#Headers]),"")</f>
        <v>244</v>
      </c>
      <c r="C32" s="149" t="str">
        <f>IFERROR(INDEX(T_2016_EVENT_RESULTS[Event],B32),"")</f>
        <v>Men's 4 x 100m Freestyle Relay</v>
      </c>
      <c r="I32" s="33">
        <v>0</v>
      </c>
      <c r="J32" s="21" t="s">
        <v>1048</v>
      </c>
      <c r="K32" s="21"/>
      <c r="L32" s="21" t="s">
        <v>1047</v>
      </c>
      <c r="M32" s="23" t="s">
        <v>990</v>
      </c>
    </row>
    <row r="33" spans="1:13" x14ac:dyDescent="0.25">
      <c r="A33" s="149">
        <v>31</v>
      </c>
      <c r="B33" s="150">
        <f t="array" ref="B33">IFERROR(SMALL(IF(I_SV_SPORT=T_2016_EVENT_RESULTS[SPORT],ROW(T_2016_EVENT_RESULTS[Event]),""),A33)-ROW(T_2016_EVENT_RESULTS[#Headers]),"")</f>
        <v>245</v>
      </c>
      <c r="C33" s="149" t="str">
        <f>IFERROR(INDEX(T_2016_EVENT_RESULTS[Event],B33),"")</f>
        <v>Men's 4 x 200m Freestyle Relay</v>
      </c>
      <c r="I33" s="20">
        <f>I32+1</f>
        <v>1</v>
      </c>
      <c r="J33" s="21">
        <f>IFERROR(IF(I_VIEW=1,MATCH($I33, T_SPORTS[OV - Domination - Rank],0),IF(I_VIEW=2,MATCH($I33, T_SPORTS[CV - Domination - Rank],0),IF(I_VIEW=3,MATCH($I33, T_SV_MEDALS[Dependency - RANK],0),""))),"")</f>
        <v>3</v>
      </c>
      <c r="K33" s="21"/>
      <c r="L33" s="21" t="str">
        <f>IFERROR(IF(I_VIEW=1,INDEX(T_SPORTS[SPORT],J33),IF(I_VIEW=2,INDEX(T_SPORTS[SPORT],J33),INDEX(T_SV_MEDALS[COUNTRY ABBR],J33))),"")</f>
        <v>Athletics</v>
      </c>
      <c r="M33" s="34">
        <f>IFERROR(IF(I_VIEW=1,INDEX(T_SPORTS[OV - Domination - Total],J33),IF(I_VIEW=2,INDEX(T_SPORTS[CV - Domination - Total],J33),INDEX(T_SV_MEDALS[Dependency - Rank Value],J33))),"")</f>
        <v>0.14476386036960986</v>
      </c>
    </row>
    <row r="34" spans="1:13" x14ac:dyDescent="0.25">
      <c r="A34" s="149">
        <v>32</v>
      </c>
      <c r="B34" s="150">
        <f t="array" ref="B34">IFERROR(SMALL(IF(I_SV_SPORT=T_2016_EVENT_RESULTS[SPORT],ROW(T_2016_EVENT_RESULTS[Event]),""),A34)-ROW(T_2016_EVENT_RESULTS[#Headers]),"")</f>
        <v>246</v>
      </c>
      <c r="C34" s="149" t="str">
        <f>IFERROR(INDEX(T_2016_EVENT_RESULTS[Event],B34),"")</f>
        <v>Men's 4 x 100m Medley Relay</v>
      </c>
      <c r="I34" s="20">
        <f>I33+1</f>
        <v>2</v>
      </c>
      <c r="J34" s="21">
        <f>IFERROR(IF(I_VIEW=1,MATCH($I34, T_SPORTS[OV - Domination - Rank],0),IF(I_VIEW=2,MATCH($I34, T_SPORTS[CV - Domination - Rank],0),IF(I_VIEW=3,MATCH($I34, T_SV_MEDALS[Dependency - RANK],0),""))),"")</f>
        <v>29</v>
      </c>
      <c r="K34" s="21"/>
      <c r="L34" s="21" t="str">
        <f>IFERROR(IF(I_VIEW=1,INDEX(T_SPORTS[SPORT],J34),IF(I_VIEW=2,INDEX(T_SPORTS[SPORT],J34),INDEX(T_SV_MEDALS[COUNTRY ABBR],J34))),"")</f>
        <v>Swimming</v>
      </c>
      <c r="M34" s="34">
        <f>IFERROR(IF(I_VIEW=1,INDEX(T_SPORTS[OV - Domination - Total],J34),IF(I_VIEW=2,INDEX(T_SPORTS[CV - Domination - Total],J34),INDEX(T_SV_MEDALS[Dependency - Rank Value],J34))),"")</f>
        <v>0.10061601642710473</v>
      </c>
    </row>
    <row r="35" spans="1:13" x14ac:dyDescent="0.25">
      <c r="A35" s="149">
        <v>33</v>
      </c>
      <c r="B35" s="150" t="str">
        <f t="array" ref="B35">IFERROR(SMALL(IF(I_SV_SPORT=T_2016_EVENT_RESULTS[SPORT],ROW(T_2016_EVENT_RESULTS[Event]),""),A35)-ROW(T_2016_EVENT_RESULTS[#Headers]),"")</f>
        <v/>
      </c>
      <c r="C35" s="149" t="str">
        <f>IFERROR(INDEX(T_2016_EVENT_RESULTS[Event],B35),"")</f>
        <v/>
      </c>
      <c r="I35" s="20">
        <f t="shared" ref="I35:I40" si="5">I34+1</f>
        <v>3</v>
      </c>
      <c r="J35" s="21">
        <f>IFERROR(IF(I_VIEW=1,MATCH($I35, T_SPORTS[OV - Domination - Rank],0),IF(I_VIEW=2,MATCH($I35, T_SPORTS[CV - Domination - Rank],0),IF(I_VIEW=3,MATCH($I35, T_SV_MEDALS[Dependency - RANK],0),""))),"")</f>
        <v>39</v>
      </c>
      <c r="K35" s="21"/>
      <c r="L35" s="21" t="str">
        <f>IFERROR(IF(I_VIEW=1,INDEX(T_SPORTS[SPORT],J35),IF(I_VIEW=2,INDEX(T_SPORTS[SPORT],J35),INDEX(T_SV_MEDALS[COUNTRY ABBR],J35))),"")</f>
        <v>Wrestling</v>
      </c>
      <c r="M35" s="34">
        <f>IFERROR(IF(I_VIEW=1,INDEX(T_SPORTS[OV - Domination - Total],J35),IF(I_VIEW=2,INDEX(T_SPORTS[CV - Domination - Total],J35),INDEX(T_SV_MEDALS[Dependency - Rank Value],J35))),"")</f>
        <v>7.3921971252566734E-2</v>
      </c>
    </row>
    <row r="36" spans="1:13" x14ac:dyDescent="0.25">
      <c r="A36" s="149">
        <v>34</v>
      </c>
      <c r="B36" s="150" t="str">
        <f t="array" ref="B36">IFERROR(SMALL(IF(I_SV_SPORT=T_2016_EVENT_RESULTS[SPORT],ROW(T_2016_EVENT_RESULTS[Event]),""),A36)-ROW(T_2016_EVENT_RESULTS[#Headers]),"")</f>
        <v/>
      </c>
      <c r="C36" s="149" t="str">
        <f>IFERROR(INDEX(T_2016_EVENT_RESULTS[Event],B36),"")</f>
        <v/>
      </c>
      <c r="I36" s="20">
        <f t="shared" si="5"/>
        <v>4</v>
      </c>
      <c r="J36" s="21">
        <f>IFERROR(IF(I_VIEW=1,MATCH($I36, T_SPORTS[OV - Domination - Rank],0),IF(I_VIEW=2,MATCH($I36, T_SPORTS[CV - Domination - Rank],0),IF(I_VIEW=3,MATCH($I36, T_SV_MEDALS[Dependency - RANK],0),""))),"")</f>
        <v>21</v>
      </c>
      <c r="K36" s="21"/>
      <c r="L36" s="21" t="str">
        <f>IFERROR(IF(I_VIEW=1,INDEX(T_SPORTS[SPORT],J36),IF(I_VIEW=2,INDEX(T_SPORTS[SPORT],J36),INDEX(T_SV_MEDALS[COUNTRY ABBR],J36))),"")</f>
        <v>Judo</v>
      </c>
      <c r="M36" s="34">
        <f>IFERROR(IF(I_VIEW=1,INDEX(T_SPORTS[OV - Domination - Total],J36),IF(I_VIEW=2,INDEX(T_SPORTS[CV - Domination - Total],J36),INDEX(T_SV_MEDALS[Dependency - Rank Value],J36))),"")</f>
        <v>5.7494866529774126E-2</v>
      </c>
    </row>
    <row r="37" spans="1:13" x14ac:dyDescent="0.25">
      <c r="A37" s="149">
        <v>35</v>
      </c>
      <c r="B37" s="150" t="str">
        <f t="array" ref="B37">IFERROR(SMALL(IF(I_SV_SPORT=T_2016_EVENT_RESULTS[SPORT],ROW(T_2016_EVENT_RESULTS[Event]),""),A37)-ROW(T_2016_EVENT_RESULTS[#Headers]),"")</f>
        <v/>
      </c>
      <c r="C37" s="149" t="str">
        <f>IFERROR(INDEX(T_2016_EVENT_RESULTS[Event],B37),"")</f>
        <v/>
      </c>
      <c r="I37" s="20">
        <f t="shared" si="5"/>
        <v>5</v>
      </c>
      <c r="J37" s="21">
        <f>IFERROR(IF(I_VIEW=1,MATCH($I37, T_SPORTS[OV - Domination - Rank],0),IF(I_VIEW=2,MATCH($I37, T_SPORTS[CV - Domination - Rank],0),IF(I_VIEW=3,MATCH($I37, T_SV_MEDALS[Dependency - RANK],0),""))),"")</f>
        <v>7</v>
      </c>
      <c r="K37" s="21"/>
      <c r="L37" s="21" t="str">
        <f>IFERROR(IF(I_VIEW=1,INDEX(T_SPORTS[SPORT],J37),IF(I_VIEW=2,INDEX(T_SPORTS[SPORT],J37),INDEX(T_SV_MEDALS[COUNTRY ABBR],J37))),"")</f>
        <v>Boxing</v>
      </c>
      <c r="M37" s="34">
        <f>IFERROR(IF(I_VIEW=1,INDEX(T_SPORTS[OV - Domination - Total],J37),IF(I_VIEW=2,INDEX(T_SPORTS[CV - Domination - Total],J37),INDEX(T_SV_MEDALS[Dependency - Rank Value],J37))),"")</f>
        <v>5.3388090349075976E-2</v>
      </c>
    </row>
    <row r="38" spans="1:13" x14ac:dyDescent="0.25">
      <c r="A38" s="149">
        <v>36</v>
      </c>
      <c r="B38" s="150" t="str">
        <f t="array" ref="B38">IFERROR(SMALL(IF(I_SV_SPORT=T_2016_EVENT_RESULTS[SPORT],ROW(T_2016_EVENT_RESULTS[Event]),""),A38)-ROW(T_2016_EVENT_RESULTS[#Headers]),"")</f>
        <v/>
      </c>
      <c r="C38" s="149" t="str">
        <f>IFERROR(INDEX(T_2016_EVENT_RESULTS[Event],B38),"")</f>
        <v/>
      </c>
      <c r="I38" s="20">
        <f t="shared" si="5"/>
        <v>6</v>
      </c>
      <c r="J38" s="21">
        <f>IFERROR(IF(I_VIEW=1,MATCH($I38, T_SPORTS[OV - Domination - Rank],0),IF(I_VIEW=2,MATCH($I38, T_SPORTS[CV - Domination - Rank],0),IF(I_VIEW=3,MATCH($I38, T_SV_MEDALS[Dependency - RANK],0),""))),"")</f>
        <v>28</v>
      </c>
      <c r="K38" s="21"/>
      <c r="L38" s="21" t="str">
        <f>IFERROR(IF(I_VIEW=1,INDEX(T_SPORTS[SPORT],J38),IF(I_VIEW=2,INDEX(T_SPORTS[SPORT],J38),INDEX(T_SV_MEDALS[COUNTRY ABBR],J38))),"")</f>
        <v>Shooting</v>
      </c>
      <c r="M38" s="34">
        <f>IFERROR(IF(I_VIEW=1,INDEX(T_SPORTS[OV - Domination - Total],J38),IF(I_VIEW=2,INDEX(T_SPORTS[CV - Domination - Total],J38),INDEX(T_SV_MEDALS[Dependency - Rank Value],J38))),"")</f>
        <v>4.6201232032854207E-2</v>
      </c>
    </row>
    <row r="39" spans="1:13" x14ac:dyDescent="0.25">
      <c r="A39" s="149">
        <v>37</v>
      </c>
      <c r="B39" s="150" t="str">
        <f t="array" ref="B39">IFERROR(SMALL(IF(I_SV_SPORT=T_2016_EVENT_RESULTS[SPORT],ROW(T_2016_EVENT_RESULTS[Event]),""),A39)-ROW(T_2016_EVENT_RESULTS[#Headers]),"")</f>
        <v/>
      </c>
      <c r="C39" s="149" t="str">
        <f>IFERROR(INDEX(T_2016_EVENT_RESULTS[Event],B39),"")</f>
        <v/>
      </c>
      <c r="I39" s="20">
        <f t="shared" si="5"/>
        <v>7</v>
      </c>
      <c r="J39" s="21">
        <f>IFERROR(IF(I_VIEW=1,MATCH($I39, T_SPORTS[OV - Domination - Rank],0),IF(I_VIEW=2,MATCH($I39, T_SPORTS[CV - Domination - Rank],0),IF(I_VIEW=3,MATCH($I39, T_SV_MEDALS[Dependency - RANK],0),""))),"")</f>
        <v>38</v>
      </c>
      <c r="K39" s="21"/>
      <c r="L39" s="21" t="str">
        <f>IFERROR(IF(I_VIEW=1,INDEX(T_SPORTS[SPORT],J39),IF(I_VIEW=2,INDEX(T_SPORTS[SPORT],J39),INDEX(T_SV_MEDALS[COUNTRY ABBR],J39))),"")</f>
        <v>Weightlifting</v>
      </c>
      <c r="M39" s="34">
        <f>IFERROR(IF(I_VIEW=1,INDEX(T_SPORTS[OV - Domination - Total],J39),IF(I_VIEW=2,INDEX(T_SPORTS[CV - Domination - Total],J39),INDEX(T_SV_MEDALS[Dependency - Rank Value],J39))),"")</f>
        <v>4.6201232032854207E-2</v>
      </c>
    </row>
    <row r="40" spans="1:13" ht="15.75" thickBot="1" x14ac:dyDescent="0.3">
      <c r="A40" s="149">
        <v>38</v>
      </c>
      <c r="B40" s="150" t="str">
        <f t="array" ref="B40">IFERROR(SMALL(IF(I_SV_SPORT=T_2016_EVENT_RESULTS[SPORT],ROW(T_2016_EVENT_RESULTS[Event]),""),A40)-ROW(T_2016_EVENT_RESULTS[#Headers]),"")</f>
        <v/>
      </c>
      <c r="C40" s="149" t="str">
        <f>IFERROR(INDEX(T_2016_EVENT_RESULTS[Event],B40),"")</f>
        <v/>
      </c>
      <c r="I40" s="25">
        <f t="shared" si="5"/>
        <v>8</v>
      </c>
      <c r="J40" s="26">
        <f>IFERROR(IF(I_VIEW=1,MATCH($I40, T_SPORTS[OV - Domination - Rank],0),IF(I_VIEW=2,MATCH($I40, T_SPORTS[CV - Domination - Rank],0),IF(I_VIEW=3,MATCH($I40, T_SV_MEDALS[Dependency - RANK],0),""))),"")</f>
        <v>2</v>
      </c>
      <c r="K40" s="26"/>
      <c r="L40" s="26" t="str">
        <f>IFERROR(IF(I_VIEW=1,INDEX(T_SPORTS[SPORT],J40),IF(I_VIEW=2,INDEX(T_SPORTS[SPORT],J40),INDEX(T_SV_MEDALS[COUNTRY ABBR],J40))),"")</f>
        <v>Artistic Gymnastics</v>
      </c>
      <c r="M40" s="35">
        <f>IFERROR(IF(I_VIEW=1,INDEX(T_SPORTS[OV - Domination - Total],J40),IF(I_VIEW=2,INDEX(T_SPORTS[CV - Domination - Total],J40),INDEX(T_SV_MEDALS[Dependency - Rank Value],J40))),"")</f>
        <v>4.3121149897330596E-2</v>
      </c>
    </row>
    <row r="41" spans="1:13" x14ac:dyDescent="0.25">
      <c r="A41" s="149">
        <v>39</v>
      </c>
      <c r="B41" s="150" t="str">
        <f t="array" ref="B41">IFERROR(SMALL(IF(I_SV_SPORT=T_2016_EVENT_RESULTS[SPORT],ROW(T_2016_EVENT_RESULTS[Event]),""),A41)-ROW(T_2016_EVENT_RESULTS[#Headers]),"")</f>
        <v/>
      </c>
      <c r="C41" s="149" t="str">
        <f>IFERROR(INDEX(T_2016_EVENT_RESULTS[Event],B41),"")</f>
        <v/>
      </c>
    </row>
    <row r="42" spans="1:13" x14ac:dyDescent="0.25">
      <c r="A42" s="149">
        <v>40</v>
      </c>
      <c r="B42" s="150" t="str">
        <f t="array" ref="B42">IFERROR(SMALL(IF(I_SV_SPORT=T_2016_EVENT_RESULTS[SPORT],ROW(T_2016_EVENT_RESULTS[Event]),""),A42)-ROW(T_2016_EVENT_RESULTS[#Headers]),"")</f>
        <v/>
      </c>
      <c r="C42" s="149" t="str">
        <f>IFERROR(INDEX(T_2016_EVENT_RESULTS[Event],B42),"")</f>
        <v/>
      </c>
    </row>
    <row r="43" spans="1:13" x14ac:dyDescent="0.25">
      <c r="A43" s="149">
        <v>41</v>
      </c>
      <c r="B43" s="150" t="str">
        <f t="array" ref="B43">IFERROR(SMALL(IF(I_SV_SPORT=T_2016_EVENT_RESULTS[SPORT],ROW(T_2016_EVENT_RESULTS[Event]),""),A43)-ROW(T_2016_EVENT_RESULTS[#Headers]),"")</f>
        <v/>
      </c>
      <c r="C43" s="149" t="str">
        <f>IFERROR(INDEX(T_2016_EVENT_RESULTS[Event],B43),"")</f>
        <v/>
      </c>
    </row>
    <row r="44" spans="1:13" x14ac:dyDescent="0.25">
      <c r="A44" s="149">
        <v>42</v>
      </c>
      <c r="B44" s="150" t="str">
        <f t="array" ref="B44">IFERROR(SMALL(IF(I_SV_SPORT=T_2016_EVENT_RESULTS[SPORT],ROW(T_2016_EVENT_RESULTS[Event]),""),A44)-ROW(T_2016_EVENT_RESULTS[#Headers]),"")</f>
        <v/>
      </c>
      <c r="C44" s="149" t="str">
        <f>IFERROR(INDEX(T_2016_EVENT_RESULTS[Event],B44),"")</f>
        <v/>
      </c>
    </row>
    <row r="45" spans="1:13" x14ac:dyDescent="0.25">
      <c r="A45" s="149">
        <v>43</v>
      </c>
      <c r="B45" s="150" t="str">
        <f t="array" ref="B45">IFERROR(SMALL(IF(I_SV_SPORT=T_2016_EVENT_RESULTS[SPORT],ROW(T_2016_EVENT_RESULTS[Event]),""),A45)-ROW(T_2016_EVENT_RESULTS[#Headers]),"")</f>
        <v/>
      </c>
      <c r="C45" s="149" t="str">
        <f>IFERROR(INDEX(T_2016_EVENT_RESULTS[Event],B45),"")</f>
        <v/>
      </c>
    </row>
    <row r="46" spans="1:13" x14ac:dyDescent="0.25">
      <c r="A46" s="149">
        <v>44</v>
      </c>
      <c r="B46" s="150" t="str">
        <f t="array" ref="B46">IFERROR(SMALL(IF(I_SV_SPORT=T_2016_EVENT_RESULTS[SPORT],ROW(T_2016_EVENT_RESULTS[Event]),""),A46)-ROW(T_2016_EVENT_RESULTS[#Headers]),"")</f>
        <v/>
      </c>
      <c r="C46" s="149" t="str">
        <f>IFERROR(INDEX(T_2016_EVENT_RESULTS[Event],B46),"")</f>
        <v/>
      </c>
    </row>
    <row r="47" spans="1:13" x14ac:dyDescent="0.25">
      <c r="A47" s="149">
        <v>45</v>
      </c>
      <c r="B47" s="150" t="str">
        <f t="array" ref="B47">IFERROR(SMALL(IF(I_SV_SPORT=T_2016_EVENT_RESULTS[SPORT],ROW(T_2016_EVENT_RESULTS[Event]),""),A47)-ROW(T_2016_EVENT_RESULTS[#Headers]),"")</f>
        <v/>
      </c>
      <c r="C47" s="149" t="str">
        <f>IFERROR(INDEX(T_2016_EVENT_RESULTS[Event],B47),"")</f>
        <v/>
      </c>
    </row>
    <row r="48" spans="1:13" x14ac:dyDescent="0.25">
      <c r="A48" s="149">
        <v>46</v>
      </c>
      <c r="B48" s="150" t="str">
        <f t="array" ref="B48">IFERROR(SMALL(IF(I_SV_SPORT=T_2016_EVENT_RESULTS[SPORT],ROW(T_2016_EVENT_RESULTS[Event]),""),A48)-ROW(T_2016_EVENT_RESULTS[#Headers]),"")</f>
        <v/>
      </c>
      <c r="C48" s="149" t="str">
        <f>IFERROR(INDEX(T_2016_EVENT_RESULTS[Event],B48),"")</f>
        <v/>
      </c>
    </row>
    <row r="49" spans="1:3" x14ac:dyDescent="0.25">
      <c r="A49" s="149">
        <v>47</v>
      </c>
      <c r="B49" s="150" t="str">
        <f t="array" ref="B49">IFERROR(SMALL(IF(I_SV_SPORT=T_2016_EVENT_RESULTS[SPORT],ROW(T_2016_EVENT_RESULTS[Event]),""),A49)-ROW(T_2016_EVENT_RESULTS[#Headers]),"")</f>
        <v/>
      </c>
      <c r="C49" s="149" t="str">
        <f>IFERROR(INDEX(T_2016_EVENT_RESULTS[Event],B49),"")</f>
        <v/>
      </c>
    </row>
    <row r="50" spans="1:3" x14ac:dyDescent="0.25">
      <c r="A50" s="149">
        <v>48</v>
      </c>
      <c r="B50" s="150" t="str">
        <f t="array" ref="B50">IFERROR(SMALL(IF(I_SV_SPORT=T_2016_EVENT_RESULTS[SPORT],ROW(T_2016_EVENT_RESULTS[Event]),""),A50)-ROW(T_2016_EVENT_RESULTS[#Headers]),"")</f>
        <v/>
      </c>
      <c r="C50" s="149" t="str">
        <f>IFERROR(INDEX(T_2016_EVENT_RESULTS[Event],B50),"")</f>
        <v/>
      </c>
    </row>
    <row r="51" spans="1:3" x14ac:dyDescent="0.25">
      <c r="A51" s="149">
        <v>49</v>
      </c>
      <c r="B51" s="150" t="str">
        <f t="array" ref="B51">IFERROR(SMALL(IF(I_SV_SPORT=T_2016_EVENT_RESULTS[SPORT],ROW(T_2016_EVENT_RESULTS[Event]),""),A51)-ROW(T_2016_EVENT_RESULTS[#Headers]),"")</f>
        <v/>
      </c>
      <c r="C51" s="149" t="str">
        <f>IFERROR(INDEX(T_2016_EVENT_RESULTS[Event],B51),"")</f>
        <v/>
      </c>
    </row>
    <row r="52" spans="1:3" x14ac:dyDescent="0.25">
      <c r="A52" s="149">
        <v>50</v>
      </c>
      <c r="B52" s="150" t="str">
        <f t="array" ref="B52">IFERROR(SMALL(IF(I_SV_SPORT=T_2016_EVENT_RESULTS[SPORT],ROW(T_2016_EVENT_RESULTS[Event]),""),A52)-ROW(T_2016_EVENT_RESULTS[#Headers]),"")</f>
        <v/>
      </c>
      <c r="C52" s="149" t="str">
        <f>IFERROR(INDEX(T_2016_EVENT_RESULTS[Event],B52),"")</f>
        <v/>
      </c>
    </row>
  </sheetData>
  <mergeCells count="1">
    <mergeCell ref="V2:W4"/>
  </mergeCells>
  <conditionalFormatting sqref="Y14:AD18">
    <cfRule type="expression" dxfId="33" priority="1">
      <formula>(IF($V14&gt;=Y$13,"G",IF($V14+$W14&gt;=Y$13,"S",IF($V14+$W14+$X14&gt;=Y$13,"B",""))))="S"</formula>
    </cfRule>
    <cfRule type="expression" dxfId="32" priority="2">
      <formula>(IF($V14&gt;=Y$13,"G",IF($V14+$W14&gt;=Y$13,"S",IF($V14+$W14+$X14&gt;=Y$13,"B",""))))="B"</formula>
    </cfRule>
    <cfRule type="expression" dxfId="31" priority="3">
      <formula>(IF($V14&gt;=Y$13,"G",IF($V14+$W14&gt;=Y$13,"S",IF($V14+$W14+$X14&gt;=Y$13,"B",""))))="G"</formula>
    </cfRule>
  </conditionalFormatting>
  <conditionalFormatting sqref="Y11">
    <cfRule type="expression" dxfId="30" priority="4">
      <formula>$S$6="SILVER"</formula>
    </cfRule>
    <cfRule type="expression" dxfId="29" priority="5">
      <formula>$S$6="GOLD"</formula>
    </cfRule>
  </conditionalFormatting>
  <pageMargins left="0.7" right="0.7" top="0.75" bottom="0.75" header="0.3" footer="0.3"/>
  <pageSetup orientation="portrait" horizontalDpi="4294967293" verticalDpi="0" r:id="rId1"/>
  <drawing r:id="rId2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 codeName="Sheet5">
    <tabColor rgb="FF00B0F0"/>
  </sheetPr>
  <dimension ref="A1:R307"/>
  <sheetViews>
    <sheetView zoomScale="85" zoomScaleNormal="85" workbookViewId="0">
      <pane xSplit="3" ySplit="1" topLeftCell="I184" activePane="bottomRight" state="frozen"/>
      <selection activeCell="M945" sqref="M945"/>
      <selection pane="topRight" activeCell="M945" sqref="M945"/>
      <selection pane="bottomLeft" activeCell="M945" sqref="M945"/>
      <selection pane="bottomRight" activeCell="R239" sqref="R239"/>
    </sheetView>
  </sheetViews>
  <sheetFormatPr defaultRowHeight="15" x14ac:dyDescent="0.25"/>
  <cols>
    <col min="1" max="2" width="13.140625" customWidth="1"/>
    <col min="3" max="3" width="20.85546875" bestFit="1" customWidth="1"/>
    <col min="4" max="4" width="27.85546875" customWidth="1"/>
    <col min="5" max="5" width="16.28515625" bestFit="1" customWidth="1"/>
    <col min="6" max="6" width="34.28515625" bestFit="1" customWidth="1"/>
    <col min="7" max="7" width="17" bestFit="1" customWidth="1"/>
    <col min="8" max="8" width="36.140625" bestFit="1" customWidth="1"/>
    <col min="9" max="9" width="18.140625" bestFit="1" customWidth="1"/>
    <col min="10" max="10" width="36.140625" bestFit="1" customWidth="1"/>
    <col min="11" max="11" width="22.7109375" customWidth="1"/>
    <col min="12" max="12" width="34.5703125" bestFit="1" customWidth="1"/>
    <col min="13" max="15" width="19.28515625" customWidth="1"/>
    <col min="16" max="18" width="21" customWidth="1"/>
  </cols>
  <sheetData>
    <row r="1" spans="1:18" x14ac:dyDescent="0.25">
      <c r="A1" s="6" t="s">
        <v>459</v>
      </c>
      <c r="B1" s="6" t="s">
        <v>2765</v>
      </c>
      <c r="C1" s="6" t="s">
        <v>381</v>
      </c>
      <c r="D1" s="4" t="s">
        <v>385</v>
      </c>
      <c r="E1" s="6" t="s">
        <v>480</v>
      </c>
      <c r="F1" s="6" t="s">
        <v>479</v>
      </c>
      <c r="G1" s="6" t="s">
        <v>482</v>
      </c>
      <c r="H1" s="6" t="s">
        <v>481</v>
      </c>
      <c r="I1" s="6" t="s">
        <v>484</v>
      </c>
      <c r="J1" s="6" t="s">
        <v>483</v>
      </c>
      <c r="K1" s="6" t="s">
        <v>665</v>
      </c>
      <c r="L1" s="6" t="s">
        <v>666</v>
      </c>
      <c r="M1" s="6" t="s">
        <v>877</v>
      </c>
      <c r="N1" s="6" t="s">
        <v>874</v>
      </c>
      <c r="O1" s="6" t="s">
        <v>878</v>
      </c>
      <c r="P1" s="6" t="s">
        <v>879</v>
      </c>
      <c r="Q1" s="6" t="s">
        <v>880</v>
      </c>
      <c r="R1" s="6" t="s">
        <v>881</v>
      </c>
    </row>
    <row r="2" spans="1:18" x14ac:dyDescent="0.25">
      <c r="A2" s="4" t="s">
        <v>163</v>
      </c>
      <c r="B2" s="4" t="s">
        <v>387</v>
      </c>
      <c r="C2" s="4" t="s">
        <v>395</v>
      </c>
      <c r="D2" s="4" t="s">
        <v>396</v>
      </c>
      <c r="E2" s="4" t="s">
        <v>187</v>
      </c>
      <c r="F2" s="4" t="s">
        <v>1013</v>
      </c>
      <c r="G2" s="4" t="s">
        <v>128</v>
      </c>
      <c r="H2" s="4" t="s">
        <v>1269</v>
      </c>
      <c r="I2" s="4" t="s">
        <v>363</v>
      </c>
      <c r="J2" s="4" t="s">
        <v>1452</v>
      </c>
      <c r="K2" s="4"/>
      <c r="L2" s="4" t="s">
        <v>2828</v>
      </c>
      <c r="M2" s="4"/>
      <c r="N2" s="4"/>
      <c r="O2" s="4"/>
      <c r="P2" s="4"/>
      <c r="Q2" s="4"/>
      <c r="R2" s="4"/>
    </row>
    <row r="3" spans="1:18" x14ac:dyDescent="0.25">
      <c r="A3" s="4" t="s">
        <v>163</v>
      </c>
      <c r="B3" s="4" t="s">
        <v>394</v>
      </c>
      <c r="C3" s="4" t="s">
        <v>395</v>
      </c>
      <c r="D3" s="4" t="s">
        <v>476</v>
      </c>
      <c r="E3" s="4" t="s">
        <v>187</v>
      </c>
      <c r="F3" s="7" t="s">
        <v>1019</v>
      </c>
      <c r="G3" s="4" t="s">
        <v>136</v>
      </c>
      <c r="H3" s="7" t="s">
        <v>1270</v>
      </c>
      <c r="I3" s="4" t="s">
        <v>187</v>
      </c>
      <c r="J3" s="7" t="s">
        <v>1453</v>
      </c>
      <c r="K3" s="4"/>
      <c r="L3" s="4" t="s">
        <v>2828</v>
      </c>
      <c r="M3" s="4"/>
      <c r="N3" s="4"/>
      <c r="O3" s="4"/>
      <c r="P3" s="4"/>
      <c r="Q3" s="4"/>
      <c r="R3" s="4"/>
    </row>
    <row r="4" spans="1:18" x14ac:dyDescent="0.25">
      <c r="A4" s="4" t="s">
        <v>389</v>
      </c>
      <c r="B4" s="4" t="s">
        <v>387</v>
      </c>
      <c r="C4" s="4" t="s">
        <v>395</v>
      </c>
      <c r="D4" s="4" t="s">
        <v>477</v>
      </c>
      <c r="E4" s="4" t="s">
        <v>187</v>
      </c>
      <c r="F4" s="4" t="s">
        <v>2777</v>
      </c>
      <c r="G4" s="4" t="s">
        <v>363</v>
      </c>
      <c r="H4" s="4" t="s">
        <v>362</v>
      </c>
      <c r="I4" s="4" t="s">
        <v>21</v>
      </c>
      <c r="J4" s="4" t="s">
        <v>20</v>
      </c>
      <c r="K4" s="4"/>
      <c r="L4" s="4" t="s">
        <v>2828</v>
      </c>
      <c r="M4" s="4"/>
      <c r="N4" s="4"/>
      <c r="O4" s="4"/>
      <c r="P4" s="4"/>
      <c r="Q4" s="4"/>
      <c r="R4" s="4"/>
    </row>
    <row r="5" spans="1:18" x14ac:dyDescent="0.25">
      <c r="A5" s="4" t="s">
        <v>389</v>
      </c>
      <c r="B5" s="4" t="s">
        <v>394</v>
      </c>
      <c r="C5" s="4" t="s">
        <v>395</v>
      </c>
      <c r="D5" s="4" t="s">
        <v>478</v>
      </c>
      <c r="E5" s="4" t="s">
        <v>187</v>
      </c>
      <c r="F5" s="7" t="s">
        <v>2777</v>
      </c>
      <c r="G5" s="4" t="s">
        <v>287</v>
      </c>
      <c r="H5" s="7" t="s">
        <v>2773</v>
      </c>
      <c r="I5" s="4" t="s">
        <v>337</v>
      </c>
      <c r="J5" s="7" t="s">
        <v>2833</v>
      </c>
      <c r="K5" s="4"/>
      <c r="L5" s="4" t="s">
        <v>2828</v>
      </c>
      <c r="M5" s="4"/>
      <c r="N5" s="4"/>
      <c r="O5" s="4"/>
      <c r="P5" s="4"/>
      <c r="Q5" s="4"/>
      <c r="R5" s="4"/>
    </row>
    <row r="6" spans="1:18" x14ac:dyDescent="0.25">
      <c r="A6" s="4" t="s">
        <v>163</v>
      </c>
      <c r="B6" s="4" t="s">
        <v>387</v>
      </c>
      <c r="C6" s="4" t="s">
        <v>463</v>
      </c>
      <c r="D6" s="4" t="s">
        <v>485</v>
      </c>
      <c r="E6" s="4" t="s">
        <v>179</v>
      </c>
      <c r="F6" s="7" t="s">
        <v>1085</v>
      </c>
      <c r="G6" s="7" t="s">
        <v>358</v>
      </c>
      <c r="H6" s="7" t="s">
        <v>1089</v>
      </c>
      <c r="I6" s="4" t="s">
        <v>361</v>
      </c>
      <c r="J6" s="7" t="s">
        <v>1086</v>
      </c>
      <c r="K6" s="4"/>
      <c r="L6" s="4" t="s">
        <v>2828</v>
      </c>
      <c r="M6" s="4"/>
      <c r="N6" s="4"/>
      <c r="O6" s="4"/>
      <c r="P6" s="4"/>
      <c r="Q6" s="4"/>
      <c r="R6" s="4"/>
    </row>
    <row r="7" spans="1:18" x14ac:dyDescent="0.25">
      <c r="A7" s="4" t="s">
        <v>163</v>
      </c>
      <c r="B7" s="4" t="s">
        <v>387</v>
      </c>
      <c r="C7" s="4" t="s">
        <v>463</v>
      </c>
      <c r="D7" s="4" t="s">
        <v>486</v>
      </c>
      <c r="E7" s="4" t="s">
        <v>361</v>
      </c>
      <c r="F7" s="7" t="s">
        <v>1086</v>
      </c>
      <c r="G7" s="7" t="s">
        <v>51</v>
      </c>
      <c r="H7" s="7" t="s">
        <v>1271</v>
      </c>
      <c r="I7" s="4" t="s">
        <v>51</v>
      </c>
      <c r="J7" s="7" t="s">
        <v>1454</v>
      </c>
      <c r="K7" s="4"/>
      <c r="L7" s="4" t="s">
        <v>2828</v>
      </c>
      <c r="M7" s="4"/>
      <c r="N7" s="4"/>
      <c r="O7" s="4"/>
      <c r="P7" s="4"/>
      <c r="Q7" s="4"/>
      <c r="R7" s="4"/>
    </row>
    <row r="8" spans="1:18" x14ac:dyDescent="0.25">
      <c r="A8" s="4" t="s">
        <v>163</v>
      </c>
      <c r="B8" s="4" t="s">
        <v>387</v>
      </c>
      <c r="C8" s="4" t="s">
        <v>463</v>
      </c>
      <c r="D8" s="4" t="s">
        <v>487</v>
      </c>
      <c r="E8" s="4" t="s">
        <v>361</v>
      </c>
      <c r="F8" s="7" t="s">
        <v>1086</v>
      </c>
      <c r="G8" s="7" t="s">
        <v>361</v>
      </c>
      <c r="H8" s="7" t="s">
        <v>1272</v>
      </c>
      <c r="I8" s="4" t="s">
        <v>363</v>
      </c>
      <c r="J8" s="7" t="s">
        <v>1455</v>
      </c>
      <c r="K8" s="4"/>
      <c r="L8" s="4" t="s">
        <v>2828</v>
      </c>
      <c r="M8" s="4"/>
      <c r="N8" s="4"/>
      <c r="O8" s="4"/>
      <c r="P8" s="4"/>
      <c r="Q8" s="4"/>
      <c r="R8" s="4"/>
    </row>
    <row r="9" spans="1:18" x14ac:dyDescent="0.25">
      <c r="A9" s="4" t="s">
        <v>163</v>
      </c>
      <c r="B9" s="4" t="s">
        <v>387</v>
      </c>
      <c r="C9" s="4" t="s">
        <v>463</v>
      </c>
      <c r="D9" s="4" t="s">
        <v>488</v>
      </c>
      <c r="E9" s="4" t="s">
        <v>140</v>
      </c>
      <c r="F9" s="7" t="s">
        <v>1087</v>
      </c>
      <c r="G9" s="7" t="s">
        <v>51</v>
      </c>
      <c r="H9" s="7" t="s">
        <v>1273</v>
      </c>
      <c r="I9" s="4" t="s">
        <v>287</v>
      </c>
      <c r="J9" s="7" t="s">
        <v>1274</v>
      </c>
      <c r="K9" s="4"/>
      <c r="L9" s="4" t="s">
        <v>2828</v>
      </c>
      <c r="M9" s="4"/>
      <c r="N9" s="4"/>
      <c r="O9" s="4"/>
      <c r="P9" s="4"/>
      <c r="Q9" s="4"/>
      <c r="R9" s="4"/>
    </row>
    <row r="10" spans="1:18" x14ac:dyDescent="0.25">
      <c r="A10" s="4" t="s">
        <v>163</v>
      </c>
      <c r="B10" s="4" t="s">
        <v>387</v>
      </c>
      <c r="C10" s="4" t="s">
        <v>463</v>
      </c>
      <c r="D10" s="4" t="s">
        <v>489</v>
      </c>
      <c r="E10" s="4" t="s">
        <v>186</v>
      </c>
      <c r="F10" s="7" t="s">
        <v>1088</v>
      </c>
      <c r="G10" s="7" t="s">
        <v>287</v>
      </c>
      <c r="H10" s="7" t="s">
        <v>1274</v>
      </c>
      <c r="I10" s="4" t="s">
        <v>179</v>
      </c>
      <c r="J10" s="7" t="s">
        <v>1456</v>
      </c>
      <c r="K10" s="4"/>
      <c r="L10" s="4" t="s">
        <v>2828</v>
      </c>
      <c r="M10" s="4"/>
      <c r="N10" s="4"/>
      <c r="O10" s="4"/>
      <c r="P10" s="4"/>
      <c r="Q10" s="4"/>
      <c r="R10" s="4"/>
    </row>
    <row r="11" spans="1:18" x14ac:dyDescent="0.25">
      <c r="A11" s="4" t="s">
        <v>163</v>
      </c>
      <c r="B11" s="4" t="s">
        <v>387</v>
      </c>
      <c r="C11" s="4" t="s">
        <v>463</v>
      </c>
      <c r="D11" s="4" t="s">
        <v>490</v>
      </c>
      <c r="E11" s="4" t="s">
        <v>358</v>
      </c>
      <c r="F11" s="7" t="s">
        <v>1089</v>
      </c>
      <c r="G11" s="7" t="s">
        <v>363</v>
      </c>
      <c r="H11" s="7" t="s">
        <v>1275</v>
      </c>
      <c r="I11" s="4" t="s">
        <v>287</v>
      </c>
      <c r="J11" s="7" t="s">
        <v>1457</v>
      </c>
      <c r="K11" s="4"/>
      <c r="L11" s="4" t="s">
        <v>2828</v>
      </c>
      <c r="M11" s="4"/>
      <c r="N11" s="4"/>
      <c r="O11" s="4"/>
      <c r="P11" s="4"/>
      <c r="Q11" s="4"/>
      <c r="R11" s="4"/>
    </row>
    <row r="12" spans="1:18" x14ac:dyDescent="0.25">
      <c r="A12" s="4" t="s">
        <v>163</v>
      </c>
      <c r="B12" s="4" t="s">
        <v>387</v>
      </c>
      <c r="C12" s="4" t="s">
        <v>463</v>
      </c>
      <c r="D12" s="4" t="s">
        <v>491</v>
      </c>
      <c r="E12" s="4" t="s">
        <v>136</v>
      </c>
      <c r="F12" s="7" t="s">
        <v>1090</v>
      </c>
      <c r="G12" s="7" t="s">
        <v>363</v>
      </c>
      <c r="H12" s="7" t="s">
        <v>1275</v>
      </c>
      <c r="I12" s="4" t="s">
        <v>361</v>
      </c>
      <c r="J12" s="7" t="s">
        <v>1458</v>
      </c>
      <c r="K12" s="4"/>
      <c r="L12" s="4" t="s">
        <v>2828</v>
      </c>
      <c r="M12" s="4"/>
      <c r="N12" s="4"/>
      <c r="O12" s="4"/>
      <c r="P12" s="4"/>
      <c r="Q12" s="4"/>
      <c r="R12" s="4"/>
    </row>
    <row r="13" spans="1:18" x14ac:dyDescent="0.25">
      <c r="A13" s="4" t="s">
        <v>163</v>
      </c>
      <c r="B13" s="4" t="s">
        <v>394</v>
      </c>
      <c r="C13" s="4" t="s">
        <v>463</v>
      </c>
      <c r="D13" s="4" t="s">
        <v>492</v>
      </c>
      <c r="E13" s="4" t="s">
        <v>363</v>
      </c>
      <c r="F13" s="7" t="s">
        <v>1091</v>
      </c>
      <c r="G13" s="7" t="s">
        <v>363</v>
      </c>
      <c r="H13" s="7" t="s">
        <v>1276</v>
      </c>
      <c r="I13" s="4" t="s">
        <v>287</v>
      </c>
      <c r="J13" s="7" t="s">
        <v>1092</v>
      </c>
      <c r="K13" s="4"/>
      <c r="L13" s="4" t="s">
        <v>2828</v>
      </c>
      <c r="M13" s="4"/>
      <c r="N13" s="4"/>
      <c r="O13" s="4"/>
      <c r="P13" s="4"/>
      <c r="Q13" s="4"/>
      <c r="R13" s="4"/>
    </row>
    <row r="14" spans="1:18" x14ac:dyDescent="0.25">
      <c r="A14" s="4" t="s">
        <v>163</v>
      </c>
      <c r="B14" s="4" t="s">
        <v>394</v>
      </c>
      <c r="C14" s="4" t="s">
        <v>463</v>
      </c>
      <c r="D14" s="4" t="s">
        <v>493</v>
      </c>
      <c r="E14" s="4" t="s">
        <v>363</v>
      </c>
      <c r="F14" s="7" t="s">
        <v>1091</v>
      </c>
      <c r="G14" s="7" t="s">
        <v>287</v>
      </c>
      <c r="H14" s="7" t="s">
        <v>1277</v>
      </c>
      <c r="I14" s="4" t="s">
        <v>333</v>
      </c>
      <c r="J14" s="7" t="s">
        <v>1459</v>
      </c>
      <c r="K14" s="4"/>
      <c r="L14" s="4" t="s">
        <v>2828</v>
      </c>
      <c r="M14" s="4"/>
      <c r="N14" s="4"/>
      <c r="O14" s="4"/>
      <c r="P14" s="4"/>
      <c r="Q14" s="4"/>
      <c r="R14" s="4"/>
    </row>
    <row r="15" spans="1:18" x14ac:dyDescent="0.25">
      <c r="A15" s="4" t="s">
        <v>163</v>
      </c>
      <c r="B15" s="4" t="s">
        <v>394</v>
      </c>
      <c r="C15" s="4" t="s">
        <v>463</v>
      </c>
      <c r="D15" s="4" t="s">
        <v>494</v>
      </c>
      <c r="E15" s="4" t="s">
        <v>287</v>
      </c>
      <c r="F15" s="7" t="s">
        <v>1092</v>
      </c>
      <c r="G15" s="7" t="s">
        <v>363</v>
      </c>
      <c r="H15" s="7" t="s">
        <v>1278</v>
      </c>
      <c r="I15" s="4" t="s">
        <v>136</v>
      </c>
      <c r="J15" s="7" t="s">
        <v>1460</v>
      </c>
      <c r="K15" s="4"/>
      <c r="L15" s="4" t="s">
        <v>2828</v>
      </c>
      <c r="M15" s="4"/>
      <c r="N15" s="4"/>
      <c r="O15" s="4"/>
      <c r="P15" s="4"/>
      <c r="Q15" s="4"/>
      <c r="R15" s="4"/>
    </row>
    <row r="16" spans="1:18" x14ac:dyDescent="0.25">
      <c r="A16" s="4" t="s">
        <v>163</v>
      </c>
      <c r="B16" s="4" t="s">
        <v>394</v>
      </c>
      <c r="C16" s="4" t="s">
        <v>463</v>
      </c>
      <c r="D16" s="4" t="s">
        <v>495</v>
      </c>
      <c r="E16" s="4" t="s">
        <v>250</v>
      </c>
      <c r="F16" s="7" t="s">
        <v>1093</v>
      </c>
      <c r="G16" s="7" t="s">
        <v>363</v>
      </c>
      <c r="H16" s="7" t="s">
        <v>1279</v>
      </c>
      <c r="I16" s="4" t="s">
        <v>363</v>
      </c>
      <c r="J16" s="7" t="s">
        <v>1091</v>
      </c>
      <c r="K16" s="4"/>
      <c r="L16" s="4" t="s">
        <v>2828</v>
      </c>
      <c r="M16" s="4"/>
      <c r="N16" s="4"/>
      <c r="O16" s="4"/>
      <c r="P16" s="4"/>
      <c r="Q16" s="4"/>
      <c r="R16" s="4"/>
    </row>
    <row r="17" spans="1:18" x14ac:dyDescent="0.25">
      <c r="A17" s="4" t="s">
        <v>163</v>
      </c>
      <c r="B17" s="4" t="s">
        <v>394</v>
      </c>
      <c r="C17" s="4" t="s">
        <v>463</v>
      </c>
      <c r="D17" s="4" t="s">
        <v>496</v>
      </c>
      <c r="E17" s="4" t="s">
        <v>363</v>
      </c>
      <c r="F17" s="7" t="s">
        <v>1091</v>
      </c>
      <c r="G17" s="7" t="s">
        <v>363</v>
      </c>
      <c r="H17" s="7" t="s">
        <v>1276</v>
      </c>
      <c r="I17" s="4" t="s">
        <v>361</v>
      </c>
      <c r="J17" s="7" t="s">
        <v>1461</v>
      </c>
      <c r="K17" s="4"/>
      <c r="L17" s="4" t="s">
        <v>2828</v>
      </c>
      <c r="M17" s="4"/>
      <c r="N17" s="4"/>
      <c r="O17" s="4"/>
      <c r="P17" s="4"/>
      <c r="Q17" s="4"/>
      <c r="R17" s="4"/>
    </row>
    <row r="18" spans="1:18" x14ac:dyDescent="0.25">
      <c r="A18" s="4" t="s">
        <v>389</v>
      </c>
      <c r="B18" s="4" t="s">
        <v>387</v>
      </c>
      <c r="C18" s="4" t="s">
        <v>463</v>
      </c>
      <c r="D18" s="4" t="s">
        <v>477</v>
      </c>
      <c r="E18" s="4" t="s">
        <v>179</v>
      </c>
      <c r="F18" s="7" t="s">
        <v>178</v>
      </c>
      <c r="G18" s="7" t="s">
        <v>287</v>
      </c>
      <c r="H18" s="7" t="s">
        <v>2773</v>
      </c>
      <c r="I18" s="4" t="s">
        <v>77</v>
      </c>
      <c r="J18" s="7" t="s">
        <v>76</v>
      </c>
      <c r="K18" s="4"/>
      <c r="L18" s="4" t="s">
        <v>2828</v>
      </c>
      <c r="M18" s="4"/>
      <c r="N18" s="4"/>
      <c r="O18" s="4"/>
      <c r="P18" s="4"/>
      <c r="Q18" s="4"/>
      <c r="R18" s="4"/>
    </row>
    <row r="19" spans="1:18" x14ac:dyDescent="0.25">
      <c r="A19" s="4" t="s">
        <v>389</v>
      </c>
      <c r="B19" s="4" t="s">
        <v>394</v>
      </c>
      <c r="C19" s="4" t="s">
        <v>463</v>
      </c>
      <c r="D19" s="4" t="s">
        <v>478</v>
      </c>
      <c r="E19" s="4" t="s">
        <v>363</v>
      </c>
      <c r="F19" s="7" t="s">
        <v>362</v>
      </c>
      <c r="G19" s="7" t="s">
        <v>287</v>
      </c>
      <c r="H19" s="7" t="s">
        <v>2773</v>
      </c>
      <c r="I19" s="4" t="s">
        <v>77</v>
      </c>
      <c r="J19" s="7" t="s">
        <v>76</v>
      </c>
      <c r="K19" s="4"/>
      <c r="L19" s="4" t="s">
        <v>2828</v>
      </c>
      <c r="M19" s="4"/>
      <c r="N19" s="4"/>
      <c r="O19" s="4"/>
      <c r="P19" s="4"/>
      <c r="Q19" s="4"/>
      <c r="R19" s="4"/>
    </row>
    <row r="20" spans="1:18" x14ac:dyDescent="0.25">
      <c r="A20" s="4" t="s">
        <v>163</v>
      </c>
      <c r="B20" s="4" t="s">
        <v>387</v>
      </c>
      <c r="C20" s="4" t="s">
        <v>393</v>
      </c>
      <c r="D20" s="4" t="s">
        <v>497</v>
      </c>
      <c r="E20" s="4" t="s">
        <v>177</v>
      </c>
      <c r="F20" s="4" t="s">
        <v>1058</v>
      </c>
      <c r="G20" s="7" t="s">
        <v>363</v>
      </c>
      <c r="H20" s="4" t="s">
        <v>1280</v>
      </c>
      <c r="I20" s="4" t="s">
        <v>66</v>
      </c>
      <c r="J20" s="4" t="s">
        <v>1066</v>
      </c>
      <c r="K20" s="4"/>
      <c r="L20" s="4" t="s">
        <v>2828</v>
      </c>
      <c r="M20" s="4"/>
      <c r="N20" s="4"/>
      <c r="O20" s="4"/>
      <c r="P20" s="4"/>
      <c r="Q20" s="4"/>
      <c r="R20" s="4"/>
    </row>
    <row r="21" spans="1:18" x14ac:dyDescent="0.25">
      <c r="A21" s="4" t="s">
        <v>163</v>
      </c>
      <c r="B21" s="4" t="s">
        <v>387</v>
      </c>
      <c r="C21" s="4" t="s">
        <v>393</v>
      </c>
      <c r="D21" s="4" t="s">
        <v>498</v>
      </c>
      <c r="E21" s="4" t="s">
        <v>177</v>
      </c>
      <c r="F21" s="4" t="s">
        <v>1058</v>
      </c>
      <c r="G21" s="7" t="s">
        <v>66</v>
      </c>
      <c r="H21" s="4" t="s">
        <v>1066</v>
      </c>
      <c r="I21" s="4" t="s">
        <v>128</v>
      </c>
      <c r="J21" s="4" t="s">
        <v>1462</v>
      </c>
      <c r="K21" s="4"/>
      <c r="L21" s="4" t="s">
        <v>2828</v>
      </c>
      <c r="M21" s="4"/>
      <c r="N21" s="4"/>
      <c r="O21" s="4"/>
      <c r="P21" s="4"/>
      <c r="Q21" s="4"/>
      <c r="R21" s="4"/>
    </row>
    <row r="22" spans="1:18" x14ac:dyDescent="0.25">
      <c r="A22" s="4" t="s">
        <v>163</v>
      </c>
      <c r="B22" s="4" t="s">
        <v>387</v>
      </c>
      <c r="C22" s="4" t="s">
        <v>393</v>
      </c>
      <c r="D22" s="4" t="s">
        <v>499</v>
      </c>
      <c r="E22" s="8" t="s">
        <v>319</v>
      </c>
      <c r="F22" s="4" t="s">
        <v>1094</v>
      </c>
      <c r="G22" s="7" t="s">
        <v>142</v>
      </c>
      <c r="H22" s="4" t="s">
        <v>1281</v>
      </c>
      <c r="I22" s="4" t="s">
        <v>363</v>
      </c>
      <c r="J22" s="4" t="s">
        <v>1070</v>
      </c>
      <c r="K22" s="4"/>
      <c r="L22" s="4" t="s">
        <v>2828</v>
      </c>
      <c r="M22" s="4"/>
      <c r="N22" s="4"/>
      <c r="O22" s="4"/>
      <c r="P22" s="4"/>
      <c r="Q22" s="4"/>
      <c r="R22" s="4"/>
    </row>
    <row r="23" spans="1:18" x14ac:dyDescent="0.25">
      <c r="A23" s="4" t="s">
        <v>163</v>
      </c>
      <c r="B23" s="4" t="s">
        <v>387</v>
      </c>
      <c r="C23" s="4" t="s">
        <v>393</v>
      </c>
      <c r="D23" s="4" t="s">
        <v>500</v>
      </c>
      <c r="E23" s="4" t="s">
        <v>185</v>
      </c>
      <c r="F23" s="4" t="s">
        <v>1095</v>
      </c>
      <c r="G23" s="7" t="s">
        <v>7</v>
      </c>
      <c r="H23" s="4" t="s">
        <v>1282</v>
      </c>
      <c r="I23" s="4" t="s">
        <v>363</v>
      </c>
      <c r="J23" s="4" t="s">
        <v>1463</v>
      </c>
      <c r="K23" s="4"/>
      <c r="L23" s="4" t="s">
        <v>2828</v>
      </c>
      <c r="M23" s="4"/>
      <c r="N23" s="4"/>
      <c r="O23" s="4"/>
      <c r="P23" s="4"/>
      <c r="Q23" s="4"/>
      <c r="R23" s="4"/>
    </row>
    <row r="24" spans="1:18" x14ac:dyDescent="0.25">
      <c r="A24" s="4" t="s">
        <v>163</v>
      </c>
      <c r="B24" s="4" t="s">
        <v>387</v>
      </c>
      <c r="C24" s="4" t="s">
        <v>393</v>
      </c>
      <c r="D24" s="4" t="s">
        <v>501</v>
      </c>
      <c r="E24" s="4" t="s">
        <v>363</v>
      </c>
      <c r="F24" s="4" t="s">
        <v>1096</v>
      </c>
      <c r="G24" s="7" t="s">
        <v>7</v>
      </c>
      <c r="H24" s="4" t="s">
        <v>1282</v>
      </c>
      <c r="I24" s="4" t="s">
        <v>253</v>
      </c>
      <c r="J24" s="4" t="s">
        <v>1464</v>
      </c>
      <c r="K24" s="4"/>
      <c r="L24" s="4" t="s">
        <v>2828</v>
      </c>
      <c r="M24" s="4"/>
      <c r="N24" s="4"/>
      <c r="O24" s="4"/>
      <c r="P24" s="4"/>
      <c r="Q24" s="4"/>
      <c r="R24" s="4"/>
    </row>
    <row r="25" spans="1:18" x14ac:dyDescent="0.25">
      <c r="A25" s="4" t="s">
        <v>163</v>
      </c>
      <c r="B25" s="4" t="s">
        <v>387</v>
      </c>
      <c r="C25" s="4" t="s">
        <v>393</v>
      </c>
      <c r="D25" s="4" t="s">
        <v>502</v>
      </c>
      <c r="E25" s="4" t="s">
        <v>361</v>
      </c>
      <c r="F25" s="4" t="s">
        <v>1097</v>
      </c>
      <c r="G25" s="7" t="s">
        <v>363</v>
      </c>
      <c r="H25" s="4" t="s">
        <v>1283</v>
      </c>
      <c r="I25" s="4" t="s">
        <v>122</v>
      </c>
      <c r="J25" s="4" t="s">
        <v>1465</v>
      </c>
      <c r="K25" s="4"/>
      <c r="L25" s="4" t="s">
        <v>2828</v>
      </c>
      <c r="M25" s="4"/>
      <c r="N25" s="4"/>
      <c r="O25" s="4"/>
      <c r="P25" s="4"/>
      <c r="Q25" s="4"/>
      <c r="R25" s="4"/>
    </row>
    <row r="26" spans="1:18" x14ac:dyDescent="0.25">
      <c r="A26" s="4" t="s">
        <v>163</v>
      </c>
      <c r="B26" s="4" t="s">
        <v>387</v>
      </c>
      <c r="C26" s="4" t="s">
        <v>393</v>
      </c>
      <c r="D26" s="4" t="s">
        <v>503</v>
      </c>
      <c r="E26" s="4" t="s">
        <v>361</v>
      </c>
      <c r="F26" s="4" t="s">
        <v>1097</v>
      </c>
      <c r="G26" s="7" t="s">
        <v>185</v>
      </c>
      <c r="H26" s="4" t="s">
        <v>1284</v>
      </c>
      <c r="I26" s="4" t="s">
        <v>122</v>
      </c>
      <c r="J26" s="4" t="s">
        <v>1466</v>
      </c>
      <c r="K26" s="4"/>
      <c r="L26" s="4" t="s">
        <v>2828</v>
      </c>
      <c r="M26" s="4"/>
      <c r="N26" s="4"/>
      <c r="O26" s="4"/>
      <c r="P26" s="4"/>
      <c r="Q26" s="4"/>
      <c r="R26" s="4"/>
    </row>
    <row r="27" spans="1:18" x14ac:dyDescent="0.25">
      <c r="A27" s="4" t="s">
        <v>163</v>
      </c>
      <c r="B27" s="4" t="s">
        <v>387</v>
      </c>
      <c r="C27" s="4" t="s">
        <v>393</v>
      </c>
      <c r="D27" s="4" t="s">
        <v>504</v>
      </c>
      <c r="E27" s="4" t="s">
        <v>185</v>
      </c>
      <c r="F27" s="4" t="s">
        <v>933</v>
      </c>
      <c r="G27" s="9" t="s">
        <v>122</v>
      </c>
      <c r="H27" s="4" t="s">
        <v>934</v>
      </c>
      <c r="I27" s="4" t="s">
        <v>363</v>
      </c>
      <c r="J27" s="4" t="s">
        <v>935</v>
      </c>
      <c r="K27" s="4"/>
      <c r="L27" s="4" t="s">
        <v>2828</v>
      </c>
      <c r="M27" s="4"/>
      <c r="N27" s="4"/>
      <c r="O27" s="4"/>
      <c r="P27" s="4"/>
      <c r="Q27" s="4"/>
      <c r="R27" s="4"/>
    </row>
    <row r="28" spans="1:18" x14ac:dyDescent="0.25">
      <c r="A28" s="4" t="s">
        <v>163</v>
      </c>
      <c r="B28" s="4" t="s">
        <v>387</v>
      </c>
      <c r="C28" s="4" t="s">
        <v>393</v>
      </c>
      <c r="D28" s="4" t="s">
        <v>505</v>
      </c>
      <c r="E28" s="4" t="s">
        <v>185</v>
      </c>
      <c r="F28" s="4" t="s">
        <v>1098</v>
      </c>
      <c r="G28" s="7" t="s">
        <v>363</v>
      </c>
      <c r="H28" s="4" t="s">
        <v>1285</v>
      </c>
      <c r="I28" s="4" t="s">
        <v>128</v>
      </c>
      <c r="J28" s="4" t="s">
        <v>1467</v>
      </c>
      <c r="K28" s="4"/>
      <c r="L28" s="4" t="s">
        <v>2828</v>
      </c>
      <c r="M28" s="4"/>
      <c r="N28" s="4"/>
      <c r="O28" s="4"/>
      <c r="P28" s="4"/>
      <c r="Q28" s="4"/>
      <c r="R28" s="4"/>
    </row>
    <row r="29" spans="1:18" x14ac:dyDescent="0.25">
      <c r="A29" s="4" t="s">
        <v>163</v>
      </c>
      <c r="B29" s="4" t="s">
        <v>387</v>
      </c>
      <c r="C29" s="4" t="s">
        <v>393</v>
      </c>
      <c r="D29" s="4" t="s">
        <v>506</v>
      </c>
      <c r="E29" s="4" t="s">
        <v>177</v>
      </c>
      <c r="F29" s="4" t="s">
        <v>1099</v>
      </c>
      <c r="G29" s="9" t="s">
        <v>321</v>
      </c>
      <c r="H29" s="4" t="s">
        <v>1286</v>
      </c>
      <c r="I29" s="4" t="s">
        <v>128</v>
      </c>
      <c r="J29" s="4" t="s">
        <v>1468</v>
      </c>
      <c r="K29" s="4"/>
      <c r="L29" s="4" t="s">
        <v>2828</v>
      </c>
      <c r="M29" s="4"/>
      <c r="N29" s="4"/>
      <c r="O29" s="4"/>
      <c r="P29" s="4"/>
      <c r="Q29" s="4"/>
      <c r="R29" s="4"/>
    </row>
    <row r="30" spans="1:18" x14ac:dyDescent="0.25">
      <c r="A30" s="4" t="s">
        <v>163</v>
      </c>
      <c r="B30" s="4" t="s">
        <v>387</v>
      </c>
      <c r="C30" s="4" t="s">
        <v>393</v>
      </c>
      <c r="D30" s="4" t="s">
        <v>507</v>
      </c>
      <c r="E30" s="4" t="s">
        <v>363</v>
      </c>
      <c r="F30" s="4" t="s">
        <v>1100</v>
      </c>
      <c r="G30" s="7" t="s">
        <v>185</v>
      </c>
      <c r="H30" s="4" t="s">
        <v>1287</v>
      </c>
      <c r="I30" s="4" t="s">
        <v>352</v>
      </c>
      <c r="J30" s="4" t="s">
        <v>1469</v>
      </c>
      <c r="K30" s="4"/>
      <c r="L30" s="4" t="s">
        <v>2828</v>
      </c>
      <c r="M30" s="4"/>
      <c r="N30" s="4"/>
      <c r="O30" s="4"/>
      <c r="P30" s="4"/>
      <c r="Q30" s="4"/>
      <c r="R30" s="4"/>
    </row>
    <row r="31" spans="1:18" x14ac:dyDescent="0.25">
      <c r="A31" s="4" t="s">
        <v>163</v>
      </c>
      <c r="B31" s="4" t="s">
        <v>387</v>
      </c>
      <c r="C31" s="4" t="s">
        <v>393</v>
      </c>
      <c r="D31" s="4" t="s">
        <v>508</v>
      </c>
      <c r="E31" s="4" t="s">
        <v>66</v>
      </c>
      <c r="F31" s="4" t="s">
        <v>1101</v>
      </c>
      <c r="G31" s="7" t="s">
        <v>285</v>
      </c>
      <c r="H31" s="4" t="s">
        <v>1288</v>
      </c>
      <c r="I31" s="4" t="s">
        <v>358</v>
      </c>
      <c r="J31" s="4" t="s">
        <v>1470</v>
      </c>
      <c r="K31" s="4"/>
      <c r="L31" s="4" t="s">
        <v>2828</v>
      </c>
      <c r="M31" s="4"/>
      <c r="N31" s="4"/>
      <c r="O31" s="4"/>
      <c r="P31" s="4"/>
      <c r="Q31" s="4"/>
      <c r="R31" s="4"/>
    </row>
    <row r="32" spans="1:18" x14ac:dyDescent="0.25">
      <c r="A32" s="4" t="s">
        <v>163</v>
      </c>
      <c r="B32" s="4" t="s">
        <v>387</v>
      </c>
      <c r="C32" s="4" t="s">
        <v>393</v>
      </c>
      <c r="D32" s="4" t="s">
        <v>509</v>
      </c>
      <c r="E32" s="4" t="s">
        <v>51</v>
      </c>
      <c r="F32" s="4" t="s">
        <v>1102</v>
      </c>
      <c r="G32" s="7" t="s">
        <v>128</v>
      </c>
      <c r="H32" s="4" t="s">
        <v>1289</v>
      </c>
      <c r="I32" s="4" t="s">
        <v>363</v>
      </c>
      <c r="J32" s="4" t="s">
        <v>1471</v>
      </c>
      <c r="K32" s="4"/>
      <c r="L32" s="4" t="s">
        <v>2828</v>
      </c>
      <c r="M32" s="4"/>
      <c r="N32" s="4"/>
      <c r="O32" s="4"/>
      <c r="P32" s="4"/>
      <c r="Q32" s="4"/>
      <c r="R32" s="4"/>
    </row>
    <row r="33" spans="1:18" x14ac:dyDescent="0.25">
      <c r="A33" s="4" t="s">
        <v>163</v>
      </c>
      <c r="B33" s="4" t="s">
        <v>387</v>
      </c>
      <c r="C33" s="4" t="s">
        <v>393</v>
      </c>
      <c r="D33" s="4" t="s">
        <v>510</v>
      </c>
      <c r="E33" s="4" t="s">
        <v>363</v>
      </c>
      <c r="F33" s="4" t="s">
        <v>1103</v>
      </c>
      <c r="G33" s="7" t="s">
        <v>319</v>
      </c>
      <c r="H33" s="4" t="s">
        <v>1290</v>
      </c>
      <c r="I33" s="4" t="s">
        <v>361</v>
      </c>
      <c r="J33" s="4" t="s">
        <v>1472</v>
      </c>
      <c r="K33" s="4"/>
      <c r="L33" s="4" t="s">
        <v>2828</v>
      </c>
      <c r="M33" s="4"/>
      <c r="N33" s="4"/>
      <c r="O33" s="4"/>
      <c r="P33" s="4"/>
      <c r="Q33" s="4"/>
      <c r="R33" s="4"/>
    </row>
    <row r="34" spans="1:18" x14ac:dyDescent="0.25">
      <c r="A34" s="4" t="s">
        <v>163</v>
      </c>
      <c r="B34" s="4" t="s">
        <v>387</v>
      </c>
      <c r="C34" s="4" t="s">
        <v>393</v>
      </c>
      <c r="D34" s="4" t="s">
        <v>511</v>
      </c>
      <c r="E34" s="4" t="s">
        <v>363</v>
      </c>
      <c r="F34" s="4" t="s">
        <v>1104</v>
      </c>
      <c r="G34" s="7" t="s">
        <v>363</v>
      </c>
      <c r="H34" s="4" t="s">
        <v>1291</v>
      </c>
      <c r="I34" s="4" t="s">
        <v>77</v>
      </c>
      <c r="J34" s="4" t="s">
        <v>1473</v>
      </c>
      <c r="K34" s="4"/>
      <c r="L34" s="4" t="s">
        <v>2828</v>
      </c>
      <c r="M34" s="4"/>
      <c r="N34" s="4"/>
      <c r="O34" s="4"/>
      <c r="P34" s="4"/>
      <c r="Q34" s="4"/>
      <c r="R34" s="4"/>
    </row>
    <row r="35" spans="1:18" x14ac:dyDescent="0.25">
      <c r="A35" s="4" t="s">
        <v>163</v>
      </c>
      <c r="B35" s="4" t="s">
        <v>387</v>
      </c>
      <c r="C35" s="4" t="s">
        <v>393</v>
      </c>
      <c r="D35" s="4" t="s">
        <v>512</v>
      </c>
      <c r="E35" s="4" t="s">
        <v>363</v>
      </c>
      <c r="F35" s="4" t="s">
        <v>1105</v>
      </c>
      <c r="G35" s="7" t="s">
        <v>363</v>
      </c>
      <c r="H35" s="4" t="s">
        <v>1292</v>
      </c>
      <c r="I35" s="4" t="s">
        <v>253</v>
      </c>
      <c r="J35" s="4" t="s">
        <v>1474</v>
      </c>
      <c r="K35" s="4"/>
      <c r="L35" s="4" t="s">
        <v>2828</v>
      </c>
      <c r="M35" s="4"/>
      <c r="N35" s="4"/>
      <c r="O35" s="4"/>
      <c r="P35" s="4"/>
      <c r="Q35" s="4"/>
      <c r="R35" s="4"/>
    </row>
    <row r="36" spans="1:18" x14ac:dyDescent="0.25">
      <c r="A36" s="4" t="s">
        <v>163</v>
      </c>
      <c r="B36" s="4" t="s">
        <v>387</v>
      </c>
      <c r="C36" s="4" t="s">
        <v>393</v>
      </c>
      <c r="D36" s="4" t="s">
        <v>513</v>
      </c>
      <c r="E36" s="4" t="s">
        <v>136</v>
      </c>
      <c r="F36" s="4" t="s">
        <v>1106</v>
      </c>
      <c r="G36" s="7" t="s">
        <v>280</v>
      </c>
      <c r="H36" s="4" t="s">
        <v>1293</v>
      </c>
      <c r="I36" s="4" t="s">
        <v>136</v>
      </c>
      <c r="J36" s="4" t="s">
        <v>1475</v>
      </c>
      <c r="K36" s="4"/>
      <c r="L36" s="4" t="s">
        <v>2828</v>
      </c>
      <c r="M36" s="4"/>
      <c r="N36" s="4"/>
      <c r="O36" s="4"/>
      <c r="P36" s="4"/>
      <c r="Q36" s="4"/>
      <c r="R36" s="4"/>
    </row>
    <row r="37" spans="1:18" x14ac:dyDescent="0.25">
      <c r="A37" s="4" t="s">
        <v>163</v>
      </c>
      <c r="B37" s="4" t="s">
        <v>387</v>
      </c>
      <c r="C37" s="4" t="s">
        <v>393</v>
      </c>
      <c r="D37" s="4" t="s">
        <v>514</v>
      </c>
      <c r="E37" s="4" t="s">
        <v>339</v>
      </c>
      <c r="F37" s="4" t="s">
        <v>1107</v>
      </c>
      <c r="G37" s="7" t="s">
        <v>35</v>
      </c>
      <c r="H37" s="4" t="s">
        <v>1294</v>
      </c>
      <c r="I37" s="4" t="s">
        <v>280</v>
      </c>
      <c r="J37" s="4" t="s">
        <v>1476</v>
      </c>
      <c r="K37" s="4"/>
      <c r="L37" s="4" t="s">
        <v>2828</v>
      </c>
      <c r="M37" s="4"/>
      <c r="N37" s="4"/>
      <c r="O37" s="4"/>
      <c r="P37" s="4"/>
      <c r="Q37" s="4"/>
      <c r="R37" s="4"/>
    </row>
    <row r="38" spans="1:18" x14ac:dyDescent="0.25">
      <c r="A38" s="4" t="s">
        <v>163</v>
      </c>
      <c r="B38" s="4" t="s">
        <v>387</v>
      </c>
      <c r="C38" s="4" t="s">
        <v>393</v>
      </c>
      <c r="D38" s="4" t="s">
        <v>515</v>
      </c>
      <c r="E38" s="4" t="s">
        <v>136</v>
      </c>
      <c r="F38" s="4" t="s">
        <v>1108</v>
      </c>
      <c r="G38" s="7" t="s">
        <v>185</v>
      </c>
      <c r="H38" s="4" t="s">
        <v>1295</v>
      </c>
      <c r="I38" s="4" t="s">
        <v>516</v>
      </c>
      <c r="J38" s="4" t="s">
        <v>1477</v>
      </c>
      <c r="K38" s="4"/>
      <c r="L38" s="4" t="s">
        <v>2828</v>
      </c>
      <c r="M38" s="4"/>
      <c r="N38" s="4"/>
      <c r="O38" s="4"/>
      <c r="P38" s="4"/>
      <c r="Q38" s="4"/>
      <c r="R38" s="4"/>
    </row>
    <row r="39" spans="1:18" x14ac:dyDescent="0.25">
      <c r="A39" s="4" t="s">
        <v>163</v>
      </c>
      <c r="B39" s="4" t="s">
        <v>387</v>
      </c>
      <c r="C39" s="4" t="s">
        <v>393</v>
      </c>
      <c r="D39" s="4" t="s">
        <v>517</v>
      </c>
      <c r="E39" s="4" t="s">
        <v>363</v>
      </c>
      <c r="F39" s="4" t="s">
        <v>551</v>
      </c>
      <c r="G39" s="7" t="s">
        <v>128</v>
      </c>
      <c r="H39" s="4" t="s">
        <v>552</v>
      </c>
      <c r="I39" s="4" t="s">
        <v>66</v>
      </c>
      <c r="J39" s="4" t="s">
        <v>553</v>
      </c>
      <c r="K39" s="4"/>
      <c r="L39" s="4" t="s">
        <v>2828</v>
      </c>
      <c r="M39" s="4"/>
      <c r="N39" s="4"/>
      <c r="O39" s="4"/>
      <c r="P39" s="4"/>
      <c r="Q39" s="4"/>
      <c r="R39" s="4"/>
    </row>
    <row r="40" spans="1:18" x14ac:dyDescent="0.25">
      <c r="A40" s="4" t="s">
        <v>163</v>
      </c>
      <c r="B40" s="4" t="s">
        <v>387</v>
      </c>
      <c r="C40" s="4" t="s">
        <v>393</v>
      </c>
      <c r="D40" s="4" t="s">
        <v>518</v>
      </c>
      <c r="E40" s="4" t="s">
        <v>77</v>
      </c>
      <c r="F40" s="4" t="s">
        <v>1109</v>
      </c>
      <c r="G40" s="7" t="s">
        <v>77</v>
      </c>
      <c r="H40" s="4" t="s">
        <v>1296</v>
      </c>
      <c r="I40" s="4" t="s">
        <v>21</v>
      </c>
      <c r="J40" s="4" t="s">
        <v>1478</v>
      </c>
      <c r="K40" s="4"/>
      <c r="L40" s="4" t="s">
        <v>2828</v>
      </c>
      <c r="M40" s="4"/>
      <c r="N40" s="4"/>
      <c r="O40" s="4"/>
      <c r="P40" s="4"/>
      <c r="Q40" s="4"/>
      <c r="R40" s="4"/>
    </row>
    <row r="41" spans="1:18" x14ac:dyDescent="0.25">
      <c r="A41" s="4" t="s">
        <v>163</v>
      </c>
      <c r="B41" s="4" t="s">
        <v>387</v>
      </c>
      <c r="C41" s="4" t="s">
        <v>393</v>
      </c>
      <c r="D41" s="4" t="s">
        <v>519</v>
      </c>
      <c r="E41" s="4" t="s">
        <v>311</v>
      </c>
      <c r="F41" s="4" t="s">
        <v>1110</v>
      </c>
      <c r="G41" s="7" t="s">
        <v>21</v>
      </c>
      <c r="H41" s="4" t="s">
        <v>1297</v>
      </c>
      <c r="I41" s="4" t="s">
        <v>179</v>
      </c>
      <c r="J41" s="4" t="s">
        <v>1479</v>
      </c>
      <c r="K41" s="4"/>
      <c r="L41" s="4" t="s">
        <v>2828</v>
      </c>
      <c r="M41" s="4"/>
      <c r="N41" s="4"/>
      <c r="O41" s="4"/>
      <c r="P41" s="4"/>
      <c r="Q41" s="4"/>
      <c r="R41" s="4"/>
    </row>
    <row r="42" spans="1:18" x14ac:dyDescent="0.25">
      <c r="A42" s="4" t="s">
        <v>163</v>
      </c>
      <c r="B42" s="4" t="s">
        <v>394</v>
      </c>
      <c r="C42" s="4" t="s">
        <v>393</v>
      </c>
      <c r="D42" s="4" t="s">
        <v>522</v>
      </c>
      <c r="E42" s="4" t="s">
        <v>177</v>
      </c>
      <c r="F42" s="4" t="s">
        <v>1111</v>
      </c>
      <c r="G42" s="7" t="s">
        <v>363</v>
      </c>
      <c r="H42" s="4" t="s">
        <v>1298</v>
      </c>
      <c r="I42" s="4" t="s">
        <v>177</v>
      </c>
      <c r="J42" s="4" t="s">
        <v>1480</v>
      </c>
      <c r="K42" s="4"/>
      <c r="L42" s="4" t="s">
        <v>2828</v>
      </c>
      <c r="M42" s="4"/>
      <c r="N42" s="4"/>
      <c r="O42" s="4"/>
      <c r="P42" s="4"/>
      <c r="Q42" s="4"/>
      <c r="R42" s="4"/>
    </row>
    <row r="43" spans="1:18" x14ac:dyDescent="0.25">
      <c r="A43" s="4" t="s">
        <v>163</v>
      </c>
      <c r="B43" s="4" t="s">
        <v>394</v>
      </c>
      <c r="C43" s="4" t="s">
        <v>393</v>
      </c>
      <c r="D43" s="4" t="s">
        <v>523</v>
      </c>
      <c r="E43" s="4" t="s">
        <v>177</v>
      </c>
      <c r="F43" s="4" t="s">
        <v>1111</v>
      </c>
      <c r="G43" s="7" t="s">
        <v>250</v>
      </c>
      <c r="H43" s="4" t="s">
        <v>1299</v>
      </c>
      <c r="I43" s="4" t="s">
        <v>363</v>
      </c>
      <c r="J43" s="4" t="s">
        <v>1298</v>
      </c>
      <c r="K43" s="4"/>
      <c r="L43" s="4" t="s">
        <v>2828</v>
      </c>
      <c r="M43" s="4"/>
      <c r="N43" s="4"/>
      <c r="O43" s="4"/>
      <c r="P43" s="4"/>
      <c r="Q43" s="4"/>
      <c r="R43" s="4"/>
    </row>
    <row r="44" spans="1:18" x14ac:dyDescent="0.25">
      <c r="A44" s="4" t="s">
        <v>163</v>
      </c>
      <c r="B44" s="4" t="s">
        <v>394</v>
      </c>
      <c r="C44" s="4" t="s">
        <v>393</v>
      </c>
      <c r="D44" s="4" t="s">
        <v>524</v>
      </c>
      <c r="E44" s="4" t="s">
        <v>27</v>
      </c>
      <c r="F44" s="4" t="s">
        <v>1112</v>
      </c>
      <c r="G44" s="7" t="s">
        <v>363</v>
      </c>
      <c r="H44" s="4" t="s">
        <v>1300</v>
      </c>
      <c r="I44" s="4" t="s">
        <v>177</v>
      </c>
      <c r="J44" s="4" t="s">
        <v>1481</v>
      </c>
      <c r="K44" s="4"/>
      <c r="L44" s="4" t="s">
        <v>2828</v>
      </c>
      <c r="M44" s="4"/>
      <c r="N44" s="4"/>
      <c r="O44" s="4"/>
      <c r="P44" s="4"/>
      <c r="Q44" s="4"/>
      <c r="R44" s="4"/>
    </row>
    <row r="45" spans="1:18" x14ac:dyDescent="0.25">
      <c r="A45" s="4" t="s">
        <v>163</v>
      </c>
      <c r="B45" s="4" t="s">
        <v>394</v>
      </c>
      <c r="C45" s="4" t="s">
        <v>393</v>
      </c>
      <c r="D45" s="4" t="s">
        <v>525</v>
      </c>
      <c r="E45" s="4" t="s">
        <v>319</v>
      </c>
      <c r="F45" s="4" t="s">
        <v>1113</v>
      </c>
      <c r="G45" s="7" t="s">
        <v>60</v>
      </c>
      <c r="H45" s="4" t="s">
        <v>1301</v>
      </c>
      <c r="I45" s="4" t="s">
        <v>185</v>
      </c>
      <c r="J45" s="4" t="s">
        <v>1482</v>
      </c>
      <c r="K45" s="4"/>
      <c r="L45" s="4" t="s">
        <v>2828</v>
      </c>
      <c r="M45" s="4"/>
      <c r="N45" s="4"/>
      <c r="O45" s="4"/>
      <c r="P45" s="4"/>
      <c r="Q45" s="4"/>
      <c r="R45" s="4"/>
    </row>
    <row r="46" spans="1:18" x14ac:dyDescent="0.25">
      <c r="A46" s="4" t="s">
        <v>163</v>
      </c>
      <c r="B46" s="4" t="s">
        <v>394</v>
      </c>
      <c r="C46" s="4" t="s">
        <v>393</v>
      </c>
      <c r="D46" s="4" t="s">
        <v>526</v>
      </c>
      <c r="E46" s="4" t="s">
        <v>185</v>
      </c>
      <c r="F46" s="4" t="s">
        <v>1114</v>
      </c>
      <c r="G46" s="7" t="s">
        <v>122</v>
      </c>
      <c r="H46" s="4" t="s">
        <v>1302</v>
      </c>
      <c r="I46" s="4" t="s">
        <v>363</v>
      </c>
      <c r="J46" s="4" t="s">
        <v>1483</v>
      </c>
      <c r="K46" s="4"/>
      <c r="L46" s="4" t="s">
        <v>2828</v>
      </c>
      <c r="M46" s="4"/>
      <c r="N46" s="4"/>
      <c r="O46" s="4"/>
      <c r="P46" s="4"/>
      <c r="Q46" s="4"/>
      <c r="R46" s="4"/>
    </row>
    <row r="47" spans="1:18" x14ac:dyDescent="0.25">
      <c r="A47" s="4" t="s">
        <v>163</v>
      </c>
      <c r="B47" s="4" t="s">
        <v>394</v>
      </c>
      <c r="C47" s="4" t="s">
        <v>393</v>
      </c>
      <c r="D47" s="4" t="s">
        <v>527</v>
      </c>
      <c r="E47" s="4" t="s">
        <v>185</v>
      </c>
      <c r="F47" s="4" t="s">
        <v>1115</v>
      </c>
      <c r="G47" s="7" t="s">
        <v>185</v>
      </c>
      <c r="H47" s="4" t="s">
        <v>1303</v>
      </c>
      <c r="I47" s="4" t="s">
        <v>122</v>
      </c>
      <c r="J47" s="4" t="s">
        <v>1116</v>
      </c>
      <c r="K47" s="4"/>
      <c r="L47" s="4" t="s">
        <v>2828</v>
      </c>
      <c r="M47" s="4"/>
      <c r="N47" s="4"/>
      <c r="O47" s="4"/>
      <c r="P47" s="4"/>
      <c r="Q47" s="4"/>
      <c r="R47" s="4"/>
    </row>
    <row r="48" spans="1:18" x14ac:dyDescent="0.25">
      <c r="A48" s="4" t="s">
        <v>163</v>
      </c>
      <c r="B48" s="4" t="s">
        <v>394</v>
      </c>
      <c r="C48" s="4" t="s">
        <v>393</v>
      </c>
      <c r="D48" s="4" t="s">
        <v>528</v>
      </c>
      <c r="E48" s="4" t="s">
        <v>122</v>
      </c>
      <c r="F48" s="4" t="s">
        <v>1116</v>
      </c>
      <c r="G48" s="7" t="s">
        <v>185</v>
      </c>
      <c r="H48" s="4" t="s">
        <v>1115</v>
      </c>
      <c r="I48" s="4" t="s">
        <v>122</v>
      </c>
      <c r="J48" s="4" t="s">
        <v>1484</v>
      </c>
      <c r="K48" s="4"/>
      <c r="L48" s="4" t="s">
        <v>2828</v>
      </c>
      <c r="M48" s="4"/>
      <c r="N48" s="4"/>
      <c r="O48" s="4"/>
      <c r="P48" s="4"/>
      <c r="Q48" s="4"/>
      <c r="R48" s="4"/>
    </row>
    <row r="49" spans="1:18" x14ac:dyDescent="0.25">
      <c r="A49" s="4" t="s">
        <v>163</v>
      </c>
      <c r="B49" s="4" t="s">
        <v>394</v>
      </c>
      <c r="C49" s="4" t="s">
        <v>393</v>
      </c>
      <c r="D49" s="4" t="s">
        <v>529</v>
      </c>
      <c r="E49" s="4" t="s">
        <v>185</v>
      </c>
      <c r="F49" s="4" t="s">
        <v>1117</v>
      </c>
      <c r="G49" s="7" t="s">
        <v>29</v>
      </c>
      <c r="H49" s="4" t="s">
        <v>1304</v>
      </c>
      <c r="I49" s="4" t="s">
        <v>122</v>
      </c>
      <c r="J49" s="4" t="s">
        <v>1485</v>
      </c>
      <c r="K49" s="4"/>
      <c r="L49" s="4" t="s">
        <v>2828</v>
      </c>
      <c r="M49" s="4"/>
      <c r="N49" s="4"/>
      <c r="O49" s="4"/>
      <c r="P49" s="4"/>
      <c r="Q49" s="4"/>
      <c r="R49" s="4"/>
    </row>
    <row r="50" spans="1:18" x14ac:dyDescent="0.25">
      <c r="A50" s="4" t="s">
        <v>163</v>
      </c>
      <c r="B50" s="4" t="s">
        <v>394</v>
      </c>
      <c r="C50" s="4" t="s">
        <v>393</v>
      </c>
      <c r="D50" s="4" t="s">
        <v>530</v>
      </c>
      <c r="E50" s="4" t="s">
        <v>29</v>
      </c>
      <c r="F50" s="4" t="s">
        <v>1118</v>
      </c>
      <c r="G50" s="7" t="s">
        <v>185</v>
      </c>
      <c r="H50" s="4" t="s">
        <v>1305</v>
      </c>
      <c r="I50" s="4" t="s">
        <v>363</v>
      </c>
      <c r="J50" s="4" t="s">
        <v>1486</v>
      </c>
      <c r="K50" s="4"/>
      <c r="L50" s="4" t="s">
        <v>2828</v>
      </c>
      <c r="M50" s="4"/>
      <c r="N50" s="4"/>
      <c r="O50" s="4"/>
      <c r="P50" s="4"/>
      <c r="Q50" s="4"/>
      <c r="R50" s="4"/>
    </row>
    <row r="51" spans="1:18" x14ac:dyDescent="0.25">
      <c r="A51" s="4" t="s">
        <v>163</v>
      </c>
      <c r="B51" s="4" t="s">
        <v>394</v>
      </c>
      <c r="C51" s="4" t="s">
        <v>393</v>
      </c>
      <c r="D51" s="4" t="s">
        <v>531</v>
      </c>
      <c r="E51" s="4" t="s">
        <v>363</v>
      </c>
      <c r="F51" s="4" t="s">
        <v>1119</v>
      </c>
      <c r="G51" s="7" t="s">
        <v>363</v>
      </c>
      <c r="H51" s="4" t="s">
        <v>1306</v>
      </c>
      <c r="I51" s="4" t="s">
        <v>363</v>
      </c>
      <c r="J51" s="4" t="s">
        <v>1487</v>
      </c>
      <c r="K51" s="4"/>
      <c r="L51" s="4" t="s">
        <v>2828</v>
      </c>
      <c r="M51" s="4"/>
      <c r="N51" s="4"/>
      <c r="O51" s="4"/>
      <c r="P51" s="4"/>
      <c r="Q51" s="4"/>
      <c r="R51" s="4"/>
    </row>
    <row r="52" spans="1:18" x14ac:dyDescent="0.25">
      <c r="A52" s="4" t="s">
        <v>163</v>
      </c>
      <c r="B52" s="4" t="s">
        <v>394</v>
      </c>
      <c r="C52" s="4" t="s">
        <v>393</v>
      </c>
      <c r="D52" s="4" t="s">
        <v>532</v>
      </c>
      <c r="E52" s="4" t="s">
        <v>363</v>
      </c>
      <c r="F52" s="4" t="s">
        <v>1120</v>
      </c>
      <c r="G52" s="7" t="s">
        <v>100</v>
      </c>
      <c r="H52" s="4" t="s">
        <v>1307</v>
      </c>
      <c r="I52" s="4" t="s">
        <v>363</v>
      </c>
      <c r="J52" s="4" t="s">
        <v>1488</v>
      </c>
      <c r="K52" s="4"/>
      <c r="L52" s="4" t="s">
        <v>2828</v>
      </c>
      <c r="M52" s="4"/>
      <c r="N52" s="4"/>
      <c r="O52" s="4"/>
      <c r="P52" s="4"/>
      <c r="Q52" s="4"/>
      <c r="R52" s="4"/>
    </row>
    <row r="53" spans="1:18" x14ac:dyDescent="0.25">
      <c r="A53" s="4" t="s">
        <v>163</v>
      </c>
      <c r="B53" s="4" t="s">
        <v>394</v>
      </c>
      <c r="C53" s="4" t="s">
        <v>393</v>
      </c>
      <c r="D53" s="4" t="s">
        <v>533</v>
      </c>
      <c r="E53" s="4" t="s">
        <v>321</v>
      </c>
      <c r="F53" s="4" t="s">
        <v>1121</v>
      </c>
      <c r="G53" s="7" t="s">
        <v>56</v>
      </c>
      <c r="H53" s="4" t="s">
        <v>1308</v>
      </c>
      <c r="I53" s="4" t="s">
        <v>92</v>
      </c>
      <c r="J53" s="4" t="s">
        <v>1489</v>
      </c>
      <c r="K53" s="4"/>
      <c r="L53" s="4" t="s">
        <v>2828</v>
      </c>
      <c r="M53" s="4"/>
      <c r="N53" s="4"/>
      <c r="O53" s="4"/>
      <c r="P53" s="4"/>
      <c r="Q53" s="4"/>
      <c r="R53" s="4"/>
    </row>
    <row r="54" spans="1:18" x14ac:dyDescent="0.25">
      <c r="A54" s="4" t="s">
        <v>163</v>
      </c>
      <c r="B54" s="4" t="s">
        <v>394</v>
      </c>
      <c r="C54" s="4" t="s">
        <v>393</v>
      </c>
      <c r="D54" s="4" t="s">
        <v>534</v>
      </c>
      <c r="E54" s="4" t="s">
        <v>140</v>
      </c>
      <c r="F54" s="4" t="s">
        <v>1122</v>
      </c>
      <c r="G54" s="7" t="s">
        <v>363</v>
      </c>
      <c r="H54" s="4" t="s">
        <v>1309</v>
      </c>
      <c r="I54" s="4" t="s">
        <v>253</v>
      </c>
      <c r="J54" s="4" t="s">
        <v>1490</v>
      </c>
      <c r="K54" s="4"/>
      <c r="L54" s="4" t="s">
        <v>2828</v>
      </c>
      <c r="M54" s="4"/>
      <c r="N54" s="4"/>
      <c r="O54" s="4"/>
      <c r="P54" s="4"/>
      <c r="Q54" s="4"/>
      <c r="R54" s="4"/>
    </row>
    <row r="55" spans="1:18" x14ac:dyDescent="0.25">
      <c r="A55" s="4" t="s">
        <v>163</v>
      </c>
      <c r="B55" s="4" t="s">
        <v>394</v>
      </c>
      <c r="C55" s="4" t="s">
        <v>393</v>
      </c>
      <c r="D55" s="4" t="s">
        <v>535</v>
      </c>
      <c r="E55" s="4" t="s">
        <v>363</v>
      </c>
      <c r="F55" s="4" t="s">
        <v>1123</v>
      </c>
      <c r="G55" s="7" t="s">
        <v>363</v>
      </c>
      <c r="H55" s="4" t="s">
        <v>1310</v>
      </c>
      <c r="I55" s="4" t="s">
        <v>536</v>
      </c>
      <c r="J55" s="4" t="s">
        <v>1491</v>
      </c>
      <c r="K55" s="4"/>
      <c r="L55" s="4" t="s">
        <v>2828</v>
      </c>
      <c r="M55" s="4"/>
      <c r="N55" s="4"/>
      <c r="O55" s="4"/>
      <c r="P55" s="4"/>
      <c r="Q55" s="4"/>
      <c r="R55" s="4"/>
    </row>
    <row r="56" spans="1:18" x14ac:dyDescent="0.25">
      <c r="A56" s="4" t="s">
        <v>163</v>
      </c>
      <c r="B56" s="4" t="s">
        <v>394</v>
      </c>
      <c r="C56" s="4" t="s">
        <v>393</v>
      </c>
      <c r="D56" s="4" t="s">
        <v>537</v>
      </c>
      <c r="E56" s="4" t="s">
        <v>79</v>
      </c>
      <c r="F56" s="4" t="s">
        <v>1124</v>
      </c>
      <c r="G56" s="7" t="s">
        <v>371</v>
      </c>
      <c r="H56" s="4" t="s">
        <v>1311</v>
      </c>
      <c r="I56" s="4" t="s">
        <v>183</v>
      </c>
      <c r="J56" s="4" t="s">
        <v>1492</v>
      </c>
      <c r="K56" s="4"/>
      <c r="L56" s="4" t="s">
        <v>2828</v>
      </c>
      <c r="M56" s="4"/>
      <c r="N56" s="4"/>
      <c r="O56" s="4"/>
      <c r="P56" s="4"/>
      <c r="Q56" s="4"/>
      <c r="R56" s="4"/>
    </row>
    <row r="57" spans="1:18" x14ac:dyDescent="0.25">
      <c r="A57" s="4" t="s">
        <v>163</v>
      </c>
      <c r="B57" s="4" t="s">
        <v>394</v>
      </c>
      <c r="C57" s="4" t="s">
        <v>393</v>
      </c>
      <c r="D57" s="4" t="s">
        <v>538</v>
      </c>
      <c r="E57" s="4" t="s">
        <v>363</v>
      </c>
      <c r="F57" s="4" t="s">
        <v>1125</v>
      </c>
      <c r="G57" s="7" t="s">
        <v>253</v>
      </c>
      <c r="H57" s="4" t="s">
        <v>1312</v>
      </c>
      <c r="I57" s="4" t="s">
        <v>159</v>
      </c>
      <c r="J57" s="4" t="s">
        <v>1493</v>
      </c>
      <c r="K57" s="4"/>
      <c r="L57" s="4" t="s">
        <v>2828</v>
      </c>
      <c r="M57" s="4"/>
      <c r="N57" s="4"/>
      <c r="O57" s="4"/>
      <c r="P57" s="4"/>
      <c r="Q57" s="4"/>
      <c r="R57" s="4"/>
    </row>
    <row r="58" spans="1:18" x14ac:dyDescent="0.25">
      <c r="A58" s="4" t="s">
        <v>163</v>
      </c>
      <c r="B58" s="4" t="s">
        <v>394</v>
      </c>
      <c r="C58" s="4" t="s">
        <v>393</v>
      </c>
      <c r="D58" s="4" t="s">
        <v>539</v>
      </c>
      <c r="E58" s="4" t="s">
        <v>92</v>
      </c>
      <c r="F58" s="4" t="s">
        <v>1126</v>
      </c>
      <c r="G58" s="7" t="s">
        <v>128</v>
      </c>
      <c r="H58" s="4" t="s">
        <v>1313</v>
      </c>
      <c r="I58" s="4" t="s">
        <v>94</v>
      </c>
      <c r="J58" s="4" t="s">
        <v>1494</v>
      </c>
      <c r="K58" s="4"/>
      <c r="L58" s="4" t="s">
        <v>2828</v>
      </c>
      <c r="M58" s="4"/>
      <c r="N58" s="4"/>
      <c r="O58" s="4"/>
      <c r="P58" s="4"/>
      <c r="Q58" s="4"/>
      <c r="R58" s="4"/>
    </row>
    <row r="59" spans="1:18" x14ac:dyDescent="0.25">
      <c r="A59" s="4" t="s">
        <v>163</v>
      </c>
      <c r="B59" s="4" t="s">
        <v>394</v>
      </c>
      <c r="C59" s="4" t="s">
        <v>393</v>
      </c>
      <c r="D59" s="4" t="s">
        <v>540</v>
      </c>
      <c r="E59" s="4" t="s">
        <v>280</v>
      </c>
      <c r="F59" s="4" t="s">
        <v>1127</v>
      </c>
      <c r="G59" s="7" t="s">
        <v>77</v>
      </c>
      <c r="H59" s="4" t="s">
        <v>1314</v>
      </c>
      <c r="I59" s="4" t="s">
        <v>361</v>
      </c>
      <c r="J59" s="4" t="s">
        <v>1495</v>
      </c>
      <c r="K59" s="4"/>
      <c r="L59" s="4" t="s">
        <v>2828</v>
      </c>
      <c r="M59" s="4"/>
      <c r="N59" s="4"/>
      <c r="O59" s="4"/>
      <c r="P59" s="4"/>
      <c r="Q59" s="4"/>
      <c r="R59" s="4"/>
    </row>
    <row r="60" spans="1:18" x14ac:dyDescent="0.25">
      <c r="A60" s="4" t="s">
        <v>163</v>
      </c>
      <c r="B60" s="4" t="s">
        <v>394</v>
      </c>
      <c r="C60" s="4" t="s">
        <v>393</v>
      </c>
      <c r="D60" s="4" t="s">
        <v>541</v>
      </c>
      <c r="E60" s="4" t="s">
        <v>92</v>
      </c>
      <c r="F60" s="4" t="s">
        <v>1128</v>
      </c>
      <c r="G60" s="7" t="s">
        <v>319</v>
      </c>
      <c r="H60" s="4" t="s">
        <v>1315</v>
      </c>
      <c r="I60" s="4" t="s">
        <v>98</v>
      </c>
      <c r="J60" s="4" t="s">
        <v>1496</v>
      </c>
      <c r="K60" s="4"/>
      <c r="L60" s="4" t="s">
        <v>2828</v>
      </c>
      <c r="M60" s="4"/>
      <c r="N60" s="4"/>
      <c r="O60" s="4"/>
      <c r="P60" s="4"/>
      <c r="Q60" s="4"/>
      <c r="R60" s="4"/>
    </row>
    <row r="61" spans="1:18" x14ac:dyDescent="0.25">
      <c r="A61" s="4" t="s">
        <v>163</v>
      </c>
      <c r="B61" s="4" t="s">
        <v>394</v>
      </c>
      <c r="C61" s="4" t="s">
        <v>393</v>
      </c>
      <c r="D61" s="4" t="s">
        <v>542</v>
      </c>
      <c r="E61" s="4" t="s">
        <v>37</v>
      </c>
      <c r="F61" s="4" t="s">
        <v>554</v>
      </c>
      <c r="G61" s="7" t="s">
        <v>361</v>
      </c>
      <c r="H61" s="4" t="s">
        <v>555</v>
      </c>
      <c r="I61" s="4" t="s">
        <v>66</v>
      </c>
      <c r="J61" s="4" t="s">
        <v>556</v>
      </c>
      <c r="K61" s="4"/>
      <c r="L61" s="4" t="s">
        <v>2828</v>
      </c>
      <c r="M61" s="4"/>
      <c r="N61" s="4"/>
      <c r="O61" s="4"/>
      <c r="P61" s="4"/>
      <c r="Q61" s="4"/>
      <c r="R61" s="4"/>
    </row>
    <row r="62" spans="1:18" x14ac:dyDescent="0.25">
      <c r="A62" s="4" t="s">
        <v>163</v>
      </c>
      <c r="B62" s="4" t="s">
        <v>394</v>
      </c>
      <c r="C62" s="4" t="s">
        <v>393</v>
      </c>
      <c r="D62" s="4" t="s">
        <v>543</v>
      </c>
      <c r="E62" s="4" t="s">
        <v>77</v>
      </c>
      <c r="F62" s="4" t="s">
        <v>1129</v>
      </c>
      <c r="G62" s="7" t="s">
        <v>229</v>
      </c>
      <c r="H62" s="4" t="s">
        <v>1316</v>
      </c>
      <c r="I62" s="4" t="s">
        <v>77</v>
      </c>
      <c r="J62" s="4" t="s">
        <v>1497</v>
      </c>
      <c r="K62" s="4"/>
      <c r="L62" s="4" t="s">
        <v>2828</v>
      </c>
      <c r="M62" s="4"/>
      <c r="N62" s="4"/>
      <c r="O62" s="4"/>
      <c r="P62" s="4"/>
      <c r="Q62" s="4"/>
      <c r="R62" s="4"/>
    </row>
    <row r="63" spans="1:18" x14ac:dyDescent="0.25">
      <c r="A63" s="4" t="s">
        <v>389</v>
      </c>
      <c r="B63" s="4" t="s">
        <v>387</v>
      </c>
      <c r="C63" s="4" t="s">
        <v>393</v>
      </c>
      <c r="D63" s="4" t="s">
        <v>520</v>
      </c>
      <c r="E63" s="4" t="s">
        <v>177</v>
      </c>
      <c r="F63" s="4" t="s">
        <v>176</v>
      </c>
      <c r="G63" s="7" t="s">
        <v>179</v>
      </c>
      <c r="H63" s="4" t="s">
        <v>178</v>
      </c>
      <c r="I63" s="4" t="s">
        <v>66</v>
      </c>
      <c r="J63" s="4" t="s">
        <v>65</v>
      </c>
      <c r="K63" s="4"/>
      <c r="L63" s="4" t="s">
        <v>2828</v>
      </c>
      <c r="M63" s="4"/>
      <c r="N63" s="4"/>
      <c r="O63" s="4"/>
      <c r="P63" s="4"/>
      <c r="Q63" s="4"/>
      <c r="R63" s="4"/>
    </row>
    <row r="64" spans="1:18" x14ac:dyDescent="0.25">
      <c r="A64" s="4" t="s">
        <v>389</v>
      </c>
      <c r="B64" s="4" t="s">
        <v>387</v>
      </c>
      <c r="C64" s="4" t="s">
        <v>393</v>
      </c>
      <c r="D64" s="4" t="s">
        <v>521</v>
      </c>
      <c r="E64" s="4" t="s">
        <v>363</v>
      </c>
      <c r="F64" s="4" t="s">
        <v>362</v>
      </c>
      <c r="G64" s="7" t="s">
        <v>177</v>
      </c>
      <c r="H64" s="4" t="s">
        <v>176</v>
      </c>
      <c r="I64" s="4" t="s">
        <v>27</v>
      </c>
      <c r="J64" s="4" t="s">
        <v>26</v>
      </c>
      <c r="K64" s="4"/>
      <c r="L64" s="4" t="s">
        <v>2828</v>
      </c>
      <c r="M64" s="4"/>
      <c r="N64" s="4"/>
      <c r="O64" s="4"/>
      <c r="P64" s="4"/>
      <c r="Q64" s="4"/>
      <c r="R64" s="4"/>
    </row>
    <row r="65" spans="1:18" x14ac:dyDescent="0.25">
      <c r="A65" s="4" t="s">
        <v>389</v>
      </c>
      <c r="B65" s="4" t="s">
        <v>394</v>
      </c>
      <c r="C65" s="4" t="s">
        <v>393</v>
      </c>
      <c r="D65" s="4" t="s">
        <v>544</v>
      </c>
      <c r="E65" s="4" t="s">
        <v>363</v>
      </c>
      <c r="F65" s="4" t="s">
        <v>362</v>
      </c>
      <c r="G65" s="7" t="s">
        <v>177</v>
      </c>
      <c r="H65" s="4" t="s">
        <v>176</v>
      </c>
      <c r="I65" s="4" t="s">
        <v>361</v>
      </c>
      <c r="J65" s="4" t="s">
        <v>391</v>
      </c>
      <c r="K65" s="4"/>
      <c r="L65" s="4" t="s">
        <v>2828</v>
      </c>
      <c r="M65" s="4"/>
      <c r="N65" s="4"/>
      <c r="O65" s="4"/>
      <c r="P65" s="4"/>
      <c r="Q65" s="4"/>
      <c r="R65" s="4"/>
    </row>
    <row r="66" spans="1:18" x14ac:dyDescent="0.25">
      <c r="A66" s="4" t="s">
        <v>389</v>
      </c>
      <c r="B66" s="4" t="s">
        <v>394</v>
      </c>
      <c r="C66" s="4" t="s">
        <v>393</v>
      </c>
      <c r="D66" s="4" t="s">
        <v>545</v>
      </c>
      <c r="E66" s="4" t="s">
        <v>363</v>
      </c>
      <c r="F66" s="4" t="s">
        <v>362</v>
      </c>
      <c r="G66" s="7" t="s">
        <v>177</v>
      </c>
      <c r="H66" s="4" t="s">
        <v>176</v>
      </c>
      <c r="I66" s="4" t="s">
        <v>361</v>
      </c>
      <c r="J66" s="4" t="s">
        <v>391</v>
      </c>
      <c r="K66" s="4"/>
      <c r="L66" s="4" t="s">
        <v>2828</v>
      </c>
      <c r="M66" s="4"/>
      <c r="N66" s="4"/>
      <c r="O66" s="4"/>
      <c r="P66" s="4"/>
      <c r="Q66" s="4"/>
      <c r="R66" s="4"/>
    </row>
    <row r="67" spans="1:18" x14ac:dyDescent="0.25">
      <c r="A67" s="4" t="s">
        <v>163</v>
      </c>
      <c r="B67" s="4" t="s">
        <v>387</v>
      </c>
      <c r="C67" s="4" t="s">
        <v>398</v>
      </c>
      <c r="D67" s="4" t="s">
        <v>546</v>
      </c>
      <c r="E67" s="4" t="s">
        <v>77</v>
      </c>
      <c r="F67" s="4" t="s">
        <v>1130</v>
      </c>
      <c r="G67" s="7" t="s">
        <v>217</v>
      </c>
      <c r="H67" s="4" t="s">
        <v>1317</v>
      </c>
      <c r="I67" s="4" t="s">
        <v>100</v>
      </c>
      <c r="J67" s="4" t="s">
        <v>1498</v>
      </c>
      <c r="K67" s="4"/>
      <c r="L67" s="4" t="s">
        <v>2828</v>
      </c>
      <c r="M67" s="4"/>
      <c r="N67" s="4"/>
      <c r="O67" s="4"/>
      <c r="P67" s="4"/>
      <c r="Q67" s="4"/>
      <c r="R67" s="4"/>
    </row>
    <row r="68" spans="1:18" x14ac:dyDescent="0.25">
      <c r="A68" s="4" t="s">
        <v>163</v>
      </c>
      <c r="B68" s="4" t="s">
        <v>394</v>
      </c>
      <c r="C68" s="4" t="s">
        <v>398</v>
      </c>
      <c r="D68" s="4" t="s">
        <v>547</v>
      </c>
      <c r="E68" s="4" t="s">
        <v>321</v>
      </c>
      <c r="F68" s="4" t="s">
        <v>1131</v>
      </c>
      <c r="G68" s="7" t="s">
        <v>163</v>
      </c>
      <c r="H68" s="4" t="s">
        <v>1318</v>
      </c>
      <c r="I68" s="4" t="s">
        <v>179</v>
      </c>
      <c r="J68" s="4" t="s">
        <v>1499</v>
      </c>
      <c r="K68" s="4"/>
      <c r="L68" s="4" t="s">
        <v>2828</v>
      </c>
      <c r="M68" s="4"/>
      <c r="N68" s="4"/>
      <c r="O68" s="4"/>
      <c r="P68" s="4"/>
      <c r="Q68" s="4"/>
      <c r="R68" s="4"/>
    </row>
    <row r="69" spans="1:18" x14ac:dyDescent="0.25">
      <c r="A69" s="4" t="s">
        <v>389</v>
      </c>
      <c r="B69" s="4" t="s">
        <v>387</v>
      </c>
      <c r="C69" s="4" t="s">
        <v>398</v>
      </c>
      <c r="D69" s="4" t="s">
        <v>548</v>
      </c>
      <c r="E69" s="4" t="s">
        <v>77</v>
      </c>
      <c r="F69" s="4" t="s">
        <v>2782</v>
      </c>
      <c r="G69" s="7" t="s">
        <v>217</v>
      </c>
      <c r="H69" s="4" t="s">
        <v>2807</v>
      </c>
      <c r="I69" s="4" t="s">
        <v>361</v>
      </c>
      <c r="J69" s="4" t="s">
        <v>2834</v>
      </c>
      <c r="K69" s="4"/>
      <c r="L69" s="4" t="s">
        <v>2828</v>
      </c>
      <c r="M69" s="4"/>
      <c r="N69" s="4"/>
      <c r="O69" s="4"/>
      <c r="P69" s="4"/>
      <c r="Q69" s="4"/>
      <c r="R69" s="4"/>
    </row>
    <row r="70" spans="1:18" x14ac:dyDescent="0.25">
      <c r="A70" s="4" t="s">
        <v>389</v>
      </c>
      <c r="B70" s="4" t="s">
        <v>394</v>
      </c>
      <c r="C70" s="4" t="s">
        <v>398</v>
      </c>
      <c r="D70" s="4" t="s">
        <v>549</v>
      </c>
      <c r="E70" s="4" t="s">
        <v>179</v>
      </c>
      <c r="F70" s="4" t="s">
        <v>2783</v>
      </c>
      <c r="G70" s="7" t="s">
        <v>100</v>
      </c>
      <c r="H70" s="4" t="s">
        <v>2808</v>
      </c>
      <c r="I70" s="4" t="s">
        <v>187</v>
      </c>
      <c r="J70" s="4" t="s">
        <v>2835</v>
      </c>
      <c r="K70" s="4"/>
      <c r="L70" s="4" t="s">
        <v>2828</v>
      </c>
      <c r="M70" s="4"/>
      <c r="N70" s="4"/>
      <c r="O70" s="4"/>
      <c r="P70" s="4"/>
      <c r="Q70" s="4"/>
      <c r="R70" s="4"/>
    </row>
    <row r="71" spans="1:18" x14ac:dyDescent="0.25">
      <c r="A71" s="4" t="s">
        <v>389</v>
      </c>
      <c r="B71" s="4" t="s">
        <v>399</v>
      </c>
      <c r="C71" s="4" t="s">
        <v>398</v>
      </c>
      <c r="D71" s="4" t="s">
        <v>550</v>
      </c>
      <c r="E71" s="4" t="s">
        <v>165</v>
      </c>
      <c r="F71" s="4" t="s">
        <v>2784</v>
      </c>
      <c r="G71" s="7" t="s">
        <v>217</v>
      </c>
      <c r="H71" s="4" t="s">
        <v>2809</v>
      </c>
      <c r="I71" s="4" t="s">
        <v>77</v>
      </c>
      <c r="J71" s="4" t="s">
        <v>2836</v>
      </c>
      <c r="K71" s="4"/>
      <c r="L71" s="4" t="s">
        <v>2828</v>
      </c>
      <c r="M71" s="4"/>
      <c r="N71" s="4"/>
      <c r="O71" s="4"/>
      <c r="P71" s="4"/>
      <c r="Q71" s="4"/>
      <c r="R71" s="4"/>
    </row>
    <row r="72" spans="1:18" x14ac:dyDescent="0.25">
      <c r="A72" s="4" t="s">
        <v>389</v>
      </c>
      <c r="B72" s="4" t="s">
        <v>387</v>
      </c>
      <c r="C72" s="4" t="s">
        <v>400</v>
      </c>
      <c r="D72" s="4" t="s">
        <v>387</v>
      </c>
      <c r="E72" s="4" t="s">
        <v>363</v>
      </c>
      <c r="F72" s="4" t="s">
        <v>362</v>
      </c>
      <c r="G72" s="7" t="s">
        <v>536</v>
      </c>
      <c r="H72" s="4" t="s">
        <v>303</v>
      </c>
      <c r="I72" s="4" t="s">
        <v>321</v>
      </c>
      <c r="J72" s="4" t="s">
        <v>320</v>
      </c>
      <c r="K72" s="4"/>
      <c r="L72" s="4" t="s">
        <v>2828</v>
      </c>
      <c r="M72" s="4"/>
      <c r="N72" s="4"/>
      <c r="O72" s="4"/>
      <c r="P72" s="4"/>
      <c r="Q72" s="4"/>
      <c r="R72" s="4"/>
    </row>
    <row r="73" spans="1:18" x14ac:dyDescent="0.25">
      <c r="A73" s="4" t="s">
        <v>389</v>
      </c>
      <c r="B73" s="4" t="s">
        <v>394</v>
      </c>
      <c r="C73" s="4" t="s">
        <v>400</v>
      </c>
      <c r="D73" s="4" t="s">
        <v>394</v>
      </c>
      <c r="E73" s="4" t="s">
        <v>363</v>
      </c>
      <c r="F73" s="4" t="s">
        <v>362</v>
      </c>
      <c r="G73" s="7" t="s">
        <v>321</v>
      </c>
      <c r="H73" s="4" t="s">
        <v>320</v>
      </c>
      <c r="I73" s="4" t="s">
        <v>536</v>
      </c>
      <c r="J73" s="4" t="s">
        <v>303</v>
      </c>
      <c r="K73" s="4"/>
      <c r="L73" s="4" t="s">
        <v>2828</v>
      </c>
      <c r="M73" s="4"/>
      <c r="N73" s="4"/>
      <c r="O73" s="4"/>
      <c r="P73" s="4"/>
      <c r="Q73" s="4"/>
      <c r="R73" s="4"/>
    </row>
    <row r="74" spans="1:18" x14ac:dyDescent="0.25">
      <c r="A74" s="4" t="s">
        <v>389</v>
      </c>
      <c r="B74" s="4" t="s">
        <v>387</v>
      </c>
      <c r="C74" s="4" t="s">
        <v>464</v>
      </c>
      <c r="D74" s="4" t="s">
        <v>387</v>
      </c>
      <c r="E74" s="4" t="s">
        <v>51</v>
      </c>
      <c r="F74" s="4" t="s">
        <v>2785</v>
      </c>
      <c r="G74" s="7" t="s">
        <v>175</v>
      </c>
      <c r="H74" s="4" t="s">
        <v>2810</v>
      </c>
      <c r="I74" s="4" t="s">
        <v>250</v>
      </c>
      <c r="J74" s="4" t="s">
        <v>2837</v>
      </c>
      <c r="K74" s="4"/>
      <c r="L74" s="4" t="s">
        <v>2828</v>
      </c>
      <c r="M74" s="4"/>
      <c r="N74" s="4"/>
      <c r="O74" s="4"/>
      <c r="P74" s="4"/>
      <c r="Q74" s="4"/>
      <c r="R74" s="4"/>
    </row>
    <row r="75" spans="1:18" x14ac:dyDescent="0.25">
      <c r="A75" s="4" t="s">
        <v>389</v>
      </c>
      <c r="B75" s="4" t="s">
        <v>394</v>
      </c>
      <c r="C75" s="4" t="s">
        <v>464</v>
      </c>
      <c r="D75" s="4" t="s">
        <v>394</v>
      </c>
      <c r="E75" s="4" t="s">
        <v>136</v>
      </c>
      <c r="F75" s="4" t="s">
        <v>2786</v>
      </c>
      <c r="G75" s="7" t="s">
        <v>51</v>
      </c>
      <c r="H75" s="4" t="s">
        <v>2811</v>
      </c>
      <c r="I75" s="4" t="s">
        <v>363</v>
      </c>
      <c r="J75" s="4" t="s">
        <v>2838</v>
      </c>
      <c r="K75" s="4"/>
      <c r="L75" s="4" t="s">
        <v>2828</v>
      </c>
      <c r="M75" s="4"/>
      <c r="N75" s="4"/>
      <c r="O75" s="4"/>
      <c r="P75" s="4"/>
      <c r="Q75" s="4"/>
      <c r="R75" s="4"/>
    </row>
    <row r="76" spans="1:18" x14ac:dyDescent="0.25">
      <c r="A76" s="4" t="s">
        <v>163</v>
      </c>
      <c r="B76" s="4" t="s">
        <v>387</v>
      </c>
      <c r="C76" s="4" t="s">
        <v>401</v>
      </c>
      <c r="D76" s="4" t="s">
        <v>557</v>
      </c>
      <c r="E76" s="4" t="s">
        <v>367</v>
      </c>
      <c r="F76" s="4" t="s">
        <v>1132</v>
      </c>
      <c r="G76" s="7" t="s">
        <v>79</v>
      </c>
      <c r="H76" s="4" t="s">
        <v>1319</v>
      </c>
      <c r="I76" s="4" t="s">
        <v>94</v>
      </c>
      <c r="J76" s="4" t="s">
        <v>570</v>
      </c>
      <c r="K76" s="4" t="s">
        <v>363</v>
      </c>
      <c r="L76" s="4" t="s">
        <v>1598</v>
      </c>
      <c r="M76" s="4"/>
      <c r="N76" s="4"/>
      <c r="O76" s="4"/>
      <c r="P76" s="4"/>
      <c r="Q76" s="4"/>
      <c r="R76" s="4"/>
    </row>
    <row r="77" spans="1:18" x14ac:dyDescent="0.25">
      <c r="A77" s="4" t="s">
        <v>163</v>
      </c>
      <c r="B77" s="4" t="s">
        <v>387</v>
      </c>
      <c r="C77" s="4" t="s">
        <v>401</v>
      </c>
      <c r="D77" s="4" t="s">
        <v>558</v>
      </c>
      <c r="E77" s="4" t="s">
        <v>367</v>
      </c>
      <c r="F77" s="4" t="s">
        <v>936</v>
      </c>
      <c r="G77" s="7" t="s">
        <v>287</v>
      </c>
      <c r="H77" s="4" t="s">
        <v>937</v>
      </c>
      <c r="I77" s="4" t="s">
        <v>371</v>
      </c>
      <c r="J77" s="4" t="s">
        <v>571</v>
      </c>
      <c r="K77" s="4" t="s">
        <v>77</v>
      </c>
      <c r="L77" s="4" t="s">
        <v>1599</v>
      </c>
      <c r="M77" s="4"/>
      <c r="N77" s="4"/>
      <c r="O77" s="4"/>
      <c r="P77" s="4"/>
      <c r="Q77" s="4"/>
      <c r="R77" s="4"/>
    </row>
    <row r="78" spans="1:18" x14ac:dyDescent="0.25">
      <c r="A78" s="4" t="s">
        <v>163</v>
      </c>
      <c r="B78" s="4" t="s">
        <v>387</v>
      </c>
      <c r="C78" s="4" t="s">
        <v>401</v>
      </c>
      <c r="D78" s="4" t="s">
        <v>559</v>
      </c>
      <c r="E78" s="4" t="s">
        <v>94</v>
      </c>
      <c r="F78" s="4" t="s">
        <v>1133</v>
      </c>
      <c r="G78" s="7" t="s">
        <v>363</v>
      </c>
      <c r="H78" s="4" t="s">
        <v>1320</v>
      </c>
      <c r="I78" s="4" t="s">
        <v>287</v>
      </c>
      <c r="J78" s="4" t="s">
        <v>572</v>
      </c>
      <c r="K78" s="4" t="s">
        <v>367</v>
      </c>
      <c r="L78" s="4" t="s">
        <v>1600</v>
      </c>
      <c r="M78" s="4"/>
      <c r="N78" s="4"/>
      <c r="O78" s="4"/>
      <c r="P78" s="4"/>
      <c r="Q78" s="4"/>
      <c r="R78" s="4"/>
    </row>
    <row r="79" spans="1:18" x14ac:dyDescent="0.25">
      <c r="A79" s="4" t="s">
        <v>163</v>
      </c>
      <c r="B79" s="4" t="s">
        <v>387</v>
      </c>
      <c r="C79" s="4" t="s">
        <v>401</v>
      </c>
      <c r="D79" s="4" t="s">
        <v>560</v>
      </c>
      <c r="E79" s="4" t="s">
        <v>51</v>
      </c>
      <c r="F79" s="4" t="s">
        <v>1134</v>
      </c>
      <c r="G79" s="7" t="s">
        <v>128</v>
      </c>
      <c r="H79" s="4" t="s">
        <v>1321</v>
      </c>
      <c r="I79" s="4" t="s">
        <v>94</v>
      </c>
      <c r="J79" s="4" t="s">
        <v>573</v>
      </c>
      <c r="K79" s="4" t="s">
        <v>237</v>
      </c>
      <c r="L79" s="4" t="s">
        <v>1601</v>
      </c>
      <c r="M79" s="4"/>
      <c r="N79" s="4"/>
      <c r="O79" s="4"/>
      <c r="P79" s="4"/>
      <c r="Q79" s="4"/>
      <c r="R79" s="4"/>
    </row>
    <row r="80" spans="1:18" x14ac:dyDescent="0.25">
      <c r="A80" s="4" t="s">
        <v>163</v>
      </c>
      <c r="B80" s="4" t="s">
        <v>387</v>
      </c>
      <c r="C80" s="4" t="s">
        <v>401</v>
      </c>
      <c r="D80" s="4" t="s">
        <v>561</v>
      </c>
      <c r="E80" s="4" t="s">
        <v>367</v>
      </c>
      <c r="F80" s="4" t="s">
        <v>938</v>
      </c>
      <c r="G80" s="7" t="s">
        <v>25</v>
      </c>
      <c r="H80" s="4" t="s">
        <v>939</v>
      </c>
      <c r="I80" s="4" t="s">
        <v>287</v>
      </c>
      <c r="J80" s="4" t="s">
        <v>574</v>
      </c>
      <c r="K80" s="4" t="s">
        <v>136</v>
      </c>
      <c r="L80" s="4" t="s">
        <v>1602</v>
      </c>
      <c r="M80" s="4"/>
      <c r="N80" s="4"/>
      <c r="O80" s="4"/>
      <c r="P80" s="4"/>
      <c r="Q80" s="4"/>
      <c r="R80" s="4"/>
    </row>
    <row r="81" spans="1:18" x14ac:dyDescent="0.25">
      <c r="A81" s="4" t="s">
        <v>163</v>
      </c>
      <c r="B81" s="4" t="s">
        <v>387</v>
      </c>
      <c r="C81" s="4" t="s">
        <v>401</v>
      </c>
      <c r="D81" s="4" t="s">
        <v>562</v>
      </c>
      <c r="E81" s="4" t="s">
        <v>183</v>
      </c>
      <c r="F81" s="4" t="s">
        <v>1135</v>
      </c>
      <c r="G81" s="7" t="s">
        <v>367</v>
      </c>
      <c r="H81" s="4" t="s">
        <v>1322</v>
      </c>
      <c r="I81" s="4" t="s">
        <v>128</v>
      </c>
      <c r="J81" s="4" t="s">
        <v>1500</v>
      </c>
      <c r="K81" s="4" t="s">
        <v>239</v>
      </c>
      <c r="L81" s="4" t="s">
        <v>1603</v>
      </c>
      <c r="M81" s="4"/>
      <c r="N81" s="4"/>
      <c r="O81" s="4"/>
      <c r="P81" s="4"/>
      <c r="Q81" s="4"/>
      <c r="R81" s="4"/>
    </row>
    <row r="82" spans="1:18" x14ac:dyDescent="0.25">
      <c r="A82" s="4" t="s">
        <v>163</v>
      </c>
      <c r="B82" s="4" t="s">
        <v>387</v>
      </c>
      <c r="C82" s="4" t="s">
        <v>401</v>
      </c>
      <c r="D82" s="4" t="s">
        <v>563</v>
      </c>
      <c r="E82" s="4" t="s">
        <v>94</v>
      </c>
      <c r="F82" s="4" t="s">
        <v>1136</v>
      </c>
      <c r="G82" s="7" t="s">
        <v>367</v>
      </c>
      <c r="H82" s="4" t="s">
        <v>1323</v>
      </c>
      <c r="I82" s="4" t="s">
        <v>229</v>
      </c>
      <c r="J82" s="4" t="s">
        <v>575</v>
      </c>
      <c r="K82" s="4" t="s">
        <v>25</v>
      </c>
      <c r="L82" s="4" t="s">
        <v>1604</v>
      </c>
      <c r="M82" s="4"/>
      <c r="N82" s="4"/>
      <c r="O82" s="4"/>
      <c r="P82" s="4"/>
      <c r="Q82" s="4"/>
      <c r="R82" s="4"/>
    </row>
    <row r="83" spans="1:18" x14ac:dyDescent="0.25">
      <c r="A83" s="4" t="s">
        <v>163</v>
      </c>
      <c r="B83" s="4" t="s">
        <v>387</v>
      </c>
      <c r="C83" s="4" t="s">
        <v>401</v>
      </c>
      <c r="D83" s="4" t="s">
        <v>564</v>
      </c>
      <c r="E83" s="4" t="s">
        <v>94</v>
      </c>
      <c r="F83" s="4" t="s">
        <v>1137</v>
      </c>
      <c r="G83" s="7" t="s">
        <v>183</v>
      </c>
      <c r="H83" s="4" t="s">
        <v>1324</v>
      </c>
      <c r="I83" s="4" t="s">
        <v>361</v>
      </c>
      <c r="J83" s="4" t="s">
        <v>576</v>
      </c>
      <c r="K83" s="4" t="s">
        <v>128</v>
      </c>
      <c r="L83" s="4" t="s">
        <v>1605</v>
      </c>
      <c r="M83" s="4"/>
      <c r="N83" s="4"/>
      <c r="O83" s="4"/>
      <c r="P83" s="4"/>
      <c r="Q83" s="4"/>
      <c r="R83" s="4"/>
    </row>
    <row r="84" spans="1:18" x14ac:dyDescent="0.25">
      <c r="A84" s="4" t="s">
        <v>163</v>
      </c>
      <c r="B84" s="4" t="s">
        <v>387</v>
      </c>
      <c r="C84" s="4" t="s">
        <v>401</v>
      </c>
      <c r="D84" s="4" t="s">
        <v>565</v>
      </c>
      <c r="E84" s="4" t="s">
        <v>287</v>
      </c>
      <c r="F84" s="4" t="s">
        <v>1138</v>
      </c>
      <c r="G84" s="7" t="s">
        <v>183</v>
      </c>
      <c r="H84" s="4" t="s">
        <v>1325</v>
      </c>
      <c r="I84" s="4" t="s">
        <v>94</v>
      </c>
      <c r="J84" s="4" t="s">
        <v>577</v>
      </c>
      <c r="K84" s="4" t="s">
        <v>367</v>
      </c>
      <c r="L84" s="4" t="s">
        <v>1606</v>
      </c>
      <c r="M84" s="4"/>
      <c r="N84" s="4"/>
      <c r="O84" s="4"/>
      <c r="P84" s="4"/>
      <c r="Q84" s="4"/>
      <c r="R84" s="4"/>
    </row>
    <row r="85" spans="1:18" x14ac:dyDescent="0.25">
      <c r="A85" s="4" t="s">
        <v>163</v>
      </c>
      <c r="B85" s="4" t="s">
        <v>387</v>
      </c>
      <c r="C85" s="4" t="s">
        <v>401</v>
      </c>
      <c r="D85" s="4" t="s">
        <v>566</v>
      </c>
      <c r="E85" s="4" t="s">
        <v>128</v>
      </c>
      <c r="F85" s="4" t="s">
        <v>940</v>
      </c>
      <c r="G85" s="7" t="s">
        <v>361</v>
      </c>
      <c r="H85" s="4" t="s">
        <v>941</v>
      </c>
      <c r="I85" s="4" t="s">
        <v>92</v>
      </c>
      <c r="J85" s="4" t="s">
        <v>578</v>
      </c>
      <c r="K85" s="4" t="s">
        <v>183</v>
      </c>
      <c r="L85" s="4" t="s">
        <v>1607</v>
      </c>
      <c r="M85" s="4"/>
      <c r="N85" s="4"/>
      <c r="O85" s="4"/>
      <c r="P85" s="4"/>
      <c r="Q85" s="4"/>
      <c r="R85" s="4"/>
    </row>
    <row r="86" spans="1:18" x14ac:dyDescent="0.25">
      <c r="A86" s="4" t="s">
        <v>163</v>
      </c>
      <c r="B86" s="4" t="s">
        <v>394</v>
      </c>
      <c r="C86" s="4" t="s">
        <v>401</v>
      </c>
      <c r="D86" s="4" t="s">
        <v>567</v>
      </c>
      <c r="E86" s="4" t="s">
        <v>361</v>
      </c>
      <c r="F86" s="4" t="s">
        <v>1139</v>
      </c>
      <c r="G86" s="7" t="s">
        <v>128</v>
      </c>
      <c r="H86" s="4" t="s">
        <v>1326</v>
      </c>
      <c r="I86" s="4" t="s">
        <v>77</v>
      </c>
      <c r="J86" s="4" t="s">
        <v>579</v>
      </c>
      <c r="K86" s="4" t="s">
        <v>79</v>
      </c>
      <c r="L86" s="4" t="s">
        <v>1608</v>
      </c>
      <c r="M86" s="4"/>
      <c r="N86" s="4"/>
      <c r="O86" s="4"/>
      <c r="P86" s="4"/>
      <c r="Q86" s="4"/>
      <c r="R86" s="4"/>
    </row>
    <row r="87" spans="1:18" x14ac:dyDescent="0.25">
      <c r="A87" s="4" t="s">
        <v>163</v>
      </c>
      <c r="B87" s="4" t="s">
        <v>394</v>
      </c>
      <c r="C87" s="4" t="s">
        <v>401</v>
      </c>
      <c r="D87" s="4" t="s">
        <v>568</v>
      </c>
      <c r="E87" s="4" t="s">
        <v>128</v>
      </c>
      <c r="F87" s="4" t="s">
        <v>1140</v>
      </c>
      <c r="G87" s="7" t="s">
        <v>77</v>
      </c>
      <c r="H87" s="4" t="s">
        <v>1327</v>
      </c>
      <c r="I87" s="4" t="s">
        <v>126</v>
      </c>
      <c r="J87" s="4" t="s">
        <v>580</v>
      </c>
      <c r="K87" s="4" t="s">
        <v>287</v>
      </c>
      <c r="L87" s="4" t="s">
        <v>1609</v>
      </c>
      <c r="M87" s="4"/>
      <c r="N87" s="4"/>
      <c r="O87" s="4"/>
      <c r="P87" s="4"/>
      <c r="Q87" s="4"/>
      <c r="R87" s="4"/>
    </row>
    <row r="88" spans="1:18" x14ac:dyDescent="0.25">
      <c r="A88" s="4" t="s">
        <v>163</v>
      </c>
      <c r="B88" s="4" t="s">
        <v>394</v>
      </c>
      <c r="C88" s="4" t="s">
        <v>401</v>
      </c>
      <c r="D88" s="4" t="s">
        <v>569</v>
      </c>
      <c r="E88" s="4" t="s">
        <v>363</v>
      </c>
      <c r="F88" s="4" t="s">
        <v>942</v>
      </c>
      <c r="G88" s="7" t="s">
        <v>250</v>
      </c>
      <c r="H88" s="4" t="s">
        <v>943</v>
      </c>
      <c r="I88" s="4" t="s">
        <v>77</v>
      </c>
      <c r="J88" s="4" t="s">
        <v>581</v>
      </c>
      <c r="K88" s="4" t="s">
        <v>183</v>
      </c>
      <c r="L88" s="4" t="s">
        <v>1610</v>
      </c>
      <c r="M88" s="4"/>
      <c r="N88" s="4"/>
      <c r="O88" s="4"/>
      <c r="P88" s="4"/>
      <c r="Q88" s="4"/>
      <c r="R88" s="4"/>
    </row>
    <row r="89" spans="1:18" x14ac:dyDescent="0.25">
      <c r="A89" s="4" t="s">
        <v>163</v>
      </c>
      <c r="B89" s="4" t="s">
        <v>387</v>
      </c>
      <c r="C89" s="4" t="s">
        <v>465</v>
      </c>
      <c r="D89" s="4" t="s">
        <v>582</v>
      </c>
      <c r="E89" s="4" t="s">
        <v>128</v>
      </c>
      <c r="F89" s="4" t="s">
        <v>598</v>
      </c>
      <c r="G89" s="7" t="s">
        <v>311</v>
      </c>
      <c r="H89" s="4" t="s">
        <v>599</v>
      </c>
      <c r="I89" s="4" t="s">
        <v>179</v>
      </c>
      <c r="J89" s="4" t="s">
        <v>600</v>
      </c>
      <c r="K89" s="4"/>
      <c r="L89" s="4" t="s">
        <v>2828</v>
      </c>
      <c r="M89" s="4"/>
      <c r="N89" s="4"/>
      <c r="O89" s="4"/>
      <c r="P89" s="4"/>
      <c r="Q89" s="4"/>
      <c r="R89" s="4"/>
    </row>
    <row r="90" spans="1:18" x14ac:dyDescent="0.25">
      <c r="A90" s="4" t="s">
        <v>163</v>
      </c>
      <c r="B90" s="4" t="s">
        <v>394</v>
      </c>
      <c r="C90" s="4" t="s">
        <v>465</v>
      </c>
      <c r="D90" s="4" t="s">
        <v>583</v>
      </c>
      <c r="E90" s="4" t="s">
        <v>321</v>
      </c>
      <c r="F90" s="4" t="s">
        <v>1141</v>
      </c>
      <c r="G90" s="7" t="s">
        <v>253</v>
      </c>
      <c r="H90" s="4" t="s">
        <v>1328</v>
      </c>
      <c r="I90" s="4" t="s">
        <v>21</v>
      </c>
      <c r="J90" s="4" t="s">
        <v>1501</v>
      </c>
      <c r="K90" s="4"/>
      <c r="L90" s="4" t="s">
        <v>2828</v>
      </c>
      <c r="M90" s="4"/>
      <c r="N90" s="4"/>
      <c r="O90" s="4"/>
      <c r="P90" s="4"/>
      <c r="Q90" s="4"/>
      <c r="R90" s="4"/>
    </row>
    <row r="91" spans="1:18" x14ac:dyDescent="0.25">
      <c r="A91" s="4" t="s">
        <v>163</v>
      </c>
      <c r="B91" s="4" t="s">
        <v>387</v>
      </c>
      <c r="C91" s="4" t="s">
        <v>465</v>
      </c>
      <c r="D91" s="4" t="s">
        <v>585</v>
      </c>
      <c r="E91" s="4" t="s">
        <v>361</v>
      </c>
      <c r="F91" s="4" t="s">
        <v>1142</v>
      </c>
      <c r="G91" s="7" t="s">
        <v>313</v>
      </c>
      <c r="H91" s="4" t="s">
        <v>1329</v>
      </c>
      <c r="I91" s="4" t="s">
        <v>98</v>
      </c>
      <c r="J91" s="4" t="s">
        <v>1502</v>
      </c>
      <c r="K91" s="4"/>
      <c r="L91" s="4" t="s">
        <v>2828</v>
      </c>
      <c r="M91" s="4"/>
      <c r="N91" s="4"/>
      <c r="O91" s="4"/>
      <c r="P91" s="4"/>
      <c r="Q91" s="4"/>
      <c r="R91" s="4"/>
    </row>
    <row r="92" spans="1:18" x14ac:dyDescent="0.25">
      <c r="A92" s="4" t="s">
        <v>389</v>
      </c>
      <c r="B92" s="4" t="s">
        <v>387</v>
      </c>
      <c r="C92" s="4" t="s">
        <v>465</v>
      </c>
      <c r="D92" s="4" t="s">
        <v>584</v>
      </c>
      <c r="E92" s="4" t="s">
        <v>311</v>
      </c>
      <c r="F92" s="4" t="s">
        <v>601</v>
      </c>
      <c r="G92" s="7" t="s">
        <v>361</v>
      </c>
      <c r="H92" s="4" t="s">
        <v>602</v>
      </c>
      <c r="I92" s="4" t="s">
        <v>128</v>
      </c>
      <c r="J92" s="4" t="s">
        <v>603</v>
      </c>
      <c r="K92" s="4"/>
      <c r="L92" s="4" t="s">
        <v>2828</v>
      </c>
      <c r="M92" s="4"/>
      <c r="N92" s="4"/>
      <c r="O92" s="4"/>
      <c r="P92" s="4"/>
      <c r="Q92" s="4"/>
      <c r="R92" s="4"/>
    </row>
    <row r="93" spans="1:18" x14ac:dyDescent="0.25">
      <c r="A93" s="4" t="s">
        <v>163</v>
      </c>
      <c r="B93" s="4" t="s">
        <v>387</v>
      </c>
      <c r="C93" s="4" t="s">
        <v>466</v>
      </c>
      <c r="D93" s="4" t="s">
        <v>586</v>
      </c>
      <c r="E93" s="4" t="s">
        <v>361</v>
      </c>
      <c r="F93" s="4" t="s">
        <v>1143</v>
      </c>
      <c r="G93" s="7" t="s">
        <v>128</v>
      </c>
      <c r="H93" s="4" t="s">
        <v>1330</v>
      </c>
      <c r="I93" s="4" t="s">
        <v>136</v>
      </c>
      <c r="J93" s="4" t="s">
        <v>616</v>
      </c>
      <c r="K93" s="4" t="s">
        <v>321</v>
      </c>
      <c r="L93" s="4" t="s">
        <v>617</v>
      </c>
      <c r="M93" s="4"/>
      <c r="N93" s="4"/>
      <c r="O93" s="4"/>
      <c r="P93" s="4"/>
      <c r="Q93" s="4"/>
      <c r="R93" s="4"/>
    </row>
    <row r="94" spans="1:18" x14ac:dyDescent="0.25">
      <c r="A94" s="4" t="s">
        <v>163</v>
      </c>
      <c r="B94" s="4" t="s">
        <v>387</v>
      </c>
      <c r="C94" s="4" t="s">
        <v>466</v>
      </c>
      <c r="D94" s="4" t="s">
        <v>587</v>
      </c>
      <c r="E94" s="4" t="s">
        <v>321</v>
      </c>
      <c r="F94" s="4" t="s">
        <v>1144</v>
      </c>
      <c r="G94" s="7" t="s">
        <v>98</v>
      </c>
      <c r="H94" s="4" t="s">
        <v>1331</v>
      </c>
      <c r="I94" s="4" t="s">
        <v>287</v>
      </c>
      <c r="J94" s="4" t="s">
        <v>1503</v>
      </c>
      <c r="K94" s="4"/>
      <c r="L94" s="4" t="s">
        <v>2828</v>
      </c>
      <c r="M94" s="4"/>
      <c r="N94" s="4"/>
      <c r="O94" s="4"/>
      <c r="P94" s="4"/>
      <c r="Q94" s="4"/>
      <c r="R94" s="4"/>
    </row>
    <row r="95" spans="1:18" x14ac:dyDescent="0.25">
      <c r="A95" s="4" t="s">
        <v>163</v>
      </c>
      <c r="B95" s="4" t="s">
        <v>387</v>
      </c>
      <c r="C95" s="4" t="s">
        <v>466</v>
      </c>
      <c r="D95" s="4" t="s">
        <v>591</v>
      </c>
      <c r="E95" s="4" t="s">
        <v>358</v>
      </c>
      <c r="F95" s="4" t="s">
        <v>1145</v>
      </c>
      <c r="G95" s="7" t="s">
        <v>25</v>
      </c>
      <c r="H95" s="4" t="s">
        <v>1332</v>
      </c>
      <c r="I95" s="4" t="s">
        <v>51</v>
      </c>
      <c r="J95" s="4" t="s">
        <v>1333</v>
      </c>
      <c r="K95" s="4"/>
      <c r="L95" s="4" t="s">
        <v>2828</v>
      </c>
      <c r="M95" s="4"/>
      <c r="N95" s="4"/>
      <c r="O95" s="4"/>
      <c r="P95" s="4"/>
      <c r="Q95" s="4"/>
      <c r="R95" s="4"/>
    </row>
    <row r="96" spans="1:18" x14ac:dyDescent="0.25">
      <c r="A96" s="4" t="s">
        <v>163</v>
      </c>
      <c r="B96" s="4" t="s">
        <v>387</v>
      </c>
      <c r="C96" s="4" t="s">
        <v>466</v>
      </c>
      <c r="D96" s="4" t="s">
        <v>592</v>
      </c>
      <c r="E96" s="4" t="s">
        <v>136</v>
      </c>
      <c r="F96" s="4" t="s">
        <v>1146</v>
      </c>
      <c r="G96" s="7" t="s">
        <v>51</v>
      </c>
      <c r="H96" s="4" t="s">
        <v>1333</v>
      </c>
      <c r="I96" s="4" t="s">
        <v>233</v>
      </c>
      <c r="J96" s="4" t="s">
        <v>1504</v>
      </c>
      <c r="K96" s="4"/>
      <c r="L96" s="4" t="s">
        <v>2828</v>
      </c>
      <c r="M96" s="4"/>
      <c r="N96" s="4"/>
      <c r="O96" s="4"/>
      <c r="P96" s="4"/>
      <c r="Q96" s="4"/>
      <c r="R96" s="4"/>
    </row>
    <row r="97" spans="1:18" x14ac:dyDescent="0.25">
      <c r="A97" s="4" t="s">
        <v>163</v>
      </c>
      <c r="B97" s="4" t="s">
        <v>394</v>
      </c>
      <c r="C97" s="4" t="s">
        <v>466</v>
      </c>
      <c r="D97" s="4" t="s">
        <v>594</v>
      </c>
      <c r="E97" s="4" t="s">
        <v>253</v>
      </c>
      <c r="F97" s="4" t="s">
        <v>1147</v>
      </c>
      <c r="G97" s="7" t="s">
        <v>280</v>
      </c>
      <c r="H97" s="4" t="s">
        <v>1334</v>
      </c>
      <c r="I97" s="4" t="s">
        <v>25</v>
      </c>
      <c r="J97" s="4" t="s">
        <v>1505</v>
      </c>
      <c r="K97" s="4"/>
      <c r="L97" s="4" t="s">
        <v>2828</v>
      </c>
      <c r="M97" s="4"/>
      <c r="N97" s="4"/>
      <c r="O97" s="4"/>
      <c r="P97" s="4"/>
      <c r="Q97" s="4"/>
      <c r="R97" s="4"/>
    </row>
    <row r="98" spans="1:18" x14ac:dyDescent="0.25">
      <c r="A98" s="4" t="s">
        <v>163</v>
      </c>
      <c r="B98" s="4" t="s">
        <v>394</v>
      </c>
      <c r="C98" s="4" t="s">
        <v>466</v>
      </c>
      <c r="D98" s="4" t="s">
        <v>595</v>
      </c>
      <c r="E98" s="4" t="s">
        <v>159</v>
      </c>
      <c r="F98" s="4" t="s">
        <v>1148</v>
      </c>
      <c r="G98" s="7" t="s">
        <v>100</v>
      </c>
      <c r="H98" s="4" t="s">
        <v>1335</v>
      </c>
      <c r="I98" s="4" t="s">
        <v>253</v>
      </c>
      <c r="J98" s="4" t="s">
        <v>1147</v>
      </c>
      <c r="K98" s="4"/>
      <c r="L98" s="4" t="s">
        <v>2828</v>
      </c>
      <c r="M98" s="4"/>
      <c r="N98" s="4"/>
      <c r="O98" s="4"/>
      <c r="P98" s="4"/>
      <c r="Q98" s="4"/>
      <c r="R98" s="4"/>
    </row>
    <row r="99" spans="1:18" x14ac:dyDescent="0.25">
      <c r="A99" s="4" t="s">
        <v>389</v>
      </c>
      <c r="B99" s="4" t="s">
        <v>387</v>
      </c>
      <c r="C99" s="4" t="s">
        <v>466</v>
      </c>
      <c r="D99" s="4" t="s">
        <v>588</v>
      </c>
      <c r="E99" s="4" t="s">
        <v>321</v>
      </c>
      <c r="F99" s="4" t="s">
        <v>2787</v>
      </c>
      <c r="G99" s="7" t="s">
        <v>361</v>
      </c>
      <c r="H99" s="4" t="s">
        <v>2812</v>
      </c>
      <c r="I99" s="4" t="s">
        <v>207</v>
      </c>
      <c r="J99" s="4" t="s">
        <v>2839</v>
      </c>
      <c r="K99" s="4"/>
      <c r="L99" s="4" t="s">
        <v>2828</v>
      </c>
      <c r="M99" s="4"/>
      <c r="N99" s="4"/>
      <c r="O99" s="4"/>
      <c r="P99" s="4"/>
      <c r="Q99" s="4"/>
      <c r="R99" s="4"/>
    </row>
    <row r="100" spans="1:18" x14ac:dyDescent="0.25">
      <c r="A100" s="4" t="s">
        <v>389</v>
      </c>
      <c r="B100" s="4" t="s">
        <v>387</v>
      </c>
      <c r="C100" s="4" t="s">
        <v>466</v>
      </c>
      <c r="D100" s="4" t="s">
        <v>589</v>
      </c>
      <c r="E100" s="4" t="s">
        <v>136</v>
      </c>
      <c r="F100" s="4" t="s">
        <v>2788</v>
      </c>
      <c r="G100" s="7" t="s">
        <v>536</v>
      </c>
      <c r="H100" s="4" t="s">
        <v>2813</v>
      </c>
      <c r="I100" s="4" t="s">
        <v>21</v>
      </c>
      <c r="J100" s="4" t="s">
        <v>2840</v>
      </c>
      <c r="K100" s="4"/>
      <c r="L100" s="4" t="s">
        <v>2828</v>
      </c>
      <c r="M100" s="4"/>
      <c r="N100" s="4"/>
      <c r="O100" s="4"/>
      <c r="P100" s="4"/>
      <c r="Q100" s="4"/>
      <c r="R100" s="4"/>
    </row>
    <row r="101" spans="1:18" x14ac:dyDescent="0.25">
      <c r="A101" s="4" t="s">
        <v>389</v>
      </c>
      <c r="B101" s="4" t="s">
        <v>387</v>
      </c>
      <c r="C101" s="4" t="s">
        <v>466</v>
      </c>
      <c r="D101" s="4" t="s">
        <v>590</v>
      </c>
      <c r="E101" s="4" t="s">
        <v>136</v>
      </c>
      <c r="F101" s="4" t="s">
        <v>135</v>
      </c>
      <c r="G101" s="7" t="s">
        <v>311</v>
      </c>
      <c r="H101" s="4" t="s">
        <v>310</v>
      </c>
      <c r="I101" s="4" t="s">
        <v>98</v>
      </c>
      <c r="J101" s="4" t="s">
        <v>97</v>
      </c>
      <c r="K101" s="4"/>
      <c r="L101" s="4" t="s">
        <v>2828</v>
      </c>
      <c r="M101" s="4"/>
      <c r="N101" s="4"/>
      <c r="O101" s="4"/>
      <c r="P101" s="4"/>
      <c r="Q101" s="4"/>
      <c r="R101" s="4"/>
    </row>
    <row r="102" spans="1:18" x14ac:dyDescent="0.25">
      <c r="A102" s="4" t="s">
        <v>389</v>
      </c>
      <c r="B102" s="4" t="s">
        <v>387</v>
      </c>
      <c r="C102" s="4" t="s">
        <v>466</v>
      </c>
      <c r="D102" s="4" t="s">
        <v>593</v>
      </c>
      <c r="E102" s="4" t="s">
        <v>136</v>
      </c>
      <c r="F102" s="4" t="s">
        <v>2789</v>
      </c>
      <c r="G102" s="7" t="s">
        <v>51</v>
      </c>
      <c r="H102" s="4" t="s">
        <v>2814</v>
      </c>
      <c r="I102" s="4" t="s">
        <v>358</v>
      </c>
      <c r="J102" s="4" t="s">
        <v>2841</v>
      </c>
      <c r="K102" s="4"/>
      <c r="L102" s="4" t="s">
        <v>2828</v>
      </c>
      <c r="M102" s="4"/>
      <c r="N102" s="4"/>
      <c r="O102" s="4"/>
      <c r="P102" s="4"/>
      <c r="Q102" s="4"/>
      <c r="R102" s="4"/>
    </row>
    <row r="103" spans="1:18" x14ac:dyDescent="0.25">
      <c r="A103" s="4" t="s">
        <v>389</v>
      </c>
      <c r="B103" s="4" t="s">
        <v>394</v>
      </c>
      <c r="C103" s="4" t="s">
        <v>466</v>
      </c>
      <c r="D103" s="4" t="s">
        <v>596</v>
      </c>
      <c r="E103" s="4" t="s">
        <v>159</v>
      </c>
      <c r="F103" s="4" t="s">
        <v>2790</v>
      </c>
      <c r="G103" s="7" t="s">
        <v>136</v>
      </c>
      <c r="H103" s="4" t="s">
        <v>2815</v>
      </c>
      <c r="I103" s="4" t="s">
        <v>280</v>
      </c>
      <c r="J103" s="4" t="s">
        <v>2842</v>
      </c>
      <c r="K103" s="4"/>
      <c r="L103" s="4" t="s">
        <v>2828</v>
      </c>
      <c r="M103" s="4"/>
      <c r="N103" s="4"/>
      <c r="O103" s="4"/>
      <c r="P103" s="4"/>
      <c r="Q103" s="4"/>
      <c r="R103" s="4"/>
    </row>
    <row r="104" spans="1:18" x14ac:dyDescent="0.25">
      <c r="A104" s="4" t="s">
        <v>389</v>
      </c>
      <c r="B104" s="4" t="s">
        <v>394</v>
      </c>
      <c r="C104" s="4" t="s">
        <v>466</v>
      </c>
      <c r="D104" s="4" t="s">
        <v>597</v>
      </c>
      <c r="E104" s="4" t="s">
        <v>159</v>
      </c>
      <c r="F104" s="4" t="s">
        <v>158</v>
      </c>
      <c r="G104" s="7" t="s">
        <v>136</v>
      </c>
      <c r="H104" s="4" t="s">
        <v>135</v>
      </c>
      <c r="I104" s="4" t="s">
        <v>35</v>
      </c>
      <c r="J104" s="4" t="s">
        <v>34</v>
      </c>
      <c r="K104" s="4"/>
      <c r="L104" s="4" t="s">
        <v>2828</v>
      </c>
      <c r="M104" s="4"/>
      <c r="N104" s="4"/>
      <c r="O104" s="4"/>
      <c r="P104" s="4"/>
      <c r="Q104" s="4"/>
      <c r="R104" s="4"/>
    </row>
    <row r="105" spans="1:18" x14ac:dyDescent="0.25">
      <c r="A105" s="4" t="s">
        <v>163</v>
      </c>
      <c r="B105" s="4" t="s">
        <v>387</v>
      </c>
      <c r="C105" s="4" t="s">
        <v>467</v>
      </c>
      <c r="D105" s="4" t="s">
        <v>387</v>
      </c>
      <c r="E105" s="4" t="s">
        <v>363</v>
      </c>
      <c r="F105" s="4" t="s">
        <v>1149</v>
      </c>
      <c r="G105" s="7" t="s">
        <v>250</v>
      </c>
      <c r="H105" s="4" t="s">
        <v>1336</v>
      </c>
      <c r="I105" s="4" t="s">
        <v>79</v>
      </c>
      <c r="J105" s="4" t="s">
        <v>1506</v>
      </c>
      <c r="K105" s="4"/>
      <c r="L105" s="4" t="s">
        <v>2828</v>
      </c>
      <c r="M105" s="4"/>
      <c r="N105" s="4"/>
      <c r="O105" s="4"/>
      <c r="P105" s="4"/>
      <c r="Q105" s="4"/>
      <c r="R105" s="4"/>
    </row>
    <row r="106" spans="1:18" x14ac:dyDescent="0.25">
      <c r="A106" s="4" t="s">
        <v>163</v>
      </c>
      <c r="B106" s="4" t="s">
        <v>394</v>
      </c>
      <c r="C106" s="4" t="s">
        <v>467</v>
      </c>
      <c r="D106" s="4" t="s">
        <v>394</v>
      </c>
      <c r="E106" s="4" t="s">
        <v>79</v>
      </c>
      <c r="F106" s="4" t="s">
        <v>1150</v>
      </c>
      <c r="G106" s="7" t="s">
        <v>363</v>
      </c>
      <c r="H106" s="4" t="s">
        <v>1337</v>
      </c>
      <c r="I106" s="4" t="s">
        <v>371</v>
      </c>
      <c r="J106" s="4" t="s">
        <v>1507</v>
      </c>
      <c r="K106" s="4"/>
      <c r="L106" s="4" t="s">
        <v>2828</v>
      </c>
      <c r="M106" s="4"/>
      <c r="N106" s="4"/>
      <c r="O106" s="4"/>
      <c r="P106" s="4"/>
      <c r="Q106" s="4"/>
      <c r="R106" s="4"/>
    </row>
    <row r="107" spans="1:18" x14ac:dyDescent="0.25">
      <c r="A107" s="4" t="s">
        <v>163</v>
      </c>
      <c r="B107" s="4" t="s">
        <v>387</v>
      </c>
      <c r="C107" s="4" t="s">
        <v>468</v>
      </c>
      <c r="D107" s="4" t="s">
        <v>604</v>
      </c>
      <c r="E107" s="4" t="s">
        <v>333</v>
      </c>
      <c r="F107" s="4" t="s">
        <v>944</v>
      </c>
      <c r="G107" s="7" t="s">
        <v>98</v>
      </c>
      <c r="H107" s="4" t="s">
        <v>945</v>
      </c>
      <c r="I107" s="4" t="s">
        <v>321</v>
      </c>
      <c r="J107" s="4" t="s">
        <v>946</v>
      </c>
      <c r="K107" s="4"/>
      <c r="L107" s="4" t="s">
        <v>2828</v>
      </c>
      <c r="M107" s="4"/>
      <c r="N107" s="4"/>
      <c r="O107" s="4"/>
      <c r="P107" s="4"/>
      <c r="Q107" s="4"/>
      <c r="R107" s="4"/>
    </row>
    <row r="108" spans="1:18" x14ac:dyDescent="0.25">
      <c r="A108" s="4" t="s">
        <v>163</v>
      </c>
      <c r="B108" s="4" t="s">
        <v>394</v>
      </c>
      <c r="C108" s="4" t="s">
        <v>468</v>
      </c>
      <c r="D108" s="4" t="s">
        <v>605</v>
      </c>
      <c r="E108" s="4" t="s">
        <v>331</v>
      </c>
      <c r="F108" s="4" t="s">
        <v>1151</v>
      </c>
      <c r="G108" s="7" t="s">
        <v>280</v>
      </c>
      <c r="H108" s="4" t="s">
        <v>1338</v>
      </c>
      <c r="I108" s="4" t="s">
        <v>66</v>
      </c>
      <c r="J108" s="4" t="s">
        <v>1508</v>
      </c>
      <c r="K108" s="4"/>
      <c r="L108" s="4" t="s">
        <v>2828</v>
      </c>
      <c r="M108" s="4"/>
      <c r="N108" s="4"/>
      <c r="O108" s="4"/>
      <c r="P108" s="4"/>
      <c r="Q108" s="4"/>
      <c r="R108" s="4"/>
    </row>
    <row r="109" spans="1:18" x14ac:dyDescent="0.25">
      <c r="A109" s="4" t="s">
        <v>163</v>
      </c>
      <c r="B109" s="4" t="s">
        <v>387</v>
      </c>
      <c r="C109" s="4" t="s">
        <v>469</v>
      </c>
      <c r="D109" s="4" t="s">
        <v>606</v>
      </c>
      <c r="E109" s="4" t="s">
        <v>37</v>
      </c>
      <c r="F109" s="4" t="s">
        <v>1152</v>
      </c>
      <c r="G109" s="7" t="s">
        <v>100</v>
      </c>
      <c r="H109" s="4" t="s">
        <v>1339</v>
      </c>
      <c r="I109" s="4" t="s">
        <v>280</v>
      </c>
      <c r="J109" s="4" t="s">
        <v>1509</v>
      </c>
      <c r="K109" s="4"/>
      <c r="L109" s="4" t="s">
        <v>2828</v>
      </c>
      <c r="M109" s="4"/>
      <c r="N109" s="4"/>
      <c r="O109" s="4"/>
      <c r="P109" s="4"/>
      <c r="Q109" s="4"/>
      <c r="R109" s="4"/>
    </row>
    <row r="110" spans="1:18" x14ac:dyDescent="0.25">
      <c r="A110" s="4" t="s">
        <v>163</v>
      </c>
      <c r="B110" s="4" t="s">
        <v>387</v>
      </c>
      <c r="C110" s="4" t="s">
        <v>469</v>
      </c>
      <c r="D110" s="4" t="s">
        <v>607</v>
      </c>
      <c r="E110" s="4" t="s">
        <v>333</v>
      </c>
      <c r="F110" s="4" t="s">
        <v>1153</v>
      </c>
      <c r="G110" s="7" t="s">
        <v>250</v>
      </c>
      <c r="H110" s="4" t="s">
        <v>1340</v>
      </c>
      <c r="I110" s="4" t="s">
        <v>361</v>
      </c>
      <c r="J110" s="4" t="s">
        <v>1510</v>
      </c>
      <c r="K110" s="4"/>
      <c r="L110" s="4" t="s">
        <v>2828</v>
      </c>
      <c r="M110" s="4"/>
      <c r="N110" s="4"/>
      <c r="O110" s="4"/>
      <c r="P110" s="4"/>
      <c r="Q110" s="4"/>
      <c r="R110" s="4"/>
    </row>
    <row r="111" spans="1:18" x14ac:dyDescent="0.25">
      <c r="A111" s="4" t="s">
        <v>163</v>
      </c>
      <c r="B111" s="4" t="s">
        <v>394</v>
      </c>
      <c r="C111" s="4" t="s">
        <v>469</v>
      </c>
      <c r="D111" s="4" t="s">
        <v>608</v>
      </c>
      <c r="E111" s="4" t="s">
        <v>250</v>
      </c>
      <c r="F111" s="4" t="s">
        <v>1154</v>
      </c>
      <c r="G111" s="7" t="s">
        <v>331</v>
      </c>
      <c r="H111" s="4" t="s">
        <v>1341</v>
      </c>
      <c r="I111" s="4" t="s">
        <v>175</v>
      </c>
      <c r="J111" s="4" t="s">
        <v>1511</v>
      </c>
      <c r="K111" s="4"/>
      <c r="L111" s="4" t="s">
        <v>2828</v>
      </c>
      <c r="M111" s="4"/>
      <c r="N111" s="4"/>
      <c r="O111" s="4"/>
      <c r="P111" s="4"/>
      <c r="Q111" s="4"/>
      <c r="R111" s="4"/>
    </row>
    <row r="112" spans="1:18" x14ac:dyDescent="0.25">
      <c r="A112" s="4" t="s">
        <v>163</v>
      </c>
      <c r="B112" s="4" t="s">
        <v>394</v>
      </c>
      <c r="C112" s="4" t="s">
        <v>469</v>
      </c>
      <c r="D112" s="4" t="s">
        <v>609</v>
      </c>
      <c r="E112" s="4" t="s">
        <v>363</v>
      </c>
      <c r="F112" s="4" t="s">
        <v>1155</v>
      </c>
      <c r="G112" s="7" t="s">
        <v>287</v>
      </c>
      <c r="H112" s="4" t="s">
        <v>1342</v>
      </c>
      <c r="I112" s="4" t="s">
        <v>250</v>
      </c>
      <c r="J112" s="4" t="s">
        <v>1154</v>
      </c>
      <c r="K112" s="4"/>
      <c r="L112" s="4" t="s">
        <v>2828</v>
      </c>
      <c r="M112" s="4"/>
      <c r="N112" s="4"/>
      <c r="O112" s="4"/>
      <c r="P112" s="4"/>
      <c r="Q112" s="4"/>
      <c r="R112" s="4"/>
    </row>
    <row r="113" spans="1:18" x14ac:dyDescent="0.25">
      <c r="A113" s="4" t="s">
        <v>163</v>
      </c>
      <c r="B113" s="4" t="s">
        <v>387</v>
      </c>
      <c r="C113" s="4" t="s">
        <v>470</v>
      </c>
      <c r="D113" s="4" t="s">
        <v>610</v>
      </c>
      <c r="E113" s="4" t="s">
        <v>361</v>
      </c>
      <c r="F113" s="4" t="s">
        <v>1156</v>
      </c>
      <c r="G113" s="7" t="s">
        <v>361</v>
      </c>
      <c r="H113" s="4" t="s">
        <v>1343</v>
      </c>
      <c r="I113" s="4" t="s">
        <v>287</v>
      </c>
      <c r="J113" s="4" t="s">
        <v>1512</v>
      </c>
      <c r="K113" s="4"/>
      <c r="L113" s="4" t="s">
        <v>2828</v>
      </c>
      <c r="M113" s="4"/>
      <c r="N113" s="4"/>
      <c r="O113" s="4"/>
      <c r="P113" s="4"/>
      <c r="Q113" s="4"/>
      <c r="R113" s="4"/>
    </row>
    <row r="114" spans="1:18" x14ac:dyDescent="0.25">
      <c r="A114" s="4" t="s">
        <v>163</v>
      </c>
      <c r="B114" s="4" t="s">
        <v>394</v>
      </c>
      <c r="C114" s="4" t="s">
        <v>470</v>
      </c>
      <c r="D114" s="4" t="s">
        <v>611</v>
      </c>
      <c r="E114" s="4" t="s">
        <v>136</v>
      </c>
      <c r="F114" s="4" t="s">
        <v>1157</v>
      </c>
      <c r="G114" s="7" t="s">
        <v>361</v>
      </c>
      <c r="H114" s="4" t="s">
        <v>1344</v>
      </c>
      <c r="I114" s="4" t="s">
        <v>361</v>
      </c>
      <c r="J114" s="4" t="s">
        <v>1513</v>
      </c>
      <c r="K114" s="4"/>
      <c r="L114" s="4" t="s">
        <v>2828</v>
      </c>
      <c r="M114" s="4"/>
      <c r="N114" s="4"/>
      <c r="O114" s="4"/>
      <c r="P114" s="4"/>
      <c r="Q114" s="4"/>
      <c r="R114" s="4"/>
    </row>
    <row r="115" spans="1:18" x14ac:dyDescent="0.25">
      <c r="A115" s="4" t="s">
        <v>163</v>
      </c>
      <c r="B115" s="4" t="s">
        <v>387</v>
      </c>
      <c r="C115" s="4" t="s">
        <v>470</v>
      </c>
      <c r="D115" s="4" t="s">
        <v>423</v>
      </c>
      <c r="E115" s="4" t="s">
        <v>361</v>
      </c>
      <c r="F115" s="4" t="s">
        <v>1156</v>
      </c>
      <c r="G115" s="7" t="s">
        <v>250</v>
      </c>
      <c r="H115" s="4" t="s">
        <v>1345</v>
      </c>
      <c r="I115" s="4" t="s">
        <v>217</v>
      </c>
      <c r="J115" s="4" t="s">
        <v>1514</v>
      </c>
      <c r="K115" s="4"/>
      <c r="L115" s="4" t="s">
        <v>2828</v>
      </c>
      <c r="M115" s="4"/>
      <c r="N115" s="4"/>
      <c r="O115" s="4"/>
      <c r="P115" s="4"/>
      <c r="Q115" s="4"/>
      <c r="R115" s="4"/>
    </row>
    <row r="116" spans="1:18" x14ac:dyDescent="0.25">
      <c r="A116" s="4" t="s">
        <v>163</v>
      </c>
      <c r="B116" s="4" t="s">
        <v>394</v>
      </c>
      <c r="C116" s="4" t="s">
        <v>470</v>
      </c>
      <c r="D116" s="4" t="s">
        <v>424</v>
      </c>
      <c r="E116" s="4" t="s">
        <v>250</v>
      </c>
      <c r="F116" s="4" t="s">
        <v>1158</v>
      </c>
      <c r="G116" s="7" t="s">
        <v>361</v>
      </c>
      <c r="H116" s="4" t="s">
        <v>1344</v>
      </c>
      <c r="I116" s="4" t="s">
        <v>21</v>
      </c>
      <c r="J116" s="4" t="s">
        <v>1515</v>
      </c>
      <c r="K116" s="4"/>
      <c r="L116" s="4" t="s">
        <v>2828</v>
      </c>
      <c r="M116" s="4"/>
      <c r="N116" s="4"/>
      <c r="O116" s="4"/>
      <c r="P116" s="4"/>
      <c r="Q116" s="4"/>
      <c r="R116" s="4"/>
    </row>
    <row r="117" spans="1:18" x14ac:dyDescent="0.25">
      <c r="A117" s="4" t="s">
        <v>163</v>
      </c>
      <c r="B117" s="4" t="s">
        <v>387</v>
      </c>
      <c r="C117" s="4" t="s">
        <v>470</v>
      </c>
      <c r="D117" s="4" t="s">
        <v>425</v>
      </c>
      <c r="E117" s="4" t="s">
        <v>175</v>
      </c>
      <c r="F117" s="4" t="s">
        <v>1159</v>
      </c>
      <c r="G117" s="7" t="s">
        <v>361</v>
      </c>
      <c r="H117" s="4" t="s">
        <v>1346</v>
      </c>
      <c r="I117" s="4" t="s">
        <v>100</v>
      </c>
      <c r="J117" s="4" t="s">
        <v>1516</v>
      </c>
      <c r="K117" s="4"/>
      <c r="L117" s="4" t="s">
        <v>2828</v>
      </c>
      <c r="M117" s="4"/>
      <c r="N117" s="4"/>
      <c r="O117" s="4"/>
      <c r="P117" s="4"/>
      <c r="Q117" s="4"/>
      <c r="R117" s="4"/>
    </row>
    <row r="118" spans="1:18" x14ac:dyDescent="0.25">
      <c r="A118" s="4" t="s">
        <v>163</v>
      </c>
      <c r="B118" s="4" t="s">
        <v>394</v>
      </c>
      <c r="C118" s="4" t="s">
        <v>470</v>
      </c>
      <c r="D118" s="4" t="s">
        <v>426</v>
      </c>
      <c r="E118" s="4" t="s">
        <v>361</v>
      </c>
      <c r="F118" s="4" t="s">
        <v>1160</v>
      </c>
      <c r="G118" s="7" t="s">
        <v>363</v>
      </c>
      <c r="H118" s="4" t="s">
        <v>1347</v>
      </c>
      <c r="I118" s="4" t="s">
        <v>37</v>
      </c>
      <c r="J118" s="4" t="s">
        <v>1517</v>
      </c>
      <c r="K118" s="4"/>
      <c r="L118" s="4" t="s">
        <v>2828</v>
      </c>
      <c r="M118" s="4"/>
      <c r="N118" s="4"/>
      <c r="O118" s="4"/>
      <c r="P118" s="4"/>
      <c r="Q118" s="4"/>
      <c r="R118" s="4"/>
    </row>
    <row r="119" spans="1:18" x14ac:dyDescent="0.25">
      <c r="A119" s="4" t="s">
        <v>389</v>
      </c>
      <c r="B119" s="4" t="s">
        <v>387</v>
      </c>
      <c r="C119" s="4" t="s">
        <v>470</v>
      </c>
      <c r="D119" s="4" t="s">
        <v>612</v>
      </c>
      <c r="E119" s="4" t="s">
        <v>361</v>
      </c>
      <c r="F119" s="4" t="s">
        <v>391</v>
      </c>
      <c r="G119" s="7" t="s">
        <v>253</v>
      </c>
      <c r="H119" s="4" t="s">
        <v>252</v>
      </c>
      <c r="I119" s="4" t="s">
        <v>128</v>
      </c>
      <c r="J119" s="4" t="s">
        <v>127</v>
      </c>
      <c r="K119" s="4"/>
      <c r="L119" s="4" t="s">
        <v>2828</v>
      </c>
      <c r="M119" s="4"/>
      <c r="N119" s="4"/>
      <c r="O119" s="4"/>
      <c r="P119" s="4"/>
      <c r="Q119" s="4"/>
      <c r="R119" s="4"/>
    </row>
    <row r="120" spans="1:18" x14ac:dyDescent="0.25">
      <c r="A120" s="4" t="s">
        <v>389</v>
      </c>
      <c r="B120" s="4" t="s">
        <v>394</v>
      </c>
      <c r="C120" s="4" t="s">
        <v>470</v>
      </c>
      <c r="D120" s="4" t="s">
        <v>613</v>
      </c>
      <c r="E120" s="4" t="s">
        <v>77</v>
      </c>
      <c r="F120" s="4" t="s">
        <v>2791</v>
      </c>
      <c r="G120" s="7" t="s">
        <v>287</v>
      </c>
      <c r="H120" s="4" t="s">
        <v>2816</v>
      </c>
      <c r="I120" s="4" t="s">
        <v>136</v>
      </c>
      <c r="J120" s="4" t="s">
        <v>2843</v>
      </c>
      <c r="K120" s="4"/>
      <c r="L120" s="4" t="s">
        <v>2828</v>
      </c>
      <c r="M120" s="4"/>
      <c r="N120" s="4"/>
      <c r="O120" s="4"/>
      <c r="P120" s="4"/>
      <c r="Q120" s="4"/>
      <c r="R120" s="4"/>
    </row>
    <row r="121" spans="1:18" x14ac:dyDescent="0.25">
      <c r="A121" s="4" t="s">
        <v>389</v>
      </c>
      <c r="B121" s="4" t="s">
        <v>387</v>
      </c>
      <c r="C121" s="4" t="s">
        <v>470</v>
      </c>
      <c r="D121" s="4" t="s">
        <v>614</v>
      </c>
      <c r="E121" s="4" t="s">
        <v>361</v>
      </c>
      <c r="F121" s="4" t="s">
        <v>391</v>
      </c>
      <c r="G121" s="7" t="s">
        <v>21</v>
      </c>
      <c r="H121" s="4" t="s">
        <v>20</v>
      </c>
      <c r="I121" s="4" t="s">
        <v>100</v>
      </c>
      <c r="J121" s="4" t="s">
        <v>99</v>
      </c>
      <c r="K121" s="4"/>
      <c r="L121" s="4" t="s">
        <v>2828</v>
      </c>
      <c r="M121" s="4"/>
      <c r="N121" s="4"/>
      <c r="O121" s="4"/>
      <c r="P121" s="4"/>
      <c r="Q121" s="4"/>
      <c r="R121" s="4"/>
    </row>
    <row r="122" spans="1:18" x14ac:dyDescent="0.25">
      <c r="A122" s="4" t="s">
        <v>389</v>
      </c>
      <c r="B122" s="4" t="s">
        <v>394</v>
      </c>
      <c r="C122" s="4" t="s">
        <v>470</v>
      </c>
      <c r="D122" s="4" t="s">
        <v>615</v>
      </c>
      <c r="E122" s="4" t="s">
        <v>361</v>
      </c>
      <c r="F122" s="4" t="s">
        <v>391</v>
      </c>
      <c r="G122" s="7" t="s">
        <v>363</v>
      </c>
      <c r="H122" s="4" t="s">
        <v>362</v>
      </c>
      <c r="I122" s="4" t="s">
        <v>66</v>
      </c>
      <c r="J122" s="4" t="s">
        <v>65</v>
      </c>
      <c r="K122" s="4"/>
      <c r="L122" s="4" t="s">
        <v>2828</v>
      </c>
      <c r="M122" s="4"/>
      <c r="N122" s="4"/>
      <c r="O122" s="4"/>
      <c r="P122" s="4"/>
      <c r="Q122" s="4"/>
      <c r="R122" s="4"/>
    </row>
    <row r="123" spans="1:18" x14ac:dyDescent="0.25">
      <c r="A123" s="4" t="s">
        <v>163</v>
      </c>
      <c r="B123" s="4" t="s">
        <v>387</v>
      </c>
      <c r="C123" s="4" t="s">
        <v>404</v>
      </c>
      <c r="D123" s="4" t="s">
        <v>618</v>
      </c>
      <c r="E123" s="4" t="s">
        <v>77</v>
      </c>
      <c r="F123" s="4" t="s">
        <v>1161</v>
      </c>
      <c r="G123" s="7" t="s">
        <v>361</v>
      </c>
      <c r="H123" s="4" t="s">
        <v>1348</v>
      </c>
      <c r="I123" s="4" t="s">
        <v>136</v>
      </c>
      <c r="J123" s="4" t="s">
        <v>1518</v>
      </c>
      <c r="K123" s="4"/>
      <c r="L123" s="4" t="s">
        <v>2828</v>
      </c>
      <c r="M123" s="4"/>
      <c r="N123" s="4"/>
      <c r="O123" s="4"/>
      <c r="P123" s="4"/>
      <c r="Q123" s="4"/>
      <c r="R123" s="4"/>
    </row>
    <row r="124" spans="1:18" x14ac:dyDescent="0.25">
      <c r="A124" s="4" t="s">
        <v>163</v>
      </c>
      <c r="B124" s="4" t="s">
        <v>394</v>
      </c>
      <c r="C124" s="4" t="s">
        <v>404</v>
      </c>
      <c r="D124" s="4" t="s">
        <v>619</v>
      </c>
      <c r="E124" s="4" t="s">
        <v>77</v>
      </c>
      <c r="F124" s="4" t="s">
        <v>1162</v>
      </c>
      <c r="G124" s="7" t="s">
        <v>77</v>
      </c>
      <c r="H124" s="4" t="s">
        <v>1349</v>
      </c>
      <c r="I124" s="4" t="s">
        <v>175</v>
      </c>
      <c r="J124" s="4" t="s">
        <v>1519</v>
      </c>
      <c r="K124" s="4"/>
      <c r="L124" s="4" t="s">
        <v>2828</v>
      </c>
      <c r="M124" s="4"/>
      <c r="N124" s="4"/>
      <c r="O124" s="4"/>
      <c r="P124" s="4"/>
      <c r="Q124" s="4"/>
      <c r="R124" s="4"/>
    </row>
    <row r="125" spans="1:18" x14ac:dyDescent="0.25">
      <c r="A125" s="4" t="s">
        <v>163</v>
      </c>
      <c r="B125" s="4" t="s">
        <v>387</v>
      </c>
      <c r="C125" s="4" t="s">
        <v>404</v>
      </c>
      <c r="D125" s="4" t="s">
        <v>620</v>
      </c>
      <c r="E125" s="4" t="s">
        <v>77</v>
      </c>
      <c r="F125" s="4" t="s">
        <v>1163</v>
      </c>
      <c r="G125" s="7" t="s">
        <v>229</v>
      </c>
      <c r="H125" s="4" t="s">
        <v>1350</v>
      </c>
      <c r="I125" s="4" t="s">
        <v>363</v>
      </c>
      <c r="J125" s="4" t="s">
        <v>1520</v>
      </c>
      <c r="K125" s="4"/>
      <c r="L125" s="4" t="s">
        <v>2828</v>
      </c>
      <c r="M125" s="4"/>
      <c r="N125" s="4"/>
      <c r="O125" s="4"/>
      <c r="P125" s="4"/>
      <c r="Q125" s="4"/>
      <c r="R125" s="4"/>
    </row>
    <row r="126" spans="1:18" x14ac:dyDescent="0.25">
      <c r="A126" s="4" t="s">
        <v>163</v>
      </c>
      <c r="B126" s="4" t="s">
        <v>394</v>
      </c>
      <c r="C126" s="4" t="s">
        <v>404</v>
      </c>
      <c r="D126" s="4" t="s">
        <v>621</v>
      </c>
      <c r="E126" s="4" t="s">
        <v>77</v>
      </c>
      <c r="F126" s="4" t="s">
        <v>1164</v>
      </c>
      <c r="G126" s="7" t="s">
        <v>77</v>
      </c>
      <c r="H126" s="4" t="s">
        <v>1351</v>
      </c>
      <c r="I126" s="4" t="s">
        <v>66</v>
      </c>
      <c r="J126" s="4" t="s">
        <v>1521</v>
      </c>
      <c r="K126" s="4"/>
      <c r="L126" s="4" t="s">
        <v>2828</v>
      </c>
      <c r="M126" s="4"/>
      <c r="N126" s="4"/>
      <c r="O126" s="4"/>
      <c r="P126" s="4"/>
      <c r="Q126" s="4"/>
      <c r="R126" s="4"/>
    </row>
    <row r="127" spans="1:18" x14ac:dyDescent="0.25">
      <c r="A127" s="4" t="s">
        <v>389</v>
      </c>
      <c r="B127" s="4" t="s">
        <v>387</v>
      </c>
      <c r="C127" s="4" t="s">
        <v>404</v>
      </c>
      <c r="D127" s="4" t="s">
        <v>622</v>
      </c>
      <c r="E127" s="4" t="s">
        <v>361</v>
      </c>
      <c r="F127" s="4" t="s">
        <v>947</v>
      </c>
      <c r="G127" s="7" t="s">
        <v>363</v>
      </c>
      <c r="H127" s="4" t="s">
        <v>948</v>
      </c>
      <c r="I127" s="4" t="s">
        <v>77</v>
      </c>
      <c r="J127" s="4" t="s">
        <v>949</v>
      </c>
      <c r="K127" s="4"/>
      <c r="L127" s="4" t="s">
        <v>2828</v>
      </c>
      <c r="M127" s="4"/>
      <c r="N127" s="4"/>
      <c r="O127" s="4"/>
      <c r="P127" s="4"/>
      <c r="Q127" s="4"/>
      <c r="R127" s="4"/>
    </row>
    <row r="128" spans="1:18" x14ac:dyDescent="0.25">
      <c r="A128" s="4" t="s">
        <v>389</v>
      </c>
      <c r="B128" s="4" t="s">
        <v>394</v>
      </c>
      <c r="C128" s="4" t="s">
        <v>404</v>
      </c>
      <c r="D128" s="4" t="s">
        <v>623</v>
      </c>
      <c r="E128" s="4" t="s">
        <v>77</v>
      </c>
      <c r="F128" s="4" t="s">
        <v>950</v>
      </c>
      <c r="G128" s="7" t="s">
        <v>175</v>
      </c>
      <c r="H128" s="4" t="s">
        <v>951</v>
      </c>
      <c r="I128" s="4" t="s">
        <v>21</v>
      </c>
      <c r="J128" s="4" t="s">
        <v>952</v>
      </c>
      <c r="K128" s="4"/>
      <c r="L128" s="4" t="s">
        <v>2828</v>
      </c>
      <c r="M128" s="4"/>
      <c r="N128" s="4"/>
      <c r="O128" s="4"/>
      <c r="P128" s="4"/>
      <c r="Q128" s="4"/>
      <c r="R128" s="4"/>
    </row>
    <row r="129" spans="1:18" x14ac:dyDescent="0.25">
      <c r="A129" s="4" t="s">
        <v>389</v>
      </c>
      <c r="B129" s="4" t="s">
        <v>387</v>
      </c>
      <c r="C129" s="4" t="s">
        <v>404</v>
      </c>
      <c r="D129" s="4" t="s">
        <v>624</v>
      </c>
      <c r="E129" s="4" t="s">
        <v>77</v>
      </c>
      <c r="F129" s="4" t="s">
        <v>953</v>
      </c>
      <c r="G129" s="7" t="s">
        <v>363</v>
      </c>
      <c r="H129" s="4" t="s">
        <v>954</v>
      </c>
      <c r="I129" s="4" t="s">
        <v>361</v>
      </c>
      <c r="J129" s="4" t="s">
        <v>955</v>
      </c>
      <c r="K129" s="4"/>
      <c r="L129" s="4" t="s">
        <v>2828</v>
      </c>
      <c r="M129" s="4"/>
      <c r="N129" s="4"/>
      <c r="O129" s="4"/>
      <c r="P129" s="4"/>
      <c r="Q129" s="4"/>
      <c r="R129" s="4"/>
    </row>
    <row r="130" spans="1:18" x14ac:dyDescent="0.25">
      <c r="A130" s="4" t="s">
        <v>389</v>
      </c>
      <c r="B130" s="4" t="s">
        <v>394</v>
      </c>
      <c r="C130" s="4" t="s">
        <v>404</v>
      </c>
      <c r="D130" s="4" t="s">
        <v>625</v>
      </c>
      <c r="E130" s="4" t="s">
        <v>77</v>
      </c>
      <c r="F130" s="4" t="s">
        <v>956</v>
      </c>
      <c r="G130" s="7" t="s">
        <v>217</v>
      </c>
      <c r="H130" s="4" t="s">
        <v>957</v>
      </c>
      <c r="I130" s="4" t="s">
        <v>66</v>
      </c>
      <c r="J130" s="4" t="s">
        <v>958</v>
      </c>
      <c r="K130" s="4"/>
      <c r="L130" s="4" t="s">
        <v>2828</v>
      </c>
      <c r="M130" s="4"/>
      <c r="N130" s="4"/>
      <c r="O130" s="4"/>
      <c r="P130" s="4"/>
      <c r="Q130" s="4"/>
      <c r="R130" s="4"/>
    </row>
    <row r="131" spans="1:18" x14ac:dyDescent="0.25">
      <c r="A131" s="4" t="s">
        <v>163</v>
      </c>
      <c r="B131" s="4" t="s">
        <v>399</v>
      </c>
      <c r="C131" s="4" t="s">
        <v>405</v>
      </c>
      <c r="D131" s="4" t="s">
        <v>626</v>
      </c>
      <c r="E131" s="4" t="s">
        <v>136</v>
      </c>
      <c r="F131" s="4" t="s">
        <v>1165</v>
      </c>
      <c r="G131" s="7" t="s">
        <v>128</v>
      </c>
      <c r="H131" s="4" t="s">
        <v>1352</v>
      </c>
      <c r="I131" s="4" t="s">
        <v>363</v>
      </c>
      <c r="J131" s="4" t="s">
        <v>1522</v>
      </c>
      <c r="K131" s="4"/>
      <c r="L131" s="4" t="s">
        <v>2828</v>
      </c>
      <c r="M131" s="4"/>
      <c r="N131" s="4"/>
      <c r="O131" s="4"/>
      <c r="P131" s="4"/>
      <c r="Q131" s="4"/>
      <c r="R131" s="4"/>
    </row>
    <row r="132" spans="1:18" x14ac:dyDescent="0.25">
      <c r="A132" s="4" t="s">
        <v>163</v>
      </c>
      <c r="B132" s="4" t="s">
        <v>399</v>
      </c>
      <c r="C132" s="4" t="s">
        <v>405</v>
      </c>
      <c r="D132" s="4" t="s">
        <v>628</v>
      </c>
      <c r="E132" s="4" t="s">
        <v>361</v>
      </c>
      <c r="F132" s="4" t="s">
        <v>1166</v>
      </c>
      <c r="G132" s="7" t="s">
        <v>136</v>
      </c>
      <c r="H132" s="4" t="s">
        <v>1353</v>
      </c>
      <c r="I132" s="4" t="s">
        <v>136</v>
      </c>
      <c r="J132" s="4" t="s">
        <v>1523</v>
      </c>
      <c r="K132" s="4"/>
      <c r="L132" s="4" t="s">
        <v>2828</v>
      </c>
      <c r="M132" s="4"/>
      <c r="N132" s="4"/>
      <c r="O132" s="4"/>
      <c r="P132" s="4"/>
      <c r="Q132" s="4"/>
      <c r="R132" s="4"/>
    </row>
    <row r="133" spans="1:18" x14ac:dyDescent="0.25">
      <c r="A133" s="4" t="s">
        <v>163</v>
      </c>
      <c r="B133" s="4" t="s">
        <v>399</v>
      </c>
      <c r="C133" s="4" t="s">
        <v>405</v>
      </c>
      <c r="D133" s="4" t="s">
        <v>630</v>
      </c>
      <c r="E133" s="4" t="s">
        <v>361</v>
      </c>
      <c r="F133" s="4" t="s">
        <v>1167</v>
      </c>
      <c r="G133" s="7" t="s">
        <v>331</v>
      </c>
      <c r="H133" s="4" t="s">
        <v>1354</v>
      </c>
      <c r="I133" s="4" t="s">
        <v>66</v>
      </c>
      <c r="J133" s="4" t="s">
        <v>1524</v>
      </c>
      <c r="K133" s="4"/>
      <c r="L133" s="4" t="s">
        <v>2828</v>
      </c>
      <c r="M133" s="4"/>
      <c r="N133" s="4"/>
      <c r="O133" s="4"/>
      <c r="P133" s="4"/>
      <c r="Q133" s="4"/>
      <c r="R133" s="4"/>
    </row>
    <row r="134" spans="1:18" x14ac:dyDescent="0.25">
      <c r="A134" s="4" t="s">
        <v>389</v>
      </c>
      <c r="B134" s="4" t="s">
        <v>399</v>
      </c>
      <c r="C134" s="4" t="s">
        <v>405</v>
      </c>
      <c r="D134" s="4" t="s">
        <v>627</v>
      </c>
      <c r="E134" s="4" t="s">
        <v>128</v>
      </c>
      <c r="F134" s="4" t="s">
        <v>127</v>
      </c>
      <c r="G134" s="7" t="s">
        <v>136</v>
      </c>
      <c r="H134" s="4" t="s">
        <v>135</v>
      </c>
      <c r="I134" s="4" t="s">
        <v>21</v>
      </c>
      <c r="J134" s="4" t="s">
        <v>20</v>
      </c>
      <c r="K134" s="4"/>
      <c r="L134" s="4" t="s">
        <v>2828</v>
      </c>
      <c r="M134" s="4"/>
      <c r="N134" s="4"/>
      <c r="O134" s="4"/>
      <c r="P134" s="4"/>
      <c r="Q134" s="4"/>
      <c r="R134" s="4"/>
    </row>
    <row r="135" spans="1:18" x14ac:dyDescent="0.25">
      <c r="A135" s="4" t="s">
        <v>389</v>
      </c>
      <c r="B135" s="4" t="s">
        <v>399</v>
      </c>
      <c r="C135" s="4" t="s">
        <v>405</v>
      </c>
      <c r="D135" s="4" t="s">
        <v>629</v>
      </c>
      <c r="E135" s="4" t="s">
        <v>136</v>
      </c>
      <c r="F135" s="4" t="s">
        <v>135</v>
      </c>
      <c r="G135" s="7" t="s">
        <v>361</v>
      </c>
      <c r="H135" s="4" t="s">
        <v>391</v>
      </c>
      <c r="I135" s="4" t="s">
        <v>363</v>
      </c>
      <c r="J135" s="4" t="s">
        <v>362</v>
      </c>
      <c r="K135" s="4"/>
      <c r="L135" s="4" t="s">
        <v>2828</v>
      </c>
      <c r="M135" s="4"/>
      <c r="N135" s="4"/>
      <c r="O135" s="4"/>
      <c r="P135" s="4"/>
      <c r="Q135" s="4"/>
      <c r="R135" s="4"/>
    </row>
    <row r="136" spans="1:18" x14ac:dyDescent="0.25">
      <c r="A136" s="4" t="s">
        <v>389</v>
      </c>
      <c r="B136" s="4" t="s">
        <v>399</v>
      </c>
      <c r="C136" s="4" t="s">
        <v>405</v>
      </c>
      <c r="D136" s="4" t="s">
        <v>631</v>
      </c>
      <c r="E136" s="4" t="s">
        <v>128</v>
      </c>
      <c r="F136" s="4" t="s">
        <v>127</v>
      </c>
      <c r="G136" s="7" t="s">
        <v>363</v>
      </c>
      <c r="H136" s="4" t="s">
        <v>362</v>
      </c>
      <c r="I136" s="4" t="s">
        <v>136</v>
      </c>
      <c r="J136" s="4" t="s">
        <v>135</v>
      </c>
      <c r="K136" s="4"/>
      <c r="L136" s="4" t="s">
        <v>2828</v>
      </c>
      <c r="M136" s="4"/>
      <c r="N136" s="4"/>
      <c r="O136" s="4"/>
      <c r="P136" s="4"/>
      <c r="Q136" s="4"/>
      <c r="R136" s="4"/>
    </row>
    <row r="137" spans="1:18" x14ac:dyDescent="0.25">
      <c r="A137" s="4" t="s">
        <v>163</v>
      </c>
      <c r="B137" s="4" t="s">
        <v>387</v>
      </c>
      <c r="C137" s="4" t="s">
        <v>406</v>
      </c>
      <c r="D137" s="4" t="s">
        <v>632</v>
      </c>
      <c r="E137" s="4" t="s">
        <v>175</v>
      </c>
      <c r="F137" s="4" t="s">
        <v>1168</v>
      </c>
      <c r="G137" s="7" t="s">
        <v>363</v>
      </c>
      <c r="H137" s="4" t="s">
        <v>1355</v>
      </c>
      <c r="I137" s="4" t="s">
        <v>287</v>
      </c>
      <c r="J137" s="4" t="s">
        <v>1525</v>
      </c>
      <c r="K137" s="4"/>
      <c r="L137" s="4" t="s">
        <v>2828</v>
      </c>
      <c r="M137" s="4"/>
      <c r="N137" s="4"/>
      <c r="O137" s="4"/>
      <c r="P137" s="4"/>
      <c r="Q137" s="4"/>
      <c r="R137" s="4"/>
    </row>
    <row r="138" spans="1:18" x14ac:dyDescent="0.25">
      <c r="A138" s="4" t="s">
        <v>163</v>
      </c>
      <c r="B138" s="4" t="s">
        <v>394</v>
      </c>
      <c r="C138" s="4" t="s">
        <v>406</v>
      </c>
      <c r="D138" s="4" t="s">
        <v>633</v>
      </c>
      <c r="E138" s="4" t="s">
        <v>287</v>
      </c>
      <c r="F138" s="4" t="s">
        <v>1169</v>
      </c>
      <c r="G138" s="7" t="s">
        <v>175</v>
      </c>
      <c r="H138" s="4" t="s">
        <v>1356</v>
      </c>
      <c r="I138" s="4" t="s">
        <v>350</v>
      </c>
      <c r="J138" s="4" t="s">
        <v>1526</v>
      </c>
      <c r="K138" s="4"/>
      <c r="L138" s="4" t="s">
        <v>2828</v>
      </c>
      <c r="M138" s="4"/>
      <c r="N138" s="4"/>
      <c r="O138" s="4"/>
      <c r="P138" s="4"/>
      <c r="Q138" s="4"/>
      <c r="R138" s="4"/>
    </row>
    <row r="139" spans="1:18" x14ac:dyDescent="0.25">
      <c r="A139" s="4" t="s">
        <v>163</v>
      </c>
      <c r="B139" s="4" t="s">
        <v>387</v>
      </c>
      <c r="C139" s="4" t="s">
        <v>406</v>
      </c>
      <c r="D139" s="4" t="s">
        <v>634</v>
      </c>
      <c r="E139" s="4" t="s">
        <v>187</v>
      </c>
      <c r="F139" s="4" t="s">
        <v>1170</v>
      </c>
      <c r="G139" s="7" t="s">
        <v>159</v>
      </c>
      <c r="H139" s="4" t="s">
        <v>1357</v>
      </c>
      <c r="I139" s="4" t="s">
        <v>128</v>
      </c>
      <c r="J139" s="4" t="s">
        <v>1527</v>
      </c>
      <c r="K139" s="4"/>
      <c r="L139" s="4" t="s">
        <v>2828</v>
      </c>
      <c r="M139" s="4"/>
      <c r="N139" s="4"/>
      <c r="O139" s="4"/>
      <c r="P139" s="4"/>
      <c r="Q139" s="4"/>
      <c r="R139" s="4"/>
    </row>
    <row r="140" spans="1:18" x14ac:dyDescent="0.25">
      <c r="A140" s="4" t="s">
        <v>163</v>
      </c>
      <c r="B140" s="4" t="s">
        <v>394</v>
      </c>
      <c r="C140" s="4" t="s">
        <v>406</v>
      </c>
      <c r="D140" s="4" t="s">
        <v>635</v>
      </c>
      <c r="E140" s="4" t="s">
        <v>159</v>
      </c>
      <c r="F140" s="4" t="s">
        <v>1171</v>
      </c>
      <c r="G140" s="7" t="s">
        <v>175</v>
      </c>
      <c r="H140" s="4" t="s">
        <v>1358</v>
      </c>
      <c r="I140" s="4" t="s">
        <v>77</v>
      </c>
      <c r="J140" s="4" t="s">
        <v>1528</v>
      </c>
      <c r="K140" s="4"/>
      <c r="L140" s="4" t="s">
        <v>2828</v>
      </c>
      <c r="M140" s="4"/>
      <c r="N140" s="4"/>
      <c r="O140" s="4"/>
      <c r="P140" s="4"/>
      <c r="Q140" s="4"/>
      <c r="R140" s="4"/>
    </row>
    <row r="141" spans="1:18" x14ac:dyDescent="0.25">
      <c r="A141" s="4" t="s">
        <v>163</v>
      </c>
      <c r="B141" s="4" t="s">
        <v>387</v>
      </c>
      <c r="C141" s="4" t="s">
        <v>406</v>
      </c>
      <c r="D141" s="4" t="s">
        <v>636</v>
      </c>
      <c r="E141" s="4" t="s">
        <v>159</v>
      </c>
      <c r="F141" s="4" t="s">
        <v>1172</v>
      </c>
      <c r="G141" s="7" t="s">
        <v>363</v>
      </c>
      <c r="H141" s="4" t="s">
        <v>1359</v>
      </c>
      <c r="I141" s="4" t="s">
        <v>187</v>
      </c>
      <c r="J141" s="4" t="s">
        <v>1529</v>
      </c>
      <c r="K141" s="4"/>
      <c r="L141" s="4" t="s">
        <v>2828</v>
      </c>
      <c r="M141" s="4"/>
      <c r="N141" s="4"/>
      <c r="O141" s="4"/>
      <c r="P141" s="4"/>
      <c r="Q141" s="4"/>
      <c r="R141" s="4"/>
    </row>
    <row r="142" spans="1:18" x14ac:dyDescent="0.25">
      <c r="A142" s="4" t="s">
        <v>163</v>
      </c>
      <c r="B142" s="4" t="s">
        <v>394</v>
      </c>
      <c r="C142" s="4" t="s">
        <v>406</v>
      </c>
      <c r="D142" s="4" t="s">
        <v>637</v>
      </c>
      <c r="E142" s="4" t="s">
        <v>287</v>
      </c>
      <c r="F142" s="4" t="s">
        <v>1173</v>
      </c>
      <c r="G142" s="7" t="s">
        <v>287</v>
      </c>
      <c r="H142" s="4" t="s">
        <v>1360</v>
      </c>
      <c r="I142" s="4" t="s">
        <v>358</v>
      </c>
      <c r="J142" s="4" t="s">
        <v>1530</v>
      </c>
      <c r="K142" s="4"/>
      <c r="L142" s="4" t="s">
        <v>2828</v>
      </c>
      <c r="M142" s="4"/>
      <c r="N142" s="4"/>
      <c r="O142" s="4"/>
      <c r="P142" s="4"/>
      <c r="Q142" s="4"/>
      <c r="R142" s="4"/>
    </row>
    <row r="143" spans="1:18" x14ac:dyDescent="0.25">
      <c r="A143" s="4" t="s">
        <v>389</v>
      </c>
      <c r="B143" s="4" t="s">
        <v>387</v>
      </c>
      <c r="C143" s="4" t="s">
        <v>406</v>
      </c>
      <c r="D143" s="4" t="s">
        <v>638</v>
      </c>
      <c r="E143" s="4" t="s">
        <v>287</v>
      </c>
      <c r="F143" s="4" t="s">
        <v>2773</v>
      </c>
      <c r="G143" s="7" t="s">
        <v>128</v>
      </c>
      <c r="H143" s="4" t="s">
        <v>127</v>
      </c>
      <c r="I143" s="4" t="s">
        <v>363</v>
      </c>
      <c r="J143" s="4" t="s">
        <v>362</v>
      </c>
      <c r="K143" s="4"/>
      <c r="L143" s="4" t="s">
        <v>2828</v>
      </c>
      <c r="M143" s="4"/>
      <c r="N143" s="4"/>
      <c r="O143" s="4"/>
      <c r="P143" s="4"/>
      <c r="Q143" s="4"/>
      <c r="R143" s="4"/>
    </row>
    <row r="144" spans="1:18" x14ac:dyDescent="0.25">
      <c r="A144" s="4" t="s">
        <v>389</v>
      </c>
      <c r="B144" s="4" t="s">
        <v>387</v>
      </c>
      <c r="C144" s="4" t="s">
        <v>406</v>
      </c>
      <c r="D144" s="4" t="s">
        <v>639</v>
      </c>
      <c r="E144" s="4" t="s">
        <v>128</v>
      </c>
      <c r="F144" s="4" t="s">
        <v>127</v>
      </c>
      <c r="G144" s="7" t="s">
        <v>175</v>
      </c>
      <c r="H144" s="4" t="s">
        <v>174</v>
      </c>
      <c r="I144" s="4" t="s">
        <v>159</v>
      </c>
      <c r="J144" s="4" t="s">
        <v>158</v>
      </c>
      <c r="K144" s="4"/>
      <c r="L144" s="4" t="s">
        <v>2828</v>
      </c>
      <c r="M144" s="4"/>
      <c r="N144" s="4"/>
      <c r="O144" s="4"/>
      <c r="P144" s="4"/>
      <c r="Q144" s="4"/>
      <c r="R144" s="4"/>
    </row>
    <row r="145" spans="1:18" x14ac:dyDescent="0.25">
      <c r="A145" s="4" t="s">
        <v>389</v>
      </c>
      <c r="B145" s="4" t="s">
        <v>394</v>
      </c>
      <c r="C145" s="4" t="s">
        <v>406</v>
      </c>
      <c r="D145" s="4" t="s">
        <v>640</v>
      </c>
      <c r="E145" s="4" t="s">
        <v>641</v>
      </c>
      <c r="F145" s="4" t="s">
        <v>286</v>
      </c>
      <c r="G145" s="7" t="s">
        <v>77</v>
      </c>
      <c r="H145" s="4" t="s">
        <v>76</v>
      </c>
      <c r="I145" s="4" t="s">
        <v>287</v>
      </c>
      <c r="J145" s="4" t="s">
        <v>2773</v>
      </c>
      <c r="K145" s="4"/>
      <c r="L145" s="4" t="s">
        <v>2828</v>
      </c>
      <c r="M145" s="4"/>
      <c r="N145" s="4"/>
      <c r="O145" s="4"/>
      <c r="P145" s="4"/>
      <c r="Q145" s="4"/>
      <c r="R145" s="4"/>
    </row>
    <row r="146" spans="1:18" x14ac:dyDescent="0.25">
      <c r="A146" s="4" t="s">
        <v>389</v>
      </c>
      <c r="B146" s="4" t="s">
        <v>394</v>
      </c>
      <c r="C146" s="4" t="s">
        <v>406</v>
      </c>
      <c r="D146" s="4" t="s">
        <v>642</v>
      </c>
      <c r="E146" s="4" t="s">
        <v>287</v>
      </c>
      <c r="F146" s="4" t="s">
        <v>2773</v>
      </c>
      <c r="G146" s="7" t="s">
        <v>358</v>
      </c>
      <c r="H146" s="4" t="s">
        <v>357</v>
      </c>
      <c r="I146" s="4" t="s">
        <v>363</v>
      </c>
      <c r="J146" s="4" t="s">
        <v>362</v>
      </c>
      <c r="K146" s="4"/>
      <c r="L146" s="4" t="s">
        <v>2828</v>
      </c>
      <c r="M146" s="4"/>
      <c r="N146" s="4"/>
      <c r="O146" s="4"/>
      <c r="P146" s="4"/>
      <c r="Q146" s="4"/>
      <c r="R146" s="4"/>
    </row>
    <row r="147" spans="1:18" x14ac:dyDescent="0.25">
      <c r="A147" s="4" t="s">
        <v>389</v>
      </c>
      <c r="B147" s="4" t="s">
        <v>387</v>
      </c>
      <c r="C147" s="4" t="s">
        <v>407</v>
      </c>
      <c r="D147" s="4" t="s">
        <v>387</v>
      </c>
      <c r="E147" s="4" t="s">
        <v>51</v>
      </c>
      <c r="F147" s="4" t="s">
        <v>50</v>
      </c>
      <c r="G147" s="7" t="s">
        <v>136</v>
      </c>
      <c r="H147" s="4" t="s">
        <v>135</v>
      </c>
      <c r="I147" s="4" t="s">
        <v>259</v>
      </c>
      <c r="J147" s="4" t="s">
        <v>258</v>
      </c>
      <c r="K147" s="4"/>
      <c r="L147" s="4" t="s">
        <v>2828</v>
      </c>
      <c r="M147" s="4"/>
      <c r="N147" s="4"/>
      <c r="O147" s="4"/>
      <c r="P147" s="4"/>
      <c r="Q147" s="4"/>
      <c r="R147" s="4"/>
    </row>
    <row r="148" spans="1:18" x14ac:dyDescent="0.25">
      <c r="A148" s="4" t="s">
        <v>389</v>
      </c>
      <c r="B148" s="4" t="s">
        <v>394</v>
      </c>
      <c r="C148" s="4" t="s">
        <v>407</v>
      </c>
      <c r="D148" s="4" t="s">
        <v>394</v>
      </c>
      <c r="E148" s="4" t="s">
        <v>136</v>
      </c>
      <c r="F148" s="4" t="s">
        <v>135</v>
      </c>
      <c r="G148" s="7" t="s">
        <v>331</v>
      </c>
      <c r="H148" s="4" t="s">
        <v>330</v>
      </c>
      <c r="I148" s="4" t="s">
        <v>66</v>
      </c>
      <c r="J148" s="4" t="s">
        <v>65</v>
      </c>
      <c r="K148" s="4"/>
      <c r="L148" s="4" t="s">
        <v>2828</v>
      </c>
      <c r="M148" s="4"/>
      <c r="N148" s="4"/>
      <c r="O148" s="4"/>
      <c r="P148" s="4"/>
      <c r="Q148" s="4"/>
      <c r="R148" s="4"/>
    </row>
    <row r="149" spans="1:18" x14ac:dyDescent="0.25">
      <c r="A149" s="4" t="s">
        <v>163</v>
      </c>
      <c r="B149" s="4" t="s">
        <v>387</v>
      </c>
      <c r="C149" s="4" t="s">
        <v>475</v>
      </c>
      <c r="D149" s="4" t="s">
        <v>643</v>
      </c>
      <c r="E149" s="4" t="s">
        <v>361</v>
      </c>
      <c r="F149" s="4" t="s">
        <v>1174</v>
      </c>
      <c r="G149" s="7" t="s">
        <v>331</v>
      </c>
      <c r="H149" s="4" t="s">
        <v>1361</v>
      </c>
      <c r="I149" s="4" t="s">
        <v>363</v>
      </c>
      <c r="J149" s="4" t="s">
        <v>1531</v>
      </c>
      <c r="K149" s="4"/>
      <c r="L149" s="4" t="s">
        <v>2828</v>
      </c>
      <c r="M149" s="4"/>
      <c r="N149" s="4"/>
      <c r="O149" s="4"/>
      <c r="P149" s="4"/>
      <c r="Q149" s="4"/>
      <c r="R149" s="4"/>
    </row>
    <row r="150" spans="1:18" x14ac:dyDescent="0.25">
      <c r="A150" s="4" t="s">
        <v>163</v>
      </c>
      <c r="B150" s="4" t="s">
        <v>394</v>
      </c>
      <c r="C150" s="4" t="s">
        <v>475</v>
      </c>
      <c r="D150" s="4" t="s">
        <v>644</v>
      </c>
      <c r="E150" s="4" t="s">
        <v>187</v>
      </c>
      <c r="F150" s="4" t="s">
        <v>1175</v>
      </c>
      <c r="G150" s="7" t="s">
        <v>253</v>
      </c>
      <c r="H150" s="4" t="s">
        <v>1362</v>
      </c>
      <c r="I150" s="4" t="s">
        <v>77</v>
      </c>
      <c r="J150" s="4" t="s">
        <v>1532</v>
      </c>
      <c r="K150" s="4"/>
      <c r="L150" s="4" t="s">
        <v>2828</v>
      </c>
      <c r="M150" s="4"/>
      <c r="N150" s="4"/>
      <c r="O150" s="4"/>
      <c r="P150" s="4"/>
      <c r="Q150" s="4"/>
      <c r="R150" s="4"/>
    </row>
    <row r="151" spans="1:18" x14ac:dyDescent="0.25">
      <c r="A151" s="4" t="s">
        <v>389</v>
      </c>
      <c r="B151" s="4" t="s">
        <v>387</v>
      </c>
      <c r="C151" s="4" t="s">
        <v>408</v>
      </c>
      <c r="D151" s="4" t="s">
        <v>387</v>
      </c>
      <c r="E151" s="4" t="s">
        <v>100</v>
      </c>
      <c r="F151" s="4" t="s">
        <v>99</v>
      </c>
      <c r="G151" s="7" t="s">
        <v>128</v>
      </c>
      <c r="H151" s="4" t="s">
        <v>127</v>
      </c>
      <c r="I151" s="4" t="s">
        <v>136</v>
      </c>
      <c r="J151" s="4" t="s">
        <v>135</v>
      </c>
      <c r="K151" s="4"/>
      <c r="L151" s="4" t="s">
        <v>2828</v>
      </c>
      <c r="M151" s="4"/>
      <c r="N151" s="4"/>
      <c r="O151" s="4"/>
      <c r="P151" s="4"/>
      <c r="Q151" s="4"/>
      <c r="R151" s="4"/>
    </row>
    <row r="152" spans="1:18" x14ac:dyDescent="0.25">
      <c r="A152" s="4" t="s">
        <v>389</v>
      </c>
      <c r="B152" s="4" t="s">
        <v>394</v>
      </c>
      <c r="C152" s="4" t="s">
        <v>408</v>
      </c>
      <c r="D152" s="4" t="s">
        <v>394</v>
      </c>
      <c r="E152" s="4" t="s">
        <v>287</v>
      </c>
      <c r="F152" s="4" t="s">
        <v>2773</v>
      </c>
      <c r="G152" s="7" t="s">
        <v>128</v>
      </c>
      <c r="H152" s="4" t="s">
        <v>127</v>
      </c>
      <c r="I152" s="4" t="s">
        <v>261</v>
      </c>
      <c r="J152" s="4" t="s">
        <v>260</v>
      </c>
      <c r="K152" s="4"/>
      <c r="L152" s="4" t="s">
        <v>2828</v>
      </c>
      <c r="M152" s="4"/>
      <c r="N152" s="4"/>
      <c r="O152" s="4"/>
      <c r="P152" s="4"/>
      <c r="Q152" s="4"/>
      <c r="R152" s="4"/>
    </row>
    <row r="153" spans="1:18" x14ac:dyDescent="0.25">
      <c r="A153" s="4" t="s">
        <v>389</v>
      </c>
      <c r="B153" s="4" t="s">
        <v>387</v>
      </c>
      <c r="C153" s="4" t="s">
        <v>645</v>
      </c>
      <c r="D153" s="4" t="s">
        <v>387</v>
      </c>
      <c r="E153" s="4" t="s">
        <v>16</v>
      </c>
      <c r="F153" s="4" t="s">
        <v>15</v>
      </c>
      <c r="G153" s="7" t="s">
        <v>37</v>
      </c>
      <c r="H153" s="4" t="s">
        <v>36</v>
      </c>
      <c r="I153" s="4" t="s">
        <v>136</v>
      </c>
      <c r="J153" s="4" t="s">
        <v>135</v>
      </c>
      <c r="K153" s="4"/>
      <c r="L153" s="4" t="s">
        <v>2828</v>
      </c>
      <c r="M153" s="4"/>
      <c r="N153" s="4"/>
      <c r="O153" s="4"/>
      <c r="P153" s="4"/>
      <c r="Q153" s="4"/>
      <c r="R153" s="4"/>
    </row>
    <row r="154" spans="1:18" x14ac:dyDescent="0.25">
      <c r="A154" s="4" t="s">
        <v>389</v>
      </c>
      <c r="B154" s="4" t="s">
        <v>394</v>
      </c>
      <c r="C154" s="4" t="s">
        <v>645</v>
      </c>
      <c r="D154" s="4" t="s">
        <v>394</v>
      </c>
      <c r="E154" s="4" t="s">
        <v>361</v>
      </c>
      <c r="F154" s="4" t="s">
        <v>391</v>
      </c>
      <c r="G154" s="7" t="s">
        <v>250</v>
      </c>
      <c r="H154" s="4" t="s">
        <v>249</v>
      </c>
      <c r="I154" s="4" t="s">
        <v>136</v>
      </c>
      <c r="J154" s="4" t="s">
        <v>135</v>
      </c>
      <c r="K154" s="4"/>
      <c r="L154" s="4" t="s">
        <v>2828</v>
      </c>
      <c r="M154" s="4"/>
      <c r="N154" s="4"/>
      <c r="O154" s="4"/>
      <c r="P154" s="4"/>
      <c r="Q154" s="4"/>
      <c r="R154" s="4"/>
    </row>
    <row r="155" spans="1:18" x14ac:dyDescent="0.25">
      <c r="A155" s="4" t="s">
        <v>163</v>
      </c>
      <c r="B155" s="4" t="s">
        <v>394</v>
      </c>
      <c r="C155" s="4" t="s">
        <v>409</v>
      </c>
      <c r="D155" s="4" t="s">
        <v>646</v>
      </c>
      <c r="E155" s="4" t="s">
        <v>16</v>
      </c>
      <c r="F155" s="4" t="s">
        <v>1176</v>
      </c>
      <c r="G155" s="7" t="s">
        <v>187</v>
      </c>
      <c r="H155" s="4" t="s">
        <v>1363</v>
      </c>
      <c r="I155" s="4" t="s">
        <v>179</v>
      </c>
      <c r="J155" s="4" t="s">
        <v>667</v>
      </c>
      <c r="K155" s="4" t="s">
        <v>183</v>
      </c>
      <c r="L155" s="4" t="s">
        <v>1611</v>
      </c>
      <c r="M155" s="4"/>
      <c r="N155" s="4"/>
      <c r="O155" s="4"/>
      <c r="P155" s="4"/>
      <c r="Q155" s="4"/>
      <c r="R155" s="4"/>
    </row>
    <row r="156" spans="1:18" x14ac:dyDescent="0.25">
      <c r="A156" s="4" t="s">
        <v>163</v>
      </c>
      <c r="B156" s="4" t="s">
        <v>394</v>
      </c>
      <c r="C156" s="4" t="s">
        <v>409</v>
      </c>
      <c r="D156" s="4" t="s">
        <v>647</v>
      </c>
      <c r="E156" s="4" t="s">
        <v>648</v>
      </c>
      <c r="F156" s="4" t="s">
        <v>1177</v>
      </c>
      <c r="G156" s="7" t="s">
        <v>175</v>
      </c>
      <c r="H156" s="4" t="s">
        <v>1364</v>
      </c>
      <c r="I156" s="4" t="s">
        <v>287</v>
      </c>
      <c r="J156" s="4" t="s">
        <v>668</v>
      </c>
      <c r="K156" s="4" t="s">
        <v>179</v>
      </c>
      <c r="L156" s="4" t="s">
        <v>1612</v>
      </c>
      <c r="M156" s="4"/>
      <c r="N156" s="4"/>
      <c r="O156" s="4"/>
      <c r="P156" s="4"/>
      <c r="Q156" s="4"/>
      <c r="R156" s="4"/>
    </row>
    <row r="157" spans="1:18" x14ac:dyDescent="0.25">
      <c r="A157" s="4" t="s">
        <v>163</v>
      </c>
      <c r="B157" s="4" t="s">
        <v>394</v>
      </c>
      <c r="C157" s="4" t="s">
        <v>409</v>
      </c>
      <c r="D157" s="4" t="s">
        <v>649</v>
      </c>
      <c r="E157" s="4" t="s">
        <v>51</v>
      </c>
      <c r="F157" s="4" t="s">
        <v>1178</v>
      </c>
      <c r="G157" s="7" t="s">
        <v>237</v>
      </c>
      <c r="H157" s="4" t="s">
        <v>1365</v>
      </c>
      <c r="I157" s="4" t="s">
        <v>282</v>
      </c>
      <c r="J157" s="4" t="s">
        <v>669</v>
      </c>
      <c r="K157" s="4" t="s">
        <v>179</v>
      </c>
      <c r="L157" s="4" t="s">
        <v>1613</v>
      </c>
      <c r="M157" s="4"/>
      <c r="N157" s="4"/>
      <c r="O157" s="4"/>
      <c r="P157" s="4"/>
      <c r="Q157" s="4"/>
      <c r="R157" s="4"/>
    </row>
    <row r="158" spans="1:18" x14ac:dyDescent="0.25">
      <c r="A158" s="4" t="s">
        <v>163</v>
      </c>
      <c r="B158" s="4" t="s">
        <v>394</v>
      </c>
      <c r="C158" s="4" t="s">
        <v>409</v>
      </c>
      <c r="D158" s="4" t="s">
        <v>650</v>
      </c>
      <c r="E158" s="4" t="s">
        <v>313</v>
      </c>
      <c r="F158" s="4" t="s">
        <v>1179</v>
      </c>
      <c r="G158" s="7" t="s">
        <v>128</v>
      </c>
      <c r="H158" s="4" t="s">
        <v>1366</v>
      </c>
      <c r="I158" s="4" t="s">
        <v>250</v>
      </c>
      <c r="J158" s="4" t="s">
        <v>670</v>
      </c>
      <c r="K158" s="4" t="s">
        <v>173</v>
      </c>
      <c r="L158" s="4" t="s">
        <v>1614</v>
      </c>
      <c r="M158" s="4"/>
      <c r="N158" s="4"/>
      <c r="O158" s="4"/>
      <c r="P158" s="4"/>
      <c r="Q158" s="4"/>
      <c r="R158" s="4"/>
    </row>
    <row r="159" spans="1:18" x14ac:dyDescent="0.25">
      <c r="A159" s="4" t="s">
        <v>163</v>
      </c>
      <c r="B159" s="4" t="s">
        <v>394</v>
      </c>
      <c r="C159" s="4" t="s">
        <v>409</v>
      </c>
      <c r="D159" s="4" t="s">
        <v>651</v>
      </c>
      <c r="E159" s="4" t="s">
        <v>179</v>
      </c>
      <c r="F159" s="4" t="s">
        <v>1180</v>
      </c>
      <c r="G159" s="7" t="s">
        <v>79</v>
      </c>
      <c r="H159" s="4" t="s">
        <v>1367</v>
      </c>
      <c r="I159" s="4" t="s">
        <v>136</v>
      </c>
      <c r="J159" s="4" t="s">
        <v>671</v>
      </c>
      <c r="K159" s="4" t="s">
        <v>361</v>
      </c>
      <c r="L159" s="4" t="s">
        <v>1615</v>
      </c>
      <c r="M159" s="4"/>
      <c r="N159" s="4"/>
      <c r="O159" s="4"/>
      <c r="P159" s="4"/>
      <c r="Q159" s="4"/>
      <c r="R159" s="4"/>
    </row>
    <row r="160" spans="1:18" x14ac:dyDescent="0.25">
      <c r="A160" s="4" t="s">
        <v>163</v>
      </c>
      <c r="B160" s="4" t="s">
        <v>394</v>
      </c>
      <c r="C160" s="4" t="s">
        <v>409</v>
      </c>
      <c r="D160" s="4" t="s">
        <v>652</v>
      </c>
      <c r="E160" s="4" t="s">
        <v>363</v>
      </c>
      <c r="F160" s="4" t="s">
        <v>1181</v>
      </c>
      <c r="G160" s="7" t="s">
        <v>128</v>
      </c>
      <c r="H160" s="4" t="s">
        <v>1368</v>
      </c>
      <c r="I160" s="4" t="s">
        <v>313</v>
      </c>
      <c r="J160" s="4" t="s">
        <v>672</v>
      </c>
      <c r="K160" s="4" t="s">
        <v>51</v>
      </c>
      <c r="L160" s="4" t="s">
        <v>1616</v>
      </c>
      <c r="M160" s="4"/>
      <c r="N160" s="4"/>
      <c r="O160" s="4"/>
      <c r="P160" s="4"/>
      <c r="Q160" s="4"/>
      <c r="R160" s="4"/>
    </row>
    <row r="161" spans="1:18" x14ac:dyDescent="0.25">
      <c r="A161" s="4" t="s">
        <v>163</v>
      </c>
      <c r="B161" s="4" t="s">
        <v>394</v>
      </c>
      <c r="C161" s="4" t="s">
        <v>409</v>
      </c>
      <c r="D161" s="4" t="s">
        <v>653</v>
      </c>
      <c r="E161" s="4" t="s">
        <v>128</v>
      </c>
      <c r="F161" s="4" t="s">
        <v>1182</v>
      </c>
      <c r="G161" s="7" t="s">
        <v>94</v>
      </c>
      <c r="H161" s="4" t="s">
        <v>1369</v>
      </c>
      <c r="I161" s="4" t="s">
        <v>179</v>
      </c>
      <c r="J161" s="4" t="s">
        <v>673</v>
      </c>
      <c r="K161" s="4" t="s">
        <v>77</v>
      </c>
      <c r="L161" s="4" t="s">
        <v>1617</v>
      </c>
      <c r="M161" s="4"/>
      <c r="N161" s="4"/>
      <c r="O161" s="4"/>
      <c r="P161" s="4"/>
      <c r="Q161" s="4"/>
      <c r="R161" s="4"/>
    </row>
    <row r="162" spans="1:18" x14ac:dyDescent="0.25">
      <c r="A162" s="4" t="s">
        <v>163</v>
      </c>
      <c r="B162" s="4" t="s">
        <v>387</v>
      </c>
      <c r="C162" s="4" t="s">
        <v>409</v>
      </c>
      <c r="D162" s="4" t="s">
        <v>654</v>
      </c>
      <c r="E162" s="4" t="s">
        <v>287</v>
      </c>
      <c r="F162" s="4" t="s">
        <v>1183</v>
      </c>
      <c r="G162" s="7" t="s">
        <v>183</v>
      </c>
      <c r="H162" s="4" t="s">
        <v>1370</v>
      </c>
      <c r="I162" s="4" t="s">
        <v>367</v>
      </c>
      <c r="J162" s="4" t="s">
        <v>674</v>
      </c>
      <c r="K162" s="4" t="s">
        <v>179</v>
      </c>
      <c r="L162" s="4" t="s">
        <v>1618</v>
      </c>
      <c r="M162" s="4"/>
      <c r="N162" s="4"/>
      <c r="O162" s="4"/>
      <c r="P162" s="4"/>
      <c r="Q162" s="4"/>
      <c r="R162" s="4"/>
    </row>
    <row r="163" spans="1:18" x14ac:dyDescent="0.25">
      <c r="A163" s="4" t="s">
        <v>163</v>
      </c>
      <c r="B163" s="4" t="s">
        <v>387</v>
      </c>
      <c r="C163" s="4" t="s">
        <v>409</v>
      </c>
      <c r="D163" s="4" t="s">
        <v>655</v>
      </c>
      <c r="E163" s="4" t="s">
        <v>175</v>
      </c>
      <c r="F163" s="4" t="s">
        <v>1184</v>
      </c>
      <c r="G163" s="7" t="s">
        <v>187</v>
      </c>
      <c r="H163" s="4" t="s">
        <v>1371</v>
      </c>
      <c r="I163" s="4" t="s">
        <v>179</v>
      </c>
      <c r="J163" s="4" t="s">
        <v>675</v>
      </c>
      <c r="K163" s="4" t="s">
        <v>367</v>
      </c>
      <c r="L163" s="4" t="s">
        <v>1619</v>
      </c>
      <c r="M163" s="4"/>
      <c r="N163" s="4"/>
      <c r="O163" s="4"/>
      <c r="P163" s="4"/>
      <c r="Q163" s="4"/>
      <c r="R163" s="4"/>
    </row>
    <row r="164" spans="1:18" x14ac:dyDescent="0.25">
      <c r="A164" s="4" t="s">
        <v>163</v>
      </c>
      <c r="B164" s="4" t="s">
        <v>387</v>
      </c>
      <c r="C164" s="4" t="s">
        <v>409</v>
      </c>
      <c r="D164" s="4" t="s">
        <v>656</v>
      </c>
      <c r="E164" s="4" t="s">
        <v>179</v>
      </c>
      <c r="F164" s="4" t="s">
        <v>1185</v>
      </c>
      <c r="G164" s="7" t="s">
        <v>25</v>
      </c>
      <c r="H164" s="4" t="s">
        <v>1372</v>
      </c>
      <c r="I164" s="4" t="s">
        <v>134</v>
      </c>
      <c r="J164" s="4" t="s">
        <v>676</v>
      </c>
      <c r="K164" s="4" t="s">
        <v>37</v>
      </c>
      <c r="L164" s="4" t="s">
        <v>1620</v>
      </c>
      <c r="M164" s="4"/>
      <c r="N164" s="4"/>
      <c r="O164" s="4"/>
      <c r="P164" s="4"/>
      <c r="Q164" s="4"/>
      <c r="R164" s="4"/>
    </row>
    <row r="165" spans="1:18" x14ac:dyDescent="0.25">
      <c r="A165" s="4" t="s">
        <v>163</v>
      </c>
      <c r="B165" s="4" t="s">
        <v>387</v>
      </c>
      <c r="C165" s="4" t="s">
        <v>409</v>
      </c>
      <c r="D165" s="4" t="s">
        <v>657</v>
      </c>
      <c r="E165" s="4" t="s">
        <v>287</v>
      </c>
      <c r="F165" s="4" t="s">
        <v>1186</v>
      </c>
      <c r="G165" s="7" t="s">
        <v>363</v>
      </c>
      <c r="H165" s="4" t="s">
        <v>1373</v>
      </c>
      <c r="I165" s="4" t="s">
        <v>360</v>
      </c>
      <c r="J165" s="4" t="s">
        <v>677</v>
      </c>
      <c r="K165" s="4" t="s">
        <v>179</v>
      </c>
      <c r="L165" s="4" t="s">
        <v>1621</v>
      </c>
      <c r="M165" s="4"/>
      <c r="N165" s="4"/>
      <c r="O165" s="4"/>
      <c r="P165" s="4"/>
      <c r="Q165" s="4"/>
      <c r="R165" s="4"/>
    </row>
    <row r="166" spans="1:18" x14ac:dyDescent="0.25">
      <c r="A166" s="4" t="s">
        <v>163</v>
      </c>
      <c r="B166" s="4" t="s">
        <v>387</v>
      </c>
      <c r="C166" s="4" t="s">
        <v>409</v>
      </c>
      <c r="D166" s="4" t="s">
        <v>658</v>
      </c>
      <c r="E166" s="4" t="s">
        <v>179</v>
      </c>
      <c r="F166" s="4" t="s">
        <v>1187</v>
      </c>
      <c r="G166" s="7" t="s">
        <v>134</v>
      </c>
      <c r="H166" s="4" t="s">
        <v>1374</v>
      </c>
      <c r="I166" s="4" t="s">
        <v>77</v>
      </c>
      <c r="J166" s="4" t="s">
        <v>678</v>
      </c>
      <c r="K166" s="4" t="s">
        <v>187</v>
      </c>
      <c r="L166" s="4" t="s">
        <v>1622</v>
      </c>
      <c r="M166" s="4"/>
      <c r="N166" s="4"/>
      <c r="O166" s="4"/>
      <c r="P166" s="4"/>
      <c r="Q166" s="4"/>
      <c r="R166" s="4"/>
    </row>
    <row r="167" spans="1:18" x14ac:dyDescent="0.25">
      <c r="A167" s="4" t="s">
        <v>163</v>
      </c>
      <c r="B167" s="4" t="s">
        <v>387</v>
      </c>
      <c r="C167" s="4" t="s">
        <v>409</v>
      </c>
      <c r="D167" s="4" t="s">
        <v>659</v>
      </c>
      <c r="E167" s="4" t="s">
        <v>98</v>
      </c>
      <c r="F167" s="4" t="s">
        <v>1188</v>
      </c>
      <c r="G167" s="7" t="s">
        <v>25</v>
      </c>
      <c r="H167" s="4" t="s">
        <v>1375</v>
      </c>
      <c r="I167" s="4" t="s">
        <v>128</v>
      </c>
      <c r="J167" s="4" t="s">
        <v>679</v>
      </c>
      <c r="K167" s="4" t="s">
        <v>179</v>
      </c>
      <c r="L167" s="4" t="s">
        <v>1623</v>
      </c>
      <c r="M167" s="4"/>
      <c r="N167" s="4"/>
      <c r="O167" s="4"/>
      <c r="P167" s="4"/>
      <c r="Q167" s="4"/>
      <c r="R167" s="4"/>
    </row>
    <row r="168" spans="1:18" x14ac:dyDescent="0.25">
      <c r="A168" s="4" t="s">
        <v>163</v>
      </c>
      <c r="B168" s="4" t="s">
        <v>387</v>
      </c>
      <c r="C168" s="4" t="s">
        <v>409</v>
      </c>
      <c r="D168" s="4" t="s">
        <v>660</v>
      </c>
      <c r="E168" s="4" t="s">
        <v>128</v>
      </c>
      <c r="F168" s="4" t="s">
        <v>661</v>
      </c>
      <c r="G168" s="7" t="s">
        <v>179</v>
      </c>
      <c r="H168" s="4" t="s">
        <v>662</v>
      </c>
      <c r="I168" s="4" t="s">
        <v>51</v>
      </c>
      <c r="J168" s="4" t="s">
        <v>663</v>
      </c>
      <c r="K168" s="4" t="s">
        <v>173</v>
      </c>
      <c r="L168" s="4" t="s">
        <v>664</v>
      </c>
      <c r="M168" s="4"/>
      <c r="N168" s="4"/>
      <c r="O168" s="4"/>
      <c r="P168" s="4"/>
      <c r="Q168" s="4"/>
      <c r="R168" s="4"/>
    </row>
    <row r="169" spans="1:18" x14ac:dyDescent="0.25">
      <c r="A169" s="4" t="s">
        <v>163</v>
      </c>
      <c r="B169" s="4" t="s">
        <v>394</v>
      </c>
      <c r="C169" s="4" t="s">
        <v>471</v>
      </c>
      <c r="D169" s="4" t="s">
        <v>680</v>
      </c>
      <c r="E169" s="4" t="s">
        <v>250</v>
      </c>
      <c r="F169" s="4" t="s">
        <v>1189</v>
      </c>
      <c r="G169" s="7" t="s">
        <v>175</v>
      </c>
      <c r="H169" s="4" t="s">
        <v>1376</v>
      </c>
      <c r="I169" s="4" t="s">
        <v>51</v>
      </c>
      <c r="J169" s="4" t="s">
        <v>1533</v>
      </c>
      <c r="K169" s="4"/>
      <c r="L169" s="4" t="s">
        <v>2828</v>
      </c>
      <c r="M169" s="4"/>
      <c r="N169" s="4"/>
      <c r="O169" s="4"/>
      <c r="P169" s="4"/>
      <c r="Q169" s="4"/>
      <c r="R169" s="4"/>
    </row>
    <row r="170" spans="1:18" x14ac:dyDescent="0.25">
      <c r="A170" s="4" t="s">
        <v>163</v>
      </c>
      <c r="B170" s="4" t="s">
        <v>387</v>
      </c>
      <c r="C170" s="4" t="s">
        <v>471</v>
      </c>
      <c r="D170" s="4" t="s">
        <v>681</v>
      </c>
      <c r="E170" s="4" t="s">
        <v>250</v>
      </c>
      <c r="F170" s="4" t="s">
        <v>1190</v>
      </c>
      <c r="G170" s="7" t="s">
        <v>140</v>
      </c>
      <c r="H170" s="4" t="s">
        <v>1377</v>
      </c>
      <c r="I170" s="4" t="s">
        <v>128</v>
      </c>
      <c r="J170" s="4" t="s">
        <v>1534</v>
      </c>
      <c r="K170" s="4"/>
      <c r="L170" s="4" t="s">
        <v>2828</v>
      </c>
      <c r="M170" s="4"/>
      <c r="N170" s="4"/>
      <c r="O170" s="4"/>
      <c r="P170" s="4"/>
      <c r="Q170" s="4"/>
      <c r="R170" s="4"/>
    </row>
    <row r="171" spans="1:18" x14ac:dyDescent="0.25">
      <c r="A171" s="4" t="s">
        <v>163</v>
      </c>
      <c r="B171" s="4" t="s">
        <v>387</v>
      </c>
      <c r="C171" s="4" t="s">
        <v>410</v>
      </c>
      <c r="D171" s="4" t="s">
        <v>396</v>
      </c>
      <c r="E171" s="4" t="s">
        <v>287</v>
      </c>
      <c r="F171" s="4" t="s">
        <v>1191</v>
      </c>
      <c r="G171" s="7" t="s">
        <v>358</v>
      </c>
      <c r="H171" s="4" t="s">
        <v>1378</v>
      </c>
      <c r="I171" s="4" t="s">
        <v>229</v>
      </c>
      <c r="J171" s="4" t="s">
        <v>1535</v>
      </c>
      <c r="K171" s="4"/>
      <c r="L171" s="4" t="s">
        <v>2828</v>
      </c>
      <c r="M171" s="4"/>
      <c r="N171" s="4"/>
      <c r="O171" s="4"/>
      <c r="P171" s="4"/>
      <c r="Q171" s="4"/>
      <c r="R171" s="4"/>
    </row>
    <row r="172" spans="1:18" x14ac:dyDescent="0.25">
      <c r="A172" s="4" t="s">
        <v>163</v>
      </c>
      <c r="B172" s="4" t="s">
        <v>394</v>
      </c>
      <c r="C172" s="4" t="s">
        <v>410</v>
      </c>
      <c r="D172" s="4" t="s">
        <v>476</v>
      </c>
      <c r="E172" s="4" t="s">
        <v>21</v>
      </c>
      <c r="F172" s="4" t="s">
        <v>1192</v>
      </c>
      <c r="G172" s="7" t="s">
        <v>128</v>
      </c>
      <c r="H172" s="4" t="s">
        <v>1379</v>
      </c>
      <c r="I172" s="4" t="s">
        <v>280</v>
      </c>
      <c r="J172" s="4" t="s">
        <v>1536</v>
      </c>
      <c r="K172" s="4"/>
      <c r="L172" s="4" t="s">
        <v>2828</v>
      </c>
      <c r="M172" s="4"/>
      <c r="N172" s="4"/>
      <c r="O172" s="4"/>
      <c r="P172" s="4"/>
      <c r="Q172" s="4"/>
      <c r="R172" s="4"/>
    </row>
    <row r="173" spans="1:18" x14ac:dyDescent="0.25">
      <c r="A173" s="4" t="s">
        <v>163</v>
      </c>
      <c r="B173" s="4" t="s">
        <v>394</v>
      </c>
      <c r="C173" s="4" t="s">
        <v>472</v>
      </c>
      <c r="D173" s="4" t="s">
        <v>682</v>
      </c>
      <c r="E173" s="4" t="s">
        <v>287</v>
      </c>
      <c r="F173" s="4" t="s">
        <v>1193</v>
      </c>
      <c r="G173" s="7" t="s">
        <v>287</v>
      </c>
      <c r="H173" s="4" t="s">
        <v>1380</v>
      </c>
      <c r="I173" s="4" t="s">
        <v>358</v>
      </c>
      <c r="J173" s="4" t="s">
        <v>1537</v>
      </c>
      <c r="K173" s="4"/>
      <c r="L173" s="4" t="s">
        <v>2828</v>
      </c>
      <c r="M173" s="4"/>
      <c r="N173" s="4"/>
      <c r="O173" s="4"/>
      <c r="P173" s="4"/>
      <c r="Q173" s="4"/>
      <c r="R173" s="4"/>
    </row>
    <row r="174" spans="1:18" x14ac:dyDescent="0.25">
      <c r="A174" s="4" t="s">
        <v>389</v>
      </c>
      <c r="B174" s="4" t="s">
        <v>394</v>
      </c>
      <c r="C174" s="4" t="s">
        <v>472</v>
      </c>
      <c r="D174" s="4" t="s">
        <v>683</v>
      </c>
      <c r="E174" s="4" t="s">
        <v>287</v>
      </c>
      <c r="F174" s="4" t="s">
        <v>2773</v>
      </c>
      <c r="G174" s="7" t="s">
        <v>321</v>
      </c>
      <c r="H174" s="4" t="s">
        <v>320</v>
      </c>
      <c r="I174" s="4" t="s">
        <v>56</v>
      </c>
      <c r="J174" s="4" t="s">
        <v>55</v>
      </c>
      <c r="K174" s="4"/>
      <c r="L174" s="4" t="s">
        <v>2828</v>
      </c>
      <c r="M174" s="4"/>
      <c r="N174" s="4"/>
      <c r="O174" s="4"/>
      <c r="P174" s="4"/>
      <c r="Q174" s="4"/>
      <c r="R174" s="4"/>
    </row>
    <row r="175" spans="1:18" x14ac:dyDescent="0.25">
      <c r="A175" s="4" t="s">
        <v>163</v>
      </c>
      <c r="B175" s="4" t="s">
        <v>394</v>
      </c>
      <c r="C175" s="4" t="s">
        <v>411</v>
      </c>
      <c r="D175" s="4" t="s">
        <v>689</v>
      </c>
      <c r="E175" s="4" t="s">
        <v>21</v>
      </c>
      <c r="F175" s="4" t="s">
        <v>1194</v>
      </c>
      <c r="G175" s="7" t="s">
        <v>363</v>
      </c>
      <c r="H175" s="4" t="s">
        <v>1381</v>
      </c>
      <c r="I175" s="4" t="s">
        <v>77</v>
      </c>
      <c r="J175" s="4" t="s">
        <v>1538</v>
      </c>
      <c r="K175" s="4"/>
      <c r="L175" s="4" t="s">
        <v>2828</v>
      </c>
      <c r="M175" s="4"/>
      <c r="N175" s="4"/>
      <c r="O175" s="4"/>
      <c r="P175" s="4"/>
      <c r="Q175" s="4"/>
      <c r="R175" s="4"/>
    </row>
    <row r="176" spans="1:18" x14ac:dyDescent="0.25">
      <c r="A176" s="4" t="s">
        <v>163</v>
      </c>
      <c r="B176" s="4" t="s">
        <v>387</v>
      </c>
      <c r="C176" s="4" t="s">
        <v>411</v>
      </c>
      <c r="D176" s="4" t="s">
        <v>690</v>
      </c>
      <c r="E176" s="4" t="s">
        <v>253</v>
      </c>
      <c r="F176" s="4" t="s">
        <v>1195</v>
      </c>
      <c r="G176" s="7" t="s">
        <v>92</v>
      </c>
      <c r="H176" s="4" t="s">
        <v>1382</v>
      </c>
      <c r="I176" s="4" t="s">
        <v>98</v>
      </c>
      <c r="J176" s="4" t="s">
        <v>1539</v>
      </c>
      <c r="K176" s="4"/>
      <c r="L176" s="4" t="s">
        <v>2828</v>
      </c>
      <c r="M176" s="4"/>
      <c r="N176" s="4"/>
      <c r="O176" s="4"/>
      <c r="P176" s="4"/>
      <c r="Q176" s="4"/>
      <c r="R176" s="4"/>
    </row>
    <row r="177" spans="1:18" x14ac:dyDescent="0.25">
      <c r="A177" s="4" t="s">
        <v>389</v>
      </c>
      <c r="B177" s="4" t="s">
        <v>394</v>
      </c>
      <c r="C177" s="4" t="s">
        <v>411</v>
      </c>
      <c r="D177" s="4" t="s">
        <v>684</v>
      </c>
      <c r="E177" s="4" t="s">
        <v>361</v>
      </c>
      <c r="F177" s="4" t="s">
        <v>2792</v>
      </c>
      <c r="G177" s="7" t="s">
        <v>253</v>
      </c>
      <c r="H177" s="4" t="s">
        <v>2817</v>
      </c>
      <c r="I177" s="4" t="s">
        <v>100</v>
      </c>
      <c r="J177" s="4" t="s">
        <v>2844</v>
      </c>
      <c r="K177" s="4"/>
      <c r="L177" s="4" t="s">
        <v>2828</v>
      </c>
      <c r="M177" s="4"/>
      <c r="N177" s="4"/>
      <c r="O177" s="4"/>
      <c r="P177" s="4"/>
      <c r="Q177" s="4"/>
      <c r="R177" s="4"/>
    </row>
    <row r="178" spans="1:18" x14ac:dyDescent="0.25">
      <c r="A178" s="4" t="s">
        <v>389</v>
      </c>
      <c r="B178" s="4" t="s">
        <v>387</v>
      </c>
      <c r="C178" s="4" t="s">
        <v>411</v>
      </c>
      <c r="D178" s="4" t="s">
        <v>685</v>
      </c>
      <c r="E178" s="4" t="s">
        <v>253</v>
      </c>
      <c r="F178" s="4" t="s">
        <v>2793</v>
      </c>
      <c r="G178" s="7" t="s">
        <v>319</v>
      </c>
      <c r="H178" s="4" t="s">
        <v>2818</v>
      </c>
      <c r="I178" s="4" t="s">
        <v>175</v>
      </c>
      <c r="J178" s="4" t="s">
        <v>2845</v>
      </c>
      <c r="K178" s="4"/>
      <c r="L178" s="4" t="s">
        <v>2828</v>
      </c>
      <c r="M178" s="4"/>
      <c r="N178" s="4"/>
      <c r="O178" s="4"/>
      <c r="P178" s="4"/>
      <c r="Q178" s="4"/>
      <c r="R178" s="4"/>
    </row>
    <row r="179" spans="1:18" x14ac:dyDescent="0.25">
      <c r="A179" s="4" t="s">
        <v>389</v>
      </c>
      <c r="B179" s="4" t="s">
        <v>394</v>
      </c>
      <c r="C179" s="4" t="s">
        <v>411</v>
      </c>
      <c r="D179" s="4" t="s">
        <v>686</v>
      </c>
      <c r="E179" s="4" t="s">
        <v>280</v>
      </c>
      <c r="F179" s="4" t="s">
        <v>2794</v>
      </c>
      <c r="G179" s="7" t="s">
        <v>361</v>
      </c>
      <c r="H179" s="4" t="s">
        <v>2819</v>
      </c>
      <c r="I179" s="4" t="s">
        <v>207</v>
      </c>
      <c r="J179" s="4" t="s">
        <v>2846</v>
      </c>
      <c r="K179" s="4"/>
      <c r="L179" s="4" t="s">
        <v>2828</v>
      </c>
      <c r="M179" s="4"/>
      <c r="N179" s="4"/>
      <c r="O179" s="4"/>
      <c r="P179" s="4"/>
      <c r="Q179" s="4"/>
      <c r="R179" s="4"/>
    </row>
    <row r="180" spans="1:18" x14ac:dyDescent="0.25">
      <c r="A180" s="4" t="s">
        <v>389</v>
      </c>
      <c r="B180" s="4" t="s">
        <v>387</v>
      </c>
      <c r="C180" s="4" t="s">
        <v>411</v>
      </c>
      <c r="D180" s="4" t="s">
        <v>687</v>
      </c>
      <c r="E180" s="4" t="s">
        <v>92</v>
      </c>
      <c r="F180" s="4" t="s">
        <v>2795</v>
      </c>
      <c r="G180" s="7" t="s">
        <v>207</v>
      </c>
      <c r="H180" s="4" t="s">
        <v>2820</v>
      </c>
      <c r="I180" s="4" t="s">
        <v>261</v>
      </c>
      <c r="J180" s="4" t="s">
        <v>2847</v>
      </c>
      <c r="K180" s="4"/>
      <c r="L180" s="4" t="s">
        <v>2828</v>
      </c>
      <c r="M180" s="4"/>
      <c r="N180" s="4"/>
      <c r="O180" s="4"/>
      <c r="P180" s="4"/>
      <c r="Q180" s="4"/>
      <c r="R180" s="4"/>
    </row>
    <row r="181" spans="1:18" x14ac:dyDescent="0.25">
      <c r="A181" s="4" t="s">
        <v>389</v>
      </c>
      <c r="B181" s="4" t="s">
        <v>387</v>
      </c>
      <c r="C181" s="4" t="s">
        <v>411</v>
      </c>
      <c r="D181" s="4" t="s">
        <v>688</v>
      </c>
      <c r="E181" s="4" t="s">
        <v>361</v>
      </c>
      <c r="F181" s="4" t="s">
        <v>391</v>
      </c>
      <c r="G181" s="7" t="s">
        <v>21</v>
      </c>
      <c r="H181" s="4" t="s">
        <v>20</v>
      </c>
      <c r="I181" s="4" t="s">
        <v>175</v>
      </c>
      <c r="J181" s="4" t="s">
        <v>174</v>
      </c>
      <c r="K181" s="4"/>
      <c r="L181" s="4" t="s">
        <v>2828</v>
      </c>
      <c r="M181" s="4"/>
      <c r="N181" s="4"/>
      <c r="O181" s="4"/>
      <c r="P181" s="4"/>
      <c r="Q181" s="4"/>
      <c r="R181" s="4"/>
    </row>
    <row r="182" spans="1:18" x14ac:dyDescent="0.25">
      <c r="A182" s="4" t="s">
        <v>389</v>
      </c>
      <c r="B182" s="4" t="s">
        <v>394</v>
      </c>
      <c r="C182" s="4" t="s">
        <v>411</v>
      </c>
      <c r="D182" s="4" t="s">
        <v>691</v>
      </c>
      <c r="E182" s="4" t="s">
        <v>250</v>
      </c>
      <c r="F182" s="4" t="s">
        <v>2796</v>
      </c>
      <c r="G182" s="7" t="s">
        <v>66</v>
      </c>
      <c r="H182" s="4" t="s">
        <v>2821</v>
      </c>
      <c r="I182" s="4" t="s">
        <v>77</v>
      </c>
      <c r="J182" s="4" t="s">
        <v>2848</v>
      </c>
      <c r="K182" s="4"/>
      <c r="L182" s="4" t="s">
        <v>2828</v>
      </c>
      <c r="M182" s="4"/>
      <c r="N182" s="4"/>
      <c r="O182" s="4"/>
      <c r="P182" s="4"/>
      <c r="Q182" s="4"/>
      <c r="R182" s="4"/>
    </row>
    <row r="183" spans="1:18" x14ac:dyDescent="0.25">
      <c r="A183" s="4" t="s">
        <v>389</v>
      </c>
      <c r="B183" s="4" t="s">
        <v>387</v>
      </c>
      <c r="C183" s="4" t="s">
        <v>411</v>
      </c>
      <c r="D183" s="4" t="s">
        <v>692</v>
      </c>
      <c r="E183" s="4" t="s">
        <v>128</v>
      </c>
      <c r="F183" s="4" t="s">
        <v>2797</v>
      </c>
      <c r="G183" s="7" t="s">
        <v>171</v>
      </c>
      <c r="H183" s="4" t="s">
        <v>2822</v>
      </c>
      <c r="I183" s="4" t="s">
        <v>261</v>
      </c>
      <c r="J183" s="4" t="s">
        <v>2849</v>
      </c>
      <c r="K183" s="4"/>
      <c r="L183" s="4" t="s">
        <v>2828</v>
      </c>
      <c r="M183" s="4"/>
      <c r="N183" s="4"/>
      <c r="O183" s="4"/>
      <c r="P183" s="4"/>
      <c r="Q183" s="4"/>
      <c r="R183" s="4"/>
    </row>
    <row r="184" spans="1:18" x14ac:dyDescent="0.25">
      <c r="A184" s="4" t="s">
        <v>389</v>
      </c>
      <c r="B184" s="4" t="s">
        <v>387</v>
      </c>
      <c r="C184" s="4" t="s">
        <v>411</v>
      </c>
      <c r="D184" s="4" t="s">
        <v>693</v>
      </c>
      <c r="E184" s="4" t="s">
        <v>333</v>
      </c>
      <c r="F184" s="4" t="s">
        <v>332</v>
      </c>
      <c r="G184" s="7" t="s">
        <v>100</v>
      </c>
      <c r="H184" s="4" t="s">
        <v>99</v>
      </c>
      <c r="I184" s="4" t="s">
        <v>128</v>
      </c>
      <c r="J184" s="4" t="s">
        <v>127</v>
      </c>
      <c r="K184" s="4"/>
      <c r="L184" s="4" t="s">
        <v>2828</v>
      </c>
      <c r="M184" s="4"/>
      <c r="N184" s="4"/>
      <c r="O184" s="4"/>
      <c r="P184" s="4"/>
      <c r="Q184" s="4"/>
      <c r="R184" s="4"/>
    </row>
    <row r="185" spans="1:18" x14ac:dyDescent="0.25">
      <c r="A185" s="4" t="s">
        <v>389</v>
      </c>
      <c r="B185" s="4" t="s">
        <v>394</v>
      </c>
      <c r="C185" s="4" t="s">
        <v>411</v>
      </c>
      <c r="D185" s="4" t="s">
        <v>694</v>
      </c>
      <c r="E185" s="4" t="s">
        <v>136</v>
      </c>
      <c r="F185" s="4" t="s">
        <v>135</v>
      </c>
      <c r="G185" s="7" t="s">
        <v>250</v>
      </c>
      <c r="H185" s="4" t="s">
        <v>249</v>
      </c>
      <c r="I185" s="4" t="s">
        <v>280</v>
      </c>
      <c r="J185" s="4" t="s">
        <v>279</v>
      </c>
      <c r="K185" s="4"/>
      <c r="L185" s="4" t="s">
        <v>2828</v>
      </c>
      <c r="M185" s="4"/>
      <c r="N185" s="4"/>
      <c r="O185" s="4"/>
      <c r="P185" s="4"/>
      <c r="Q185" s="4"/>
      <c r="R185" s="4"/>
    </row>
    <row r="186" spans="1:18" x14ac:dyDescent="0.25">
      <c r="A186" s="4" t="s">
        <v>389</v>
      </c>
      <c r="B186" s="4" t="s">
        <v>387</v>
      </c>
      <c r="C186" s="4" t="s">
        <v>411</v>
      </c>
      <c r="D186" s="4" t="s">
        <v>695</v>
      </c>
      <c r="E186" s="4" t="s">
        <v>136</v>
      </c>
      <c r="F186" s="4" t="s">
        <v>135</v>
      </c>
      <c r="G186" s="7" t="s">
        <v>21</v>
      </c>
      <c r="H186" s="4" t="s">
        <v>20</v>
      </c>
      <c r="I186" s="4" t="s">
        <v>120</v>
      </c>
      <c r="J186" s="4" t="s">
        <v>119</v>
      </c>
      <c r="K186" s="4"/>
      <c r="L186" s="4" t="s">
        <v>2828</v>
      </c>
      <c r="M186" s="4"/>
      <c r="N186" s="4"/>
      <c r="O186" s="4"/>
      <c r="P186" s="4"/>
      <c r="Q186" s="4"/>
      <c r="R186" s="4"/>
    </row>
    <row r="187" spans="1:18" x14ac:dyDescent="0.25">
      <c r="A187" s="4" t="s">
        <v>389</v>
      </c>
      <c r="B187" s="4" t="s">
        <v>394</v>
      </c>
      <c r="C187" s="4" t="s">
        <v>411</v>
      </c>
      <c r="D187" s="4" t="s">
        <v>696</v>
      </c>
      <c r="E187" s="4" t="s">
        <v>363</v>
      </c>
      <c r="F187" s="4" t="s">
        <v>362</v>
      </c>
      <c r="G187" s="7" t="s">
        <v>361</v>
      </c>
      <c r="H187" s="4" t="s">
        <v>391</v>
      </c>
      <c r="I187" s="4" t="s">
        <v>641</v>
      </c>
      <c r="J187" s="4" t="s">
        <v>286</v>
      </c>
      <c r="K187" s="4"/>
      <c r="L187" s="4" t="s">
        <v>2828</v>
      </c>
      <c r="M187" s="4"/>
      <c r="N187" s="4"/>
      <c r="O187" s="4"/>
      <c r="P187" s="4"/>
      <c r="Q187" s="4"/>
      <c r="R187" s="4"/>
    </row>
    <row r="188" spans="1:18" x14ac:dyDescent="0.25">
      <c r="A188" s="4" t="s">
        <v>389</v>
      </c>
      <c r="B188" s="4" t="s">
        <v>387</v>
      </c>
      <c r="C188" s="4" t="s">
        <v>411</v>
      </c>
      <c r="D188" s="4" t="s">
        <v>697</v>
      </c>
      <c r="E188" s="4" t="s">
        <v>361</v>
      </c>
      <c r="F188" s="4" t="s">
        <v>391</v>
      </c>
      <c r="G188" s="7" t="s">
        <v>136</v>
      </c>
      <c r="H188" s="4" t="s">
        <v>135</v>
      </c>
      <c r="I188" s="4" t="s">
        <v>250</v>
      </c>
      <c r="J188" s="4" t="s">
        <v>249</v>
      </c>
      <c r="K188" s="4"/>
      <c r="L188" s="4" t="s">
        <v>2828</v>
      </c>
      <c r="M188" s="4"/>
      <c r="N188" s="4"/>
      <c r="O188" s="4"/>
      <c r="P188" s="4"/>
      <c r="Q188" s="4"/>
      <c r="R188" s="4"/>
    </row>
    <row r="189" spans="1:18" x14ac:dyDescent="0.25">
      <c r="A189" s="4" t="s">
        <v>389</v>
      </c>
      <c r="B189" s="4" t="s">
        <v>387</v>
      </c>
      <c r="C189" s="4" t="s">
        <v>473</v>
      </c>
      <c r="D189" s="4" t="s">
        <v>387</v>
      </c>
      <c r="E189" s="4" t="s">
        <v>124</v>
      </c>
      <c r="F189" s="4" t="s">
        <v>123</v>
      </c>
      <c r="G189" s="7" t="s">
        <v>361</v>
      </c>
      <c r="H189" s="4" t="s">
        <v>391</v>
      </c>
      <c r="I189" s="4" t="s">
        <v>319</v>
      </c>
      <c r="J189" s="4" t="s">
        <v>318</v>
      </c>
      <c r="K189" s="4"/>
      <c r="L189" s="4" t="s">
        <v>2828</v>
      </c>
      <c r="M189" s="4"/>
      <c r="N189" s="4"/>
      <c r="O189" s="4"/>
      <c r="P189" s="4"/>
      <c r="Q189" s="4"/>
      <c r="R189" s="4"/>
    </row>
    <row r="190" spans="1:18" x14ac:dyDescent="0.25">
      <c r="A190" s="4" t="s">
        <v>389</v>
      </c>
      <c r="B190" s="4" t="s">
        <v>394</v>
      </c>
      <c r="C190" s="4" t="s">
        <v>473</v>
      </c>
      <c r="D190" s="4" t="s">
        <v>394</v>
      </c>
      <c r="E190" s="4" t="s">
        <v>21</v>
      </c>
      <c r="F190" s="4" t="s">
        <v>20</v>
      </c>
      <c r="G190" s="7" t="s">
        <v>253</v>
      </c>
      <c r="H190" s="4" t="s">
        <v>252</v>
      </c>
      <c r="I190" s="4" t="s">
        <v>66</v>
      </c>
      <c r="J190" s="4" t="s">
        <v>65</v>
      </c>
      <c r="K190" s="4"/>
      <c r="L190" s="4" t="s">
        <v>2828</v>
      </c>
      <c r="M190" s="4"/>
      <c r="N190" s="4"/>
      <c r="O190" s="4"/>
      <c r="P190" s="4"/>
      <c r="Q190" s="4"/>
      <c r="R190" s="4"/>
    </row>
    <row r="191" spans="1:18" x14ac:dyDescent="0.25">
      <c r="A191" s="4" t="s">
        <v>163</v>
      </c>
      <c r="B191" s="4" t="s">
        <v>387</v>
      </c>
      <c r="C191" s="4" t="s">
        <v>412</v>
      </c>
      <c r="D191" s="4" t="s">
        <v>698</v>
      </c>
      <c r="E191" s="4" t="s">
        <v>250</v>
      </c>
      <c r="F191" s="4" t="s">
        <v>1196</v>
      </c>
      <c r="G191" s="7" t="s">
        <v>361</v>
      </c>
      <c r="H191" s="4" t="s">
        <v>1383</v>
      </c>
      <c r="I191" s="4" t="s">
        <v>128</v>
      </c>
      <c r="J191" s="4" t="s">
        <v>1540</v>
      </c>
      <c r="K191" s="4"/>
      <c r="L191" s="4" t="s">
        <v>2828</v>
      </c>
      <c r="M191" s="4"/>
      <c r="N191" s="4"/>
      <c r="O191" s="4"/>
      <c r="P191" s="4"/>
      <c r="Q191" s="4"/>
      <c r="R191" s="4"/>
    </row>
    <row r="192" spans="1:18" x14ac:dyDescent="0.25">
      <c r="A192" s="4" t="s">
        <v>163</v>
      </c>
      <c r="B192" s="4" t="s">
        <v>394</v>
      </c>
      <c r="C192" s="4" t="s">
        <v>412</v>
      </c>
      <c r="D192" s="4" t="s">
        <v>699</v>
      </c>
      <c r="E192" s="4" t="s">
        <v>128</v>
      </c>
      <c r="F192" s="4" t="s">
        <v>1197</v>
      </c>
      <c r="G192" s="7" t="s">
        <v>77</v>
      </c>
      <c r="H192" s="4" t="s">
        <v>1384</v>
      </c>
      <c r="I192" s="4" t="s">
        <v>287</v>
      </c>
      <c r="J192" s="4" t="s">
        <v>1541</v>
      </c>
      <c r="K192" s="4"/>
      <c r="L192" s="4" t="s">
        <v>2828</v>
      </c>
      <c r="M192" s="4"/>
      <c r="N192" s="4"/>
      <c r="O192" s="4"/>
      <c r="P192" s="4"/>
      <c r="Q192" s="4"/>
      <c r="R192" s="4"/>
    </row>
    <row r="193" spans="1:18" x14ac:dyDescent="0.25">
      <c r="A193" s="4" t="s">
        <v>163</v>
      </c>
      <c r="B193" s="4" t="s">
        <v>387</v>
      </c>
      <c r="C193" s="4" t="s">
        <v>412</v>
      </c>
      <c r="D193" s="4" t="s">
        <v>700</v>
      </c>
      <c r="E193" s="4" t="s">
        <v>21</v>
      </c>
      <c r="F193" s="4" t="s">
        <v>1198</v>
      </c>
      <c r="G193" s="7" t="s">
        <v>92</v>
      </c>
      <c r="H193" s="4" t="s">
        <v>1385</v>
      </c>
      <c r="I193" s="4" t="s">
        <v>253</v>
      </c>
      <c r="J193" s="4" t="s">
        <v>1542</v>
      </c>
      <c r="K193" s="4"/>
      <c r="L193" s="4" t="s">
        <v>2828</v>
      </c>
      <c r="M193" s="4"/>
      <c r="N193" s="4"/>
      <c r="O193" s="4"/>
      <c r="P193" s="4"/>
      <c r="Q193" s="4"/>
      <c r="R193" s="4"/>
    </row>
    <row r="194" spans="1:18" x14ac:dyDescent="0.25">
      <c r="A194" s="4" t="s">
        <v>163</v>
      </c>
      <c r="B194" s="4" t="s">
        <v>394</v>
      </c>
      <c r="C194" s="4" t="s">
        <v>412</v>
      </c>
      <c r="D194" s="4" t="s">
        <v>701</v>
      </c>
      <c r="E194" s="4" t="s">
        <v>250</v>
      </c>
      <c r="F194" s="4" t="s">
        <v>1199</v>
      </c>
      <c r="G194" s="7" t="s">
        <v>171</v>
      </c>
      <c r="H194" s="4" t="s">
        <v>1386</v>
      </c>
      <c r="I194" s="4" t="s">
        <v>100</v>
      </c>
      <c r="J194" s="4" t="s">
        <v>1543</v>
      </c>
      <c r="K194" s="4"/>
      <c r="L194" s="4" t="s">
        <v>2828</v>
      </c>
      <c r="M194" s="4"/>
      <c r="N194" s="4"/>
      <c r="O194" s="4"/>
      <c r="P194" s="4"/>
      <c r="Q194" s="4"/>
      <c r="R194" s="4"/>
    </row>
    <row r="195" spans="1:18" x14ac:dyDescent="0.25">
      <c r="A195" s="4" t="s">
        <v>163</v>
      </c>
      <c r="B195" s="4" t="s">
        <v>387</v>
      </c>
      <c r="C195" s="4" t="s">
        <v>412</v>
      </c>
      <c r="D195" s="4" t="s">
        <v>702</v>
      </c>
      <c r="E195" s="4" t="s">
        <v>361</v>
      </c>
      <c r="F195" s="4" t="s">
        <v>1200</v>
      </c>
      <c r="G195" s="7" t="s">
        <v>313</v>
      </c>
      <c r="H195" s="4" t="s">
        <v>1387</v>
      </c>
      <c r="I195" s="4" t="s">
        <v>363</v>
      </c>
      <c r="J195" s="4" t="s">
        <v>1544</v>
      </c>
      <c r="K195" s="4"/>
      <c r="L195" s="4" t="s">
        <v>2828</v>
      </c>
      <c r="M195" s="4"/>
      <c r="N195" s="4"/>
      <c r="O195" s="4"/>
      <c r="P195" s="4"/>
      <c r="Q195" s="4"/>
      <c r="R195" s="4"/>
    </row>
    <row r="196" spans="1:18" x14ac:dyDescent="0.25">
      <c r="A196" s="4" t="s">
        <v>389</v>
      </c>
      <c r="B196" s="4" t="s">
        <v>387</v>
      </c>
      <c r="C196" s="4" t="s">
        <v>412</v>
      </c>
      <c r="D196" s="4" t="s">
        <v>703</v>
      </c>
      <c r="E196" s="4" t="s">
        <v>92</v>
      </c>
      <c r="F196" s="4" t="s">
        <v>2798</v>
      </c>
      <c r="G196" s="7" t="s">
        <v>21</v>
      </c>
      <c r="H196" s="4" t="s">
        <v>2823</v>
      </c>
      <c r="I196" s="4" t="s">
        <v>140</v>
      </c>
      <c r="J196" s="4" t="s">
        <v>2850</v>
      </c>
      <c r="K196" s="4"/>
      <c r="L196" s="4" t="s">
        <v>2828</v>
      </c>
      <c r="M196" s="4"/>
      <c r="N196" s="4"/>
      <c r="O196" s="4"/>
      <c r="P196" s="4"/>
      <c r="Q196" s="4"/>
      <c r="R196" s="4"/>
    </row>
    <row r="197" spans="1:18" x14ac:dyDescent="0.25">
      <c r="A197" s="4" t="s">
        <v>389</v>
      </c>
      <c r="B197" s="4" t="s">
        <v>394</v>
      </c>
      <c r="C197" s="4" t="s">
        <v>412</v>
      </c>
      <c r="D197" s="4" t="s">
        <v>704</v>
      </c>
      <c r="E197" s="4" t="s">
        <v>361</v>
      </c>
      <c r="F197" s="4" t="s">
        <v>2799</v>
      </c>
      <c r="G197" s="7" t="s">
        <v>253</v>
      </c>
      <c r="H197" s="4" t="s">
        <v>2824</v>
      </c>
      <c r="I197" s="4" t="s">
        <v>128</v>
      </c>
      <c r="J197" s="4" t="s">
        <v>2851</v>
      </c>
      <c r="K197" s="4"/>
      <c r="L197" s="4" t="s">
        <v>2828</v>
      </c>
      <c r="M197" s="4"/>
      <c r="N197" s="4"/>
      <c r="O197" s="4"/>
      <c r="P197" s="4"/>
      <c r="Q197" s="4"/>
      <c r="R197" s="4"/>
    </row>
    <row r="198" spans="1:18" x14ac:dyDescent="0.25">
      <c r="A198" s="4" t="s">
        <v>389</v>
      </c>
      <c r="B198" s="4" t="s">
        <v>387</v>
      </c>
      <c r="C198" s="4" t="s">
        <v>412</v>
      </c>
      <c r="D198" s="4" t="s">
        <v>705</v>
      </c>
      <c r="E198" s="4" t="s">
        <v>253</v>
      </c>
      <c r="F198" s="4" t="s">
        <v>2800</v>
      </c>
      <c r="G198" s="7" t="s">
        <v>21</v>
      </c>
      <c r="H198" s="4" t="s">
        <v>2825</v>
      </c>
      <c r="I198" s="4" t="s">
        <v>136</v>
      </c>
      <c r="J198" s="4" t="s">
        <v>2852</v>
      </c>
      <c r="K198" s="4"/>
      <c r="L198" s="4" t="s">
        <v>2828</v>
      </c>
      <c r="M198" s="4"/>
      <c r="N198" s="4"/>
      <c r="O198" s="4"/>
      <c r="P198" s="4"/>
      <c r="Q198" s="4"/>
      <c r="R198" s="4"/>
    </row>
    <row r="199" spans="1:18" x14ac:dyDescent="0.25">
      <c r="A199" s="4" t="s">
        <v>389</v>
      </c>
      <c r="B199" s="4" t="s">
        <v>394</v>
      </c>
      <c r="C199" s="4" t="s">
        <v>412</v>
      </c>
      <c r="D199" s="4" t="s">
        <v>706</v>
      </c>
      <c r="E199" s="4" t="s">
        <v>51</v>
      </c>
      <c r="F199" s="4" t="s">
        <v>2801</v>
      </c>
      <c r="G199" s="7" t="s">
        <v>253</v>
      </c>
      <c r="H199" s="4" t="s">
        <v>2826</v>
      </c>
      <c r="I199" s="4" t="s">
        <v>100</v>
      </c>
      <c r="J199" s="4" t="s">
        <v>2853</v>
      </c>
      <c r="K199" s="4"/>
      <c r="L199" s="4" t="s">
        <v>2828</v>
      </c>
      <c r="M199" s="4"/>
      <c r="N199" s="4"/>
      <c r="O199" s="4"/>
      <c r="P199" s="4"/>
      <c r="Q199" s="4"/>
      <c r="R199" s="4"/>
    </row>
    <row r="200" spans="1:18" x14ac:dyDescent="0.25">
      <c r="A200" s="4" t="s">
        <v>389</v>
      </c>
      <c r="B200" s="4" t="s">
        <v>399</v>
      </c>
      <c r="C200" s="4" t="s">
        <v>412</v>
      </c>
      <c r="D200" s="4" t="s">
        <v>707</v>
      </c>
      <c r="E200" s="4" t="s">
        <v>16</v>
      </c>
      <c r="F200" s="4" t="s">
        <v>2802</v>
      </c>
      <c r="G200" s="7" t="s">
        <v>21</v>
      </c>
      <c r="H200" s="4" t="s">
        <v>2827</v>
      </c>
      <c r="I200" s="4" t="s">
        <v>23</v>
      </c>
      <c r="J200" s="4" t="s">
        <v>2854</v>
      </c>
      <c r="K200" s="4"/>
      <c r="L200" s="4" t="s">
        <v>2828</v>
      </c>
      <c r="M200" s="4"/>
      <c r="N200" s="4"/>
      <c r="O200" s="4"/>
      <c r="P200" s="4"/>
      <c r="Q200" s="4"/>
      <c r="R200" s="4"/>
    </row>
    <row r="201" spans="1:18" x14ac:dyDescent="0.25">
      <c r="A201" s="4" t="s">
        <v>163</v>
      </c>
      <c r="B201" s="4" t="s">
        <v>387</v>
      </c>
      <c r="C201" s="4" t="s">
        <v>413</v>
      </c>
      <c r="D201" s="4" t="s">
        <v>708</v>
      </c>
      <c r="E201" s="4" t="s">
        <v>175</v>
      </c>
      <c r="F201" s="4" t="s">
        <v>1201</v>
      </c>
      <c r="G201" s="7" t="s">
        <v>287</v>
      </c>
      <c r="H201" s="4" t="s">
        <v>1388</v>
      </c>
      <c r="I201" s="4" t="s">
        <v>128</v>
      </c>
      <c r="J201" s="4" t="s">
        <v>1545</v>
      </c>
      <c r="K201" s="4"/>
      <c r="L201" s="4" t="s">
        <v>2828</v>
      </c>
      <c r="M201" s="4"/>
      <c r="N201" s="4"/>
      <c r="O201" s="4"/>
      <c r="P201" s="4"/>
      <c r="Q201" s="4"/>
      <c r="R201" s="4"/>
    </row>
    <row r="202" spans="1:18" x14ac:dyDescent="0.25">
      <c r="A202" s="4" t="s">
        <v>163</v>
      </c>
      <c r="B202" s="4" t="s">
        <v>387</v>
      </c>
      <c r="C202" s="4" t="s">
        <v>413</v>
      </c>
      <c r="D202" s="4" t="s">
        <v>709</v>
      </c>
      <c r="E202" s="4" t="s">
        <v>136</v>
      </c>
      <c r="F202" s="4" t="s">
        <v>1202</v>
      </c>
      <c r="G202" s="7" t="s">
        <v>187</v>
      </c>
      <c r="H202" s="4" t="s">
        <v>1389</v>
      </c>
      <c r="I202" s="4" t="s">
        <v>287</v>
      </c>
      <c r="J202" s="4" t="s">
        <v>1546</v>
      </c>
      <c r="K202" s="4"/>
      <c r="L202" s="4" t="s">
        <v>2828</v>
      </c>
      <c r="M202" s="4"/>
      <c r="N202" s="4"/>
      <c r="O202" s="4"/>
      <c r="P202" s="4"/>
      <c r="Q202" s="4"/>
      <c r="R202" s="4"/>
    </row>
    <row r="203" spans="1:18" x14ac:dyDescent="0.25">
      <c r="A203" s="4" t="s">
        <v>163</v>
      </c>
      <c r="B203" s="4" t="s">
        <v>387</v>
      </c>
      <c r="C203" s="4" t="s">
        <v>413</v>
      </c>
      <c r="D203" s="4" t="s">
        <v>710</v>
      </c>
      <c r="E203" s="4" t="s">
        <v>175</v>
      </c>
      <c r="F203" s="4" t="s">
        <v>1201</v>
      </c>
      <c r="G203" s="7" t="s">
        <v>358</v>
      </c>
      <c r="H203" s="4" t="s">
        <v>1390</v>
      </c>
      <c r="I203" s="4" t="s">
        <v>287</v>
      </c>
      <c r="J203" s="4" t="s">
        <v>1547</v>
      </c>
      <c r="K203" s="4"/>
      <c r="L203" s="4" t="s">
        <v>2828</v>
      </c>
      <c r="M203" s="4"/>
      <c r="N203" s="4"/>
      <c r="O203" s="4"/>
      <c r="P203" s="4"/>
      <c r="Q203" s="4"/>
      <c r="R203" s="4"/>
    </row>
    <row r="204" spans="1:18" x14ac:dyDescent="0.25">
      <c r="A204" s="4" t="s">
        <v>163</v>
      </c>
      <c r="B204" s="4" t="s">
        <v>387</v>
      </c>
      <c r="C204" s="4" t="s">
        <v>413</v>
      </c>
      <c r="D204" s="4" t="s">
        <v>711</v>
      </c>
      <c r="E204" s="4" t="s">
        <v>187</v>
      </c>
      <c r="F204" s="4" t="s">
        <v>1203</v>
      </c>
      <c r="G204" s="7" t="s">
        <v>373</v>
      </c>
      <c r="H204" s="4" t="s">
        <v>866</v>
      </c>
      <c r="I204" s="4" t="s">
        <v>186</v>
      </c>
      <c r="J204" s="4" t="s">
        <v>1548</v>
      </c>
      <c r="K204" s="4"/>
      <c r="L204" s="4" t="s">
        <v>2828</v>
      </c>
      <c r="M204" s="4"/>
      <c r="N204" s="4"/>
      <c r="O204" s="4"/>
      <c r="P204" s="4"/>
      <c r="Q204" s="4"/>
      <c r="R204" s="4"/>
    </row>
    <row r="205" spans="1:18" x14ac:dyDescent="0.25">
      <c r="A205" s="4" t="s">
        <v>163</v>
      </c>
      <c r="B205" s="4" t="s">
        <v>387</v>
      </c>
      <c r="C205" s="4" t="s">
        <v>413</v>
      </c>
      <c r="D205" s="4" t="s">
        <v>712</v>
      </c>
      <c r="E205" s="4" t="s">
        <v>136</v>
      </c>
      <c r="F205" s="4" t="s">
        <v>1204</v>
      </c>
      <c r="G205" s="7" t="s">
        <v>128</v>
      </c>
      <c r="H205" s="4" t="s">
        <v>1391</v>
      </c>
      <c r="I205" s="4" t="s">
        <v>77</v>
      </c>
      <c r="J205" s="4" t="s">
        <v>1549</v>
      </c>
      <c r="K205" s="4"/>
      <c r="L205" s="4" t="s">
        <v>2828</v>
      </c>
      <c r="M205" s="4"/>
      <c r="N205" s="4"/>
      <c r="O205" s="4"/>
      <c r="P205" s="4"/>
      <c r="Q205" s="4"/>
      <c r="R205" s="4"/>
    </row>
    <row r="206" spans="1:18" x14ac:dyDescent="0.25">
      <c r="A206" s="4" t="s">
        <v>163</v>
      </c>
      <c r="B206" s="4" t="s">
        <v>387</v>
      </c>
      <c r="C206" s="4" t="s">
        <v>413</v>
      </c>
      <c r="D206" s="4" t="s">
        <v>713</v>
      </c>
      <c r="E206" s="4" t="s">
        <v>373</v>
      </c>
      <c r="F206" s="4" t="s">
        <v>866</v>
      </c>
      <c r="G206" s="7" t="s">
        <v>51</v>
      </c>
      <c r="H206" s="4" t="s">
        <v>867</v>
      </c>
      <c r="I206" s="4" t="s">
        <v>77</v>
      </c>
      <c r="J206" s="4" t="s">
        <v>868</v>
      </c>
      <c r="K206" s="4"/>
      <c r="L206" s="4" t="s">
        <v>2828</v>
      </c>
      <c r="M206" s="4"/>
      <c r="N206" s="4"/>
      <c r="O206" s="4"/>
      <c r="P206" s="4"/>
      <c r="Q206" s="4"/>
      <c r="R206" s="4"/>
    </row>
    <row r="207" spans="1:18" x14ac:dyDescent="0.25">
      <c r="A207" s="4" t="s">
        <v>163</v>
      </c>
      <c r="B207" s="4" t="s">
        <v>387</v>
      </c>
      <c r="C207" s="4" t="s">
        <v>413</v>
      </c>
      <c r="D207" s="4" t="s">
        <v>714</v>
      </c>
      <c r="E207" s="4" t="s">
        <v>92</v>
      </c>
      <c r="F207" s="4" t="s">
        <v>1205</v>
      </c>
      <c r="G207" s="7" t="s">
        <v>175</v>
      </c>
      <c r="H207" s="4" t="s">
        <v>1392</v>
      </c>
      <c r="I207" s="4" t="s">
        <v>361</v>
      </c>
      <c r="J207" s="4" t="s">
        <v>1550</v>
      </c>
      <c r="K207" s="4"/>
      <c r="L207" s="4" t="s">
        <v>2828</v>
      </c>
      <c r="M207" s="4"/>
      <c r="N207" s="4"/>
      <c r="O207" s="4"/>
      <c r="P207" s="4"/>
      <c r="Q207" s="4"/>
      <c r="R207" s="4"/>
    </row>
    <row r="208" spans="1:18" x14ac:dyDescent="0.25">
      <c r="A208" s="4" t="s">
        <v>163</v>
      </c>
      <c r="B208" s="4" t="s">
        <v>387</v>
      </c>
      <c r="C208" s="4" t="s">
        <v>413</v>
      </c>
      <c r="D208" s="4" t="s">
        <v>715</v>
      </c>
      <c r="E208" s="4" t="s">
        <v>716</v>
      </c>
      <c r="F208" s="4" t="s">
        <v>1206</v>
      </c>
      <c r="G208" s="7" t="s">
        <v>175</v>
      </c>
      <c r="H208" s="4" t="s">
        <v>1393</v>
      </c>
      <c r="I208" s="4" t="s">
        <v>361</v>
      </c>
      <c r="J208" s="4" t="s">
        <v>1551</v>
      </c>
      <c r="K208" s="4"/>
      <c r="L208" s="4" t="s">
        <v>2828</v>
      </c>
      <c r="M208" s="4"/>
      <c r="N208" s="4"/>
      <c r="O208" s="4"/>
      <c r="P208" s="4"/>
      <c r="Q208" s="4"/>
      <c r="R208" s="4"/>
    </row>
    <row r="209" spans="1:18" x14ac:dyDescent="0.25">
      <c r="A209" s="4" t="s">
        <v>163</v>
      </c>
      <c r="B209" s="4" t="s">
        <v>387</v>
      </c>
      <c r="C209" s="4" t="s">
        <v>413</v>
      </c>
      <c r="D209" s="4" t="s">
        <v>717</v>
      </c>
      <c r="E209" s="4" t="s">
        <v>175</v>
      </c>
      <c r="F209" s="4" t="s">
        <v>1207</v>
      </c>
      <c r="G209" s="7" t="s">
        <v>331</v>
      </c>
      <c r="H209" s="4" t="s">
        <v>1394</v>
      </c>
      <c r="I209" s="4" t="s">
        <v>716</v>
      </c>
      <c r="J209" s="4" t="s">
        <v>1552</v>
      </c>
      <c r="K209" s="4"/>
      <c r="L209" s="4" t="s">
        <v>2828</v>
      </c>
      <c r="M209" s="4"/>
      <c r="N209" s="4"/>
      <c r="O209" s="4"/>
      <c r="P209" s="4"/>
      <c r="Q209" s="4"/>
      <c r="R209" s="4"/>
    </row>
    <row r="210" spans="1:18" x14ac:dyDescent="0.25">
      <c r="A210" s="4" t="s">
        <v>163</v>
      </c>
      <c r="B210" s="4" t="s">
        <v>394</v>
      </c>
      <c r="C210" s="4" t="s">
        <v>413</v>
      </c>
      <c r="D210" s="4" t="s">
        <v>718</v>
      </c>
      <c r="E210" s="4" t="s">
        <v>136</v>
      </c>
      <c r="F210" s="4" t="s">
        <v>1208</v>
      </c>
      <c r="G210" s="7" t="s">
        <v>77</v>
      </c>
      <c r="H210" s="4" t="s">
        <v>1395</v>
      </c>
      <c r="I210" s="4" t="s">
        <v>77</v>
      </c>
      <c r="J210" s="4" t="s">
        <v>1396</v>
      </c>
      <c r="K210" s="4"/>
      <c r="L210" s="4" t="s">
        <v>2828</v>
      </c>
      <c r="M210" s="4"/>
      <c r="N210" s="4"/>
      <c r="O210" s="4"/>
      <c r="P210" s="4"/>
      <c r="Q210" s="4"/>
      <c r="R210" s="4"/>
    </row>
    <row r="211" spans="1:18" x14ac:dyDescent="0.25">
      <c r="A211" s="4" t="s">
        <v>163</v>
      </c>
      <c r="B211" s="4" t="s">
        <v>394</v>
      </c>
      <c r="C211" s="4" t="s">
        <v>413</v>
      </c>
      <c r="D211" s="4" t="s">
        <v>719</v>
      </c>
      <c r="E211" s="4" t="s">
        <v>363</v>
      </c>
      <c r="F211" s="4" t="s">
        <v>1209</v>
      </c>
      <c r="G211" s="7" t="s">
        <v>77</v>
      </c>
      <c r="H211" s="4" t="s">
        <v>1396</v>
      </c>
      <c r="I211" s="4" t="s">
        <v>77</v>
      </c>
      <c r="J211" s="4" t="s">
        <v>1553</v>
      </c>
      <c r="K211" s="4"/>
      <c r="L211" s="4" t="s">
        <v>2828</v>
      </c>
      <c r="M211" s="4"/>
      <c r="N211" s="4"/>
      <c r="O211" s="4"/>
      <c r="P211" s="4"/>
      <c r="Q211" s="4"/>
      <c r="R211" s="4"/>
    </row>
    <row r="212" spans="1:18" x14ac:dyDescent="0.25">
      <c r="A212" s="4" t="s">
        <v>163</v>
      </c>
      <c r="B212" s="4" t="s">
        <v>394</v>
      </c>
      <c r="C212" s="4" t="s">
        <v>413</v>
      </c>
      <c r="D212" s="4" t="s">
        <v>720</v>
      </c>
      <c r="E212" s="4" t="s">
        <v>140</v>
      </c>
      <c r="F212" s="4" t="s">
        <v>869</v>
      </c>
      <c r="G212" s="7" t="s">
        <v>136</v>
      </c>
      <c r="H212" s="4" t="s">
        <v>870</v>
      </c>
      <c r="I212" s="4" t="s">
        <v>333</v>
      </c>
      <c r="J212" s="4" t="s">
        <v>871</v>
      </c>
      <c r="K212" s="4"/>
      <c r="L212" s="4" t="s">
        <v>2828</v>
      </c>
      <c r="M212" s="4"/>
      <c r="N212" s="4"/>
      <c r="O212" s="4"/>
      <c r="P212" s="4"/>
      <c r="Q212" s="4"/>
      <c r="R212" s="4"/>
    </row>
    <row r="213" spans="1:18" x14ac:dyDescent="0.25">
      <c r="A213" s="4" t="s">
        <v>163</v>
      </c>
      <c r="B213" s="4" t="s">
        <v>394</v>
      </c>
      <c r="C213" s="4" t="s">
        <v>413</v>
      </c>
      <c r="D213" s="4" t="s">
        <v>721</v>
      </c>
      <c r="E213" s="4" t="s">
        <v>77</v>
      </c>
      <c r="F213" s="4" t="s">
        <v>872</v>
      </c>
      <c r="G213" s="7" t="s">
        <v>287</v>
      </c>
      <c r="H213" s="4" t="s">
        <v>873</v>
      </c>
      <c r="I213" s="4" t="s">
        <v>140</v>
      </c>
      <c r="J213" s="4" t="s">
        <v>869</v>
      </c>
      <c r="K213" s="4"/>
      <c r="L213" s="4" t="s">
        <v>2828</v>
      </c>
      <c r="M213" s="4"/>
      <c r="N213" s="4"/>
      <c r="O213" s="4"/>
      <c r="P213" s="4"/>
      <c r="Q213" s="4"/>
      <c r="R213" s="4"/>
    </row>
    <row r="214" spans="1:18" x14ac:dyDescent="0.25">
      <c r="A214" s="4" t="s">
        <v>163</v>
      </c>
      <c r="B214" s="4" t="s">
        <v>394</v>
      </c>
      <c r="C214" s="4" t="s">
        <v>413</v>
      </c>
      <c r="D214" s="4" t="s">
        <v>722</v>
      </c>
      <c r="E214" s="4" t="s">
        <v>21</v>
      </c>
      <c r="F214" s="4" t="s">
        <v>1210</v>
      </c>
      <c r="G214" s="7" t="s">
        <v>253</v>
      </c>
      <c r="H214" s="4" t="s">
        <v>1397</v>
      </c>
      <c r="I214" s="4" t="s">
        <v>363</v>
      </c>
      <c r="J214" s="4" t="s">
        <v>1554</v>
      </c>
      <c r="K214" s="4"/>
      <c r="L214" s="4" t="s">
        <v>2828</v>
      </c>
      <c r="M214" s="4"/>
      <c r="N214" s="4"/>
      <c r="O214" s="4"/>
      <c r="P214" s="4"/>
      <c r="Q214" s="4"/>
      <c r="R214" s="4"/>
    </row>
    <row r="215" spans="1:18" x14ac:dyDescent="0.25">
      <c r="A215" s="4" t="s">
        <v>163</v>
      </c>
      <c r="B215" s="4" t="s">
        <v>394</v>
      </c>
      <c r="C215" s="4" t="s">
        <v>413</v>
      </c>
      <c r="D215" s="4" t="s">
        <v>723</v>
      </c>
      <c r="E215" s="4" t="s">
        <v>175</v>
      </c>
      <c r="F215" s="4" t="s">
        <v>1211</v>
      </c>
      <c r="G215" s="7" t="s">
        <v>175</v>
      </c>
      <c r="H215" s="4" t="s">
        <v>1398</v>
      </c>
      <c r="I215" s="4" t="s">
        <v>363</v>
      </c>
      <c r="J215" s="4" t="s">
        <v>1555</v>
      </c>
      <c r="K215" s="4"/>
      <c r="L215" s="4" t="s">
        <v>2828</v>
      </c>
      <c r="M215" s="4"/>
      <c r="N215" s="4"/>
      <c r="O215" s="4"/>
      <c r="P215" s="4"/>
      <c r="Q215" s="4"/>
      <c r="R215" s="4"/>
    </row>
    <row r="216" spans="1:18" x14ac:dyDescent="0.25">
      <c r="A216" s="4" t="s">
        <v>163</v>
      </c>
      <c r="B216" s="4" t="s">
        <v>394</v>
      </c>
      <c r="C216" s="4" t="s">
        <v>414</v>
      </c>
      <c r="D216" s="4" t="s">
        <v>724</v>
      </c>
      <c r="E216" s="4" t="s">
        <v>100</v>
      </c>
      <c r="F216" s="4" t="s">
        <v>1212</v>
      </c>
      <c r="G216" s="7" t="s">
        <v>363</v>
      </c>
      <c r="H216" s="4" t="s">
        <v>875</v>
      </c>
      <c r="I216" s="4" t="s">
        <v>35</v>
      </c>
      <c r="J216" s="4" t="s">
        <v>1556</v>
      </c>
      <c r="K216" s="4"/>
      <c r="L216" s="4" t="s">
        <v>2828</v>
      </c>
      <c r="M216" s="4"/>
      <c r="N216" s="4"/>
      <c r="O216" s="4"/>
      <c r="P216" s="4"/>
      <c r="Q216" s="4"/>
      <c r="R216" s="4"/>
    </row>
    <row r="217" spans="1:18" x14ac:dyDescent="0.25">
      <c r="A217" s="4" t="s">
        <v>163</v>
      </c>
      <c r="B217" s="4" t="s">
        <v>394</v>
      </c>
      <c r="C217" s="4" t="s">
        <v>414</v>
      </c>
      <c r="D217" s="4" t="s">
        <v>725</v>
      </c>
      <c r="E217" s="4" t="s">
        <v>66</v>
      </c>
      <c r="F217" s="4" t="s">
        <v>876</v>
      </c>
      <c r="G217" s="7"/>
      <c r="H217" s="4"/>
      <c r="I217" s="4" t="s">
        <v>331</v>
      </c>
      <c r="J217" s="4" t="s">
        <v>1219</v>
      </c>
      <c r="K217" s="4"/>
      <c r="L217" s="4" t="s">
        <v>2828</v>
      </c>
      <c r="M217" s="4" t="s">
        <v>363</v>
      </c>
      <c r="N217" s="4" t="s">
        <v>875</v>
      </c>
      <c r="O217" s="4"/>
      <c r="P217" s="4"/>
      <c r="Q217" s="4"/>
      <c r="R217" s="4"/>
    </row>
    <row r="218" spans="1:18" x14ac:dyDescent="0.25">
      <c r="A218" s="4" t="s">
        <v>163</v>
      </c>
      <c r="B218" s="4" t="s">
        <v>394</v>
      </c>
      <c r="C218" s="4" t="s">
        <v>414</v>
      </c>
      <c r="D218" s="4" t="s">
        <v>727</v>
      </c>
      <c r="E218" s="4" t="s">
        <v>363</v>
      </c>
      <c r="F218" s="4" t="s">
        <v>1214</v>
      </c>
      <c r="G218" s="7" t="s">
        <v>331</v>
      </c>
      <c r="H218" s="4" t="s">
        <v>1219</v>
      </c>
      <c r="I218" s="4" t="s">
        <v>21</v>
      </c>
      <c r="J218" s="4" t="s">
        <v>1557</v>
      </c>
      <c r="K218" s="4"/>
      <c r="L218" s="4" t="s">
        <v>2828</v>
      </c>
      <c r="M218" s="4"/>
      <c r="N218" s="4"/>
      <c r="O218" s="4"/>
      <c r="P218" s="4"/>
      <c r="Q218" s="4"/>
      <c r="R218" s="4"/>
    </row>
    <row r="219" spans="1:18" x14ac:dyDescent="0.25">
      <c r="A219" s="4" t="s">
        <v>163</v>
      </c>
      <c r="B219" s="4" t="s">
        <v>394</v>
      </c>
      <c r="C219" s="4" t="s">
        <v>414</v>
      </c>
      <c r="D219" s="4" t="s">
        <v>728</v>
      </c>
      <c r="E219" s="4" t="s">
        <v>363</v>
      </c>
      <c r="F219" s="4" t="s">
        <v>1214</v>
      </c>
      <c r="G219" s="7" t="s">
        <v>361</v>
      </c>
      <c r="H219" s="4" t="s">
        <v>1399</v>
      </c>
      <c r="I219" s="4" t="s">
        <v>363</v>
      </c>
      <c r="J219" s="4" t="s">
        <v>1558</v>
      </c>
      <c r="K219" s="4"/>
      <c r="L219" s="4" t="s">
        <v>2828</v>
      </c>
      <c r="M219" s="4"/>
      <c r="N219" s="4"/>
      <c r="O219" s="4"/>
      <c r="P219" s="4"/>
      <c r="Q219" s="4"/>
      <c r="R219" s="4"/>
    </row>
    <row r="220" spans="1:18" x14ac:dyDescent="0.25">
      <c r="A220" s="4" t="s">
        <v>163</v>
      </c>
      <c r="B220" s="4" t="s">
        <v>394</v>
      </c>
      <c r="C220" s="4" t="s">
        <v>414</v>
      </c>
      <c r="D220" s="4" t="s">
        <v>729</v>
      </c>
      <c r="E220" s="4" t="s">
        <v>363</v>
      </c>
      <c r="F220" s="4" t="s">
        <v>1214</v>
      </c>
      <c r="G220" s="7" t="s">
        <v>361</v>
      </c>
      <c r="H220" s="4" t="s">
        <v>1399</v>
      </c>
      <c r="I220" s="4" t="s">
        <v>159</v>
      </c>
      <c r="J220" s="4" t="s">
        <v>1559</v>
      </c>
      <c r="K220" s="4"/>
      <c r="L220" s="4" t="s">
        <v>2828</v>
      </c>
      <c r="M220" s="4"/>
      <c r="N220" s="4"/>
      <c r="O220" s="4"/>
      <c r="P220" s="4"/>
      <c r="Q220" s="4"/>
      <c r="R220" s="4"/>
    </row>
    <row r="221" spans="1:18" x14ac:dyDescent="0.25">
      <c r="A221" s="4" t="s">
        <v>163</v>
      </c>
      <c r="B221" s="4" t="s">
        <v>394</v>
      </c>
      <c r="C221" s="4" t="s">
        <v>414</v>
      </c>
      <c r="D221" s="4" t="s">
        <v>730</v>
      </c>
      <c r="E221" s="4" t="s">
        <v>159</v>
      </c>
      <c r="F221" s="4" t="s">
        <v>1215</v>
      </c>
      <c r="G221" s="7" t="s">
        <v>363</v>
      </c>
      <c r="H221" s="4" t="s">
        <v>1400</v>
      </c>
      <c r="I221" s="4" t="s">
        <v>66</v>
      </c>
      <c r="J221" s="4" t="s">
        <v>884</v>
      </c>
      <c r="K221" s="4" t="s">
        <v>77</v>
      </c>
      <c r="L221" s="4" t="s">
        <v>883</v>
      </c>
      <c r="M221" s="4"/>
      <c r="N221" s="4"/>
      <c r="O221" s="4"/>
      <c r="P221" s="4"/>
      <c r="Q221" s="4"/>
      <c r="R221" s="4"/>
    </row>
    <row r="222" spans="1:18" x14ac:dyDescent="0.25">
      <c r="A222" s="4" t="s">
        <v>163</v>
      </c>
      <c r="B222" s="4" t="s">
        <v>394</v>
      </c>
      <c r="C222" s="4" t="s">
        <v>414</v>
      </c>
      <c r="D222" s="4" t="s">
        <v>732</v>
      </c>
      <c r="E222" s="4" t="s">
        <v>363</v>
      </c>
      <c r="F222" s="4" t="s">
        <v>1216</v>
      </c>
      <c r="G222" s="7" t="s">
        <v>159</v>
      </c>
      <c r="H222" s="4" t="s">
        <v>1215</v>
      </c>
      <c r="I222" s="4" t="s">
        <v>66</v>
      </c>
      <c r="J222" s="4" t="s">
        <v>1560</v>
      </c>
      <c r="K222" s="4"/>
      <c r="L222" s="4" t="s">
        <v>2828</v>
      </c>
      <c r="M222" s="4"/>
      <c r="N222" s="4"/>
      <c r="O222" s="4"/>
      <c r="P222" s="4"/>
      <c r="Q222" s="4"/>
      <c r="R222" s="4"/>
    </row>
    <row r="223" spans="1:18" x14ac:dyDescent="0.25">
      <c r="A223" s="4" t="s">
        <v>163</v>
      </c>
      <c r="B223" s="4" t="s">
        <v>394</v>
      </c>
      <c r="C223" s="4" t="s">
        <v>414</v>
      </c>
      <c r="D223" s="4" t="s">
        <v>733</v>
      </c>
      <c r="E223" s="4" t="s">
        <v>363</v>
      </c>
      <c r="F223" s="4" t="s">
        <v>1217</v>
      </c>
      <c r="G223" s="7" t="s">
        <v>287</v>
      </c>
      <c r="H223" s="4" t="s">
        <v>1401</v>
      </c>
      <c r="I223" s="4" t="s">
        <v>363</v>
      </c>
      <c r="J223" s="4" t="s">
        <v>1561</v>
      </c>
      <c r="K223" s="4"/>
      <c r="L223" s="4" t="s">
        <v>2828</v>
      </c>
      <c r="M223" s="4"/>
      <c r="N223" s="4"/>
      <c r="O223" s="4"/>
      <c r="P223" s="4"/>
      <c r="Q223" s="4"/>
      <c r="R223" s="4"/>
    </row>
    <row r="224" spans="1:18" x14ac:dyDescent="0.25">
      <c r="A224" s="4" t="s">
        <v>163</v>
      </c>
      <c r="B224" s="4" t="s">
        <v>394</v>
      </c>
      <c r="C224" s="4" t="s">
        <v>414</v>
      </c>
      <c r="D224" s="4" t="s">
        <v>734</v>
      </c>
      <c r="E224" s="4" t="s">
        <v>179</v>
      </c>
      <c r="F224" s="4" t="s">
        <v>1218</v>
      </c>
      <c r="G224" s="7" t="s">
        <v>287</v>
      </c>
      <c r="H224" s="4" t="s">
        <v>1401</v>
      </c>
      <c r="I224" s="4" t="s">
        <v>77</v>
      </c>
      <c r="J224" s="4" t="s">
        <v>1562</v>
      </c>
      <c r="K224" s="4"/>
      <c r="L224" s="4" t="s">
        <v>2828</v>
      </c>
      <c r="M224" s="4"/>
      <c r="N224" s="4"/>
      <c r="O224" s="4"/>
      <c r="P224" s="4"/>
      <c r="Q224" s="4"/>
      <c r="R224" s="4"/>
    </row>
    <row r="225" spans="1:18" x14ac:dyDescent="0.25">
      <c r="A225" s="4" t="s">
        <v>163</v>
      </c>
      <c r="B225" s="4" t="s">
        <v>394</v>
      </c>
      <c r="C225" s="4" t="s">
        <v>414</v>
      </c>
      <c r="D225" s="4" t="s">
        <v>735</v>
      </c>
      <c r="E225" s="4" t="s">
        <v>331</v>
      </c>
      <c r="F225" s="4" t="s">
        <v>1219</v>
      </c>
      <c r="G225" s="7" t="s">
        <v>66</v>
      </c>
      <c r="H225" s="4" t="s">
        <v>876</v>
      </c>
      <c r="I225" s="4" t="s">
        <v>363</v>
      </c>
      <c r="J225" s="4" t="s">
        <v>1563</v>
      </c>
      <c r="K225" s="4"/>
      <c r="L225" s="4" t="s">
        <v>2828</v>
      </c>
      <c r="M225" s="4"/>
      <c r="N225" s="4"/>
      <c r="O225" s="4"/>
      <c r="P225" s="4"/>
      <c r="Q225" s="4"/>
      <c r="R225" s="4"/>
    </row>
    <row r="226" spans="1:18" x14ac:dyDescent="0.25">
      <c r="A226" s="4" t="s">
        <v>163</v>
      </c>
      <c r="B226" s="4" t="s">
        <v>394</v>
      </c>
      <c r="C226" s="4" t="s">
        <v>414</v>
      </c>
      <c r="D226" s="4" t="s">
        <v>736</v>
      </c>
      <c r="E226" s="4" t="s">
        <v>321</v>
      </c>
      <c r="F226" s="4" t="s">
        <v>1220</v>
      </c>
      <c r="G226" s="7" t="s">
        <v>21</v>
      </c>
      <c r="H226" s="4" t="s">
        <v>1402</v>
      </c>
      <c r="I226" s="4" t="s">
        <v>179</v>
      </c>
      <c r="J226" s="4" t="s">
        <v>1564</v>
      </c>
      <c r="K226" s="4"/>
      <c r="L226" s="4" t="s">
        <v>2828</v>
      </c>
      <c r="M226" s="4"/>
      <c r="N226" s="4"/>
      <c r="O226" s="4"/>
      <c r="P226" s="4"/>
      <c r="Q226" s="4"/>
      <c r="R226" s="4"/>
    </row>
    <row r="227" spans="1:18" x14ac:dyDescent="0.25">
      <c r="A227" s="4" t="s">
        <v>163</v>
      </c>
      <c r="B227" s="4" t="s">
        <v>394</v>
      </c>
      <c r="C227" s="4" t="s">
        <v>414</v>
      </c>
      <c r="D227" s="4" t="s">
        <v>737</v>
      </c>
      <c r="E227" s="4" t="s">
        <v>159</v>
      </c>
      <c r="F227" s="4" t="s">
        <v>1215</v>
      </c>
      <c r="G227" s="7" t="s">
        <v>361</v>
      </c>
      <c r="H227" s="4" t="s">
        <v>1403</v>
      </c>
      <c r="I227" s="4" t="s">
        <v>363</v>
      </c>
      <c r="J227" s="4" t="s">
        <v>1216</v>
      </c>
      <c r="K227" s="4"/>
      <c r="L227" s="4" t="s">
        <v>2828</v>
      </c>
      <c r="M227" s="4"/>
      <c r="N227" s="4"/>
      <c r="O227" s="4"/>
      <c r="P227" s="4"/>
      <c r="Q227" s="4"/>
      <c r="R227" s="4"/>
    </row>
    <row r="228" spans="1:18" x14ac:dyDescent="0.25">
      <c r="A228" s="4" t="s">
        <v>163</v>
      </c>
      <c r="B228" s="4" t="s">
        <v>394</v>
      </c>
      <c r="C228" s="4" t="s">
        <v>414</v>
      </c>
      <c r="D228" s="4" t="s">
        <v>738</v>
      </c>
      <c r="E228" s="4" t="s">
        <v>159</v>
      </c>
      <c r="F228" s="4" t="s">
        <v>1215</v>
      </c>
      <c r="G228" s="7" t="s">
        <v>363</v>
      </c>
      <c r="H228" s="4" t="s">
        <v>1216</v>
      </c>
      <c r="I228" s="4" t="s">
        <v>321</v>
      </c>
      <c r="J228" s="4" t="s">
        <v>1220</v>
      </c>
      <c r="K228" s="4"/>
      <c r="L228" s="4" t="s">
        <v>2828</v>
      </c>
      <c r="M228" s="4"/>
      <c r="N228" s="4"/>
      <c r="O228" s="4"/>
      <c r="P228" s="4"/>
      <c r="Q228" s="4"/>
      <c r="R228" s="4"/>
    </row>
    <row r="229" spans="1:18" x14ac:dyDescent="0.25">
      <c r="A229" s="4" t="s">
        <v>163</v>
      </c>
      <c r="B229" s="4" t="s">
        <v>387</v>
      </c>
      <c r="C229" s="4" t="s">
        <v>414</v>
      </c>
      <c r="D229" s="4" t="s">
        <v>742</v>
      </c>
      <c r="E229" s="4" t="s">
        <v>363</v>
      </c>
      <c r="F229" s="4" t="s">
        <v>1221</v>
      </c>
      <c r="G229" s="7" t="s">
        <v>128</v>
      </c>
      <c r="H229" s="4" t="s">
        <v>1404</v>
      </c>
      <c r="I229" s="4" t="s">
        <v>363</v>
      </c>
      <c r="J229" s="4" t="s">
        <v>1565</v>
      </c>
      <c r="K229" s="4"/>
      <c r="L229" s="4" t="s">
        <v>2828</v>
      </c>
      <c r="M229" s="4"/>
      <c r="N229" s="4"/>
      <c r="O229" s="4"/>
      <c r="P229" s="4"/>
      <c r="Q229" s="4"/>
      <c r="R229" s="4"/>
    </row>
    <row r="230" spans="1:18" x14ac:dyDescent="0.25">
      <c r="A230" s="4" t="s">
        <v>163</v>
      </c>
      <c r="B230" s="4" t="s">
        <v>387</v>
      </c>
      <c r="C230" s="4" t="s">
        <v>414</v>
      </c>
      <c r="D230" s="4" t="s">
        <v>743</v>
      </c>
      <c r="E230" s="4" t="s">
        <v>21</v>
      </c>
      <c r="F230" s="4" t="s">
        <v>1222</v>
      </c>
      <c r="G230" s="7" t="s">
        <v>37</v>
      </c>
      <c r="H230" s="4" t="s">
        <v>1405</v>
      </c>
      <c r="I230" s="4" t="s">
        <v>363</v>
      </c>
      <c r="J230" s="4" t="s">
        <v>1565</v>
      </c>
      <c r="K230" s="4"/>
      <c r="L230" s="4" t="s">
        <v>2828</v>
      </c>
      <c r="M230" s="4"/>
      <c r="N230" s="4"/>
      <c r="O230" s="4"/>
      <c r="P230" s="4"/>
      <c r="Q230" s="4"/>
      <c r="R230" s="4"/>
    </row>
    <row r="231" spans="1:18" x14ac:dyDescent="0.25">
      <c r="A231" s="4" t="s">
        <v>163</v>
      </c>
      <c r="B231" s="4" t="s">
        <v>387</v>
      </c>
      <c r="C231" s="4" t="s">
        <v>414</v>
      </c>
      <c r="D231" s="4" t="s">
        <v>744</v>
      </c>
      <c r="E231" s="4" t="s">
        <v>77</v>
      </c>
      <c r="F231" s="4" t="s">
        <v>1223</v>
      </c>
      <c r="G231" s="7" t="s">
        <v>319</v>
      </c>
      <c r="H231" s="4" t="s">
        <v>1406</v>
      </c>
      <c r="I231" s="4" t="s">
        <v>363</v>
      </c>
      <c r="J231" s="4" t="s">
        <v>1566</v>
      </c>
      <c r="K231" s="4"/>
      <c r="L231" s="4" t="s">
        <v>2828</v>
      </c>
      <c r="M231" s="4"/>
      <c r="N231" s="4"/>
      <c r="O231" s="4"/>
      <c r="P231" s="4"/>
      <c r="Q231" s="4"/>
      <c r="R231" s="4"/>
    </row>
    <row r="232" spans="1:18" x14ac:dyDescent="0.25">
      <c r="A232" s="4" t="s">
        <v>163</v>
      </c>
      <c r="B232" s="4" t="s">
        <v>387</v>
      </c>
      <c r="C232" s="4" t="s">
        <v>414</v>
      </c>
      <c r="D232" s="4" t="s">
        <v>745</v>
      </c>
      <c r="E232" s="4" t="s">
        <v>21</v>
      </c>
      <c r="F232" s="4" t="s">
        <v>1224</v>
      </c>
      <c r="G232" s="7" t="s">
        <v>77</v>
      </c>
      <c r="H232" s="4" t="s">
        <v>1223</v>
      </c>
      <c r="I232" s="4" t="s">
        <v>175</v>
      </c>
      <c r="J232" s="4" t="s">
        <v>1567</v>
      </c>
      <c r="K232" s="4"/>
      <c r="L232" s="4" t="s">
        <v>2828</v>
      </c>
      <c r="M232" s="4"/>
      <c r="N232" s="4"/>
      <c r="O232" s="4"/>
      <c r="P232" s="4"/>
      <c r="Q232" s="4"/>
      <c r="R232" s="4"/>
    </row>
    <row r="233" spans="1:18" x14ac:dyDescent="0.25">
      <c r="A233" s="4" t="s">
        <v>163</v>
      </c>
      <c r="B233" s="4" t="s">
        <v>387</v>
      </c>
      <c r="C233" s="4" t="s">
        <v>414</v>
      </c>
      <c r="D233" s="4" t="s">
        <v>746</v>
      </c>
      <c r="E233" s="4" t="s">
        <v>175</v>
      </c>
      <c r="F233" s="4" t="s">
        <v>1225</v>
      </c>
      <c r="G233" s="7" t="s">
        <v>363</v>
      </c>
      <c r="H233" s="4" t="s">
        <v>1407</v>
      </c>
      <c r="I233" s="4" t="s">
        <v>175</v>
      </c>
      <c r="J233" s="4" t="s">
        <v>1567</v>
      </c>
      <c r="K233" s="4"/>
      <c r="L233" s="4" t="s">
        <v>2828</v>
      </c>
      <c r="M233" s="4"/>
      <c r="N233" s="4"/>
      <c r="O233" s="4"/>
      <c r="P233" s="4"/>
      <c r="Q233" s="4"/>
      <c r="R233" s="4"/>
    </row>
    <row r="234" spans="1:18" x14ac:dyDescent="0.25">
      <c r="A234" s="4" t="s">
        <v>163</v>
      </c>
      <c r="B234" s="4" t="s">
        <v>387</v>
      </c>
      <c r="C234" s="4" t="s">
        <v>414</v>
      </c>
      <c r="D234" s="4" t="s">
        <v>747</v>
      </c>
      <c r="E234" s="4" t="s">
        <v>363</v>
      </c>
      <c r="F234" s="4" t="s">
        <v>1226</v>
      </c>
      <c r="G234" s="7" t="s">
        <v>77</v>
      </c>
      <c r="H234" s="4" t="s">
        <v>1408</v>
      </c>
      <c r="I234" s="4" t="s">
        <v>363</v>
      </c>
      <c r="J234" s="4" t="s">
        <v>1568</v>
      </c>
      <c r="K234" s="4"/>
      <c r="L234" s="4" t="s">
        <v>2828</v>
      </c>
      <c r="M234" s="4"/>
      <c r="N234" s="4"/>
      <c r="O234" s="4"/>
      <c r="P234" s="4"/>
      <c r="Q234" s="4"/>
      <c r="R234" s="4"/>
    </row>
    <row r="235" spans="1:18" x14ac:dyDescent="0.25">
      <c r="A235" s="4" t="s">
        <v>163</v>
      </c>
      <c r="B235" s="4" t="s">
        <v>387</v>
      </c>
      <c r="C235" s="4" t="s">
        <v>414</v>
      </c>
      <c r="D235" s="4" t="s">
        <v>748</v>
      </c>
      <c r="E235" s="4" t="s">
        <v>363</v>
      </c>
      <c r="F235" s="4" t="s">
        <v>1226</v>
      </c>
      <c r="G235" s="7" t="s">
        <v>21</v>
      </c>
      <c r="H235" s="4" t="s">
        <v>1409</v>
      </c>
      <c r="I235" s="4" t="s">
        <v>287</v>
      </c>
      <c r="J235" s="4" t="s">
        <v>1569</v>
      </c>
      <c r="K235" s="4"/>
      <c r="L235" s="4" t="s">
        <v>2828</v>
      </c>
      <c r="M235" s="4"/>
      <c r="N235" s="4"/>
      <c r="O235" s="4"/>
      <c r="P235" s="4"/>
      <c r="Q235" s="4"/>
      <c r="R235" s="4"/>
    </row>
    <row r="236" spans="1:18" x14ac:dyDescent="0.25">
      <c r="A236" s="4" t="s">
        <v>163</v>
      </c>
      <c r="B236" s="4" t="s">
        <v>387</v>
      </c>
      <c r="C236" s="4" t="s">
        <v>414</v>
      </c>
      <c r="D236" s="4" t="s">
        <v>749</v>
      </c>
      <c r="E236" s="4" t="s">
        <v>361</v>
      </c>
      <c r="F236" s="4" t="s">
        <v>1227</v>
      </c>
      <c r="G236" s="7" t="s">
        <v>319</v>
      </c>
      <c r="H236" s="4" t="s">
        <v>1410</v>
      </c>
      <c r="I236" s="4" t="s">
        <v>363</v>
      </c>
      <c r="J236" s="4" t="s">
        <v>1570</v>
      </c>
      <c r="K236" s="4"/>
      <c r="L236" s="4" t="s">
        <v>2828</v>
      </c>
      <c r="M236" s="4"/>
      <c r="N236" s="4"/>
      <c r="O236" s="4"/>
      <c r="P236" s="4"/>
      <c r="Q236" s="4"/>
      <c r="R236" s="4"/>
    </row>
    <row r="237" spans="1:18" x14ac:dyDescent="0.25">
      <c r="A237" s="4" t="s">
        <v>163</v>
      </c>
      <c r="B237" s="4" t="s">
        <v>387</v>
      </c>
      <c r="C237" s="4" t="s">
        <v>414</v>
      </c>
      <c r="D237" s="4" t="s">
        <v>750</v>
      </c>
      <c r="E237" s="4" t="s">
        <v>183</v>
      </c>
      <c r="F237" s="4" t="s">
        <v>1228</v>
      </c>
      <c r="G237" s="7" t="s">
        <v>363</v>
      </c>
      <c r="H237" s="4" t="s">
        <v>1411</v>
      </c>
      <c r="I237" s="4" t="s">
        <v>287</v>
      </c>
      <c r="J237" s="4" t="s">
        <v>1571</v>
      </c>
      <c r="K237" s="4"/>
      <c r="L237" s="4" t="s">
        <v>2828</v>
      </c>
      <c r="M237" s="4"/>
      <c r="N237" s="4"/>
      <c r="O237" s="4"/>
      <c r="P237" s="4"/>
      <c r="Q237" s="4"/>
      <c r="R237" s="4"/>
    </row>
    <row r="238" spans="1:18" x14ac:dyDescent="0.25">
      <c r="A238" s="4" t="s">
        <v>163</v>
      </c>
      <c r="B238" s="4" t="s">
        <v>387</v>
      </c>
      <c r="C238" s="4" t="s">
        <v>414</v>
      </c>
      <c r="D238" s="4" t="s">
        <v>751</v>
      </c>
      <c r="E238" s="4" t="s">
        <v>309</v>
      </c>
      <c r="F238" s="4" t="s">
        <v>1229</v>
      </c>
      <c r="G238" s="7" t="s">
        <v>363</v>
      </c>
      <c r="H238" s="4" t="s">
        <v>1230</v>
      </c>
      <c r="I238" s="4"/>
      <c r="J238" s="4"/>
      <c r="K238" s="4"/>
      <c r="L238" s="4" t="s">
        <v>2828</v>
      </c>
      <c r="M238" s="4"/>
      <c r="N238" s="4"/>
      <c r="O238" s="4" t="s">
        <v>1406</v>
      </c>
      <c r="P238" s="4" t="s">
        <v>319</v>
      </c>
      <c r="Q238" s="4" t="s">
        <v>159</v>
      </c>
      <c r="R238" s="4" t="s">
        <v>882</v>
      </c>
    </row>
    <row r="239" spans="1:18" x14ac:dyDescent="0.25">
      <c r="A239" s="4" t="s">
        <v>163</v>
      </c>
      <c r="B239" s="4" t="s">
        <v>387</v>
      </c>
      <c r="C239" s="4" t="s">
        <v>414</v>
      </c>
      <c r="D239" s="4" t="s">
        <v>753</v>
      </c>
      <c r="E239" s="4" t="s">
        <v>363</v>
      </c>
      <c r="F239" s="4" t="s">
        <v>1230</v>
      </c>
      <c r="G239" s="7" t="s">
        <v>179</v>
      </c>
      <c r="H239" s="4" t="s">
        <v>1413</v>
      </c>
      <c r="I239" s="4" t="s">
        <v>159</v>
      </c>
      <c r="J239" s="4" t="s">
        <v>1572</v>
      </c>
      <c r="K239" s="4"/>
      <c r="L239" s="4" t="s">
        <v>2828</v>
      </c>
      <c r="M239" s="4"/>
      <c r="N239" s="4"/>
      <c r="O239" s="4"/>
      <c r="P239" s="4"/>
      <c r="Q239" s="4"/>
      <c r="R239" s="4"/>
    </row>
    <row r="240" spans="1:18" x14ac:dyDescent="0.25">
      <c r="A240" s="4" t="s">
        <v>163</v>
      </c>
      <c r="B240" s="4" t="s">
        <v>387</v>
      </c>
      <c r="C240" s="4" t="s">
        <v>414</v>
      </c>
      <c r="D240" s="4" t="s">
        <v>754</v>
      </c>
      <c r="E240" s="4" t="s">
        <v>363</v>
      </c>
      <c r="F240" s="4" t="s">
        <v>1230</v>
      </c>
      <c r="G240" s="7" t="s">
        <v>179</v>
      </c>
      <c r="H240" s="4" t="s">
        <v>1231</v>
      </c>
      <c r="I240" s="4" t="s">
        <v>77</v>
      </c>
      <c r="J240" s="4" t="s">
        <v>1573</v>
      </c>
      <c r="K240" s="4"/>
      <c r="L240" s="4" t="s">
        <v>2828</v>
      </c>
      <c r="M240" s="4"/>
      <c r="N240" s="4"/>
      <c r="O240" s="4"/>
      <c r="P240" s="4"/>
      <c r="Q240" s="4"/>
      <c r="R240" s="4"/>
    </row>
    <row r="241" spans="1:18" x14ac:dyDescent="0.25">
      <c r="A241" s="4" t="s">
        <v>163</v>
      </c>
      <c r="B241" s="4" t="s">
        <v>387</v>
      </c>
      <c r="C241" s="4" t="s">
        <v>414</v>
      </c>
      <c r="D241" s="4" t="s">
        <v>755</v>
      </c>
      <c r="E241" s="4" t="s">
        <v>179</v>
      </c>
      <c r="F241" s="4" t="s">
        <v>1231</v>
      </c>
      <c r="G241" s="7" t="s">
        <v>363</v>
      </c>
      <c r="H241" s="4" t="s">
        <v>1414</v>
      </c>
      <c r="I241" s="4" t="s">
        <v>179</v>
      </c>
      <c r="J241" s="4" t="s">
        <v>1574</v>
      </c>
      <c r="K241" s="4"/>
      <c r="L241" s="4" t="s">
        <v>2828</v>
      </c>
      <c r="M241" s="4"/>
      <c r="N241" s="4"/>
      <c r="O241" s="4"/>
      <c r="P241" s="4"/>
      <c r="Q241" s="4"/>
      <c r="R241" s="4"/>
    </row>
    <row r="242" spans="1:18" x14ac:dyDescent="0.25">
      <c r="A242" s="4" t="s">
        <v>389</v>
      </c>
      <c r="B242" s="4" t="s">
        <v>394</v>
      </c>
      <c r="C242" s="4" t="s">
        <v>414</v>
      </c>
      <c r="D242" s="4" t="s">
        <v>739</v>
      </c>
      <c r="E242" s="4" t="s">
        <v>21</v>
      </c>
      <c r="F242" s="4" t="s">
        <v>20</v>
      </c>
      <c r="G242" s="7" t="s">
        <v>363</v>
      </c>
      <c r="H242" s="4" t="s">
        <v>362</v>
      </c>
      <c r="I242" s="4" t="s">
        <v>66</v>
      </c>
      <c r="J242" s="4" t="s">
        <v>65</v>
      </c>
      <c r="K242" s="4"/>
      <c r="L242" s="4" t="s">
        <v>2828</v>
      </c>
      <c r="M242" s="4"/>
      <c r="N242" s="4"/>
      <c r="O242" s="4"/>
      <c r="P242" s="4"/>
      <c r="Q242" s="4"/>
      <c r="R242" s="4"/>
    </row>
    <row r="243" spans="1:18" x14ac:dyDescent="0.25">
      <c r="A243" s="4" t="s">
        <v>389</v>
      </c>
      <c r="B243" s="4" t="s">
        <v>394</v>
      </c>
      <c r="C243" s="4" t="s">
        <v>414</v>
      </c>
      <c r="D243" s="4" t="s">
        <v>740</v>
      </c>
      <c r="E243" s="4" t="s">
        <v>363</v>
      </c>
      <c r="F243" s="4" t="s">
        <v>362</v>
      </c>
      <c r="G243" s="7" t="s">
        <v>21</v>
      </c>
      <c r="H243" s="4" t="s">
        <v>20</v>
      </c>
      <c r="I243" s="4" t="s">
        <v>66</v>
      </c>
      <c r="J243" s="4" t="s">
        <v>65</v>
      </c>
      <c r="K243" s="4"/>
      <c r="L243" s="4" t="s">
        <v>2828</v>
      </c>
      <c r="M243" s="4"/>
      <c r="N243" s="4"/>
      <c r="O243" s="4"/>
      <c r="P243" s="4"/>
      <c r="Q243" s="4"/>
      <c r="R243" s="4"/>
    </row>
    <row r="244" spans="1:18" x14ac:dyDescent="0.25">
      <c r="A244" s="4" t="s">
        <v>389</v>
      </c>
      <c r="B244" s="4" t="s">
        <v>394</v>
      </c>
      <c r="C244" s="4" t="s">
        <v>414</v>
      </c>
      <c r="D244" s="4" t="s">
        <v>741</v>
      </c>
      <c r="E244" s="4" t="s">
        <v>363</v>
      </c>
      <c r="F244" s="4" t="s">
        <v>362</v>
      </c>
      <c r="G244" s="7" t="s">
        <v>21</v>
      </c>
      <c r="H244" s="4" t="s">
        <v>20</v>
      </c>
      <c r="I244" s="4" t="s">
        <v>100</v>
      </c>
      <c r="J244" s="4" t="s">
        <v>99</v>
      </c>
      <c r="K244" s="4"/>
      <c r="L244" s="4" t="s">
        <v>2828</v>
      </c>
      <c r="M244" s="4"/>
      <c r="N244" s="4"/>
      <c r="O244" s="4"/>
      <c r="P244" s="4"/>
      <c r="Q244" s="4"/>
      <c r="R244" s="4"/>
    </row>
    <row r="245" spans="1:18" x14ac:dyDescent="0.25">
      <c r="A245" s="4" t="s">
        <v>389</v>
      </c>
      <c r="B245" s="4" t="s">
        <v>387</v>
      </c>
      <c r="C245" s="4" t="s">
        <v>414</v>
      </c>
      <c r="D245" s="4" t="s">
        <v>756</v>
      </c>
      <c r="E245" s="4" t="s">
        <v>363</v>
      </c>
      <c r="F245" s="4" t="s">
        <v>362</v>
      </c>
      <c r="G245" s="7" t="s">
        <v>128</v>
      </c>
      <c r="H245" s="4" t="s">
        <v>127</v>
      </c>
      <c r="I245" s="4" t="s">
        <v>21</v>
      </c>
      <c r="J245" s="4" t="s">
        <v>20</v>
      </c>
      <c r="K245" s="4"/>
      <c r="L245" s="4" t="s">
        <v>2828</v>
      </c>
      <c r="M245" s="4"/>
      <c r="N245" s="4"/>
      <c r="O245" s="4"/>
      <c r="P245" s="4"/>
      <c r="Q245" s="4"/>
      <c r="R245" s="4"/>
    </row>
    <row r="246" spans="1:18" x14ac:dyDescent="0.25">
      <c r="A246" s="4" t="s">
        <v>389</v>
      </c>
      <c r="B246" s="4" t="s">
        <v>387</v>
      </c>
      <c r="C246" s="4" t="s">
        <v>414</v>
      </c>
      <c r="D246" s="4" t="s">
        <v>757</v>
      </c>
      <c r="E246" s="4" t="s">
        <v>363</v>
      </c>
      <c r="F246" s="4" t="s">
        <v>362</v>
      </c>
      <c r="G246" s="7" t="s">
        <v>361</v>
      </c>
      <c r="H246" s="4" t="s">
        <v>391</v>
      </c>
      <c r="I246" s="4" t="s">
        <v>179</v>
      </c>
      <c r="J246" s="4" t="s">
        <v>178</v>
      </c>
      <c r="K246" s="4"/>
      <c r="L246" s="4" t="s">
        <v>2828</v>
      </c>
      <c r="M246" s="4"/>
      <c r="N246" s="4"/>
      <c r="O246" s="4"/>
      <c r="P246" s="4"/>
      <c r="Q246" s="4"/>
      <c r="R246" s="4"/>
    </row>
    <row r="247" spans="1:18" x14ac:dyDescent="0.25">
      <c r="A247" s="4" t="s">
        <v>389</v>
      </c>
      <c r="B247" s="4" t="s">
        <v>387</v>
      </c>
      <c r="C247" s="4" t="s">
        <v>414</v>
      </c>
      <c r="D247" s="4" t="s">
        <v>758</v>
      </c>
      <c r="E247" s="4" t="s">
        <v>363</v>
      </c>
      <c r="F247" s="4" t="s">
        <v>362</v>
      </c>
      <c r="G247" s="7" t="s">
        <v>361</v>
      </c>
      <c r="H247" s="4" t="s">
        <v>391</v>
      </c>
      <c r="I247" s="4" t="s">
        <v>21</v>
      </c>
      <c r="J247" s="4" t="s">
        <v>20</v>
      </c>
      <c r="K247" s="4"/>
      <c r="L247" s="4" t="s">
        <v>2828</v>
      </c>
      <c r="M247" s="4"/>
      <c r="N247" s="4"/>
      <c r="O247" s="4"/>
      <c r="P247" s="4"/>
      <c r="Q247" s="4"/>
      <c r="R247" s="4"/>
    </row>
    <row r="248" spans="1:18" x14ac:dyDescent="0.25">
      <c r="A248" s="4" t="s">
        <v>389</v>
      </c>
      <c r="B248" s="4" t="s">
        <v>394</v>
      </c>
      <c r="C248" s="4" t="s">
        <v>759</v>
      </c>
      <c r="D248" s="4" t="s">
        <v>760</v>
      </c>
      <c r="E248" s="4" t="s">
        <v>287</v>
      </c>
      <c r="F248" s="4" t="s">
        <v>2803</v>
      </c>
      <c r="G248" s="7" t="s">
        <v>77</v>
      </c>
      <c r="H248" s="4" t="s">
        <v>2829</v>
      </c>
      <c r="I248" s="4" t="s">
        <v>179</v>
      </c>
      <c r="J248" s="4" t="s">
        <v>2855</v>
      </c>
      <c r="K248" s="4"/>
      <c r="L248" s="4" t="s">
        <v>2828</v>
      </c>
      <c r="M248" s="4"/>
      <c r="N248" s="4"/>
      <c r="O248" s="4"/>
      <c r="P248" s="4"/>
      <c r="Q248" s="4"/>
      <c r="R248" s="4"/>
    </row>
    <row r="249" spans="1:18" x14ac:dyDescent="0.25">
      <c r="A249" s="4" t="s">
        <v>389</v>
      </c>
      <c r="B249" s="4" t="s">
        <v>394</v>
      </c>
      <c r="C249" s="4" t="s">
        <v>759</v>
      </c>
      <c r="D249" s="4" t="s">
        <v>761</v>
      </c>
      <c r="E249" s="4" t="s">
        <v>287</v>
      </c>
      <c r="F249" s="4" t="s">
        <v>2773</v>
      </c>
      <c r="G249" s="7" t="s">
        <v>77</v>
      </c>
      <c r="H249" s="4" t="s">
        <v>76</v>
      </c>
      <c r="I249" s="4" t="s">
        <v>179</v>
      </c>
      <c r="J249" s="4" t="s">
        <v>178</v>
      </c>
      <c r="K249" s="4"/>
      <c r="L249" s="4" t="s">
        <v>2828</v>
      </c>
      <c r="M249" s="4"/>
      <c r="N249" s="4"/>
      <c r="O249" s="4"/>
      <c r="P249" s="4"/>
      <c r="Q249" s="4"/>
      <c r="R249" s="4"/>
    </row>
    <row r="250" spans="1:18" x14ac:dyDescent="0.25">
      <c r="A250" s="4" t="s">
        <v>163</v>
      </c>
      <c r="B250" s="4" t="s">
        <v>394</v>
      </c>
      <c r="C250" s="4" t="s">
        <v>415</v>
      </c>
      <c r="D250" s="4" t="s">
        <v>547</v>
      </c>
      <c r="E250" s="4" t="s">
        <v>77</v>
      </c>
      <c r="F250" s="4" t="s">
        <v>1232</v>
      </c>
      <c r="G250" s="7" t="s">
        <v>77</v>
      </c>
      <c r="H250" s="4" t="s">
        <v>1415</v>
      </c>
      <c r="I250" s="4" t="s">
        <v>186</v>
      </c>
      <c r="J250" s="4" t="s">
        <v>1575</v>
      </c>
      <c r="K250" s="4"/>
      <c r="L250" s="4" t="s">
        <v>2828</v>
      </c>
      <c r="M250" s="4"/>
      <c r="N250" s="4"/>
      <c r="O250" s="4"/>
      <c r="P250" s="4"/>
      <c r="Q250" s="4"/>
      <c r="R250" s="4"/>
    </row>
    <row r="251" spans="1:18" x14ac:dyDescent="0.25">
      <c r="A251" s="4" t="s">
        <v>163</v>
      </c>
      <c r="B251" s="4" t="s">
        <v>387</v>
      </c>
      <c r="C251" s="4" t="s">
        <v>415</v>
      </c>
      <c r="D251" s="4" t="s">
        <v>546</v>
      </c>
      <c r="E251" s="4" t="s">
        <v>77</v>
      </c>
      <c r="F251" s="4" t="s">
        <v>1233</v>
      </c>
      <c r="G251" s="7" t="s">
        <v>77</v>
      </c>
      <c r="H251" s="4" t="s">
        <v>1416</v>
      </c>
      <c r="I251" s="4" t="s">
        <v>179</v>
      </c>
      <c r="J251" s="4" t="s">
        <v>1576</v>
      </c>
      <c r="K251" s="4"/>
      <c r="L251" s="4" t="s">
        <v>2828</v>
      </c>
      <c r="M251" s="4"/>
      <c r="N251" s="4"/>
      <c r="O251" s="4"/>
      <c r="P251" s="4"/>
      <c r="Q251" s="4"/>
      <c r="R251" s="4"/>
    </row>
    <row r="252" spans="1:18" x14ac:dyDescent="0.25">
      <c r="A252" s="4" t="s">
        <v>389</v>
      </c>
      <c r="B252" s="4" t="s">
        <v>394</v>
      </c>
      <c r="C252" s="4" t="s">
        <v>415</v>
      </c>
      <c r="D252" s="4" t="s">
        <v>478</v>
      </c>
      <c r="E252" s="4" t="s">
        <v>77</v>
      </c>
      <c r="F252" s="4" t="s">
        <v>76</v>
      </c>
      <c r="G252" s="7" t="s">
        <v>136</v>
      </c>
      <c r="H252" s="4" t="s">
        <v>135</v>
      </c>
      <c r="I252" s="4" t="s">
        <v>179</v>
      </c>
      <c r="J252" s="4" t="s">
        <v>178</v>
      </c>
      <c r="K252" s="4"/>
      <c r="L252" s="4" t="s">
        <v>2828</v>
      </c>
      <c r="M252" s="4"/>
      <c r="N252" s="4"/>
      <c r="O252" s="4"/>
      <c r="P252" s="4"/>
      <c r="Q252" s="4"/>
      <c r="R252" s="4"/>
    </row>
    <row r="253" spans="1:18" x14ac:dyDescent="0.25">
      <c r="A253" s="4" t="s">
        <v>389</v>
      </c>
      <c r="B253" s="4" t="s">
        <v>387</v>
      </c>
      <c r="C253" s="4" t="s">
        <v>415</v>
      </c>
      <c r="D253" s="4" t="s">
        <v>477</v>
      </c>
      <c r="E253" s="4" t="s">
        <v>77</v>
      </c>
      <c r="F253" s="4" t="s">
        <v>76</v>
      </c>
      <c r="G253" s="7" t="s">
        <v>179</v>
      </c>
      <c r="H253" s="4" t="s">
        <v>178</v>
      </c>
      <c r="I253" s="4" t="s">
        <v>136</v>
      </c>
      <c r="J253" s="4" t="s">
        <v>135</v>
      </c>
      <c r="K253" s="4"/>
      <c r="L253" s="4" t="s">
        <v>2828</v>
      </c>
      <c r="M253" s="4"/>
      <c r="N253" s="4"/>
      <c r="O253" s="4"/>
      <c r="P253" s="4"/>
      <c r="Q253" s="4"/>
      <c r="R253" s="4"/>
    </row>
    <row r="254" spans="1:18" x14ac:dyDescent="0.25">
      <c r="A254" s="4" t="s">
        <v>163</v>
      </c>
      <c r="B254" s="4" t="s">
        <v>387</v>
      </c>
      <c r="C254" s="4" t="s">
        <v>416</v>
      </c>
      <c r="D254" s="4" t="s">
        <v>762</v>
      </c>
      <c r="E254" s="4" t="s">
        <v>77</v>
      </c>
      <c r="F254" s="4" t="s">
        <v>1234</v>
      </c>
      <c r="G254" s="7" t="s">
        <v>343</v>
      </c>
      <c r="H254" s="4" t="s">
        <v>1417</v>
      </c>
      <c r="I254" s="4" t="s">
        <v>187</v>
      </c>
      <c r="J254" s="4" t="s">
        <v>770</v>
      </c>
      <c r="K254" s="4" t="s">
        <v>106</v>
      </c>
      <c r="L254" s="4" t="s">
        <v>1624</v>
      </c>
      <c r="M254" s="4"/>
      <c r="N254" s="4"/>
      <c r="O254" s="4"/>
      <c r="P254" s="4"/>
      <c r="Q254" s="4"/>
      <c r="R254" s="4"/>
    </row>
    <row r="255" spans="1:18" x14ac:dyDescent="0.25">
      <c r="A255" s="4" t="s">
        <v>163</v>
      </c>
      <c r="B255" s="4" t="s">
        <v>387</v>
      </c>
      <c r="C255" s="4" t="s">
        <v>416</v>
      </c>
      <c r="D255" s="4" t="s">
        <v>763</v>
      </c>
      <c r="E255" s="4" t="s">
        <v>181</v>
      </c>
      <c r="F255" s="4" t="s">
        <v>1235</v>
      </c>
      <c r="G255" s="7" t="s">
        <v>287</v>
      </c>
      <c r="H255" s="4" t="s">
        <v>1418</v>
      </c>
      <c r="I255" s="4" t="s">
        <v>321</v>
      </c>
      <c r="J255" s="4" t="s">
        <v>771</v>
      </c>
      <c r="K255" s="4" t="s">
        <v>187</v>
      </c>
      <c r="L255" s="4" t="s">
        <v>1625</v>
      </c>
      <c r="M255" s="4"/>
      <c r="N255" s="4"/>
      <c r="O255" s="4"/>
      <c r="P255" s="4"/>
      <c r="Q255" s="4"/>
      <c r="R255" s="4"/>
    </row>
    <row r="256" spans="1:18" x14ac:dyDescent="0.25">
      <c r="A256" s="4" t="s">
        <v>163</v>
      </c>
      <c r="B256" s="4" t="s">
        <v>387</v>
      </c>
      <c r="C256" s="4" t="s">
        <v>416</v>
      </c>
      <c r="D256" s="4" t="s">
        <v>764</v>
      </c>
      <c r="E256" s="4" t="s">
        <v>90</v>
      </c>
      <c r="F256" s="4" t="s">
        <v>1236</v>
      </c>
      <c r="G256" s="7" t="s">
        <v>361</v>
      </c>
      <c r="H256" s="4" t="s">
        <v>1419</v>
      </c>
      <c r="I256" s="4" t="s">
        <v>25</v>
      </c>
      <c r="J256" s="4" t="s">
        <v>772</v>
      </c>
      <c r="K256" s="4" t="s">
        <v>350</v>
      </c>
      <c r="L256" s="4" t="s">
        <v>1626</v>
      </c>
      <c r="M256" s="4"/>
      <c r="N256" s="4"/>
      <c r="O256" s="4"/>
      <c r="P256" s="4"/>
      <c r="Q256" s="4"/>
      <c r="R256" s="4"/>
    </row>
    <row r="257" spans="1:18" x14ac:dyDescent="0.25">
      <c r="A257" s="4" t="s">
        <v>163</v>
      </c>
      <c r="B257" s="4" t="s">
        <v>387</v>
      </c>
      <c r="C257" s="4" t="s">
        <v>416</v>
      </c>
      <c r="D257" s="4" t="s">
        <v>765</v>
      </c>
      <c r="E257" s="4" t="s">
        <v>25</v>
      </c>
      <c r="F257" s="4" t="s">
        <v>1237</v>
      </c>
      <c r="G257" s="7" t="s">
        <v>257</v>
      </c>
      <c r="H257" s="4" t="s">
        <v>1420</v>
      </c>
      <c r="I257" s="4" t="s">
        <v>51</v>
      </c>
      <c r="J257" s="4" t="s">
        <v>773</v>
      </c>
      <c r="K257" s="4" t="s">
        <v>187</v>
      </c>
      <c r="L257" s="4" t="s">
        <v>1627</v>
      </c>
      <c r="M257" s="4"/>
      <c r="N257" s="4"/>
      <c r="O257" s="4"/>
      <c r="P257" s="4"/>
      <c r="Q257" s="4"/>
      <c r="R257" s="4"/>
    </row>
    <row r="258" spans="1:18" x14ac:dyDescent="0.25">
      <c r="A258" s="4" t="s">
        <v>163</v>
      </c>
      <c r="B258" s="4" t="s">
        <v>394</v>
      </c>
      <c r="C258" s="4" t="s">
        <v>416</v>
      </c>
      <c r="D258" s="4" t="s">
        <v>766</v>
      </c>
      <c r="E258" s="4" t="s">
        <v>187</v>
      </c>
      <c r="F258" s="4" t="s">
        <v>1238</v>
      </c>
      <c r="G258" s="7" t="s">
        <v>536</v>
      </c>
      <c r="H258" s="4" t="s">
        <v>1421</v>
      </c>
      <c r="I258" s="4" t="s">
        <v>343</v>
      </c>
      <c r="J258" s="4" t="s">
        <v>774</v>
      </c>
      <c r="K258" s="4" t="s">
        <v>25</v>
      </c>
      <c r="L258" s="4" t="s">
        <v>1628</v>
      </c>
      <c r="M258" s="4"/>
      <c r="N258" s="4"/>
      <c r="O258" s="4"/>
      <c r="P258" s="4"/>
      <c r="Q258" s="4"/>
      <c r="R258" s="4"/>
    </row>
    <row r="259" spans="1:18" x14ac:dyDescent="0.25">
      <c r="A259" s="4" t="s">
        <v>163</v>
      </c>
      <c r="B259" s="4" t="s">
        <v>394</v>
      </c>
      <c r="C259" s="4" t="s">
        <v>416</v>
      </c>
      <c r="D259" s="4" t="s">
        <v>767</v>
      </c>
      <c r="E259" s="4" t="s">
        <v>361</v>
      </c>
      <c r="F259" s="4" t="s">
        <v>1239</v>
      </c>
      <c r="G259" s="7" t="s">
        <v>321</v>
      </c>
      <c r="H259" s="4" t="s">
        <v>1422</v>
      </c>
      <c r="I259" s="4" t="s">
        <v>112</v>
      </c>
      <c r="J259" s="4" t="s">
        <v>775</v>
      </c>
      <c r="K259" s="4" t="s">
        <v>167</v>
      </c>
      <c r="L259" s="4" t="s">
        <v>1629</v>
      </c>
      <c r="M259" s="4"/>
      <c r="N259" s="4"/>
      <c r="O259" s="4"/>
      <c r="P259" s="4"/>
      <c r="Q259" s="4"/>
      <c r="R259" s="4"/>
    </row>
    <row r="260" spans="1:18" x14ac:dyDescent="0.25">
      <c r="A260" s="4" t="s">
        <v>163</v>
      </c>
      <c r="B260" s="4" t="s">
        <v>394</v>
      </c>
      <c r="C260" s="4" t="s">
        <v>416</v>
      </c>
      <c r="D260" s="4" t="s">
        <v>768</v>
      </c>
      <c r="E260" s="4" t="s">
        <v>187</v>
      </c>
      <c r="F260" s="4" t="s">
        <v>1240</v>
      </c>
      <c r="G260" s="7" t="s">
        <v>128</v>
      </c>
      <c r="H260" s="4" t="s">
        <v>1423</v>
      </c>
      <c r="I260" s="4" t="s">
        <v>352</v>
      </c>
      <c r="J260" s="4" t="s">
        <v>776</v>
      </c>
      <c r="K260" s="4" t="s">
        <v>90</v>
      </c>
      <c r="L260" s="4" t="s">
        <v>1630</v>
      </c>
      <c r="M260" s="4"/>
      <c r="N260" s="4"/>
      <c r="O260" s="4"/>
      <c r="P260" s="4"/>
      <c r="Q260" s="4"/>
      <c r="R260" s="4"/>
    </row>
    <row r="261" spans="1:18" x14ac:dyDescent="0.25">
      <c r="A261" s="4" t="s">
        <v>163</v>
      </c>
      <c r="B261" s="4" t="s">
        <v>394</v>
      </c>
      <c r="C261" s="4" t="s">
        <v>416</v>
      </c>
      <c r="D261" s="4" t="s">
        <v>769</v>
      </c>
      <c r="E261" s="4" t="s">
        <v>77</v>
      </c>
      <c r="F261" s="4" t="s">
        <v>1241</v>
      </c>
      <c r="G261" s="7" t="s">
        <v>229</v>
      </c>
      <c r="H261" s="4" t="s">
        <v>1424</v>
      </c>
      <c r="I261" s="4" t="s">
        <v>361</v>
      </c>
      <c r="J261" s="4" t="s">
        <v>777</v>
      </c>
      <c r="K261" s="4" t="s">
        <v>363</v>
      </c>
      <c r="L261" s="4" t="s">
        <v>1631</v>
      </c>
      <c r="M261" s="4"/>
      <c r="N261" s="4"/>
      <c r="O261" s="4"/>
      <c r="P261" s="4"/>
      <c r="Q261" s="4"/>
      <c r="R261" s="4"/>
    </row>
    <row r="262" spans="1:18" x14ac:dyDescent="0.25">
      <c r="A262" s="4" t="s">
        <v>163</v>
      </c>
      <c r="B262" s="4" t="s">
        <v>387</v>
      </c>
      <c r="C262" s="4" t="s">
        <v>417</v>
      </c>
      <c r="D262" s="4" t="s">
        <v>546</v>
      </c>
      <c r="E262" s="4" t="s">
        <v>361</v>
      </c>
      <c r="F262" s="4" t="s">
        <v>1242</v>
      </c>
      <c r="G262" s="7" t="s">
        <v>16</v>
      </c>
      <c r="H262" s="4" t="s">
        <v>1425</v>
      </c>
      <c r="I262" s="4" t="s">
        <v>179</v>
      </c>
      <c r="J262" s="4" t="s">
        <v>1577</v>
      </c>
      <c r="K262" s="4"/>
      <c r="L262" s="4" t="s">
        <v>2828</v>
      </c>
      <c r="M262" s="4"/>
      <c r="N262" s="4"/>
      <c r="O262" s="4"/>
      <c r="P262" s="4"/>
      <c r="Q262" s="4"/>
      <c r="R262" s="4"/>
    </row>
    <row r="263" spans="1:18" x14ac:dyDescent="0.25">
      <c r="A263" s="4" t="s">
        <v>163</v>
      </c>
      <c r="B263" s="4" t="s">
        <v>394</v>
      </c>
      <c r="C263" s="4" t="s">
        <v>417</v>
      </c>
      <c r="D263" s="4" t="s">
        <v>547</v>
      </c>
      <c r="E263" s="4" t="s">
        <v>283</v>
      </c>
      <c r="F263" s="4" t="s">
        <v>1243</v>
      </c>
      <c r="G263" s="7" t="s">
        <v>136</v>
      </c>
      <c r="H263" s="4" t="s">
        <v>1426</v>
      </c>
      <c r="I263" s="4" t="s">
        <v>98</v>
      </c>
      <c r="J263" s="4" t="s">
        <v>1578</v>
      </c>
      <c r="K263" s="4"/>
      <c r="L263" s="4" t="s">
        <v>2828</v>
      </c>
      <c r="M263" s="4"/>
      <c r="N263" s="4"/>
      <c r="O263" s="4"/>
      <c r="P263" s="4"/>
      <c r="Q263" s="4"/>
      <c r="R263" s="4"/>
    </row>
    <row r="264" spans="1:18" x14ac:dyDescent="0.25">
      <c r="A264" s="4" t="s">
        <v>389</v>
      </c>
      <c r="B264" s="4" t="s">
        <v>387</v>
      </c>
      <c r="C264" s="4" t="s">
        <v>417</v>
      </c>
      <c r="D264" s="4" t="s">
        <v>548</v>
      </c>
      <c r="E264" s="4" t="s">
        <v>321</v>
      </c>
      <c r="F264" s="4" t="s">
        <v>2804</v>
      </c>
      <c r="G264" s="7" t="s">
        <v>641</v>
      </c>
      <c r="H264" s="4" t="s">
        <v>2830</v>
      </c>
      <c r="I264" s="4" t="s">
        <v>363</v>
      </c>
      <c r="J264" s="4" t="s">
        <v>2856</v>
      </c>
      <c r="K264" s="4"/>
      <c r="L264" s="4" t="s">
        <v>2828</v>
      </c>
      <c r="M264" s="4"/>
      <c r="N264" s="4"/>
      <c r="O264" s="4"/>
      <c r="P264" s="4"/>
      <c r="Q264" s="4"/>
      <c r="R264" s="4"/>
    </row>
    <row r="265" spans="1:18" x14ac:dyDescent="0.25">
      <c r="A265" s="4" t="s">
        <v>389</v>
      </c>
      <c r="B265" s="4" t="s">
        <v>394</v>
      </c>
      <c r="C265" s="4" t="s">
        <v>417</v>
      </c>
      <c r="D265" s="4" t="s">
        <v>549</v>
      </c>
      <c r="E265" s="4" t="s">
        <v>287</v>
      </c>
      <c r="F265" s="4" t="s">
        <v>2805</v>
      </c>
      <c r="G265" s="7" t="s">
        <v>333</v>
      </c>
      <c r="H265" s="4" t="s">
        <v>2831</v>
      </c>
      <c r="I265" s="4" t="s">
        <v>98</v>
      </c>
      <c r="J265" s="4" t="s">
        <v>2857</v>
      </c>
      <c r="K265" s="4"/>
      <c r="L265" s="4" t="s">
        <v>2828</v>
      </c>
      <c r="M265" s="4"/>
      <c r="N265" s="4"/>
      <c r="O265" s="4"/>
      <c r="P265" s="4"/>
      <c r="Q265" s="4"/>
      <c r="R265" s="4"/>
    </row>
    <row r="266" spans="1:18" x14ac:dyDescent="0.25">
      <c r="A266" s="4" t="s">
        <v>389</v>
      </c>
      <c r="B266" s="4" t="s">
        <v>399</v>
      </c>
      <c r="C266" s="4" t="s">
        <v>417</v>
      </c>
      <c r="D266" s="4" t="s">
        <v>550</v>
      </c>
      <c r="E266" s="4" t="s">
        <v>363</v>
      </c>
      <c r="F266" s="4" t="s">
        <v>2806</v>
      </c>
      <c r="G266" s="7" t="s">
        <v>363</v>
      </c>
      <c r="H266" s="4" t="s">
        <v>2832</v>
      </c>
      <c r="I266" s="4" t="s">
        <v>98</v>
      </c>
      <c r="J266" s="4" t="s">
        <v>2858</v>
      </c>
      <c r="K266" s="4"/>
      <c r="L266" s="4" t="s">
        <v>2828</v>
      </c>
      <c r="M266" s="4"/>
      <c r="N266" s="4"/>
      <c r="O266" s="4"/>
      <c r="P266" s="4"/>
      <c r="Q266" s="4"/>
      <c r="R266" s="4"/>
    </row>
    <row r="267" spans="1:18" x14ac:dyDescent="0.25">
      <c r="A267" s="4" t="s">
        <v>163</v>
      </c>
      <c r="B267" s="4" t="s">
        <v>387</v>
      </c>
      <c r="C267" s="4" t="s">
        <v>474</v>
      </c>
      <c r="D267" s="4" t="s">
        <v>387</v>
      </c>
      <c r="E267" s="4" t="s">
        <v>35</v>
      </c>
      <c r="F267" s="4" t="s">
        <v>1244</v>
      </c>
      <c r="G267" s="7" t="s">
        <v>77</v>
      </c>
      <c r="H267" s="4" t="s">
        <v>1427</v>
      </c>
      <c r="I267" s="4" t="s">
        <v>77</v>
      </c>
      <c r="J267" s="4" t="s">
        <v>1579</v>
      </c>
      <c r="K267" s="4"/>
      <c r="L267" s="4" t="s">
        <v>2828</v>
      </c>
      <c r="M267" s="4"/>
      <c r="N267" s="4"/>
      <c r="O267" s="4"/>
      <c r="P267" s="4"/>
      <c r="Q267" s="4"/>
      <c r="R267" s="4"/>
    </row>
    <row r="268" spans="1:18" x14ac:dyDescent="0.25">
      <c r="A268" s="4" t="s">
        <v>163</v>
      </c>
      <c r="B268" s="4" t="s">
        <v>394</v>
      </c>
      <c r="C268" s="4" t="s">
        <v>474</v>
      </c>
      <c r="D268" s="4" t="s">
        <v>394</v>
      </c>
      <c r="E268" s="4" t="s">
        <v>66</v>
      </c>
      <c r="F268" s="4" t="s">
        <v>1245</v>
      </c>
      <c r="G268" s="7" t="s">
        <v>361</v>
      </c>
      <c r="H268" s="4" t="s">
        <v>1428</v>
      </c>
      <c r="I268" s="4" t="s">
        <v>77</v>
      </c>
      <c r="J268" s="4" t="s">
        <v>1580</v>
      </c>
      <c r="K268" s="4"/>
      <c r="L268" s="4" t="s">
        <v>2828</v>
      </c>
      <c r="M268" s="4"/>
      <c r="N268" s="4"/>
      <c r="O268" s="4"/>
      <c r="P268" s="4"/>
      <c r="Q268" s="4"/>
      <c r="R268" s="4"/>
    </row>
    <row r="269" spans="1:18" x14ac:dyDescent="0.25">
      <c r="A269" s="4" t="s">
        <v>163</v>
      </c>
      <c r="B269" s="4" t="s">
        <v>387</v>
      </c>
      <c r="C269" s="4" t="s">
        <v>418</v>
      </c>
      <c r="D269" s="4" t="s">
        <v>387</v>
      </c>
      <c r="E269" s="4" t="s">
        <v>361</v>
      </c>
      <c r="F269" s="4" t="s">
        <v>1246</v>
      </c>
      <c r="G269" s="7" t="s">
        <v>361</v>
      </c>
      <c r="H269" s="4" t="s">
        <v>1429</v>
      </c>
      <c r="I269" s="4" t="s">
        <v>319</v>
      </c>
      <c r="J269" s="4" t="s">
        <v>1581</v>
      </c>
      <c r="K269" s="4"/>
      <c r="L269" s="4" t="s">
        <v>2828</v>
      </c>
      <c r="M269" s="4"/>
      <c r="N269" s="4"/>
      <c r="O269" s="4"/>
      <c r="P269" s="4"/>
      <c r="Q269" s="4"/>
      <c r="R269" s="4"/>
    </row>
    <row r="270" spans="1:18" x14ac:dyDescent="0.25">
      <c r="A270" s="4" t="s">
        <v>163</v>
      </c>
      <c r="B270" s="4" t="s">
        <v>394</v>
      </c>
      <c r="C270" s="4" t="s">
        <v>418</v>
      </c>
      <c r="D270" s="4" t="s">
        <v>394</v>
      </c>
      <c r="E270" s="4" t="s">
        <v>363</v>
      </c>
      <c r="F270" s="4" t="s">
        <v>1247</v>
      </c>
      <c r="G270" s="7" t="s">
        <v>333</v>
      </c>
      <c r="H270" s="4" t="s">
        <v>1430</v>
      </c>
      <c r="I270" s="4" t="s">
        <v>361</v>
      </c>
      <c r="J270" s="4" t="s">
        <v>1582</v>
      </c>
      <c r="K270" s="4"/>
      <c r="L270" s="4" t="s">
        <v>2828</v>
      </c>
      <c r="M270" s="4"/>
      <c r="N270" s="4"/>
      <c r="O270" s="4"/>
      <c r="P270" s="4"/>
      <c r="Q270" s="4"/>
      <c r="R270" s="4"/>
    </row>
    <row r="271" spans="1:18" x14ac:dyDescent="0.25">
      <c r="A271" s="4" t="s">
        <v>389</v>
      </c>
      <c r="B271" s="4" t="s">
        <v>387</v>
      </c>
      <c r="C271" s="4" t="s">
        <v>419</v>
      </c>
      <c r="D271" s="4" t="s">
        <v>387</v>
      </c>
      <c r="E271" s="4" t="s">
        <v>51</v>
      </c>
      <c r="F271" s="4" t="s">
        <v>50</v>
      </c>
      <c r="G271" s="7" t="s">
        <v>175</v>
      </c>
      <c r="H271" s="4" t="s">
        <v>174</v>
      </c>
      <c r="I271" s="4" t="s">
        <v>363</v>
      </c>
      <c r="J271" s="4" t="s">
        <v>362</v>
      </c>
      <c r="K271" s="4"/>
      <c r="L271" s="4" t="s">
        <v>2828</v>
      </c>
      <c r="M271" s="4"/>
      <c r="N271" s="4"/>
      <c r="O271" s="4"/>
      <c r="P271" s="4"/>
      <c r="Q271" s="4"/>
      <c r="R271" s="4"/>
    </row>
    <row r="272" spans="1:18" x14ac:dyDescent="0.25">
      <c r="A272" s="4" t="s">
        <v>389</v>
      </c>
      <c r="B272" s="4" t="s">
        <v>394</v>
      </c>
      <c r="C272" s="4" t="s">
        <v>419</v>
      </c>
      <c r="D272" s="4" t="s">
        <v>394</v>
      </c>
      <c r="E272" s="4" t="s">
        <v>77</v>
      </c>
      <c r="F272" s="4" t="s">
        <v>76</v>
      </c>
      <c r="G272" s="7" t="s">
        <v>536</v>
      </c>
      <c r="H272" s="4" t="s">
        <v>303</v>
      </c>
      <c r="I272" s="4" t="s">
        <v>363</v>
      </c>
      <c r="J272" s="4" t="s">
        <v>362</v>
      </c>
      <c r="K272" s="4"/>
      <c r="L272" s="4" t="s">
        <v>2828</v>
      </c>
      <c r="M272" s="4"/>
      <c r="N272" s="4"/>
      <c r="O272" s="4"/>
      <c r="P272" s="4"/>
      <c r="Q272" s="4"/>
      <c r="R272" s="4"/>
    </row>
    <row r="273" spans="1:18" x14ac:dyDescent="0.25">
      <c r="A273" s="4" t="s">
        <v>389</v>
      </c>
      <c r="B273" s="4" t="s">
        <v>387</v>
      </c>
      <c r="C273" s="4" t="s">
        <v>420</v>
      </c>
      <c r="D273" s="4" t="s">
        <v>387</v>
      </c>
      <c r="E273" s="4" t="s">
        <v>536</v>
      </c>
      <c r="F273" s="4" t="s">
        <v>303</v>
      </c>
      <c r="G273" s="7" t="s">
        <v>92</v>
      </c>
      <c r="H273" s="4" t="s">
        <v>91</v>
      </c>
      <c r="I273" s="4" t="s">
        <v>175</v>
      </c>
      <c r="J273" s="4" t="s">
        <v>174</v>
      </c>
      <c r="K273" s="4"/>
      <c r="L273" s="4" t="s">
        <v>2828</v>
      </c>
      <c r="M273" s="4"/>
      <c r="N273" s="4"/>
      <c r="O273" s="4"/>
      <c r="P273" s="4"/>
      <c r="Q273" s="4"/>
      <c r="R273" s="4"/>
    </row>
    <row r="274" spans="1:18" x14ac:dyDescent="0.25">
      <c r="A274" s="4" t="s">
        <v>389</v>
      </c>
      <c r="B274" s="4" t="s">
        <v>394</v>
      </c>
      <c r="C274" s="4" t="s">
        <v>420</v>
      </c>
      <c r="D274" s="4" t="s">
        <v>394</v>
      </c>
      <c r="E274" s="4" t="s">
        <v>363</v>
      </c>
      <c r="F274" s="4" t="s">
        <v>362</v>
      </c>
      <c r="G274" s="7" t="s">
        <v>175</v>
      </c>
      <c r="H274" s="4" t="s">
        <v>174</v>
      </c>
      <c r="I274" s="4" t="s">
        <v>287</v>
      </c>
      <c r="J274" s="4" t="s">
        <v>2773</v>
      </c>
      <c r="K274" s="4"/>
      <c r="L274" s="4" t="s">
        <v>2828</v>
      </c>
      <c r="M274" s="4"/>
      <c r="N274" s="4"/>
      <c r="O274" s="4"/>
      <c r="P274" s="4"/>
      <c r="Q274" s="4"/>
      <c r="R274" s="4"/>
    </row>
    <row r="275" spans="1:18" x14ac:dyDescent="0.25">
      <c r="A275" s="4" t="s">
        <v>163</v>
      </c>
      <c r="B275" s="4" t="s">
        <v>387</v>
      </c>
      <c r="C275" s="4" t="s">
        <v>421</v>
      </c>
      <c r="D275" s="4" t="s">
        <v>778</v>
      </c>
      <c r="E275" s="4" t="s">
        <v>77</v>
      </c>
      <c r="F275" s="4" t="s">
        <v>1248</v>
      </c>
      <c r="G275" s="7" t="s">
        <v>186</v>
      </c>
      <c r="H275" s="4" t="s">
        <v>1431</v>
      </c>
      <c r="I275" s="4" t="s">
        <v>343</v>
      </c>
      <c r="J275" s="4" t="s">
        <v>1583</v>
      </c>
      <c r="K275" s="4"/>
      <c r="L275" s="4" t="s">
        <v>2828</v>
      </c>
      <c r="M275" s="4"/>
      <c r="N275" s="4"/>
      <c r="O275" s="4"/>
      <c r="P275" s="4"/>
      <c r="Q275" s="4"/>
      <c r="R275" s="4"/>
    </row>
    <row r="276" spans="1:18" x14ac:dyDescent="0.25">
      <c r="A276" s="4" t="s">
        <v>163</v>
      </c>
      <c r="B276" s="4" t="s">
        <v>387</v>
      </c>
      <c r="C276" s="4" t="s">
        <v>421</v>
      </c>
      <c r="D276" s="4" t="s">
        <v>779</v>
      </c>
      <c r="E276" s="4" t="s">
        <v>79</v>
      </c>
      <c r="F276" s="4" t="s">
        <v>1249</v>
      </c>
      <c r="G276" s="7" t="s">
        <v>165</v>
      </c>
      <c r="H276" s="4" t="s">
        <v>1432</v>
      </c>
      <c r="I276" s="4" t="s">
        <v>183</v>
      </c>
      <c r="J276" s="4" t="s">
        <v>1584</v>
      </c>
      <c r="K276" s="4"/>
      <c r="L276" s="4" t="s">
        <v>2828</v>
      </c>
      <c r="M276" s="4"/>
      <c r="N276" s="4"/>
      <c r="O276" s="4"/>
      <c r="P276" s="4"/>
      <c r="Q276" s="4"/>
      <c r="R276" s="4"/>
    </row>
    <row r="277" spans="1:18" x14ac:dyDescent="0.25">
      <c r="A277" s="4" t="s">
        <v>163</v>
      </c>
      <c r="B277" s="4" t="s">
        <v>387</v>
      </c>
      <c r="C277" s="4" t="s">
        <v>421</v>
      </c>
      <c r="D277" s="4" t="s">
        <v>780</v>
      </c>
      <c r="E277" s="4" t="s">
        <v>77</v>
      </c>
      <c r="F277" s="4" t="s">
        <v>1250</v>
      </c>
      <c r="G277" s="7" t="s">
        <v>352</v>
      </c>
      <c r="H277" s="4" t="s">
        <v>1433</v>
      </c>
      <c r="I277" s="4" t="s">
        <v>79</v>
      </c>
      <c r="J277" s="4" t="s">
        <v>1585</v>
      </c>
      <c r="K277" s="4"/>
      <c r="L277" s="4" t="s">
        <v>2828</v>
      </c>
      <c r="M277" s="4"/>
      <c r="N277" s="4"/>
      <c r="O277" s="4"/>
      <c r="P277" s="4"/>
      <c r="Q277" s="4"/>
      <c r="R277" s="4"/>
    </row>
    <row r="278" spans="1:18" x14ac:dyDescent="0.25">
      <c r="A278" s="4" t="s">
        <v>163</v>
      </c>
      <c r="B278" s="4" t="s">
        <v>387</v>
      </c>
      <c r="C278" s="4" t="s">
        <v>421</v>
      </c>
      <c r="D278" s="4" t="s">
        <v>781</v>
      </c>
      <c r="E278" s="4" t="s">
        <v>183</v>
      </c>
      <c r="F278" s="4" t="s">
        <v>1251</v>
      </c>
      <c r="G278" s="7" t="s">
        <v>77</v>
      </c>
      <c r="H278" s="4" t="s">
        <v>1434</v>
      </c>
      <c r="I278" s="4" t="s">
        <v>112</v>
      </c>
      <c r="J278" s="4" t="s">
        <v>1586</v>
      </c>
      <c r="K278" s="4"/>
      <c r="L278" s="4" t="s">
        <v>2828</v>
      </c>
      <c r="M278" s="4"/>
      <c r="N278" s="4"/>
      <c r="O278" s="4"/>
      <c r="P278" s="4"/>
      <c r="Q278" s="4"/>
      <c r="R278" s="4"/>
    </row>
    <row r="279" spans="1:18" x14ac:dyDescent="0.25">
      <c r="A279" s="4" t="s">
        <v>163</v>
      </c>
      <c r="B279" s="4" t="s">
        <v>387</v>
      </c>
      <c r="C279" s="4" t="s">
        <v>421</v>
      </c>
      <c r="D279" s="4" t="s">
        <v>782</v>
      </c>
      <c r="E279" s="4" t="s">
        <v>167</v>
      </c>
      <c r="F279" s="4" t="s">
        <v>1252</v>
      </c>
      <c r="G279" s="7" t="s">
        <v>77</v>
      </c>
      <c r="H279" s="4" t="s">
        <v>1435</v>
      </c>
      <c r="I279" s="4" t="s">
        <v>641</v>
      </c>
      <c r="J279" s="4" t="s">
        <v>1587</v>
      </c>
      <c r="K279" s="4"/>
      <c r="L279" s="4" t="s">
        <v>2828</v>
      </c>
      <c r="M279" s="4"/>
      <c r="N279" s="4"/>
      <c r="O279" s="4"/>
      <c r="P279" s="4"/>
      <c r="Q279" s="4"/>
      <c r="R279" s="4"/>
    </row>
    <row r="280" spans="1:18" x14ac:dyDescent="0.25">
      <c r="A280" s="4" t="s">
        <v>163</v>
      </c>
      <c r="B280" s="4" t="s">
        <v>387</v>
      </c>
      <c r="C280" s="4" t="s">
        <v>421</v>
      </c>
      <c r="D280" s="4" t="s">
        <v>783</v>
      </c>
      <c r="E280" s="4" t="s">
        <v>167</v>
      </c>
      <c r="F280" s="4" t="s">
        <v>1253</v>
      </c>
      <c r="G280" s="7" t="s">
        <v>35</v>
      </c>
      <c r="H280" s="4" t="s">
        <v>1436</v>
      </c>
      <c r="I280" s="4" t="s">
        <v>207</v>
      </c>
      <c r="J280" s="4" t="s">
        <v>1588</v>
      </c>
      <c r="K280" s="4"/>
      <c r="L280" s="4" t="s">
        <v>2828</v>
      </c>
      <c r="M280" s="4"/>
      <c r="N280" s="4"/>
      <c r="O280" s="4"/>
      <c r="P280" s="4"/>
      <c r="Q280" s="4"/>
      <c r="R280" s="4"/>
    </row>
    <row r="281" spans="1:18" x14ac:dyDescent="0.25">
      <c r="A281" s="4" t="s">
        <v>163</v>
      </c>
      <c r="B281" s="4" t="s">
        <v>387</v>
      </c>
      <c r="C281" s="4" t="s">
        <v>421</v>
      </c>
      <c r="D281" s="4" t="s">
        <v>784</v>
      </c>
      <c r="E281" s="4" t="s">
        <v>367</v>
      </c>
      <c r="F281" s="4" t="s">
        <v>1254</v>
      </c>
      <c r="G281" s="7" t="s">
        <v>18</v>
      </c>
      <c r="H281" s="4" t="s">
        <v>1437</v>
      </c>
      <c r="I281" s="4" t="s">
        <v>183</v>
      </c>
      <c r="J281" s="4" t="s">
        <v>1589</v>
      </c>
      <c r="K281" s="4"/>
      <c r="L281" s="4" t="s">
        <v>2828</v>
      </c>
      <c r="M281" s="4"/>
      <c r="N281" s="4"/>
      <c r="O281" s="4"/>
      <c r="P281" s="4"/>
      <c r="Q281" s="4"/>
      <c r="R281" s="4"/>
    </row>
    <row r="282" spans="1:18" x14ac:dyDescent="0.25">
      <c r="A282" s="4" t="s">
        <v>163</v>
      </c>
      <c r="B282" s="4" t="s">
        <v>387</v>
      </c>
      <c r="C282" s="4" t="s">
        <v>421</v>
      </c>
      <c r="D282" s="4" t="s">
        <v>785</v>
      </c>
      <c r="E282" s="4" t="s">
        <v>134</v>
      </c>
      <c r="F282" s="4" t="s">
        <v>1255</v>
      </c>
      <c r="G282" s="7" t="s">
        <v>18</v>
      </c>
      <c r="H282" s="4" t="s">
        <v>1438</v>
      </c>
      <c r="I282" s="4" t="s">
        <v>134</v>
      </c>
      <c r="J282" s="4" t="s">
        <v>1590</v>
      </c>
      <c r="K282" s="4"/>
      <c r="L282" s="4" t="s">
        <v>2828</v>
      </c>
      <c r="M282" s="4"/>
      <c r="N282" s="4"/>
      <c r="O282" s="4"/>
      <c r="P282" s="4"/>
      <c r="Q282" s="4"/>
      <c r="R282" s="4"/>
    </row>
    <row r="283" spans="1:18" x14ac:dyDescent="0.25">
      <c r="A283" s="4" t="s">
        <v>163</v>
      </c>
      <c r="B283" s="4" t="s">
        <v>394</v>
      </c>
      <c r="C283" s="4" t="s">
        <v>421</v>
      </c>
      <c r="D283" s="4" t="s">
        <v>786</v>
      </c>
      <c r="E283" s="4" t="s">
        <v>343</v>
      </c>
      <c r="F283" s="4" t="s">
        <v>1256</v>
      </c>
      <c r="G283" s="7" t="s">
        <v>165</v>
      </c>
      <c r="H283" s="4" t="s">
        <v>1439</v>
      </c>
      <c r="I283" s="4" t="s">
        <v>179</v>
      </c>
      <c r="J283" s="4" t="s">
        <v>1591</v>
      </c>
      <c r="K283" s="4"/>
      <c r="L283" s="4" t="s">
        <v>2828</v>
      </c>
      <c r="M283" s="4"/>
      <c r="N283" s="4"/>
      <c r="O283" s="4"/>
      <c r="P283" s="4"/>
      <c r="Q283" s="4"/>
      <c r="R283" s="4"/>
    </row>
    <row r="284" spans="1:18" x14ac:dyDescent="0.25">
      <c r="A284" s="4" t="s">
        <v>163</v>
      </c>
      <c r="B284" s="4" t="s">
        <v>394</v>
      </c>
      <c r="C284" s="4" t="s">
        <v>421</v>
      </c>
      <c r="D284" s="4" t="s">
        <v>787</v>
      </c>
      <c r="E284" s="4" t="s">
        <v>337</v>
      </c>
      <c r="F284" s="4" t="s">
        <v>1257</v>
      </c>
      <c r="G284" s="7" t="s">
        <v>278</v>
      </c>
      <c r="H284" s="4" t="s">
        <v>1440</v>
      </c>
      <c r="I284" s="4" t="s">
        <v>187</v>
      </c>
      <c r="J284" s="4" t="s">
        <v>1592</v>
      </c>
      <c r="K284" s="4"/>
      <c r="L284" s="4" t="s">
        <v>2828</v>
      </c>
      <c r="M284" s="4"/>
      <c r="N284" s="4"/>
      <c r="O284" s="4"/>
      <c r="P284" s="4"/>
      <c r="Q284" s="4"/>
      <c r="R284" s="4"/>
    </row>
    <row r="285" spans="1:18" x14ac:dyDescent="0.25">
      <c r="A285" s="4" t="s">
        <v>163</v>
      </c>
      <c r="B285" s="4" t="s">
        <v>394</v>
      </c>
      <c r="C285" s="4" t="s">
        <v>421</v>
      </c>
      <c r="D285" s="4" t="s">
        <v>788</v>
      </c>
      <c r="E285" s="4" t="s">
        <v>343</v>
      </c>
      <c r="F285" s="4" t="s">
        <v>1258</v>
      </c>
      <c r="G285" s="7" t="s">
        <v>343</v>
      </c>
      <c r="H285" s="4" t="s">
        <v>1441</v>
      </c>
      <c r="I285" s="4" t="s">
        <v>337</v>
      </c>
      <c r="J285" s="4" t="s">
        <v>1593</v>
      </c>
      <c r="K285" s="4"/>
      <c r="L285" s="4" t="s">
        <v>2828</v>
      </c>
      <c r="M285" s="4"/>
      <c r="N285" s="4"/>
      <c r="O285" s="4"/>
      <c r="P285" s="4"/>
      <c r="Q285" s="4"/>
      <c r="R285" s="4"/>
    </row>
    <row r="286" spans="1:18" x14ac:dyDescent="0.25">
      <c r="A286" s="4" t="s">
        <v>163</v>
      </c>
      <c r="B286" s="4" t="s">
        <v>394</v>
      </c>
      <c r="C286" s="4" t="s">
        <v>421</v>
      </c>
      <c r="D286" s="4" t="s">
        <v>789</v>
      </c>
      <c r="E286" s="4" t="s">
        <v>77</v>
      </c>
      <c r="F286" s="4" t="s">
        <v>1259</v>
      </c>
      <c r="G286" s="7" t="s">
        <v>186</v>
      </c>
      <c r="H286" s="4" t="s">
        <v>1442</v>
      </c>
      <c r="I286" s="4" t="s">
        <v>183</v>
      </c>
      <c r="J286" s="4" t="s">
        <v>1594</v>
      </c>
      <c r="K286" s="4"/>
      <c r="L286" s="4" t="s">
        <v>2828</v>
      </c>
      <c r="M286" s="4"/>
      <c r="N286" s="4"/>
      <c r="O286" s="4"/>
      <c r="P286" s="4"/>
      <c r="Q286" s="4"/>
      <c r="R286" s="4"/>
    </row>
    <row r="287" spans="1:18" x14ac:dyDescent="0.25">
      <c r="A287" s="4" t="s">
        <v>163</v>
      </c>
      <c r="B287" s="4" t="s">
        <v>394</v>
      </c>
      <c r="C287" s="4" t="s">
        <v>421</v>
      </c>
      <c r="D287" s="4" t="s">
        <v>790</v>
      </c>
      <c r="E287" s="4" t="s">
        <v>77</v>
      </c>
      <c r="F287" s="4" t="s">
        <v>1260</v>
      </c>
      <c r="G287" s="7" t="s">
        <v>183</v>
      </c>
      <c r="H287" s="4" t="s">
        <v>1443</v>
      </c>
      <c r="I287" s="4" t="s">
        <v>112</v>
      </c>
      <c r="J287" s="4" t="s">
        <v>1595</v>
      </c>
      <c r="K287" s="4"/>
      <c r="L287" s="4" t="s">
        <v>2828</v>
      </c>
      <c r="M287" s="4"/>
      <c r="N287" s="4"/>
      <c r="O287" s="4"/>
      <c r="P287" s="4"/>
      <c r="Q287" s="4"/>
      <c r="R287" s="4"/>
    </row>
    <row r="288" spans="1:18" x14ac:dyDescent="0.25">
      <c r="A288" s="4" t="s">
        <v>163</v>
      </c>
      <c r="B288" s="4" t="s">
        <v>394</v>
      </c>
      <c r="C288" s="4" t="s">
        <v>421</v>
      </c>
      <c r="D288" s="4" t="s">
        <v>791</v>
      </c>
      <c r="E288" s="4" t="s">
        <v>186</v>
      </c>
      <c r="F288" s="4" t="s">
        <v>1261</v>
      </c>
      <c r="G288" s="7" t="s">
        <v>35</v>
      </c>
      <c r="H288" s="4" t="s">
        <v>1444</v>
      </c>
      <c r="I288" s="4" t="s">
        <v>321</v>
      </c>
      <c r="J288" s="4" t="s">
        <v>1596</v>
      </c>
      <c r="K288" s="4"/>
      <c r="L288" s="4" t="s">
        <v>2828</v>
      </c>
      <c r="M288" s="4"/>
      <c r="N288" s="4"/>
      <c r="O288" s="4"/>
      <c r="P288" s="4"/>
      <c r="Q288" s="4"/>
      <c r="R288" s="4"/>
    </row>
    <row r="289" spans="1:18" x14ac:dyDescent="0.25">
      <c r="A289" s="4" t="s">
        <v>163</v>
      </c>
      <c r="B289" s="4" t="s">
        <v>394</v>
      </c>
      <c r="C289" s="4" t="s">
        <v>421</v>
      </c>
      <c r="D289" s="4" t="s">
        <v>792</v>
      </c>
      <c r="E289" s="4" t="s">
        <v>77</v>
      </c>
      <c r="F289" s="4" t="s">
        <v>1262</v>
      </c>
      <c r="G289" s="7" t="s">
        <v>186</v>
      </c>
      <c r="H289" s="4" t="s">
        <v>1445</v>
      </c>
      <c r="I289" s="4" t="s">
        <v>363</v>
      </c>
      <c r="J289" s="4" t="s">
        <v>1597</v>
      </c>
      <c r="K289" s="4"/>
      <c r="L289" s="4" t="s">
        <v>2828</v>
      </c>
      <c r="M289" s="4"/>
      <c r="N289" s="4"/>
      <c r="O289" s="4"/>
      <c r="P289" s="4"/>
      <c r="Q289" s="4"/>
      <c r="R289" s="4"/>
    </row>
    <row r="290" spans="1:18" x14ac:dyDescent="0.25">
      <c r="A290" s="4" t="s">
        <v>163</v>
      </c>
      <c r="B290" s="4" t="s">
        <v>387</v>
      </c>
      <c r="C290" s="4" t="s">
        <v>422</v>
      </c>
      <c r="D290" s="4" t="s">
        <v>793</v>
      </c>
      <c r="E290" s="4" t="s">
        <v>94</v>
      </c>
      <c r="F290" s="4" t="s">
        <v>1263</v>
      </c>
      <c r="G290" s="7" t="s">
        <v>179</v>
      </c>
      <c r="H290" s="4" t="s">
        <v>1446</v>
      </c>
      <c r="I290" s="4" t="s">
        <v>261</v>
      </c>
      <c r="J290" s="4" t="s">
        <v>823</v>
      </c>
      <c r="K290" s="4" t="s">
        <v>367</v>
      </c>
      <c r="L290" s="4" t="s">
        <v>824</v>
      </c>
      <c r="M290" s="4"/>
      <c r="N290" s="4"/>
      <c r="O290" s="4"/>
      <c r="P290" s="4"/>
      <c r="Q290" s="4"/>
      <c r="R290" s="4"/>
    </row>
    <row r="291" spans="1:18" x14ac:dyDescent="0.25">
      <c r="A291" s="4" t="s">
        <v>163</v>
      </c>
      <c r="B291" s="4" t="s">
        <v>387</v>
      </c>
      <c r="C291" s="4" t="s">
        <v>422</v>
      </c>
      <c r="D291" s="4" t="s">
        <v>794</v>
      </c>
      <c r="E291" s="4" t="s">
        <v>536</v>
      </c>
      <c r="F291" s="4" t="s">
        <v>1264</v>
      </c>
      <c r="G291" s="7" t="s">
        <v>18</v>
      </c>
      <c r="H291" s="4" t="s">
        <v>1447</v>
      </c>
      <c r="I291" s="4" t="s">
        <v>134</v>
      </c>
      <c r="J291" s="4" t="s">
        <v>825</v>
      </c>
      <c r="K291" s="4" t="s">
        <v>25</v>
      </c>
      <c r="L291" s="4" t="s">
        <v>826</v>
      </c>
      <c r="M291" s="4"/>
      <c r="N291" s="4"/>
      <c r="O291" s="4"/>
      <c r="P291" s="4"/>
      <c r="Q291" s="4"/>
      <c r="R291" s="4"/>
    </row>
    <row r="292" spans="1:18" x14ac:dyDescent="0.25">
      <c r="A292" s="4" t="s">
        <v>163</v>
      </c>
      <c r="B292" s="4" t="s">
        <v>387</v>
      </c>
      <c r="C292" s="4" t="s">
        <v>422</v>
      </c>
      <c r="D292" s="4" t="s">
        <v>795</v>
      </c>
      <c r="E292" s="4" t="s">
        <v>287</v>
      </c>
      <c r="F292" s="4" t="s">
        <v>1265</v>
      </c>
      <c r="G292" s="7" t="s">
        <v>100</v>
      </c>
      <c r="H292" s="4" t="s">
        <v>1448</v>
      </c>
      <c r="I292" s="4" t="s">
        <v>167</v>
      </c>
      <c r="J292" s="4" t="s">
        <v>827</v>
      </c>
      <c r="K292" s="4" t="s">
        <v>187</v>
      </c>
      <c r="L292" s="4" t="s">
        <v>828</v>
      </c>
      <c r="M292" s="4"/>
      <c r="N292" s="4"/>
      <c r="O292" s="4"/>
      <c r="P292" s="4"/>
      <c r="Q292" s="4"/>
      <c r="R292" s="4"/>
    </row>
    <row r="293" spans="1:18" x14ac:dyDescent="0.25">
      <c r="A293" s="4" t="s">
        <v>163</v>
      </c>
      <c r="B293" s="4" t="s">
        <v>387</v>
      </c>
      <c r="C293" s="4" t="s">
        <v>422</v>
      </c>
      <c r="D293" s="4" t="s">
        <v>796</v>
      </c>
      <c r="E293" s="4" t="s">
        <v>287</v>
      </c>
      <c r="F293" s="4" t="s">
        <v>1266</v>
      </c>
      <c r="G293" s="7" t="s">
        <v>358</v>
      </c>
      <c r="H293" s="4" t="s">
        <v>1449</v>
      </c>
      <c r="I293" s="4" t="s">
        <v>136</v>
      </c>
      <c r="J293" s="4" t="s">
        <v>829</v>
      </c>
      <c r="K293" s="4" t="s">
        <v>35</v>
      </c>
      <c r="L293" s="4" t="s">
        <v>830</v>
      </c>
      <c r="M293" s="4"/>
      <c r="N293" s="4"/>
      <c r="O293" s="4"/>
      <c r="P293" s="4"/>
      <c r="Q293" s="4"/>
      <c r="R293" s="4"/>
    </row>
    <row r="294" spans="1:18" x14ac:dyDescent="0.25">
      <c r="A294" s="4" t="s">
        <v>163</v>
      </c>
      <c r="B294" s="4" t="s">
        <v>387</v>
      </c>
      <c r="C294" s="4" t="s">
        <v>422</v>
      </c>
      <c r="D294" s="4" t="s">
        <v>797</v>
      </c>
      <c r="E294" s="4" t="s">
        <v>18</v>
      </c>
      <c r="F294" s="4" t="s">
        <v>1267</v>
      </c>
      <c r="G294" s="7" t="s">
        <v>94</v>
      </c>
      <c r="H294" s="4" t="s">
        <v>1450</v>
      </c>
      <c r="I294" s="4" t="s">
        <v>352</v>
      </c>
      <c r="J294" s="4" t="s">
        <v>831</v>
      </c>
      <c r="K294" s="4" t="s">
        <v>167</v>
      </c>
      <c r="L294" s="4" t="s">
        <v>832</v>
      </c>
      <c r="M294" s="4"/>
      <c r="N294" s="4"/>
      <c r="O294" s="4"/>
      <c r="P294" s="4"/>
      <c r="Q294" s="4"/>
      <c r="R294" s="4"/>
    </row>
    <row r="295" spans="1:18" x14ac:dyDescent="0.25">
      <c r="A295" s="4" t="s">
        <v>163</v>
      </c>
      <c r="B295" s="4" t="s">
        <v>387</v>
      </c>
      <c r="C295" s="4" t="s">
        <v>422</v>
      </c>
      <c r="D295" s="4" t="s">
        <v>798</v>
      </c>
      <c r="E295" s="4" t="s">
        <v>94</v>
      </c>
      <c r="F295" s="4" t="s">
        <v>811</v>
      </c>
      <c r="G295" s="7" t="s">
        <v>352</v>
      </c>
      <c r="H295" s="4" t="s">
        <v>812</v>
      </c>
      <c r="I295" s="4" t="s">
        <v>25</v>
      </c>
      <c r="J295" s="4" t="s">
        <v>813</v>
      </c>
      <c r="K295" s="4" t="s">
        <v>287</v>
      </c>
      <c r="L295" s="4" t="s">
        <v>814</v>
      </c>
      <c r="M295" s="4"/>
      <c r="N295" s="4"/>
      <c r="O295" s="4"/>
      <c r="P295" s="4"/>
      <c r="Q295" s="4"/>
      <c r="R295" s="4"/>
    </row>
    <row r="296" spans="1:18" x14ac:dyDescent="0.25">
      <c r="A296" s="4" t="s">
        <v>163</v>
      </c>
      <c r="B296" s="4" t="s">
        <v>387</v>
      </c>
      <c r="C296" s="4" t="s">
        <v>422</v>
      </c>
      <c r="D296" s="4" t="s">
        <v>799</v>
      </c>
      <c r="E296" s="4" t="s">
        <v>134</v>
      </c>
      <c r="F296" s="4" t="s">
        <v>818</v>
      </c>
      <c r="G296" s="7" t="s">
        <v>179</v>
      </c>
      <c r="H296" s="4" t="s">
        <v>815</v>
      </c>
      <c r="I296" s="4" t="s">
        <v>25</v>
      </c>
      <c r="J296" s="4" t="s">
        <v>816</v>
      </c>
      <c r="K296" s="4" t="s">
        <v>167</v>
      </c>
      <c r="L296" s="4" t="s">
        <v>817</v>
      </c>
      <c r="M296" s="4"/>
      <c r="N296" s="4"/>
      <c r="O296" s="4"/>
      <c r="P296" s="4"/>
      <c r="Q296" s="4"/>
      <c r="R296" s="4"/>
    </row>
    <row r="297" spans="1:18" x14ac:dyDescent="0.25">
      <c r="A297" s="4" t="s">
        <v>163</v>
      </c>
      <c r="B297" s="4" t="s">
        <v>387</v>
      </c>
      <c r="C297" s="4" t="s">
        <v>422</v>
      </c>
      <c r="D297" s="4" t="s">
        <v>800</v>
      </c>
      <c r="E297" s="4" t="s">
        <v>287</v>
      </c>
      <c r="F297" s="4" t="s">
        <v>959</v>
      </c>
      <c r="G297" s="7" t="s">
        <v>25</v>
      </c>
      <c r="H297" s="4" t="s">
        <v>960</v>
      </c>
      <c r="I297" s="4" t="s">
        <v>175</v>
      </c>
      <c r="J297" s="4" t="s">
        <v>961</v>
      </c>
      <c r="K297" s="4" t="s">
        <v>367</v>
      </c>
      <c r="L297" s="4" t="s">
        <v>962</v>
      </c>
      <c r="M297" s="4"/>
      <c r="N297" s="4"/>
      <c r="O297" s="4"/>
      <c r="P297" s="4"/>
      <c r="Q297" s="4"/>
      <c r="R297" s="4"/>
    </row>
    <row r="298" spans="1:18" x14ac:dyDescent="0.25">
      <c r="A298" s="4" t="s">
        <v>163</v>
      </c>
      <c r="B298" s="4" t="s">
        <v>387</v>
      </c>
      <c r="C298" s="4" t="s">
        <v>422</v>
      </c>
      <c r="D298" s="4" t="s">
        <v>801</v>
      </c>
      <c r="E298" s="4" t="s">
        <v>167</v>
      </c>
      <c r="F298" s="4" t="s">
        <v>819</v>
      </c>
      <c r="G298" s="7" t="s">
        <v>287</v>
      </c>
      <c r="H298" s="4" t="s">
        <v>820</v>
      </c>
      <c r="I298" s="4" t="s">
        <v>25</v>
      </c>
      <c r="J298" s="4" t="s">
        <v>821</v>
      </c>
      <c r="K298" s="4" t="s">
        <v>352</v>
      </c>
      <c r="L298" s="4" t="s">
        <v>822</v>
      </c>
      <c r="M298" s="4"/>
      <c r="N298" s="4"/>
      <c r="O298" s="4"/>
      <c r="P298" s="4"/>
      <c r="Q298" s="4"/>
      <c r="R298" s="4"/>
    </row>
    <row r="299" spans="1:18" x14ac:dyDescent="0.25">
      <c r="A299" s="4" t="s">
        <v>163</v>
      </c>
      <c r="B299" s="4" t="s">
        <v>387</v>
      </c>
      <c r="C299" s="4" t="s">
        <v>422</v>
      </c>
      <c r="D299" s="4" t="s">
        <v>802</v>
      </c>
      <c r="E299" s="4" t="s">
        <v>287</v>
      </c>
      <c r="F299" s="4" t="s">
        <v>833</v>
      </c>
      <c r="G299" s="7" t="s">
        <v>352</v>
      </c>
      <c r="H299" s="4" t="s">
        <v>834</v>
      </c>
      <c r="I299" s="4" t="s">
        <v>25</v>
      </c>
      <c r="J299" s="4" t="s">
        <v>835</v>
      </c>
      <c r="K299" s="4" t="s">
        <v>363</v>
      </c>
      <c r="L299" s="4" t="s">
        <v>836</v>
      </c>
      <c r="M299" s="4"/>
      <c r="N299" s="4"/>
      <c r="O299" s="4"/>
      <c r="P299" s="4"/>
      <c r="Q299" s="4"/>
      <c r="R299" s="4"/>
    </row>
    <row r="300" spans="1:18" x14ac:dyDescent="0.25">
      <c r="A300" s="4" t="s">
        <v>163</v>
      </c>
      <c r="B300" s="4" t="s">
        <v>387</v>
      </c>
      <c r="C300" s="4" t="s">
        <v>422</v>
      </c>
      <c r="D300" s="4" t="s">
        <v>803</v>
      </c>
      <c r="E300" s="4" t="s">
        <v>363</v>
      </c>
      <c r="F300" s="4" t="s">
        <v>963</v>
      </c>
      <c r="G300" s="7" t="s">
        <v>25</v>
      </c>
      <c r="H300" s="4" t="s">
        <v>964</v>
      </c>
      <c r="I300" s="4" t="s">
        <v>641</v>
      </c>
      <c r="J300" s="4" t="s">
        <v>965</v>
      </c>
      <c r="K300" s="4" t="s">
        <v>367</v>
      </c>
      <c r="L300" s="4" t="s">
        <v>966</v>
      </c>
      <c r="M300" s="4"/>
      <c r="N300" s="4"/>
      <c r="O300" s="4"/>
      <c r="P300" s="4"/>
      <c r="Q300" s="4"/>
      <c r="R300" s="4"/>
    </row>
    <row r="301" spans="1:18" x14ac:dyDescent="0.25">
      <c r="A301" s="4" t="s">
        <v>163</v>
      </c>
      <c r="B301" s="4" t="s">
        <v>387</v>
      </c>
      <c r="C301" s="4" t="s">
        <v>422</v>
      </c>
      <c r="D301" s="4" t="s">
        <v>804</v>
      </c>
      <c r="E301" s="4" t="s">
        <v>352</v>
      </c>
      <c r="F301" s="4" t="s">
        <v>1268</v>
      </c>
      <c r="G301" s="7" t="s">
        <v>167</v>
      </c>
      <c r="H301" s="4" t="s">
        <v>1451</v>
      </c>
      <c r="I301" s="4" t="s">
        <v>35</v>
      </c>
      <c r="J301" s="4" t="s">
        <v>837</v>
      </c>
      <c r="K301" s="4" t="s">
        <v>134</v>
      </c>
      <c r="L301" s="4" t="s">
        <v>838</v>
      </c>
      <c r="M301" s="4"/>
      <c r="N301" s="4"/>
      <c r="O301" s="4"/>
      <c r="P301" s="4"/>
      <c r="Q301" s="4"/>
      <c r="R301" s="4"/>
    </row>
    <row r="302" spans="1:18" x14ac:dyDescent="0.25">
      <c r="A302" s="4" t="s">
        <v>163</v>
      </c>
      <c r="B302" s="4" t="s">
        <v>394</v>
      </c>
      <c r="C302" s="4" t="s">
        <v>422</v>
      </c>
      <c r="D302" s="4" t="s">
        <v>805</v>
      </c>
      <c r="E302" s="4" t="s">
        <v>179</v>
      </c>
      <c r="F302" s="4" t="s">
        <v>839</v>
      </c>
      <c r="G302" s="7" t="s">
        <v>25</v>
      </c>
      <c r="H302" s="4" t="s">
        <v>840</v>
      </c>
      <c r="I302" s="4" t="s">
        <v>77</v>
      </c>
      <c r="J302" s="4" t="s">
        <v>841</v>
      </c>
      <c r="K302" s="4" t="s">
        <v>56</v>
      </c>
      <c r="L302" s="4" t="s">
        <v>842</v>
      </c>
      <c r="M302" s="4"/>
      <c r="N302" s="4"/>
      <c r="O302" s="4"/>
      <c r="P302" s="4"/>
      <c r="Q302" s="4"/>
      <c r="R302" s="4"/>
    </row>
    <row r="303" spans="1:18" x14ac:dyDescent="0.25">
      <c r="A303" s="4" t="s">
        <v>163</v>
      </c>
      <c r="B303" s="4" t="s">
        <v>394</v>
      </c>
      <c r="C303" s="4" t="s">
        <v>422</v>
      </c>
      <c r="D303" s="4" t="s">
        <v>806</v>
      </c>
      <c r="E303" s="4" t="s">
        <v>363</v>
      </c>
      <c r="F303" s="4" t="s">
        <v>843</v>
      </c>
      <c r="G303" s="7" t="s">
        <v>179</v>
      </c>
      <c r="H303" s="4" t="s">
        <v>844</v>
      </c>
      <c r="I303" s="4" t="s">
        <v>25</v>
      </c>
      <c r="J303" s="4" t="s">
        <v>845</v>
      </c>
      <c r="K303" s="4" t="s">
        <v>331</v>
      </c>
      <c r="L303" s="4" t="s">
        <v>846</v>
      </c>
      <c r="M303" s="4"/>
      <c r="N303" s="4"/>
      <c r="O303" s="4"/>
      <c r="P303" s="4"/>
      <c r="Q303" s="4"/>
      <c r="R303" s="4"/>
    </row>
    <row r="304" spans="1:18" x14ac:dyDescent="0.25">
      <c r="A304" s="4" t="s">
        <v>163</v>
      </c>
      <c r="B304" s="4" t="s">
        <v>394</v>
      </c>
      <c r="C304" s="4" t="s">
        <v>422</v>
      </c>
      <c r="D304" s="4" t="s">
        <v>807</v>
      </c>
      <c r="E304" s="4" t="s">
        <v>179</v>
      </c>
      <c r="F304" s="4" t="s">
        <v>847</v>
      </c>
      <c r="G304" s="7" t="s">
        <v>287</v>
      </c>
      <c r="H304" s="4" t="s">
        <v>848</v>
      </c>
      <c r="I304" s="4" t="s">
        <v>350</v>
      </c>
      <c r="J304" s="4" t="s">
        <v>849</v>
      </c>
      <c r="K304" s="4" t="s">
        <v>163</v>
      </c>
      <c r="L304" s="4" t="s">
        <v>850</v>
      </c>
      <c r="M304" s="4"/>
      <c r="N304" s="4"/>
      <c r="O304" s="4"/>
      <c r="P304" s="4"/>
      <c r="Q304" s="4"/>
      <c r="R304" s="4"/>
    </row>
    <row r="305" spans="1:18" x14ac:dyDescent="0.25">
      <c r="A305" s="4" t="s">
        <v>163</v>
      </c>
      <c r="B305" s="4" t="s">
        <v>394</v>
      </c>
      <c r="C305" s="4" t="s">
        <v>422</v>
      </c>
      <c r="D305" s="4" t="s">
        <v>808</v>
      </c>
      <c r="E305" s="4" t="s">
        <v>179</v>
      </c>
      <c r="F305" s="4" t="s">
        <v>851</v>
      </c>
      <c r="G305" s="7" t="s">
        <v>35</v>
      </c>
      <c r="H305" s="4" t="s">
        <v>852</v>
      </c>
      <c r="I305" s="4" t="s">
        <v>183</v>
      </c>
      <c r="J305" s="4" t="s">
        <v>853</v>
      </c>
      <c r="K305" s="4" t="s">
        <v>280</v>
      </c>
      <c r="L305" s="4" t="s">
        <v>854</v>
      </c>
      <c r="M305" s="4"/>
      <c r="N305" s="4"/>
      <c r="O305" s="4"/>
      <c r="P305" s="4"/>
      <c r="Q305" s="4"/>
      <c r="R305" s="4"/>
    </row>
    <row r="306" spans="1:18" x14ac:dyDescent="0.25">
      <c r="A306" s="4" t="s">
        <v>163</v>
      </c>
      <c r="B306" s="4" t="s">
        <v>394</v>
      </c>
      <c r="C306" s="4" t="s">
        <v>422</v>
      </c>
      <c r="D306" s="4" t="s">
        <v>809</v>
      </c>
      <c r="E306" s="4" t="s">
        <v>179</v>
      </c>
      <c r="F306" s="4" t="s">
        <v>855</v>
      </c>
      <c r="G306" s="7" t="s">
        <v>287</v>
      </c>
      <c r="H306" s="4" t="s">
        <v>856</v>
      </c>
      <c r="I306" s="4" t="s">
        <v>183</v>
      </c>
      <c r="J306" s="4" t="s">
        <v>857</v>
      </c>
      <c r="K306" s="4" t="s">
        <v>331</v>
      </c>
      <c r="L306" s="4" t="s">
        <v>858</v>
      </c>
      <c r="M306" s="4"/>
      <c r="N306" s="4"/>
      <c r="O306" s="4"/>
      <c r="P306" s="4"/>
      <c r="Q306" s="4"/>
      <c r="R306" s="4"/>
    </row>
    <row r="307" spans="1:18" x14ac:dyDescent="0.25">
      <c r="A307" s="4" t="s">
        <v>163</v>
      </c>
      <c r="B307" s="4" t="s">
        <v>394</v>
      </c>
      <c r="C307" s="4" t="s">
        <v>422</v>
      </c>
      <c r="D307" s="4" t="s">
        <v>810</v>
      </c>
      <c r="E307" s="4" t="s">
        <v>66</v>
      </c>
      <c r="F307" s="4" t="s">
        <v>859</v>
      </c>
      <c r="G307" s="7" t="s">
        <v>183</v>
      </c>
      <c r="H307" s="4" t="s">
        <v>860</v>
      </c>
      <c r="I307" s="4" t="s">
        <v>77</v>
      </c>
      <c r="J307" s="4" t="s">
        <v>861</v>
      </c>
      <c r="K307" s="4" t="s">
        <v>287</v>
      </c>
      <c r="L307" s="4" t="s">
        <v>862</v>
      </c>
      <c r="M307" s="4"/>
      <c r="N307" s="4"/>
      <c r="O307" s="4"/>
      <c r="P307" s="4"/>
      <c r="Q307" s="4"/>
      <c r="R307" s="4"/>
    </row>
  </sheetData>
  <pageMargins left="0.7" right="0.7" top="0.75" bottom="0.75" header="0.3" footer="0.3"/>
  <pageSetup orientation="portrait" horizontalDpi="4294967293" verticalDpi="0" r:id="rId1"/>
  <tableParts count="1">
    <tablePart r:id="rId2"/>
  </tableParts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sheetPr>
    <tabColor rgb="FF00B0F0"/>
  </sheetPr>
  <dimension ref="A2:M2028"/>
  <sheetViews>
    <sheetView zoomScaleNormal="100" workbookViewId="0">
      <selection activeCell="D12" sqref="D12"/>
    </sheetView>
  </sheetViews>
  <sheetFormatPr defaultRowHeight="15" x14ac:dyDescent="0.25"/>
  <cols>
    <col min="1" max="1" width="13.7109375" bestFit="1" customWidth="1"/>
    <col min="2" max="2" width="13.140625" customWidth="1"/>
    <col min="3" max="3" width="26.28515625" customWidth="1"/>
    <col min="4" max="4" width="39.28515625" customWidth="1"/>
    <col min="5" max="5" width="39.85546875" customWidth="1"/>
    <col min="6" max="6" width="23.28515625" bestFit="1" customWidth="1"/>
    <col min="7" max="7" width="23.28515625" customWidth="1"/>
  </cols>
  <sheetData>
    <row r="2" spans="1:7" x14ac:dyDescent="0.25">
      <c r="A2" s="6" t="s">
        <v>388</v>
      </c>
      <c r="B2" s="6" t="s">
        <v>386</v>
      </c>
      <c r="C2" s="6" t="s">
        <v>381</v>
      </c>
      <c r="D2" s="4" t="s">
        <v>385</v>
      </c>
      <c r="E2" s="6" t="s">
        <v>439</v>
      </c>
      <c r="F2" s="6" t="s">
        <v>441</v>
      </c>
      <c r="G2" s="6" t="s">
        <v>440</v>
      </c>
    </row>
    <row r="3" spans="1:7" x14ac:dyDescent="0.25">
      <c r="A3" s="10" t="s">
        <v>163</v>
      </c>
      <c r="B3" s="10" t="s">
        <v>387</v>
      </c>
      <c r="C3" s="10" t="s">
        <v>395</v>
      </c>
      <c r="D3" s="10" t="s">
        <v>396</v>
      </c>
      <c r="E3" s="10" t="s">
        <v>1013</v>
      </c>
      <c r="F3" s="10" t="s">
        <v>187</v>
      </c>
      <c r="G3" s="10" t="s">
        <v>390</v>
      </c>
    </row>
    <row r="4" spans="1:7" x14ac:dyDescent="0.25">
      <c r="A4" s="4" t="s">
        <v>163</v>
      </c>
      <c r="B4" s="4" t="s">
        <v>394</v>
      </c>
      <c r="C4" s="4" t="s">
        <v>395</v>
      </c>
      <c r="D4" s="4" t="s">
        <v>476</v>
      </c>
      <c r="E4" s="4" t="s">
        <v>1019</v>
      </c>
      <c r="F4" s="4" t="s">
        <v>187</v>
      </c>
      <c r="G4" s="4" t="s">
        <v>390</v>
      </c>
    </row>
    <row r="5" spans="1:7" x14ac:dyDescent="0.25">
      <c r="A5" s="4" t="s">
        <v>163</v>
      </c>
      <c r="B5" s="4" t="s">
        <v>387</v>
      </c>
      <c r="C5" s="4" t="s">
        <v>463</v>
      </c>
      <c r="D5" s="4" t="s">
        <v>485</v>
      </c>
      <c r="E5" s="4" t="s">
        <v>1085</v>
      </c>
      <c r="F5" s="4" t="s">
        <v>179</v>
      </c>
      <c r="G5" s="4" t="s">
        <v>390</v>
      </c>
    </row>
    <row r="6" spans="1:7" x14ac:dyDescent="0.25">
      <c r="A6" s="4" t="s">
        <v>163</v>
      </c>
      <c r="B6" s="4" t="s">
        <v>387</v>
      </c>
      <c r="C6" s="4" t="s">
        <v>463</v>
      </c>
      <c r="D6" s="4" t="s">
        <v>486</v>
      </c>
      <c r="E6" s="4" t="s">
        <v>1086</v>
      </c>
      <c r="F6" s="4" t="s">
        <v>361</v>
      </c>
      <c r="G6" s="4" t="s">
        <v>390</v>
      </c>
    </row>
    <row r="7" spans="1:7" x14ac:dyDescent="0.25">
      <c r="A7" s="4" t="s">
        <v>163</v>
      </c>
      <c r="B7" s="4" t="s">
        <v>387</v>
      </c>
      <c r="C7" s="4" t="s">
        <v>463</v>
      </c>
      <c r="D7" s="4" t="s">
        <v>487</v>
      </c>
      <c r="E7" s="4" t="s">
        <v>1086</v>
      </c>
      <c r="F7" s="4" t="s">
        <v>361</v>
      </c>
      <c r="G7" s="4" t="s">
        <v>390</v>
      </c>
    </row>
    <row r="8" spans="1:7" x14ac:dyDescent="0.25">
      <c r="A8" s="4" t="s">
        <v>163</v>
      </c>
      <c r="B8" s="4" t="s">
        <v>387</v>
      </c>
      <c r="C8" s="4" t="s">
        <v>463</v>
      </c>
      <c r="D8" s="4" t="s">
        <v>488</v>
      </c>
      <c r="E8" s="4" t="s">
        <v>1087</v>
      </c>
      <c r="F8" s="4" t="s">
        <v>140</v>
      </c>
      <c r="G8" s="4" t="s">
        <v>390</v>
      </c>
    </row>
    <row r="9" spans="1:7" x14ac:dyDescent="0.25">
      <c r="A9" s="4" t="s">
        <v>163</v>
      </c>
      <c r="B9" s="4" t="s">
        <v>387</v>
      </c>
      <c r="C9" s="4" t="s">
        <v>463</v>
      </c>
      <c r="D9" s="4" t="s">
        <v>489</v>
      </c>
      <c r="E9" s="4" t="s">
        <v>1088</v>
      </c>
      <c r="F9" s="4" t="s">
        <v>186</v>
      </c>
      <c r="G9" s="4" t="s">
        <v>390</v>
      </c>
    </row>
    <row r="10" spans="1:7" x14ac:dyDescent="0.25">
      <c r="A10" s="4" t="s">
        <v>163</v>
      </c>
      <c r="B10" s="4" t="s">
        <v>387</v>
      </c>
      <c r="C10" s="4" t="s">
        <v>463</v>
      </c>
      <c r="D10" s="4" t="s">
        <v>490</v>
      </c>
      <c r="E10" s="4" t="s">
        <v>1089</v>
      </c>
      <c r="F10" s="4" t="s">
        <v>358</v>
      </c>
      <c r="G10" s="4" t="s">
        <v>390</v>
      </c>
    </row>
    <row r="11" spans="1:7" x14ac:dyDescent="0.25">
      <c r="A11" s="4" t="s">
        <v>163</v>
      </c>
      <c r="B11" s="4" t="s">
        <v>387</v>
      </c>
      <c r="C11" s="4" t="s">
        <v>463</v>
      </c>
      <c r="D11" s="4" t="s">
        <v>491</v>
      </c>
      <c r="E11" s="4" t="s">
        <v>1090</v>
      </c>
      <c r="F11" s="4" t="s">
        <v>136</v>
      </c>
      <c r="G11" s="4" t="s">
        <v>390</v>
      </c>
    </row>
    <row r="12" spans="1:7" x14ac:dyDescent="0.25">
      <c r="A12" s="4" t="s">
        <v>163</v>
      </c>
      <c r="B12" s="4" t="s">
        <v>394</v>
      </c>
      <c r="C12" s="4" t="s">
        <v>463</v>
      </c>
      <c r="D12" s="4" t="s">
        <v>492</v>
      </c>
      <c r="E12" s="4" t="s">
        <v>1091</v>
      </c>
      <c r="F12" s="4" t="s">
        <v>363</v>
      </c>
      <c r="G12" s="4" t="s">
        <v>390</v>
      </c>
    </row>
    <row r="13" spans="1:7" x14ac:dyDescent="0.25">
      <c r="A13" s="4" t="s">
        <v>163</v>
      </c>
      <c r="B13" s="4" t="s">
        <v>394</v>
      </c>
      <c r="C13" s="4" t="s">
        <v>463</v>
      </c>
      <c r="D13" s="4" t="s">
        <v>493</v>
      </c>
      <c r="E13" s="4" t="s">
        <v>1091</v>
      </c>
      <c r="F13" s="4" t="s">
        <v>363</v>
      </c>
      <c r="G13" s="4" t="s">
        <v>390</v>
      </c>
    </row>
    <row r="14" spans="1:7" x14ac:dyDescent="0.25">
      <c r="A14" s="4" t="s">
        <v>163</v>
      </c>
      <c r="B14" s="4" t="s">
        <v>394</v>
      </c>
      <c r="C14" s="4" t="s">
        <v>463</v>
      </c>
      <c r="D14" s="4" t="s">
        <v>494</v>
      </c>
      <c r="E14" s="4" t="s">
        <v>1092</v>
      </c>
      <c r="F14" s="4" t="s">
        <v>287</v>
      </c>
      <c r="G14" s="4" t="s">
        <v>390</v>
      </c>
    </row>
    <row r="15" spans="1:7" x14ac:dyDescent="0.25">
      <c r="A15" s="4" t="s">
        <v>163</v>
      </c>
      <c r="B15" s="4" t="s">
        <v>394</v>
      </c>
      <c r="C15" s="4" t="s">
        <v>463</v>
      </c>
      <c r="D15" s="4" t="s">
        <v>495</v>
      </c>
      <c r="E15" s="4" t="s">
        <v>1093</v>
      </c>
      <c r="F15" s="4" t="s">
        <v>250</v>
      </c>
      <c r="G15" s="4" t="s">
        <v>390</v>
      </c>
    </row>
    <row r="16" spans="1:7" x14ac:dyDescent="0.25">
      <c r="A16" s="4" t="s">
        <v>163</v>
      </c>
      <c r="B16" s="4" t="s">
        <v>394</v>
      </c>
      <c r="C16" s="4" t="s">
        <v>463</v>
      </c>
      <c r="D16" s="4" t="s">
        <v>496</v>
      </c>
      <c r="E16" s="4" t="s">
        <v>1091</v>
      </c>
      <c r="F16" s="4" t="s">
        <v>363</v>
      </c>
      <c r="G16" s="4" t="s">
        <v>390</v>
      </c>
    </row>
    <row r="17" spans="1:7" x14ac:dyDescent="0.25">
      <c r="A17" s="4" t="s">
        <v>163</v>
      </c>
      <c r="B17" s="4" t="s">
        <v>387</v>
      </c>
      <c r="C17" s="4" t="s">
        <v>393</v>
      </c>
      <c r="D17" s="4" t="s">
        <v>497</v>
      </c>
      <c r="E17" s="4" t="s">
        <v>1058</v>
      </c>
      <c r="F17" s="4" t="s">
        <v>177</v>
      </c>
      <c r="G17" s="4" t="s">
        <v>390</v>
      </c>
    </row>
    <row r="18" spans="1:7" x14ac:dyDescent="0.25">
      <c r="A18" s="4" t="s">
        <v>163</v>
      </c>
      <c r="B18" s="4" t="s">
        <v>387</v>
      </c>
      <c r="C18" s="4" t="s">
        <v>393</v>
      </c>
      <c r="D18" s="4" t="s">
        <v>498</v>
      </c>
      <c r="E18" s="4" t="s">
        <v>1058</v>
      </c>
      <c r="F18" s="4" t="s">
        <v>177</v>
      </c>
      <c r="G18" s="4" t="s">
        <v>390</v>
      </c>
    </row>
    <row r="19" spans="1:7" x14ac:dyDescent="0.25">
      <c r="A19" s="4" t="s">
        <v>163</v>
      </c>
      <c r="B19" s="4" t="s">
        <v>387</v>
      </c>
      <c r="C19" s="4" t="s">
        <v>393</v>
      </c>
      <c r="D19" s="4" t="s">
        <v>499</v>
      </c>
      <c r="E19" s="4" t="s">
        <v>1094</v>
      </c>
      <c r="F19" s="4" t="s">
        <v>319</v>
      </c>
      <c r="G19" s="4" t="s">
        <v>390</v>
      </c>
    </row>
    <row r="20" spans="1:7" x14ac:dyDescent="0.25">
      <c r="A20" s="4" t="s">
        <v>163</v>
      </c>
      <c r="B20" s="4" t="s">
        <v>387</v>
      </c>
      <c r="C20" s="4" t="s">
        <v>393</v>
      </c>
      <c r="D20" s="4" t="s">
        <v>500</v>
      </c>
      <c r="E20" s="4" t="s">
        <v>1095</v>
      </c>
      <c r="F20" s="4" t="s">
        <v>185</v>
      </c>
      <c r="G20" s="4" t="s">
        <v>390</v>
      </c>
    </row>
    <row r="21" spans="1:7" x14ac:dyDescent="0.25">
      <c r="A21" s="4" t="s">
        <v>163</v>
      </c>
      <c r="B21" s="4" t="s">
        <v>387</v>
      </c>
      <c r="C21" s="4" t="s">
        <v>393</v>
      </c>
      <c r="D21" s="4" t="s">
        <v>501</v>
      </c>
      <c r="E21" s="4" t="s">
        <v>1096</v>
      </c>
      <c r="F21" s="4" t="s">
        <v>363</v>
      </c>
      <c r="G21" s="4" t="s">
        <v>390</v>
      </c>
    </row>
    <row r="22" spans="1:7" x14ac:dyDescent="0.25">
      <c r="A22" s="4" t="s">
        <v>163</v>
      </c>
      <c r="B22" s="4" t="s">
        <v>387</v>
      </c>
      <c r="C22" s="4" t="s">
        <v>393</v>
      </c>
      <c r="D22" s="4" t="s">
        <v>502</v>
      </c>
      <c r="E22" s="4" t="s">
        <v>1097</v>
      </c>
      <c r="F22" s="4" t="s">
        <v>361</v>
      </c>
      <c r="G22" s="4" t="s">
        <v>390</v>
      </c>
    </row>
    <row r="23" spans="1:7" x14ac:dyDescent="0.25">
      <c r="A23" s="4" t="s">
        <v>163</v>
      </c>
      <c r="B23" s="4" t="s">
        <v>387</v>
      </c>
      <c r="C23" s="4" t="s">
        <v>393</v>
      </c>
      <c r="D23" s="4" t="s">
        <v>503</v>
      </c>
      <c r="E23" s="4" t="s">
        <v>1097</v>
      </c>
      <c r="F23" s="4" t="s">
        <v>361</v>
      </c>
      <c r="G23" s="4" t="s">
        <v>390</v>
      </c>
    </row>
    <row r="24" spans="1:7" x14ac:dyDescent="0.25">
      <c r="A24" s="4" t="s">
        <v>163</v>
      </c>
      <c r="B24" s="4" t="s">
        <v>387</v>
      </c>
      <c r="C24" s="4" t="s">
        <v>393</v>
      </c>
      <c r="D24" s="4" t="s">
        <v>504</v>
      </c>
      <c r="E24" s="4" t="s">
        <v>933</v>
      </c>
      <c r="F24" s="4" t="s">
        <v>185</v>
      </c>
      <c r="G24" s="4" t="s">
        <v>390</v>
      </c>
    </row>
    <row r="25" spans="1:7" x14ac:dyDescent="0.25">
      <c r="A25" s="4" t="s">
        <v>163</v>
      </c>
      <c r="B25" s="4" t="s">
        <v>387</v>
      </c>
      <c r="C25" s="4" t="s">
        <v>393</v>
      </c>
      <c r="D25" s="4" t="s">
        <v>505</v>
      </c>
      <c r="E25" s="4" t="s">
        <v>1098</v>
      </c>
      <c r="F25" s="4" t="s">
        <v>185</v>
      </c>
      <c r="G25" s="4" t="s">
        <v>390</v>
      </c>
    </row>
    <row r="26" spans="1:7" x14ac:dyDescent="0.25">
      <c r="A26" s="4" t="s">
        <v>163</v>
      </c>
      <c r="B26" s="4" t="s">
        <v>387</v>
      </c>
      <c r="C26" s="4" t="s">
        <v>393</v>
      </c>
      <c r="D26" s="4" t="s">
        <v>506</v>
      </c>
      <c r="E26" s="4" t="s">
        <v>1099</v>
      </c>
      <c r="F26" s="4" t="s">
        <v>177</v>
      </c>
      <c r="G26" s="4" t="s">
        <v>390</v>
      </c>
    </row>
    <row r="27" spans="1:7" x14ac:dyDescent="0.25">
      <c r="A27" s="4" t="s">
        <v>163</v>
      </c>
      <c r="B27" s="4" t="s">
        <v>387</v>
      </c>
      <c r="C27" s="4" t="s">
        <v>393</v>
      </c>
      <c r="D27" s="4" t="s">
        <v>507</v>
      </c>
      <c r="E27" s="4" t="s">
        <v>1100</v>
      </c>
      <c r="F27" s="4" t="s">
        <v>363</v>
      </c>
      <c r="G27" s="4" t="s">
        <v>390</v>
      </c>
    </row>
    <row r="28" spans="1:7" x14ac:dyDescent="0.25">
      <c r="A28" s="4" t="s">
        <v>163</v>
      </c>
      <c r="B28" s="4" t="s">
        <v>387</v>
      </c>
      <c r="C28" s="4" t="s">
        <v>393</v>
      </c>
      <c r="D28" s="4" t="s">
        <v>508</v>
      </c>
      <c r="E28" s="4" t="s">
        <v>1101</v>
      </c>
      <c r="F28" s="4" t="s">
        <v>66</v>
      </c>
      <c r="G28" s="4" t="s">
        <v>390</v>
      </c>
    </row>
    <row r="29" spans="1:7" x14ac:dyDescent="0.25">
      <c r="A29" s="4" t="s">
        <v>163</v>
      </c>
      <c r="B29" s="4" t="s">
        <v>387</v>
      </c>
      <c r="C29" s="4" t="s">
        <v>393</v>
      </c>
      <c r="D29" s="4" t="s">
        <v>509</v>
      </c>
      <c r="E29" s="4" t="s">
        <v>1102</v>
      </c>
      <c r="F29" s="4" t="s">
        <v>51</v>
      </c>
      <c r="G29" s="4" t="s">
        <v>390</v>
      </c>
    </row>
    <row r="30" spans="1:7" x14ac:dyDescent="0.25">
      <c r="A30" s="4" t="s">
        <v>163</v>
      </c>
      <c r="B30" s="4" t="s">
        <v>387</v>
      </c>
      <c r="C30" s="4" t="s">
        <v>393</v>
      </c>
      <c r="D30" s="4" t="s">
        <v>510</v>
      </c>
      <c r="E30" s="4" t="s">
        <v>1103</v>
      </c>
      <c r="F30" s="4" t="s">
        <v>363</v>
      </c>
      <c r="G30" s="4" t="s">
        <v>390</v>
      </c>
    </row>
    <row r="31" spans="1:7" x14ac:dyDescent="0.25">
      <c r="A31" s="4" t="s">
        <v>163</v>
      </c>
      <c r="B31" s="4" t="s">
        <v>387</v>
      </c>
      <c r="C31" s="4" t="s">
        <v>393</v>
      </c>
      <c r="D31" s="4" t="s">
        <v>511</v>
      </c>
      <c r="E31" s="4" t="s">
        <v>1104</v>
      </c>
      <c r="F31" s="4" t="s">
        <v>363</v>
      </c>
      <c r="G31" s="4" t="s">
        <v>390</v>
      </c>
    </row>
    <row r="32" spans="1:7" x14ac:dyDescent="0.25">
      <c r="A32" s="4" t="s">
        <v>163</v>
      </c>
      <c r="B32" s="4" t="s">
        <v>387</v>
      </c>
      <c r="C32" s="4" t="s">
        <v>393</v>
      </c>
      <c r="D32" s="4" t="s">
        <v>512</v>
      </c>
      <c r="E32" s="4" t="s">
        <v>1105</v>
      </c>
      <c r="F32" s="4" t="s">
        <v>363</v>
      </c>
      <c r="G32" s="4" t="s">
        <v>390</v>
      </c>
    </row>
    <row r="33" spans="1:7" x14ac:dyDescent="0.25">
      <c r="A33" s="4" t="s">
        <v>163</v>
      </c>
      <c r="B33" s="4" t="s">
        <v>387</v>
      </c>
      <c r="C33" s="4" t="s">
        <v>393</v>
      </c>
      <c r="D33" s="4" t="s">
        <v>513</v>
      </c>
      <c r="E33" s="4" t="s">
        <v>1106</v>
      </c>
      <c r="F33" s="4" t="s">
        <v>136</v>
      </c>
      <c r="G33" s="4" t="s">
        <v>390</v>
      </c>
    </row>
    <row r="34" spans="1:7" x14ac:dyDescent="0.25">
      <c r="A34" s="4" t="s">
        <v>163</v>
      </c>
      <c r="B34" s="4" t="s">
        <v>387</v>
      </c>
      <c r="C34" s="4" t="s">
        <v>393</v>
      </c>
      <c r="D34" s="4" t="s">
        <v>514</v>
      </c>
      <c r="E34" s="4" t="s">
        <v>1107</v>
      </c>
      <c r="F34" s="4" t="s">
        <v>339</v>
      </c>
      <c r="G34" s="4" t="s">
        <v>390</v>
      </c>
    </row>
    <row r="35" spans="1:7" x14ac:dyDescent="0.25">
      <c r="A35" s="4" t="s">
        <v>163</v>
      </c>
      <c r="B35" s="4" t="s">
        <v>387</v>
      </c>
      <c r="C35" s="4" t="s">
        <v>393</v>
      </c>
      <c r="D35" s="4" t="s">
        <v>515</v>
      </c>
      <c r="E35" s="4" t="s">
        <v>1108</v>
      </c>
      <c r="F35" s="4" t="s">
        <v>136</v>
      </c>
      <c r="G35" s="4" t="s">
        <v>390</v>
      </c>
    </row>
    <row r="36" spans="1:7" x14ac:dyDescent="0.25">
      <c r="A36" s="4" t="s">
        <v>163</v>
      </c>
      <c r="B36" s="4" t="s">
        <v>387</v>
      </c>
      <c r="C36" s="4" t="s">
        <v>393</v>
      </c>
      <c r="D36" s="4" t="s">
        <v>517</v>
      </c>
      <c r="E36" s="4" t="s">
        <v>551</v>
      </c>
      <c r="F36" s="4" t="s">
        <v>363</v>
      </c>
      <c r="G36" s="4" t="s">
        <v>390</v>
      </c>
    </row>
    <row r="37" spans="1:7" x14ac:dyDescent="0.25">
      <c r="A37" s="4" t="s">
        <v>163</v>
      </c>
      <c r="B37" s="4" t="s">
        <v>387</v>
      </c>
      <c r="C37" s="4" t="s">
        <v>393</v>
      </c>
      <c r="D37" s="4" t="s">
        <v>518</v>
      </c>
      <c r="E37" s="4" t="s">
        <v>1109</v>
      </c>
      <c r="F37" s="4" t="s">
        <v>77</v>
      </c>
      <c r="G37" s="4" t="s">
        <v>390</v>
      </c>
    </row>
    <row r="38" spans="1:7" x14ac:dyDescent="0.25">
      <c r="A38" s="4" t="s">
        <v>163</v>
      </c>
      <c r="B38" s="4" t="s">
        <v>387</v>
      </c>
      <c r="C38" s="4" t="s">
        <v>393</v>
      </c>
      <c r="D38" s="4" t="s">
        <v>519</v>
      </c>
      <c r="E38" s="4" t="s">
        <v>1110</v>
      </c>
      <c r="F38" s="4" t="s">
        <v>311</v>
      </c>
      <c r="G38" s="4" t="s">
        <v>390</v>
      </c>
    </row>
    <row r="39" spans="1:7" x14ac:dyDescent="0.25">
      <c r="A39" s="4" t="s">
        <v>163</v>
      </c>
      <c r="B39" s="4" t="s">
        <v>394</v>
      </c>
      <c r="C39" s="4" t="s">
        <v>393</v>
      </c>
      <c r="D39" s="4" t="s">
        <v>522</v>
      </c>
      <c r="E39" s="4" t="s">
        <v>1111</v>
      </c>
      <c r="F39" s="4" t="s">
        <v>177</v>
      </c>
      <c r="G39" s="4" t="s">
        <v>390</v>
      </c>
    </row>
    <row r="40" spans="1:7" x14ac:dyDescent="0.25">
      <c r="A40" s="4" t="s">
        <v>163</v>
      </c>
      <c r="B40" s="4" t="s">
        <v>394</v>
      </c>
      <c r="C40" s="4" t="s">
        <v>393</v>
      </c>
      <c r="D40" s="4" t="s">
        <v>523</v>
      </c>
      <c r="E40" s="4" t="s">
        <v>1111</v>
      </c>
      <c r="F40" s="4" t="s">
        <v>177</v>
      </c>
      <c r="G40" s="4" t="s">
        <v>390</v>
      </c>
    </row>
    <row r="41" spans="1:7" x14ac:dyDescent="0.25">
      <c r="A41" s="4" t="s">
        <v>163</v>
      </c>
      <c r="B41" s="4" t="s">
        <v>394</v>
      </c>
      <c r="C41" s="4" t="s">
        <v>393</v>
      </c>
      <c r="D41" s="4" t="s">
        <v>524</v>
      </c>
      <c r="E41" s="4" t="s">
        <v>1112</v>
      </c>
      <c r="F41" s="4" t="s">
        <v>27</v>
      </c>
      <c r="G41" s="4" t="s">
        <v>390</v>
      </c>
    </row>
    <row r="42" spans="1:7" x14ac:dyDescent="0.25">
      <c r="A42" s="4" t="s">
        <v>163</v>
      </c>
      <c r="B42" s="4" t="s">
        <v>394</v>
      </c>
      <c r="C42" s="4" t="s">
        <v>393</v>
      </c>
      <c r="D42" s="4" t="s">
        <v>525</v>
      </c>
      <c r="E42" s="4" t="s">
        <v>1113</v>
      </c>
      <c r="F42" s="4" t="s">
        <v>319</v>
      </c>
      <c r="G42" s="4" t="s">
        <v>390</v>
      </c>
    </row>
    <row r="43" spans="1:7" x14ac:dyDescent="0.25">
      <c r="A43" s="4" t="s">
        <v>163</v>
      </c>
      <c r="B43" s="4" t="s">
        <v>394</v>
      </c>
      <c r="C43" s="4" t="s">
        <v>393</v>
      </c>
      <c r="D43" s="4" t="s">
        <v>526</v>
      </c>
      <c r="E43" s="4" t="s">
        <v>1114</v>
      </c>
      <c r="F43" s="4" t="s">
        <v>185</v>
      </c>
      <c r="G43" s="4" t="s">
        <v>390</v>
      </c>
    </row>
    <row r="44" spans="1:7" x14ac:dyDescent="0.25">
      <c r="A44" s="4" t="s">
        <v>163</v>
      </c>
      <c r="B44" s="4" t="s">
        <v>394</v>
      </c>
      <c r="C44" s="4" t="s">
        <v>393</v>
      </c>
      <c r="D44" s="4" t="s">
        <v>527</v>
      </c>
      <c r="E44" s="4" t="s">
        <v>1115</v>
      </c>
      <c r="F44" s="4" t="s">
        <v>185</v>
      </c>
      <c r="G44" s="4" t="s">
        <v>390</v>
      </c>
    </row>
    <row r="45" spans="1:7" x14ac:dyDescent="0.25">
      <c r="A45" s="4" t="s">
        <v>163</v>
      </c>
      <c r="B45" s="4" t="s">
        <v>394</v>
      </c>
      <c r="C45" s="4" t="s">
        <v>393</v>
      </c>
      <c r="D45" s="4" t="s">
        <v>528</v>
      </c>
      <c r="E45" s="4" t="s">
        <v>1116</v>
      </c>
      <c r="F45" s="4" t="s">
        <v>122</v>
      </c>
      <c r="G45" s="4" t="s">
        <v>390</v>
      </c>
    </row>
    <row r="46" spans="1:7" x14ac:dyDescent="0.25">
      <c r="A46" s="4" t="s">
        <v>163</v>
      </c>
      <c r="B46" s="4" t="s">
        <v>394</v>
      </c>
      <c r="C46" s="4" t="s">
        <v>393</v>
      </c>
      <c r="D46" s="4" t="s">
        <v>529</v>
      </c>
      <c r="E46" s="4" t="s">
        <v>1117</v>
      </c>
      <c r="F46" s="4" t="s">
        <v>185</v>
      </c>
      <c r="G46" s="4" t="s">
        <v>390</v>
      </c>
    </row>
    <row r="47" spans="1:7" x14ac:dyDescent="0.25">
      <c r="A47" s="4" t="s">
        <v>163</v>
      </c>
      <c r="B47" s="4" t="s">
        <v>394</v>
      </c>
      <c r="C47" s="4" t="s">
        <v>393</v>
      </c>
      <c r="D47" s="4" t="s">
        <v>530</v>
      </c>
      <c r="E47" s="4" t="s">
        <v>1118</v>
      </c>
      <c r="F47" s="4" t="s">
        <v>29</v>
      </c>
      <c r="G47" s="4" t="s">
        <v>390</v>
      </c>
    </row>
    <row r="48" spans="1:7" x14ac:dyDescent="0.25">
      <c r="A48" s="4" t="s">
        <v>163</v>
      </c>
      <c r="B48" s="4" t="s">
        <v>394</v>
      </c>
      <c r="C48" s="4" t="s">
        <v>393</v>
      </c>
      <c r="D48" s="4" t="s">
        <v>531</v>
      </c>
      <c r="E48" s="4" t="s">
        <v>1119</v>
      </c>
      <c r="F48" s="4" t="s">
        <v>363</v>
      </c>
      <c r="G48" s="4" t="s">
        <v>390</v>
      </c>
    </row>
    <row r="49" spans="1:7" x14ac:dyDescent="0.25">
      <c r="A49" s="4" t="s">
        <v>163</v>
      </c>
      <c r="B49" s="4" t="s">
        <v>394</v>
      </c>
      <c r="C49" s="4" t="s">
        <v>393</v>
      </c>
      <c r="D49" s="4" t="s">
        <v>532</v>
      </c>
      <c r="E49" s="4" t="s">
        <v>1120</v>
      </c>
      <c r="F49" s="4" t="s">
        <v>363</v>
      </c>
      <c r="G49" s="4" t="s">
        <v>390</v>
      </c>
    </row>
    <row r="50" spans="1:7" x14ac:dyDescent="0.25">
      <c r="A50" s="4" t="s">
        <v>163</v>
      </c>
      <c r="B50" s="4" t="s">
        <v>394</v>
      </c>
      <c r="C50" s="4" t="s">
        <v>393</v>
      </c>
      <c r="D50" s="4" t="s">
        <v>533</v>
      </c>
      <c r="E50" s="4" t="s">
        <v>1121</v>
      </c>
      <c r="F50" s="4" t="s">
        <v>321</v>
      </c>
      <c r="G50" s="4" t="s">
        <v>390</v>
      </c>
    </row>
    <row r="51" spans="1:7" x14ac:dyDescent="0.25">
      <c r="A51" s="4" t="s">
        <v>163</v>
      </c>
      <c r="B51" s="4" t="s">
        <v>394</v>
      </c>
      <c r="C51" s="4" t="s">
        <v>393</v>
      </c>
      <c r="D51" s="4" t="s">
        <v>534</v>
      </c>
      <c r="E51" s="4" t="s">
        <v>1122</v>
      </c>
      <c r="F51" s="4" t="s">
        <v>140</v>
      </c>
      <c r="G51" s="4" t="s">
        <v>390</v>
      </c>
    </row>
    <row r="52" spans="1:7" x14ac:dyDescent="0.25">
      <c r="A52" s="4" t="s">
        <v>163</v>
      </c>
      <c r="B52" s="4" t="s">
        <v>394</v>
      </c>
      <c r="C52" s="4" t="s">
        <v>393</v>
      </c>
      <c r="D52" s="4" t="s">
        <v>535</v>
      </c>
      <c r="E52" s="4" t="s">
        <v>1123</v>
      </c>
      <c r="F52" s="4" t="s">
        <v>363</v>
      </c>
      <c r="G52" s="4" t="s">
        <v>390</v>
      </c>
    </row>
    <row r="53" spans="1:7" x14ac:dyDescent="0.25">
      <c r="A53" s="4" t="s">
        <v>163</v>
      </c>
      <c r="B53" s="4" t="s">
        <v>394</v>
      </c>
      <c r="C53" s="4" t="s">
        <v>393</v>
      </c>
      <c r="D53" s="4" t="s">
        <v>537</v>
      </c>
      <c r="E53" s="4" t="s">
        <v>1124</v>
      </c>
      <c r="F53" s="4" t="s">
        <v>79</v>
      </c>
      <c r="G53" s="4" t="s">
        <v>390</v>
      </c>
    </row>
    <row r="54" spans="1:7" x14ac:dyDescent="0.25">
      <c r="A54" s="4" t="s">
        <v>163</v>
      </c>
      <c r="B54" s="4" t="s">
        <v>394</v>
      </c>
      <c r="C54" s="4" t="s">
        <v>393</v>
      </c>
      <c r="D54" s="4" t="s">
        <v>538</v>
      </c>
      <c r="E54" s="4" t="s">
        <v>1125</v>
      </c>
      <c r="F54" s="4" t="s">
        <v>363</v>
      </c>
      <c r="G54" s="4" t="s">
        <v>390</v>
      </c>
    </row>
    <row r="55" spans="1:7" x14ac:dyDescent="0.25">
      <c r="A55" s="4" t="s">
        <v>163</v>
      </c>
      <c r="B55" s="4" t="s">
        <v>394</v>
      </c>
      <c r="C55" s="4" t="s">
        <v>393</v>
      </c>
      <c r="D55" s="4" t="s">
        <v>539</v>
      </c>
      <c r="E55" s="4" t="s">
        <v>1126</v>
      </c>
      <c r="F55" s="4" t="s">
        <v>92</v>
      </c>
      <c r="G55" s="4" t="s">
        <v>390</v>
      </c>
    </row>
    <row r="56" spans="1:7" x14ac:dyDescent="0.25">
      <c r="A56" s="4" t="s">
        <v>163</v>
      </c>
      <c r="B56" s="4" t="s">
        <v>394</v>
      </c>
      <c r="C56" s="4" t="s">
        <v>393</v>
      </c>
      <c r="D56" s="4" t="s">
        <v>540</v>
      </c>
      <c r="E56" s="4" t="s">
        <v>1127</v>
      </c>
      <c r="F56" s="4" t="s">
        <v>280</v>
      </c>
      <c r="G56" s="4" t="s">
        <v>390</v>
      </c>
    </row>
    <row r="57" spans="1:7" x14ac:dyDescent="0.25">
      <c r="A57" s="4" t="s">
        <v>163</v>
      </c>
      <c r="B57" s="4" t="s">
        <v>394</v>
      </c>
      <c r="C57" s="4" t="s">
        <v>393</v>
      </c>
      <c r="D57" s="4" t="s">
        <v>541</v>
      </c>
      <c r="E57" s="4" t="s">
        <v>1128</v>
      </c>
      <c r="F57" s="4" t="s">
        <v>92</v>
      </c>
      <c r="G57" s="4" t="s">
        <v>390</v>
      </c>
    </row>
    <row r="58" spans="1:7" x14ac:dyDescent="0.25">
      <c r="A58" s="4" t="s">
        <v>163</v>
      </c>
      <c r="B58" s="4" t="s">
        <v>394</v>
      </c>
      <c r="C58" s="4" t="s">
        <v>393</v>
      </c>
      <c r="D58" s="4" t="s">
        <v>542</v>
      </c>
      <c r="E58" s="4" t="s">
        <v>554</v>
      </c>
      <c r="F58" s="4" t="s">
        <v>37</v>
      </c>
      <c r="G58" s="4" t="s">
        <v>390</v>
      </c>
    </row>
    <row r="59" spans="1:7" x14ac:dyDescent="0.25">
      <c r="A59" s="4" t="s">
        <v>163</v>
      </c>
      <c r="B59" s="4" t="s">
        <v>394</v>
      </c>
      <c r="C59" s="4" t="s">
        <v>393</v>
      </c>
      <c r="D59" s="4" t="s">
        <v>543</v>
      </c>
      <c r="E59" s="4" t="s">
        <v>1129</v>
      </c>
      <c r="F59" s="4" t="s">
        <v>77</v>
      </c>
      <c r="G59" s="4" t="s">
        <v>390</v>
      </c>
    </row>
    <row r="60" spans="1:7" x14ac:dyDescent="0.25">
      <c r="A60" s="4" t="s">
        <v>163</v>
      </c>
      <c r="B60" s="4" t="s">
        <v>387</v>
      </c>
      <c r="C60" s="4" t="s">
        <v>398</v>
      </c>
      <c r="D60" s="4" t="s">
        <v>546</v>
      </c>
      <c r="E60" s="4" t="s">
        <v>1130</v>
      </c>
      <c r="F60" s="4" t="s">
        <v>77</v>
      </c>
      <c r="G60" s="4" t="s">
        <v>390</v>
      </c>
    </row>
    <row r="61" spans="1:7" x14ac:dyDescent="0.25">
      <c r="A61" s="4" t="s">
        <v>163</v>
      </c>
      <c r="B61" s="4" t="s">
        <v>394</v>
      </c>
      <c r="C61" s="4" t="s">
        <v>398</v>
      </c>
      <c r="D61" s="4" t="s">
        <v>547</v>
      </c>
      <c r="E61" s="4" t="s">
        <v>1131</v>
      </c>
      <c r="F61" s="4" t="s">
        <v>321</v>
      </c>
      <c r="G61" s="4" t="s">
        <v>390</v>
      </c>
    </row>
    <row r="62" spans="1:7" x14ac:dyDescent="0.25">
      <c r="A62" s="4" t="s">
        <v>163</v>
      </c>
      <c r="B62" s="4" t="s">
        <v>387</v>
      </c>
      <c r="C62" s="4" t="s">
        <v>401</v>
      </c>
      <c r="D62" s="4" t="s">
        <v>557</v>
      </c>
      <c r="E62" s="4" t="s">
        <v>1132</v>
      </c>
      <c r="F62" s="4" t="s">
        <v>367</v>
      </c>
      <c r="G62" s="4" t="s">
        <v>390</v>
      </c>
    </row>
    <row r="63" spans="1:7" x14ac:dyDescent="0.25">
      <c r="A63" s="4" t="s">
        <v>163</v>
      </c>
      <c r="B63" s="4" t="s">
        <v>387</v>
      </c>
      <c r="C63" s="4" t="s">
        <v>401</v>
      </c>
      <c r="D63" s="4" t="s">
        <v>558</v>
      </c>
      <c r="E63" s="4" t="s">
        <v>936</v>
      </c>
      <c r="F63" s="4" t="s">
        <v>367</v>
      </c>
      <c r="G63" s="4" t="s">
        <v>390</v>
      </c>
    </row>
    <row r="64" spans="1:7" x14ac:dyDescent="0.25">
      <c r="A64" s="4" t="s">
        <v>163</v>
      </c>
      <c r="B64" s="4" t="s">
        <v>387</v>
      </c>
      <c r="C64" s="4" t="s">
        <v>401</v>
      </c>
      <c r="D64" s="4" t="s">
        <v>559</v>
      </c>
      <c r="E64" s="4" t="s">
        <v>1133</v>
      </c>
      <c r="F64" s="4" t="s">
        <v>94</v>
      </c>
      <c r="G64" s="4" t="s">
        <v>390</v>
      </c>
    </row>
    <row r="65" spans="1:7" x14ac:dyDescent="0.25">
      <c r="A65" s="4" t="s">
        <v>163</v>
      </c>
      <c r="B65" s="4" t="s">
        <v>387</v>
      </c>
      <c r="C65" s="4" t="s">
        <v>401</v>
      </c>
      <c r="D65" s="4" t="s">
        <v>560</v>
      </c>
      <c r="E65" s="4" t="s">
        <v>1134</v>
      </c>
      <c r="F65" s="4" t="s">
        <v>51</v>
      </c>
      <c r="G65" s="4" t="s">
        <v>390</v>
      </c>
    </row>
    <row r="66" spans="1:7" x14ac:dyDescent="0.25">
      <c r="A66" s="4" t="s">
        <v>163</v>
      </c>
      <c r="B66" s="4" t="s">
        <v>387</v>
      </c>
      <c r="C66" s="4" t="s">
        <v>401</v>
      </c>
      <c r="D66" s="4" t="s">
        <v>561</v>
      </c>
      <c r="E66" s="4" t="s">
        <v>938</v>
      </c>
      <c r="F66" s="4" t="s">
        <v>367</v>
      </c>
      <c r="G66" s="4" t="s">
        <v>390</v>
      </c>
    </row>
    <row r="67" spans="1:7" x14ac:dyDescent="0.25">
      <c r="A67" s="4" t="s">
        <v>163</v>
      </c>
      <c r="B67" s="4" t="s">
        <v>387</v>
      </c>
      <c r="C67" s="4" t="s">
        <v>401</v>
      </c>
      <c r="D67" s="4" t="s">
        <v>562</v>
      </c>
      <c r="E67" s="4" t="s">
        <v>1135</v>
      </c>
      <c r="F67" s="4" t="s">
        <v>183</v>
      </c>
      <c r="G67" s="4" t="s">
        <v>390</v>
      </c>
    </row>
    <row r="68" spans="1:7" x14ac:dyDescent="0.25">
      <c r="A68" s="4" t="s">
        <v>163</v>
      </c>
      <c r="B68" s="4" t="s">
        <v>387</v>
      </c>
      <c r="C68" s="4" t="s">
        <v>401</v>
      </c>
      <c r="D68" s="4" t="s">
        <v>563</v>
      </c>
      <c r="E68" s="4" t="s">
        <v>1136</v>
      </c>
      <c r="F68" s="4" t="s">
        <v>94</v>
      </c>
      <c r="G68" s="4" t="s">
        <v>390</v>
      </c>
    </row>
    <row r="69" spans="1:7" x14ac:dyDescent="0.25">
      <c r="A69" s="4" t="s">
        <v>163</v>
      </c>
      <c r="B69" s="4" t="s">
        <v>387</v>
      </c>
      <c r="C69" s="4" t="s">
        <v>401</v>
      </c>
      <c r="D69" s="4" t="s">
        <v>564</v>
      </c>
      <c r="E69" s="4" t="s">
        <v>1137</v>
      </c>
      <c r="F69" s="4" t="s">
        <v>94</v>
      </c>
      <c r="G69" s="4" t="s">
        <v>390</v>
      </c>
    </row>
    <row r="70" spans="1:7" x14ac:dyDescent="0.25">
      <c r="A70" s="4" t="s">
        <v>163</v>
      </c>
      <c r="B70" s="4" t="s">
        <v>387</v>
      </c>
      <c r="C70" s="4" t="s">
        <v>401</v>
      </c>
      <c r="D70" s="4" t="s">
        <v>565</v>
      </c>
      <c r="E70" s="4" t="s">
        <v>1138</v>
      </c>
      <c r="F70" s="4" t="s">
        <v>287</v>
      </c>
      <c r="G70" s="4" t="s">
        <v>390</v>
      </c>
    </row>
    <row r="71" spans="1:7" x14ac:dyDescent="0.25">
      <c r="A71" s="4" t="s">
        <v>163</v>
      </c>
      <c r="B71" s="4" t="s">
        <v>387</v>
      </c>
      <c r="C71" s="4" t="s">
        <v>401</v>
      </c>
      <c r="D71" s="4" t="s">
        <v>566</v>
      </c>
      <c r="E71" s="4" t="s">
        <v>940</v>
      </c>
      <c r="F71" s="4" t="s">
        <v>128</v>
      </c>
      <c r="G71" s="4" t="s">
        <v>390</v>
      </c>
    </row>
    <row r="72" spans="1:7" x14ac:dyDescent="0.25">
      <c r="A72" s="4" t="s">
        <v>163</v>
      </c>
      <c r="B72" s="4" t="s">
        <v>394</v>
      </c>
      <c r="C72" s="4" t="s">
        <v>401</v>
      </c>
      <c r="D72" s="4" t="s">
        <v>567</v>
      </c>
      <c r="E72" s="4" t="s">
        <v>1139</v>
      </c>
      <c r="F72" s="4" t="s">
        <v>361</v>
      </c>
      <c r="G72" s="4" t="s">
        <v>390</v>
      </c>
    </row>
    <row r="73" spans="1:7" x14ac:dyDescent="0.25">
      <c r="A73" s="4" t="s">
        <v>163</v>
      </c>
      <c r="B73" s="4" t="s">
        <v>394</v>
      </c>
      <c r="C73" s="4" t="s">
        <v>401</v>
      </c>
      <c r="D73" s="4" t="s">
        <v>568</v>
      </c>
      <c r="E73" s="4" t="s">
        <v>1140</v>
      </c>
      <c r="F73" s="4" t="s">
        <v>128</v>
      </c>
      <c r="G73" s="4" t="s">
        <v>390</v>
      </c>
    </row>
    <row r="74" spans="1:7" x14ac:dyDescent="0.25">
      <c r="A74" s="4" t="s">
        <v>163</v>
      </c>
      <c r="B74" s="4" t="s">
        <v>394</v>
      </c>
      <c r="C74" s="4" t="s">
        <v>401</v>
      </c>
      <c r="D74" s="4" t="s">
        <v>569</v>
      </c>
      <c r="E74" s="4" t="s">
        <v>942</v>
      </c>
      <c r="F74" s="4" t="s">
        <v>363</v>
      </c>
      <c r="G74" s="4" t="s">
        <v>390</v>
      </c>
    </row>
    <row r="75" spans="1:7" x14ac:dyDescent="0.25">
      <c r="A75" s="4" t="s">
        <v>163</v>
      </c>
      <c r="B75" s="4" t="s">
        <v>387</v>
      </c>
      <c r="C75" s="4" t="s">
        <v>465</v>
      </c>
      <c r="D75" s="4" t="s">
        <v>582</v>
      </c>
      <c r="E75" s="4" t="s">
        <v>598</v>
      </c>
      <c r="F75" s="4" t="s">
        <v>128</v>
      </c>
      <c r="G75" s="4" t="s">
        <v>390</v>
      </c>
    </row>
    <row r="76" spans="1:7" x14ac:dyDescent="0.25">
      <c r="A76" s="4" t="s">
        <v>163</v>
      </c>
      <c r="B76" s="4" t="s">
        <v>394</v>
      </c>
      <c r="C76" s="4" t="s">
        <v>465</v>
      </c>
      <c r="D76" s="4" t="s">
        <v>583</v>
      </c>
      <c r="E76" s="4" t="s">
        <v>1141</v>
      </c>
      <c r="F76" s="4" t="s">
        <v>321</v>
      </c>
      <c r="G76" s="4" t="s">
        <v>390</v>
      </c>
    </row>
    <row r="77" spans="1:7" x14ac:dyDescent="0.25">
      <c r="A77" s="4" t="s">
        <v>163</v>
      </c>
      <c r="B77" s="4" t="s">
        <v>387</v>
      </c>
      <c r="C77" s="4" t="s">
        <v>465</v>
      </c>
      <c r="D77" s="4" t="s">
        <v>585</v>
      </c>
      <c r="E77" s="4" t="s">
        <v>1142</v>
      </c>
      <c r="F77" s="4" t="s">
        <v>361</v>
      </c>
      <c r="G77" s="4" t="s">
        <v>390</v>
      </c>
    </row>
    <row r="78" spans="1:7" x14ac:dyDescent="0.25">
      <c r="A78" s="4" t="s">
        <v>163</v>
      </c>
      <c r="B78" s="4" t="s">
        <v>387</v>
      </c>
      <c r="C78" s="4" t="s">
        <v>466</v>
      </c>
      <c r="D78" s="4" t="s">
        <v>586</v>
      </c>
      <c r="E78" s="4" t="s">
        <v>1143</v>
      </c>
      <c r="F78" s="4" t="s">
        <v>361</v>
      </c>
      <c r="G78" s="4" t="s">
        <v>390</v>
      </c>
    </row>
    <row r="79" spans="1:7" x14ac:dyDescent="0.25">
      <c r="A79" s="4" t="s">
        <v>163</v>
      </c>
      <c r="B79" s="4" t="s">
        <v>387</v>
      </c>
      <c r="C79" s="4" t="s">
        <v>466</v>
      </c>
      <c r="D79" s="4" t="s">
        <v>587</v>
      </c>
      <c r="E79" s="4" t="s">
        <v>1144</v>
      </c>
      <c r="F79" s="4" t="s">
        <v>321</v>
      </c>
      <c r="G79" s="4" t="s">
        <v>390</v>
      </c>
    </row>
    <row r="80" spans="1:7" x14ac:dyDescent="0.25">
      <c r="A80" s="4" t="s">
        <v>163</v>
      </c>
      <c r="B80" s="4" t="s">
        <v>387</v>
      </c>
      <c r="C80" s="4" t="s">
        <v>466</v>
      </c>
      <c r="D80" s="4" t="s">
        <v>591</v>
      </c>
      <c r="E80" s="4" t="s">
        <v>1145</v>
      </c>
      <c r="F80" s="4" t="s">
        <v>358</v>
      </c>
      <c r="G80" s="4" t="s">
        <v>390</v>
      </c>
    </row>
    <row r="81" spans="1:7" x14ac:dyDescent="0.25">
      <c r="A81" s="4" t="s">
        <v>163</v>
      </c>
      <c r="B81" s="4" t="s">
        <v>387</v>
      </c>
      <c r="C81" s="4" t="s">
        <v>466</v>
      </c>
      <c r="D81" s="4" t="s">
        <v>592</v>
      </c>
      <c r="E81" s="4" t="s">
        <v>1146</v>
      </c>
      <c r="F81" s="4" t="s">
        <v>136</v>
      </c>
      <c r="G81" s="4" t="s">
        <v>390</v>
      </c>
    </row>
    <row r="82" spans="1:7" x14ac:dyDescent="0.25">
      <c r="A82" s="4" t="s">
        <v>163</v>
      </c>
      <c r="B82" s="4" t="s">
        <v>394</v>
      </c>
      <c r="C82" s="4" t="s">
        <v>466</v>
      </c>
      <c r="D82" s="4" t="s">
        <v>594</v>
      </c>
      <c r="E82" s="4" t="s">
        <v>1147</v>
      </c>
      <c r="F82" s="4" t="s">
        <v>253</v>
      </c>
      <c r="G82" s="4" t="s">
        <v>390</v>
      </c>
    </row>
    <row r="83" spans="1:7" x14ac:dyDescent="0.25">
      <c r="A83" s="4" t="s">
        <v>163</v>
      </c>
      <c r="B83" s="4" t="s">
        <v>394</v>
      </c>
      <c r="C83" s="4" t="s">
        <v>466</v>
      </c>
      <c r="D83" s="4" t="s">
        <v>595</v>
      </c>
      <c r="E83" s="4" t="s">
        <v>1148</v>
      </c>
      <c r="F83" s="4" t="s">
        <v>159</v>
      </c>
      <c r="G83" s="4" t="s">
        <v>390</v>
      </c>
    </row>
    <row r="84" spans="1:7" x14ac:dyDescent="0.25">
      <c r="A84" s="4" t="s">
        <v>163</v>
      </c>
      <c r="B84" s="4" t="s">
        <v>387</v>
      </c>
      <c r="C84" s="4" t="s">
        <v>467</v>
      </c>
      <c r="D84" s="4" t="s">
        <v>387</v>
      </c>
      <c r="E84" s="4" t="s">
        <v>1149</v>
      </c>
      <c r="F84" s="4" t="s">
        <v>363</v>
      </c>
      <c r="G84" s="4" t="s">
        <v>390</v>
      </c>
    </row>
    <row r="85" spans="1:7" x14ac:dyDescent="0.25">
      <c r="A85" s="4" t="s">
        <v>163</v>
      </c>
      <c r="B85" s="4" t="s">
        <v>394</v>
      </c>
      <c r="C85" s="4" t="s">
        <v>467</v>
      </c>
      <c r="D85" s="4" t="s">
        <v>394</v>
      </c>
      <c r="E85" s="4" t="s">
        <v>1150</v>
      </c>
      <c r="F85" s="4" t="s">
        <v>79</v>
      </c>
      <c r="G85" s="4" t="s">
        <v>390</v>
      </c>
    </row>
    <row r="86" spans="1:7" x14ac:dyDescent="0.25">
      <c r="A86" s="4" t="s">
        <v>163</v>
      </c>
      <c r="B86" s="4" t="s">
        <v>387</v>
      </c>
      <c r="C86" s="4" t="s">
        <v>468</v>
      </c>
      <c r="D86" s="4" t="s">
        <v>604</v>
      </c>
      <c r="E86" s="4" t="s">
        <v>944</v>
      </c>
      <c r="F86" s="4" t="s">
        <v>333</v>
      </c>
      <c r="G86" s="4" t="s">
        <v>390</v>
      </c>
    </row>
    <row r="87" spans="1:7" x14ac:dyDescent="0.25">
      <c r="A87" s="4" t="s">
        <v>163</v>
      </c>
      <c r="B87" s="4" t="s">
        <v>394</v>
      </c>
      <c r="C87" s="4" t="s">
        <v>468</v>
      </c>
      <c r="D87" s="4" t="s">
        <v>605</v>
      </c>
      <c r="E87" s="4" t="s">
        <v>1151</v>
      </c>
      <c r="F87" s="4" t="s">
        <v>331</v>
      </c>
      <c r="G87" s="4" t="s">
        <v>390</v>
      </c>
    </row>
    <row r="88" spans="1:7" x14ac:dyDescent="0.25">
      <c r="A88" s="4" t="s">
        <v>163</v>
      </c>
      <c r="B88" s="4" t="s">
        <v>387</v>
      </c>
      <c r="C88" s="4" t="s">
        <v>469</v>
      </c>
      <c r="D88" s="4" t="s">
        <v>606</v>
      </c>
      <c r="E88" s="4" t="s">
        <v>1152</v>
      </c>
      <c r="F88" s="4" t="s">
        <v>37</v>
      </c>
      <c r="G88" s="4" t="s">
        <v>390</v>
      </c>
    </row>
    <row r="89" spans="1:7" x14ac:dyDescent="0.25">
      <c r="A89" s="4" t="s">
        <v>163</v>
      </c>
      <c r="B89" s="4" t="s">
        <v>387</v>
      </c>
      <c r="C89" s="4" t="s">
        <v>469</v>
      </c>
      <c r="D89" s="4" t="s">
        <v>607</v>
      </c>
      <c r="E89" s="4" t="s">
        <v>1153</v>
      </c>
      <c r="F89" s="4" t="s">
        <v>333</v>
      </c>
      <c r="G89" s="4" t="s">
        <v>390</v>
      </c>
    </row>
    <row r="90" spans="1:7" x14ac:dyDescent="0.25">
      <c r="A90" s="4" t="s">
        <v>163</v>
      </c>
      <c r="B90" s="4" t="s">
        <v>394</v>
      </c>
      <c r="C90" s="4" t="s">
        <v>469</v>
      </c>
      <c r="D90" s="4" t="s">
        <v>608</v>
      </c>
      <c r="E90" s="4" t="s">
        <v>1154</v>
      </c>
      <c r="F90" s="4" t="s">
        <v>250</v>
      </c>
      <c r="G90" s="4" t="s">
        <v>390</v>
      </c>
    </row>
    <row r="91" spans="1:7" x14ac:dyDescent="0.25">
      <c r="A91" s="4" t="s">
        <v>163</v>
      </c>
      <c r="B91" s="4" t="s">
        <v>394</v>
      </c>
      <c r="C91" s="4" t="s">
        <v>469</v>
      </c>
      <c r="D91" s="4" t="s">
        <v>609</v>
      </c>
      <c r="E91" s="4" t="s">
        <v>1155</v>
      </c>
      <c r="F91" s="4" t="s">
        <v>363</v>
      </c>
      <c r="G91" s="4" t="s">
        <v>390</v>
      </c>
    </row>
    <row r="92" spans="1:7" x14ac:dyDescent="0.25">
      <c r="A92" s="4" t="s">
        <v>163</v>
      </c>
      <c r="B92" s="4" t="s">
        <v>387</v>
      </c>
      <c r="C92" s="4" t="s">
        <v>470</v>
      </c>
      <c r="D92" s="4" t="s">
        <v>610</v>
      </c>
      <c r="E92" s="4" t="s">
        <v>1156</v>
      </c>
      <c r="F92" s="4" t="s">
        <v>361</v>
      </c>
      <c r="G92" s="4" t="s">
        <v>390</v>
      </c>
    </row>
    <row r="93" spans="1:7" x14ac:dyDescent="0.25">
      <c r="A93" s="4" t="s">
        <v>163</v>
      </c>
      <c r="B93" s="4" t="s">
        <v>394</v>
      </c>
      <c r="C93" s="4" t="s">
        <v>470</v>
      </c>
      <c r="D93" s="4" t="s">
        <v>611</v>
      </c>
      <c r="E93" s="4" t="s">
        <v>1157</v>
      </c>
      <c r="F93" s="4" t="s">
        <v>136</v>
      </c>
      <c r="G93" s="4" t="s">
        <v>390</v>
      </c>
    </row>
    <row r="94" spans="1:7" x14ac:dyDescent="0.25">
      <c r="A94" s="4" t="s">
        <v>163</v>
      </c>
      <c r="B94" s="4" t="s">
        <v>387</v>
      </c>
      <c r="C94" s="4" t="s">
        <v>470</v>
      </c>
      <c r="D94" s="4" t="s">
        <v>423</v>
      </c>
      <c r="E94" s="4" t="s">
        <v>1156</v>
      </c>
      <c r="F94" s="4" t="s">
        <v>361</v>
      </c>
      <c r="G94" s="4" t="s">
        <v>390</v>
      </c>
    </row>
    <row r="95" spans="1:7" x14ac:dyDescent="0.25">
      <c r="A95" s="4" t="s">
        <v>163</v>
      </c>
      <c r="B95" s="4" t="s">
        <v>394</v>
      </c>
      <c r="C95" s="4" t="s">
        <v>470</v>
      </c>
      <c r="D95" s="4" t="s">
        <v>424</v>
      </c>
      <c r="E95" s="4" t="s">
        <v>1158</v>
      </c>
      <c r="F95" s="4" t="s">
        <v>250</v>
      </c>
      <c r="G95" s="4" t="s">
        <v>390</v>
      </c>
    </row>
    <row r="96" spans="1:7" x14ac:dyDescent="0.25">
      <c r="A96" s="4" t="s">
        <v>163</v>
      </c>
      <c r="B96" s="4" t="s">
        <v>387</v>
      </c>
      <c r="C96" s="4" t="s">
        <v>470</v>
      </c>
      <c r="D96" s="4" t="s">
        <v>425</v>
      </c>
      <c r="E96" s="4" t="s">
        <v>1159</v>
      </c>
      <c r="F96" s="4" t="s">
        <v>175</v>
      </c>
      <c r="G96" s="4" t="s">
        <v>390</v>
      </c>
    </row>
    <row r="97" spans="1:7" x14ac:dyDescent="0.25">
      <c r="A97" s="4" t="s">
        <v>163</v>
      </c>
      <c r="B97" s="4" t="s">
        <v>394</v>
      </c>
      <c r="C97" s="4" t="s">
        <v>470</v>
      </c>
      <c r="D97" s="4" t="s">
        <v>426</v>
      </c>
      <c r="E97" s="4" t="s">
        <v>1160</v>
      </c>
      <c r="F97" s="4" t="s">
        <v>361</v>
      </c>
      <c r="G97" s="4" t="s">
        <v>390</v>
      </c>
    </row>
    <row r="98" spans="1:7" x14ac:dyDescent="0.25">
      <c r="A98" s="4" t="s">
        <v>163</v>
      </c>
      <c r="B98" s="4" t="s">
        <v>387</v>
      </c>
      <c r="C98" s="4" t="s">
        <v>404</v>
      </c>
      <c r="D98" s="4" t="s">
        <v>618</v>
      </c>
      <c r="E98" s="4" t="s">
        <v>1161</v>
      </c>
      <c r="F98" s="4" t="s">
        <v>77</v>
      </c>
      <c r="G98" s="4" t="s">
        <v>390</v>
      </c>
    </row>
    <row r="99" spans="1:7" x14ac:dyDescent="0.25">
      <c r="A99" s="4" t="s">
        <v>163</v>
      </c>
      <c r="B99" s="4" t="s">
        <v>394</v>
      </c>
      <c r="C99" s="4" t="s">
        <v>404</v>
      </c>
      <c r="D99" s="4" t="s">
        <v>619</v>
      </c>
      <c r="E99" s="4" t="s">
        <v>1162</v>
      </c>
      <c r="F99" s="4" t="s">
        <v>77</v>
      </c>
      <c r="G99" s="4" t="s">
        <v>390</v>
      </c>
    </row>
    <row r="100" spans="1:7" x14ac:dyDescent="0.25">
      <c r="A100" s="4" t="s">
        <v>163</v>
      </c>
      <c r="B100" s="4" t="s">
        <v>387</v>
      </c>
      <c r="C100" s="4" t="s">
        <v>404</v>
      </c>
      <c r="D100" s="4" t="s">
        <v>620</v>
      </c>
      <c r="E100" s="4" t="s">
        <v>1163</v>
      </c>
      <c r="F100" s="4" t="s">
        <v>77</v>
      </c>
      <c r="G100" s="4" t="s">
        <v>390</v>
      </c>
    </row>
    <row r="101" spans="1:7" x14ac:dyDescent="0.25">
      <c r="A101" s="4" t="s">
        <v>163</v>
      </c>
      <c r="B101" s="4" t="s">
        <v>394</v>
      </c>
      <c r="C101" s="4" t="s">
        <v>404</v>
      </c>
      <c r="D101" s="4" t="s">
        <v>621</v>
      </c>
      <c r="E101" s="4" t="s">
        <v>1164</v>
      </c>
      <c r="F101" s="4" t="s">
        <v>77</v>
      </c>
      <c r="G101" s="4" t="s">
        <v>390</v>
      </c>
    </row>
    <row r="102" spans="1:7" x14ac:dyDescent="0.25">
      <c r="A102" s="4" t="s">
        <v>163</v>
      </c>
      <c r="B102" s="4" t="s">
        <v>387</v>
      </c>
      <c r="C102" s="4" t="s">
        <v>405</v>
      </c>
      <c r="D102" s="4" t="s">
        <v>626</v>
      </c>
      <c r="E102" s="4" t="s">
        <v>1165</v>
      </c>
      <c r="F102" s="4" t="s">
        <v>136</v>
      </c>
      <c r="G102" s="4" t="s">
        <v>390</v>
      </c>
    </row>
    <row r="103" spans="1:7" x14ac:dyDescent="0.25">
      <c r="A103" s="4" t="s">
        <v>163</v>
      </c>
      <c r="B103" s="4" t="s">
        <v>394</v>
      </c>
      <c r="C103" s="4" t="s">
        <v>405</v>
      </c>
      <c r="D103" s="4" t="s">
        <v>628</v>
      </c>
      <c r="E103" s="4" t="s">
        <v>1166</v>
      </c>
      <c r="F103" s="4" t="s">
        <v>361</v>
      </c>
      <c r="G103" s="4" t="s">
        <v>390</v>
      </c>
    </row>
    <row r="104" spans="1:7" x14ac:dyDescent="0.25">
      <c r="A104" s="4" t="s">
        <v>163</v>
      </c>
      <c r="B104" s="4" t="s">
        <v>387</v>
      </c>
      <c r="C104" s="4" t="s">
        <v>405</v>
      </c>
      <c r="D104" s="4" t="s">
        <v>630</v>
      </c>
      <c r="E104" s="4" t="s">
        <v>1167</v>
      </c>
      <c r="F104" s="4" t="s">
        <v>361</v>
      </c>
      <c r="G104" s="4" t="s">
        <v>390</v>
      </c>
    </row>
    <row r="105" spans="1:7" x14ac:dyDescent="0.25">
      <c r="A105" s="4" t="s">
        <v>163</v>
      </c>
      <c r="B105" s="4" t="s">
        <v>387</v>
      </c>
      <c r="C105" s="4" t="s">
        <v>406</v>
      </c>
      <c r="D105" s="4" t="s">
        <v>632</v>
      </c>
      <c r="E105" s="4" t="s">
        <v>1168</v>
      </c>
      <c r="F105" s="4" t="s">
        <v>175</v>
      </c>
      <c r="G105" s="4" t="s">
        <v>390</v>
      </c>
    </row>
    <row r="106" spans="1:7" x14ac:dyDescent="0.25">
      <c r="A106" s="4" t="s">
        <v>163</v>
      </c>
      <c r="B106" s="4" t="s">
        <v>394</v>
      </c>
      <c r="C106" s="4" t="s">
        <v>406</v>
      </c>
      <c r="D106" s="4" t="s">
        <v>633</v>
      </c>
      <c r="E106" s="4" t="s">
        <v>1169</v>
      </c>
      <c r="F106" s="4" t="s">
        <v>287</v>
      </c>
      <c r="G106" s="4" t="s">
        <v>390</v>
      </c>
    </row>
    <row r="107" spans="1:7" x14ac:dyDescent="0.25">
      <c r="A107" s="4" t="s">
        <v>163</v>
      </c>
      <c r="B107" s="4" t="s">
        <v>387</v>
      </c>
      <c r="C107" s="4" t="s">
        <v>406</v>
      </c>
      <c r="D107" s="4" t="s">
        <v>634</v>
      </c>
      <c r="E107" s="4" t="s">
        <v>1170</v>
      </c>
      <c r="F107" s="4" t="s">
        <v>187</v>
      </c>
      <c r="G107" s="4" t="s">
        <v>390</v>
      </c>
    </row>
    <row r="108" spans="1:7" x14ac:dyDescent="0.25">
      <c r="A108" s="4" t="s">
        <v>163</v>
      </c>
      <c r="B108" s="4" t="s">
        <v>394</v>
      </c>
      <c r="C108" s="4" t="s">
        <v>406</v>
      </c>
      <c r="D108" s="4" t="s">
        <v>635</v>
      </c>
      <c r="E108" s="4" t="s">
        <v>1171</v>
      </c>
      <c r="F108" s="4" t="s">
        <v>159</v>
      </c>
      <c r="G108" s="4" t="s">
        <v>390</v>
      </c>
    </row>
    <row r="109" spans="1:7" x14ac:dyDescent="0.25">
      <c r="A109" s="4" t="s">
        <v>163</v>
      </c>
      <c r="B109" s="4" t="s">
        <v>387</v>
      </c>
      <c r="C109" s="4" t="s">
        <v>406</v>
      </c>
      <c r="D109" s="4" t="s">
        <v>636</v>
      </c>
      <c r="E109" s="4" t="s">
        <v>1172</v>
      </c>
      <c r="F109" s="4" t="s">
        <v>159</v>
      </c>
      <c r="G109" s="4" t="s">
        <v>390</v>
      </c>
    </row>
    <row r="110" spans="1:7" x14ac:dyDescent="0.25">
      <c r="A110" s="4" t="s">
        <v>163</v>
      </c>
      <c r="B110" s="4" t="s">
        <v>394</v>
      </c>
      <c r="C110" s="4" t="s">
        <v>406</v>
      </c>
      <c r="D110" s="4" t="s">
        <v>637</v>
      </c>
      <c r="E110" s="4" t="s">
        <v>1173</v>
      </c>
      <c r="F110" s="4" t="s">
        <v>287</v>
      </c>
      <c r="G110" s="4" t="s">
        <v>390</v>
      </c>
    </row>
    <row r="111" spans="1:7" x14ac:dyDescent="0.25">
      <c r="A111" s="4" t="s">
        <v>163</v>
      </c>
      <c r="B111" s="4" t="s">
        <v>387</v>
      </c>
      <c r="C111" s="4" t="s">
        <v>475</v>
      </c>
      <c r="D111" s="4" t="s">
        <v>643</v>
      </c>
      <c r="E111" s="4" t="s">
        <v>1174</v>
      </c>
      <c r="F111" s="4" t="s">
        <v>361</v>
      </c>
      <c r="G111" s="4" t="s">
        <v>390</v>
      </c>
    </row>
    <row r="112" spans="1:7" x14ac:dyDescent="0.25">
      <c r="A112" s="4" t="s">
        <v>163</v>
      </c>
      <c r="B112" s="4" t="s">
        <v>394</v>
      </c>
      <c r="C112" s="4" t="s">
        <v>475</v>
      </c>
      <c r="D112" s="4" t="s">
        <v>644</v>
      </c>
      <c r="E112" s="4" t="s">
        <v>1175</v>
      </c>
      <c r="F112" s="4" t="s">
        <v>187</v>
      </c>
      <c r="G112" s="4" t="s">
        <v>390</v>
      </c>
    </row>
    <row r="113" spans="1:7" x14ac:dyDescent="0.25">
      <c r="A113" s="4" t="s">
        <v>163</v>
      </c>
      <c r="B113" s="4" t="s">
        <v>394</v>
      </c>
      <c r="C113" s="4" t="s">
        <v>409</v>
      </c>
      <c r="D113" s="4" t="s">
        <v>646</v>
      </c>
      <c r="E113" s="4" t="s">
        <v>1176</v>
      </c>
      <c r="F113" s="4" t="s">
        <v>16</v>
      </c>
      <c r="G113" s="4" t="s">
        <v>390</v>
      </c>
    </row>
    <row r="114" spans="1:7" x14ac:dyDescent="0.25">
      <c r="A114" s="4" t="s">
        <v>163</v>
      </c>
      <c r="B114" s="4" t="s">
        <v>394</v>
      </c>
      <c r="C114" s="4" t="s">
        <v>409</v>
      </c>
      <c r="D114" s="4" t="s">
        <v>647</v>
      </c>
      <c r="E114" s="4" t="s">
        <v>1177</v>
      </c>
      <c r="F114" s="4" t="s">
        <v>648</v>
      </c>
      <c r="G114" s="4" t="s">
        <v>390</v>
      </c>
    </row>
    <row r="115" spans="1:7" x14ac:dyDescent="0.25">
      <c r="A115" s="4" t="s">
        <v>163</v>
      </c>
      <c r="B115" s="4" t="s">
        <v>394</v>
      </c>
      <c r="C115" s="4" t="s">
        <v>409</v>
      </c>
      <c r="D115" s="4" t="s">
        <v>649</v>
      </c>
      <c r="E115" s="4" t="s">
        <v>1178</v>
      </c>
      <c r="F115" s="4" t="s">
        <v>51</v>
      </c>
      <c r="G115" s="4" t="s">
        <v>390</v>
      </c>
    </row>
    <row r="116" spans="1:7" x14ac:dyDescent="0.25">
      <c r="A116" s="4" t="s">
        <v>163</v>
      </c>
      <c r="B116" s="4" t="s">
        <v>394</v>
      </c>
      <c r="C116" s="4" t="s">
        <v>409</v>
      </c>
      <c r="D116" s="4" t="s">
        <v>650</v>
      </c>
      <c r="E116" s="4" t="s">
        <v>1179</v>
      </c>
      <c r="F116" s="4" t="s">
        <v>313</v>
      </c>
      <c r="G116" s="4" t="s">
        <v>390</v>
      </c>
    </row>
    <row r="117" spans="1:7" x14ac:dyDescent="0.25">
      <c r="A117" s="4" t="s">
        <v>163</v>
      </c>
      <c r="B117" s="4" t="s">
        <v>394</v>
      </c>
      <c r="C117" s="4" t="s">
        <v>409</v>
      </c>
      <c r="D117" s="4" t="s">
        <v>651</v>
      </c>
      <c r="E117" s="4" t="s">
        <v>1180</v>
      </c>
      <c r="F117" s="4" t="s">
        <v>179</v>
      </c>
      <c r="G117" s="4" t="s">
        <v>390</v>
      </c>
    </row>
    <row r="118" spans="1:7" x14ac:dyDescent="0.25">
      <c r="A118" s="4" t="s">
        <v>163</v>
      </c>
      <c r="B118" s="4" t="s">
        <v>394</v>
      </c>
      <c r="C118" s="4" t="s">
        <v>409</v>
      </c>
      <c r="D118" s="4" t="s">
        <v>652</v>
      </c>
      <c r="E118" s="4" t="s">
        <v>1181</v>
      </c>
      <c r="F118" s="4" t="s">
        <v>363</v>
      </c>
      <c r="G118" s="4" t="s">
        <v>390</v>
      </c>
    </row>
    <row r="119" spans="1:7" x14ac:dyDescent="0.25">
      <c r="A119" s="4" t="s">
        <v>163</v>
      </c>
      <c r="B119" s="4" t="s">
        <v>394</v>
      </c>
      <c r="C119" s="4" t="s">
        <v>409</v>
      </c>
      <c r="D119" s="4" t="s">
        <v>653</v>
      </c>
      <c r="E119" s="4" t="s">
        <v>1182</v>
      </c>
      <c r="F119" s="4" t="s">
        <v>128</v>
      </c>
      <c r="G119" s="4" t="s">
        <v>390</v>
      </c>
    </row>
    <row r="120" spans="1:7" x14ac:dyDescent="0.25">
      <c r="A120" s="4" t="s">
        <v>163</v>
      </c>
      <c r="B120" s="4" t="s">
        <v>387</v>
      </c>
      <c r="C120" s="4" t="s">
        <v>409</v>
      </c>
      <c r="D120" s="4" t="s">
        <v>654</v>
      </c>
      <c r="E120" s="4" t="s">
        <v>1183</v>
      </c>
      <c r="F120" s="4" t="s">
        <v>287</v>
      </c>
      <c r="G120" s="4" t="s">
        <v>390</v>
      </c>
    </row>
    <row r="121" spans="1:7" x14ac:dyDescent="0.25">
      <c r="A121" s="4" t="s">
        <v>163</v>
      </c>
      <c r="B121" s="4" t="s">
        <v>387</v>
      </c>
      <c r="C121" s="4" t="s">
        <v>409</v>
      </c>
      <c r="D121" s="4" t="s">
        <v>655</v>
      </c>
      <c r="E121" s="4" t="s">
        <v>1184</v>
      </c>
      <c r="F121" s="4" t="s">
        <v>175</v>
      </c>
      <c r="G121" s="4" t="s">
        <v>390</v>
      </c>
    </row>
    <row r="122" spans="1:7" x14ac:dyDescent="0.25">
      <c r="A122" s="4" t="s">
        <v>163</v>
      </c>
      <c r="B122" s="4" t="s">
        <v>387</v>
      </c>
      <c r="C122" s="4" t="s">
        <v>409</v>
      </c>
      <c r="D122" s="4" t="s">
        <v>656</v>
      </c>
      <c r="E122" s="4" t="s">
        <v>1185</v>
      </c>
      <c r="F122" s="4" t="s">
        <v>179</v>
      </c>
      <c r="G122" s="4" t="s">
        <v>390</v>
      </c>
    </row>
    <row r="123" spans="1:7" x14ac:dyDescent="0.25">
      <c r="A123" s="4" t="s">
        <v>163</v>
      </c>
      <c r="B123" s="4" t="s">
        <v>387</v>
      </c>
      <c r="C123" s="4" t="s">
        <v>409</v>
      </c>
      <c r="D123" s="4" t="s">
        <v>657</v>
      </c>
      <c r="E123" s="4" t="s">
        <v>1186</v>
      </c>
      <c r="F123" s="4" t="s">
        <v>287</v>
      </c>
      <c r="G123" s="4" t="s">
        <v>390</v>
      </c>
    </row>
    <row r="124" spans="1:7" x14ac:dyDescent="0.25">
      <c r="A124" s="4" t="s">
        <v>163</v>
      </c>
      <c r="B124" s="4" t="s">
        <v>387</v>
      </c>
      <c r="C124" s="4" t="s">
        <v>409</v>
      </c>
      <c r="D124" s="4" t="s">
        <v>658</v>
      </c>
      <c r="E124" s="4" t="s">
        <v>1187</v>
      </c>
      <c r="F124" s="4" t="s">
        <v>179</v>
      </c>
      <c r="G124" s="4" t="s">
        <v>390</v>
      </c>
    </row>
    <row r="125" spans="1:7" x14ac:dyDescent="0.25">
      <c r="A125" s="4" t="s">
        <v>163</v>
      </c>
      <c r="B125" s="4" t="s">
        <v>387</v>
      </c>
      <c r="C125" s="4" t="s">
        <v>409</v>
      </c>
      <c r="D125" s="4" t="s">
        <v>659</v>
      </c>
      <c r="E125" s="4" t="s">
        <v>1188</v>
      </c>
      <c r="F125" s="4" t="s">
        <v>98</v>
      </c>
      <c r="G125" s="4" t="s">
        <v>390</v>
      </c>
    </row>
    <row r="126" spans="1:7" x14ac:dyDescent="0.25">
      <c r="A126" s="4" t="s">
        <v>163</v>
      </c>
      <c r="B126" s="4" t="s">
        <v>387</v>
      </c>
      <c r="C126" s="4" t="s">
        <v>409</v>
      </c>
      <c r="D126" s="4" t="s">
        <v>660</v>
      </c>
      <c r="E126" s="4" t="s">
        <v>661</v>
      </c>
      <c r="F126" s="4" t="s">
        <v>128</v>
      </c>
      <c r="G126" s="4" t="s">
        <v>390</v>
      </c>
    </row>
    <row r="127" spans="1:7" x14ac:dyDescent="0.25">
      <c r="A127" s="4" t="s">
        <v>163</v>
      </c>
      <c r="B127" s="4" t="s">
        <v>394</v>
      </c>
      <c r="C127" s="4" t="s">
        <v>471</v>
      </c>
      <c r="D127" s="4" t="s">
        <v>680</v>
      </c>
      <c r="E127" s="4" t="s">
        <v>1189</v>
      </c>
      <c r="F127" s="4" t="s">
        <v>250</v>
      </c>
      <c r="G127" s="4" t="s">
        <v>390</v>
      </c>
    </row>
    <row r="128" spans="1:7" x14ac:dyDescent="0.25">
      <c r="A128" s="4" t="s">
        <v>163</v>
      </c>
      <c r="B128" s="4" t="s">
        <v>387</v>
      </c>
      <c r="C128" s="4" t="s">
        <v>471</v>
      </c>
      <c r="D128" s="4" t="s">
        <v>681</v>
      </c>
      <c r="E128" s="4" t="s">
        <v>1190</v>
      </c>
      <c r="F128" s="4" t="s">
        <v>250</v>
      </c>
      <c r="G128" s="4" t="s">
        <v>390</v>
      </c>
    </row>
    <row r="129" spans="1:7" x14ac:dyDescent="0.25">
      <c r="A129" s="4" t="s">
        <v>163</v>
      </c>
      <c r="B129" s="4" t="s">
        <v>387</v>
      </c>
      <c r="C129" s="4" t="s">
        <v>410</v>
      </c>
      <c r="D129" s="4" t="s">
        <v>396</v>
      </c>
      <c r="E129" s="4" t="s">
        <v>1191</v>
      </c>
      <c r="F129" s="4" t="s">
        <v>287</v>
      </c>
      <c r="G129" s="4" t="s">
        <v>390</v>
      </c>
    </row>
    <row r="130" spans="1:7" x14ac:dyDescent="0.25">
      <c r="A130" s="4" t="s">
        <v>163</v>
      </c>
      <c r="B130" s="4" t="s">
        <v>394</v>
      </c>
      <c r="C130" s="4" t="s">
        <v>410</v>
      </c>
      <c r="D130" s="4" t="s">
        <v>476</v>
      </c>
      <c r="E130" s="4" t="s">
        <v>1192</v>
      </c>
      <c r="F130" s="4" t="s">
        <v>21</v>
      </c>
      <c r="G130" s="4" t="s">
        <v>390</v>
      </c>
    </row>
    <row r="131" spans="1:7" x14ac:dyDescent="0.25">
      <c r="A131" s="4" t="s">
        <v>163</v>
      </c>
      <c r="B131" s="4" t="s">
        <v>394</v>
      </c>
      <c r="C131" s="4" t="s">
        <v>472</v>
      </c>
      <c r="D131" s="4" t="s">
        <v>682</v>
      </c>
      <c r="E131" s="4" t="s">
        <v>1193</v>
      </c>
      <c r="F131" s="4" t="s">
        <v>287</v>
      </c>
      <c r="G131" s="4" t="s">
        <v>390</v>
      </c>
    </row>
    <row r="132" spans="1:7" x14ac:dyDescent="0.25">
      <c r="A132" s="4" t="s">
        <v>163</v>
      </c>
      <c r="B132" s="4" t="s">
        <v>394</v>
      </c>
      <c r="C132" s="4" t="s">
        <v>411</v>
      </c>
      <c r="D132" s="4" t="s">
        <v>689</v>
      </c>
      <c r="E132" s="4" t="s">
        <v>1194</v>
      </c>
      <c r="F132" s="4" t="s">
        <v>21</v>
      </c>
      <c r="G132" s="4" t="s">
        <v>390</v>
      </c>
    </row>
    <row r="133" spans="1:7" x14ac:dyDescent="0.25">
      <c r="A133" s="4" t="s">
        <v>163</v>
      </c>
      <c r="B133" s="4" t="s">
        <v>387</v>
      </c>
      <c r="C133" s="4" t="s">
        <v>411</v>
      </c>
      <c r="D133" s="4" t="s">
        <v>690</v>
      </c>
      <c r="E133" s="4" t="s">
        <v>1195</v>
      </c>
      <c r="F133" s="4" t="s">
        <v>253</v>
      </c>
      <c r="G133" s="4" t="s">
        <v>390</v>
      </c>
    </row>
    <row r="134" spans="1:7" x14ac:dyDescent="0.25">
      <c r="A134" s="4" t="s">
        <v>163</v>
      </c>
      <c r="B134" s="4" t="s">
        <v>387</v>
      </c>
      <c r="C134" s="4" t="s">
        <v>412</v>
      </c>
      <c r="D134" s="4" t="s">
        <v>698</v>
      </c>
      <c r="E134" s="4" t="s">
        <v>1196</v>
      </c>
      <c r="F134" s="4" t="s">
        <v>250</v>
      </c>
      <c r="G134" s="4" t="s">
        <v>390</v>
      </c>
    </row>
    <row r="135" spans="1:7" x14ac:dyDescent="0.25">
      <c r="A135" s="4" t="s">
        <v>163</v>
      </c>
      <c r="B135" s="4" t="s">
        <v>394</v>
      </c>
      <c r="C135" s="4" t="s">
        <v>412</v>
      </c>
      <c r="D135" s="4" t="s">
        <v>699</v>
      </c>
      <c r="E135" s="4" t="s">
        <v>1197</v>
      </c>
      <c r="F135" s="4" t="s">
        <v>128</v>
      </c>
      <c r="G135" s="4" t="s">
        <v>390</v>
      </c>
    </row>
    <row r="136" spans="1:7" x14ac:dyDescent="0.25">
      <c r="A136" s="4" t="s">
        <v>163</v>
      </c>
      <c r="B136" s="4" t="s">
        <v>387</v>
      </c>
      <c r="C136" s="4" t="s">
        <v>412</v>
      </c>
      <c r="D136" s="4" t="s">
        <v>700</v>
      </c>
      <c r="E136" s="4" t="s">
        <v>1198</v>
      </c>
      <c r="F136" s="4" t="s">
        <v>21</v>
      </c>
      <c r="G136" s="4" t="s">
        <v>390</v>
      </c>
    </row>
    <row r="137" spans="1:7" x14ac:dyDescent="0.25">
      <c r="A137" s="4" t="s">
        <v>163</v>
      </c>
      <c r="B137" s="4" t="s">
        <v>394</v>
      </c>
      <c r="C137" s="4" t="s">
        <v>412</v>
      </c>
      <c r="D137" s="4" t="s">
        <v>701</v>
      </c>
      <c r="E137" s="4" t="s">
        <v>1199</v>
      </c>
      <c r="F137" s="4" t="s">
        <v>250</v>
      </c>
      <c r="G137" s="4" t="s">
        <v>390</v>
      </c>
    </row>
    <row r="138" spans="1:7" x14ac:dyDescent="0.25">
      <c r="A138" s="4" t="s">
        <v>163</v>
      </c>
      <c r="B138" s="4" t="s">
        <v>387</v>
      </c>
      <c r="C138" s="4" t="s">
        <v>412</v>
      </c>
      <c r="D138" s="4" t="s">
        <v>702</v>
      </c>
      <c r="E138" s="4" t="s">
        <v>1200</v>
      </c>
      <c r="F138" s="4" t="s">
        <v>361</v>
      </c>
      <c r="G138" s="4" t="s">
        <v>390</v>
      </c>
    </row>
    <row r="139" spans="1:7" x14ac:dyDescent="0.25">
      <c r="A139" s="4" t="s">
        <v>163</v>
      </c>
      <c r="B139" s="4" t="s">
        <v>387</v>
      </c>
      <c r="C139" s="4" t="s">
        <v>413</v>
      </c>
      <c r="D139" s="4" t="s">
        <v>708</v>
      </c>
      <c r="E139" s="4" t="s">
        <v>1201</v>
      </c>
      <c r="F139" s="4" t="s">
        <v>175</v>
      </c>
      <c r="G139" s="4" t="s">
        <v>390</v>
      </c>
    </row>
    <row r="140" spans="1:7" x14ac:dyDescent="0.25">
      <c r="A140" s="4" t="s">
        <v>163</v>
      </c>
      <c r="B140" s="4" t="s">
        <v>387</v>
      </c>
      <c r="C140" s="4" t="s">
        <v>413</v>
      </c>
      <c r="D140" s="4" t="s">
        <v>709</v>
      </c>
      <c r="E140" s="4" t="s">
        <v>1202</v>
      </c>
      <c r="F140" s="4" t="s">
        <v>136</v>
      </c>
      <c r="G140" s="4" t="s">
        <v>390</v>
      </c>
    </row>
    <row r="141" spans="1:7" x14ac:dyDescent="0.25">
      <c r="A141" s="4" t="s">
        <v>163</v>
      </c>
      <c r="B141" s="4" t="s">
        <v>387</v>
      </c>
      <c r="C141" s="4" t="s">
        <v>413</v>
      </c>
      <c r="D141" s="4" t="s">
        <v>710</v>
      </c>
      <c r="E141" s="4" t="s">
        <v>1201</v>
      </c>
      <c r="F141" s="4" t="s">
        <v>175</v>
      </c>
      <c r="G141" s="4" t="s">
        <v>390</v>
      </c>
    </row>
    <row r="142" spans="1:7" x14ac:dyDescent="0.25">
      <c r="A142" s="4" t="s">
        <v>163</v>
      </c>
      <c r="B142" s="4" t="s">
        <v>387</v>
      </c>
      <c r="C142" s="4" t="s">
        <v>413</v>
      </c>
      <c r="D142" s="4" t="s">
        <v>711</v>
      </c>
      <c r="E142" s="4" t="s">
        <v>1203</v>
      </c>
      <c r="F142" s="4" t="s">
        <v>187</v>
      </c>
      <c r="G142" s="4" t="s">
        <v>390</v>
      </c>
    </row>
    <row r="143" spans="1:7" x14ac:dyDescent="0.25">
      <c r="A143" s="4" t="s">
        <v>163</v>
      </c>
      <c r="B143" s="4" t="s">
        <v>387</v>
      </c>
      <c r="C143" s="4" t="s">
        <v>413</v>
      </c>
      <c r="D143" s="4" t="s">
        <v>712</v>
      </c>
      <c r="E143" s="4" t="s">
        <v>1204</v>
      </c>
      <c r="F143" s="4" t="s">
        <v>136</v>
      </c>
      <c r="G143" s="4" t="s">
        <v>390</v>
      </c>
    </row>
    <row r="144" spans="1:7" x14ac:dyDescent="0.25">
      <c r="A144" s="4" t="s">
        <v>163</v>
      </c>
      <c r="B144" s="4" t="s">
        <v>387</v>
      </c>
      <c r="C144" s="4" t="s">
        <v>413</v>
      </c>
      <c r="D144" s="4" t="s">
        <v>713</v>
      </c>
      <c r="E144" s="4" t="s">
        <v>866</v>
      </c>
      <c r="F144" s="4" t="s">
        <v>373</v>
      </c>
      <c r="G144" s="4" t="s">
        <v>390</v>
      </c>
    </row>
    <row r="145" spans="1:7" x14ac:dyDescent="0.25">
      <c r="A145" s="4" t="s">
        <v>163</v>
      </c>
      <c r="B145" s="4" t="s">
        <v>387</v>
      </c>
      <c r="C145" s="4" t="s">
        <v>413</v>
      </c>
      <c r="D145" s="4" t="s">
        <v>714</v>
      </c>
      <c r="E145" s="4" t="s">
        <v>1205</v>
      </c>
      <c r="F145" s="4" t="s">
        <v>92</v>
      </c>
      <c r="G145" s="4" t="s">
        <v>390</v>
      </c>
    </row>
    <row r="146" spans="1:7" x14ac:dyDescent="0.25">
      <c r="A146" s="4" t="s">
        <v>163</v>
      </c>
      <c r="B146" s="4" t="s">
        <v>387</v>
      </c>
      <c r="C146" s="4" t="s">
        <v>413</v>
      </c>
      <c r="D146" s="4" t="s">
        <v>715</v>
      </c>
      <c r="E146" s="4" t="s">
        <v>1206</v>
      </c>
      <c r="F146" s="4" t="s">
        <v>716</v>
      </c>
      <c r="G146" s="4" t="s">
        <v>390</v>
      </c>
    </row>
    <row r="147" spans="1:7" x14ac:dyDescent="0.25">
      <c r="A147" s="4" t="s">
        <v>163</v>
      </c>
      <c r="B147" s="4" t="s">
        <v>387</v>
      </c>
      <c r="C147" s="4" t="s">
        <v>413</v>
      </c>
      <c r="D147" s="4" t="s">
        <v>717</v>
      </c>
      <c r="E147" s="4" t="s">
        <v>1207</v>
      </c>
      <c r="F147" s="4" t="s">
        <v>175</v>
      </c>
      <c r="G147" s="4" t="s">
        <v>390</v>
      </c>
    </row>
    <row r="148" spans="1:7" x14ac:dyDescent="0.25">
      <c r="A148" s="4" t="s">
        <v>163</v>
      </c>
      <c r="B148" s="4" t="s">
        <v>394</v>
      </c>
      <c r="C148" s="4" t="s">
        <v>413</v>
      </c>
      <c r="D148" s="4" t="s">
        <v>718</v>
      </c>
      <c r="E148" s="4" t="s">
        <v>1208</v>
      </c>
      <c r="F148" s="4" t="s">
        <v>136</v>
      </c>
      <c r="G148" s="4" t="s">
        <v>390</v>
      </c>
    </row>
    <row r="149" spans="1:7" x14ac:dyDescent="0.25">
      <c r="A149" s="4" t="s">
        <v>163</v>
      </c>
      <c r="B149" s="4" t="s">
        <v>394</v>
      </c>
      <c r="C149" s="4" t="s">
        <v>413</v>
      </c>
      <c r="D149" s="4" t="s">
        <v>719</v>
      </c>
      <c r="E149" s="4" t="s">
        <v>1209</v>
      </c>
      <c r="F149" s="4" t="s">
        <v>363</v>
      </c>
      <c r="G149" s="4" t="s">
        <v>390</v>
      </c>
    </row>
    <row r="150" spans="1:7" x14ac:dyDescent="0.25">
      <c r="A150" s="4" t="s">
        <v>163</v>
      </c>
      <c r="B150" s="4" t="s">
        <v>394</v>
      </c>
      <c r="C150" s="4" t="s">
        <v>413</v>
      </c>
      <c r="D150" s="4" t="s">
        <v>720</v>
      </c>
      <c r="E150" s="4" t="s">
        <v>869</v>
      </c>
      <c r="F150" s="4" t="s">
        <v>140</v>
      </c>
      <c r="G150" s="4" t="s">
        <v>390</v>
      </c>
    </row>
    <row r="151" spans="1:7" x14ac:dyDescent="0.25">
      <c r="A151" s="4" t="s">
        <v>163</v>
      </c>
      <c r="B151" s="4" t="s">
        <v>394</v>
      </c>
      <c r="C151" s="4" t="s">
        <v>413</v>
      </c>
      <c r="D151" s="4" t="s">
        <v>721</v>
      </c>
      <c r="E151" s="4" t="s">
        <v>872</v>
      </c>
      <c r="F151" s="4" t="s">
        <v>77</v>
      </c>
      <c r="G151" s="4" t="s">
        <v>390</v>
      </c>
    </row>
    <row r="152" spans="1:7" x14ac:dyDescent="0.25">
      <c r="A152" s="4" t="s">
        <v>163</v>
      </c>
      <c r="B152" s="4" t="s">
        <v>394</v>
      </c>
      <c r="C152" s="4" t="s">
        <v>413</v>
      </c>
      <c r="D152" s="4" t="s">
        <v>722</v>
      </c>
      <c r="E152" s="4" t="s">
        <v>1210</v>
      </c>
      <c r="F152" s="4" t="s">
        <v>21</v>
      </c>
      <c r="G152" s="4" t="s">
        <v>390</v>
      </c>
    </row>
    <row r="153" spans="1:7" x14ac:dyDescent="0.25">
      <c r="A153" s="4" t="s">
        <v>163</v>
      </c>
      <c r="B153" s="4" t="s">
        <v>394</v>
      </c>
      <c r="C153" s="4" t="s">
        <v>413</v>
      </c>
      <c r="D153" s="4" t="s">
        <v>723</v>
      </c>
      <c r="E153" s="4" t="s">
        <v>1211</v>
      </c>
      <c r="F153" s="4" t="s">
        <v>175</v>
      </c>
      <c r="G153" s="4" t="s">
        <v>390</v>
      </c>
    </row>
    <row r="154" spans="1:7" x14ac:dyDescent="0.25">
      <c r="A154" s="4" t="s">
        <v>163</v>
      </c>
      <c r="B154" s="4" t="s">
        <v>394</v>
      </c>
      <c r="C154" s="4" t="s">
        <v>414</v>
      </c>
      <c r="D154" s="4" t="s">
        <v>724</v>
      </c>
      <c r="E154" s="4" t="s">
        <v>1212</v>
      </c>
      <c r="F154" s="4" t="s">
        <v>100</v>
      </c>
      <c r="G154" s="4" t="s">
        <v>390</v>
      </c>
    </row>
    <row r="155" spans="1:7" x14ac:dyDescent="0.25">
      <c r="A155" s="4" t="s">
        <v>163</v>
      </c>
      <c r="B155" s="4" t="s">
        <v>394</v>
      </c>
      <c r="C155" s="4" t="s">
        <v>414</v>
      </c>
      <c r="D155" s="4" t="s">
        <v>725</v>
      </c>
      <c r="E155" s="4" t="s">
        <v>876</v>
      </c>
      <c r="F155" s="4" t="s">
        <v>66</v>
      </c>
      <c r="G155" s="4" t="s">
        <v>390</v>
      </c>
    </row>
    <row r="156" spans="1:7" x14ac:dyDescent="0.25">
      <c r="A156" s="4" t="s">
        <v>163</v>
      </c>
      <c r="B156" s="4" t="s">
        <v>394</v>
      </c>
      <c r="C156" s="4" t="s">
        <v>414</v>
      </c>
      <c r="D156" s="4" t="s">
        <v>727</v>
      </c>
      <c r="E156" s="4" t="s">
        <v>1214</v>
      </c>
      <c r="F156" s="4" t="s">
        <v>363</v>
      </c>
      <c r="G156" s="4" t="s">
        <v>390</v>
      </c>
    </row>
    <row r="157" spans="1:7" x14ac:dyDescent="0.25">
      <c r="A157" s="4" t="s">
        <v>163</v>
      </c>
      <c r="B157" s="4" t="s">
        <v>394</v>
      </c>
      <c r="C157" s="4" t="s">
        <v>414</v>
      </c>
      <c r="D157" s="4" t="s">
        <v>728</v>
      </c>
      <c r="E157" s="4" t="s">
        <v>1214</v>
      </c>
      <c r="F157" s="4" t="s">
        <v>363</v>
      </c>
      <c r="G157" s="4" t="s">
        <v>390</v>
      </c>
    </row>
    <row r="158" spans="1:7" x14ac:dyDescent="0.25">
      <c r="A158" s="4" t="s">
        <v>163</v>
      </c>
      <c r="B158" s="4" t="s">
        <v>394</v>
      </c>
      <c r="C158" s="4" t="s">
        <v>414</v>
      </c>
      <c r="D158" s="4" t="s">
        <v>729</v>
      </c>
      <c r="E158" s="4" t="s">
        <v>1214</v>
      </c>
      <c r="F158" s="4" t="s">
        <v>363</v>
      </c>
      <c r="G158" s="4" t="s">
        <v>390</v>
      </c>
    </row>
    <row r="159" spans="1:7" x14ac:dyDescent="0.25">
      <c r="A159" s="4" t="s">
        <v>163</v>
      </c>
      <c r="B159" s="4" t="s">
        <v>394</v>
      </c>
      <c r="C159" s="4" t="s">
        <v>414</v>
      </c>
      <c r="D159" s="4" t="s">
        <v>730</v>
      </c>
      <c r="E159" s="4" t="s">
        <v>1215</v>
      </c>
      <c r="F159" s="4" t="s">
        <v>159</v>
      </c>
      <c r="G159" s="4" t="s">
        <v>390</v>
      </c>
    </row>
    <row r="160" spans="1:7" x14ac:dyDescent="0.25">
      <c r="A160" s="4" t="s">
        <v>163</v>
      </c>
      <c r="B160" s="4" t="s">
        <v>394</v>
      </c>
      <c r="C160" s="4" t="s">
        <v>414</v>
      </c>
      <c r="D160" s="4" t="s">
        <v>732</v>
      </c>
      <c r="E160" s="4" t="s">
        <v>1216</v>
      </c>
      <c r="F160" s="4" t="s">
        <v>363</v>
      </c>
      <c r="G160" s="4" t="s">
        <v>390</v>
      </c>
    </row>
    <row r="161" spans="1:7" x14ac:dyDescent="0.25">
      <c r="A161" s="4" t="s">
        <v>163</v>
      </c>
      <c r="B161" s="4" t="s">
        <v>394</v>
      </c>
      <c r="C161" s="4" t="s">
        <v>414</v>
      </c>
      <c r="D161" s="4" t="s">
        <v>733</v>
      </c>
      <c r="E161" s="4" t="s">
        <v>1217</v>
      </c>
      <c r="F161" s="4" t="s">
        <v>363</v>
      </c>
      <c r="G161" s="4" t="s">
        <v>390</v>
      </c>
    </row>
    <row r="162" spans="1:7" x14ac:dyDescent="0.25">
      <c r="A162" s="4" t="s">
        <v>163</v>
      </c>
      <c r="B162" s="4" t="s">
        <v>394</v>
      </c>
      <c r="C162" s="4" t="s">
        <v>414</v>
      </c>
      <c r="D162" s="4" t="s">
        <v>734</v>
      </c>
      <c r="E162" s="4" t="s">
        <v>1218</v>
      </c>
      <c r="F162" s="4" t="s">
        <v>179</v>
      </c>
      <c r="G162" s="4" t="s">
        <v>390</v>
      </c>
    </row>
    <row r="163" spans="1:7" x14ac:dyDescent="0.25">
      <c r="A163" s="4" t="s">
        <v>163</v>
      </c>
      <c r="B163" s="4" t="s">
        <v>394</v>
      </c>
      <c r="C163" s="4" t="s">
        <v>414</v>
      </c>
      <c r="D163" s="4" t="s">
        <v>735</v>
      </c>
      <c r="E163" s="4" t="s">
        <v>1219</v>
      </c>
      <c r="F163" s="4" t="s">
        <v>331</v>
      </c>
      <c r="G163" s="4" t="s">
        <v>390</v>
      </c>
    </row>
    <row r="164" spans="1:7" x14ac:dyDescent="0.25">
      <c r="A164" s="4" t="s">
        <v>163</v>
      </c>
      <c r="B164" s="4" t="s">
        <v>394</v>
      </c>
      <c r="C164" s="4" t="s">
        <v>414</v>
      </c>
      <c r="D164" s="4" t="s">
        <v>736</v>
      </c>
      <c r="E164" s="4" t="s">
        <v>1220</v>
      </c>
      <c r="F164" s="4" t="s">
        <v>321</v>
      </c>
      <c r="G164" s="4" t="s">
        <v>390</v>
      </c>
    </row>
    <row r="165" spans="1:7" x14ac:dyDescent="0.25">
      <c r="A165" s="4" t="s">
        <v>163</v>
      </c>
      <c r="B165" s="4" t="s">
        <v>394</v>
      </c>
      <c r="C165" s="4" t="s">
        <v>414</v>
      </c>
      <c r="D165" s="4" t="s">
        <v>737</v>
      </c>
      <c r="E165" s="4" t="s">
        <v>1215</v>
      </c>
      <c r="F165" s="4" t="s">
        <v>159</v>
      </c>
      <c r="G165" s="4" t="s">
        <v>390</v>
      </c>
    </row>
    <row r="166" spans="1:7" x14ac:dyDescent="0.25">
      <c r="A166" s="4" t="s">
        <v>163</v>
      </c>
      <c r="B166" s="4" t="s">
        <v>394</v>
      </c>
      <c r="C166" s="4" t="s">
        <v>414</v>
      </c>
      <c r="D166" s="4" t="s">
        <v>738</v>
      </c>
      <c r="E166" s="4" t="s">
        <v>1215</v>
      </c>
      <c r="F166" s="4" t="s">
        <v>159</v>
      </c>
      <c r="G166" s="4" t="s">
        <v>390</v>
      </c>
    </row>
    <row r="167" spans="1:7" x14ac:dyDescent="0.25">
      <c r="A167" s="4" t="s">
        <v>163</v>
      </c>
      <c r="B167" s="4" t="s">
        <v>387</v>
      </c>
      <c r="C167" s="4" t="s">
        <v>414</v>
      </c>
      <c r="D167" s="4" t="s">
        <v>742</v>
      </c>
      <c r="E167" s="4" t="s">
        <v>1221</v>
      </c>
      <c r="F167" s="4" t="s">
        <v>363</v>
      </c>
      <c r="G167" s="4" t="s">
        <v>390</v>
      </c>
    </row>
    <row r="168" spans="1:7" x14ac:dyDescent="0.25">
      <c r="A168" s="4" t="s">
        <v>163</v>
      </c>
      <c r="B168" s="4" t="s">
        <v>387</v>
      </c>
      <c r="C168" s="4" t="s">
        <v>414</v>
      </c>
      <c r="D168" s="4" t="s">
        <v>743</v>
      </c>
      <c r="E168" s="4" t="s">
        <v>1222</v>
      </c>
      <c r="F168" s="4" t="s">
        <v>21</v>
      </c>
      <c r="G168" s="4" t="s">
        <v>390</v>
      </c>
    </row>
    <row r="169" spans="1:7" x14ac:dyDescent="0.25">
      <c r="A169" s="4" t="s">
        <v>163</v>
      </c>
      <c r="B169" s="4" t="s">
        <v>387</v>
      </c>
      <c r="C169" s="4" t="s">
        <v>414</v>
      </c>
      <c r="D169" s="4" t="s">
        <v>744</v>
      </c>
      <c r="E169" s="4" t="s">
        <v>1223</v>
      </c>
      <c r="F169" s="4" t="s">
        <v>77</v>
      </c>
      <c r="G169" s="4" t="s">
        <v>390</v>
      </c>
    </row>
    <row r="170" spans="1:7" x14ac:dyDescent="0.25">
      <c r="A170" s="4" t="s">
        <v>163</v>
      </c>
      <c r="B170" s="4" t="s">
        <v>387</v>
      </c>
      <c r="C170" s="4" t="s">
        <v>414</v>
      </c>
      <c r="D170" s="4" t="s">
        <v>745</v>
      </c>
      <c r="E170" s="4" t="s">
        <v>1224</v>
      </c>
      <c r="F170" s="4" t="s">
        <v>21</v>
      </c>
      <c r="G170" s="4" t="s">
        <v>390</v>
      </c>
    </row>
    <row r="171" spans="1:7" x14ac:dyDescent="0.25">
      <c r="A171" s="4" t="s">
        <v>163</v>
      </c>
      <c r="B171" s="4" t="s">
        <v>387</v>
      </c>
      <c r="C171" s="4" t="s">
        <v>414</v>
      </c>
      <c r="D171" s="4" t="s">
        <v>746</v>
      </c>
      <c r="E171" s="4" t="s">
        <v>1225</v>
      </c>
      <c r="F171" s="4" t="s">
        <v>175</v>
      </c>
      <c r="G171" s="4" t="s">
        <v>390</v>
      </c>
    </row>
    <row r="172" spans="1:7" x14ac:dyDescent="0.25">
      <c r="A172" s="4" t="s">
        <v>163</v>
      </c>
      <c r="B172" s="4" t="s">
        <v>387</v>
      </c>
      <c r="C172" s="4" t="s">
        <v>414</v>
      </c>
      <c r="D172" s="4" t="s">
        <v>747</v>
      </c>
      <c r="E172" s="4" t="s">
        <v>1226</v>
      </c>
      <c r="F172" s="4" t="s">
        <v>363</v>
      </c>
      <c r="G172" s="4" t="s">
        <v>390</v>
      </c>
    </row>
    <row r="173" spans="1:7" x14ac:dyDescent="0.25">
      <c r="A173" s="4" t="s">
        <v>163</v>
      </c>
      <c r="B173" s="4" t="s">
        <v>387</v>
      </c>
      <c r="C173" s="4" t="s">
        <v>414</v>
      </c>
      <c r="D173" s="4" t="s">
        <v>748</v>
      </c>
      <c r="E173" s="4" t="s">
        <v>1226</v>
      </c>
      <c r="F173" s="4" t="s">
        <v>363</v>
      </c>
      <c r="G173" s="4" t="s">
        <v>390</v>
      </c>
    </row>
    <row r="174" spans="1:7" x14ac:dyDescent="0.25">
      <c r="A174" s="4" t="s">
        <v>163</v>
      </c>
      <c r="B174" s="4" t="s">
        <v>387</v>
      </c>
      <c r="C174" s="4" t="s">
        <v>414</v>
      </c>
      <c r="D174" s="4" t="s">
        <v>749</v>
      </c>
      <c r="E174" s="4" t="s">
        <v>1227</v>
      </c>
      <c r="F174" s="4" t="s">
        <v>361</v>
      </c>
      <c r="G174" s="4" t="s">
        <v>390</v>
      </c>
    </row>
    <row r="175" spans="1:7" x14ac:dyDescent="0.25">
      <c r="A175" s="4" t="s">
        <v>163</v>
      </c>
      <c r="B175" s="4" t="s">
        <v>387</v>
      </c>
      <c r="C175" s="4" t="s">
        <v>414</v>
      </c>
      <c r="D175" s="4" t="s">
        <v>750</v>
      </c>
      <c r="E175" s="4" t="s">
        <v>1228</v>
      </c>
      <c r="F175" s="4" t="s">
        <v>183</v>
      </c>
      <c r="G175" s="4" t="s">
        <v>390</v>
      </c>
    </row>
    <row r="176" spans="1:7" x14ac:dyDescent="0.25">
      <c r="A176" s="4" t="s">
        <v>163</v>
      </c>
      <c r="B176" s="4" t="s">
        <v>387</v>
      </c>
      <c r="C176" s="4" t="s">
        <v>414</v>
      </c>
      <c r="D176" s="4" t="s">
        <v>751</v>
      </c>
      <c r="E176" s="4" t="s">
        <v>1229</v>
      </c>
      <c r="F176" s="4" t="s">
        <v>309</v>
      </c>
      <c r="G176" s="4" t="s">
        <v>390</v>
      </c>
    </row>
    <row r="177" spans="1:7" x14ac:dyDescent="0.25">
      <c r="A177" s="4" t="s">
        <v>163</v>
      </c>
      <c r="B177" s="4" t="s">
        <v>387</v>
      </c>
      <c r="C177" s="4" t="s">
        <v>414</v>
      </c>
      <c r="D177" s="4" t="s">
        <v>753</v>
      </c>
      <c r="E177" s="4" t="s">
        <v>1230</v>
      </c>
      <c r="F177" s="4" t="s">
        <v>363</v>
      </c>
      <c r="G177" s="4" t="s">
        <v>390</v>
      </c>
    </row>
    <row r="178" spans="1:7" x14ac:dyDescent="0.25">
      <c r="A178" s="4" t="s">
        <v>163</v>
      </c>
      <c r="B178" s="4" t="s">
        <v>387</v>
      </c>
      <c r="C178" s="4" t="s">
        <v>414</v>
      </c>
      <c r="D178" s="4" t="s">
        <v>754</v>
      </c>
      <c r="E178" s="4" t="s">
        <v>1230</v>
      </c>
      <c r="F178" s="4" t="s">
        <v>363</v>
      </c>
      <c r="G178" s="4" t="s">
        <v>390</v>
      </c>
    </row>
    <row r="179" spans="1:7" x14ac:dyDescent="0.25">
      <c r="A179" s="4" t="s">
        <v>163</v>
      </c>
      <c r="B179" s="4" t="s">
        <v>387</v>
      </c>
      <c r="C179" s="4" t="s">
        <v>414</v>
      </c>
      <c r="D179" s="4" t="s">
        <v>755</v>
      </c>
      <c r="E179" s="4" t="s">
        <v>1231</v>
      </c>
      <c r="F179" s="4" t="s">
        <v>179</v>
      </c>
      <c r="G179" s="4" t="s">
        <v>390</v>
      </c>
    </row>
    <row r="180" spans="1:7" x14ac:dyDescent="0.25">
      <c r="A180" s="4" t="s">
        <v>163</v>
      </c>
      <c r="B180" s="4" t="s">
        <v>394</v>
      </c>
      <c r="C180" s="4" t="s">
        <v>415</v>
      </c>
      <c r="D180" s="4" t="s">
        <v>547</v>
      </c>
      <c r="E180" s="4" t="s">
        <v>1232</v>
      </c>
      <c r="F180" s="4" t="s">
        <v>77</v>
      </c>
      <c r="G180" s="4" t="s">
        <v>390</v>
      </c>
    </row>
    <row r="181" spans="1:7" x14ac:dyDescent="0.25">
      <c r="A181" s="4" t="s">
        <v>163</v>
      </c>
      <c r="B181" s="4" t="s">
        <v>387</v>
      </c>
      <c r="C181" s="4" t="s">
        <v>415</v>
      </c>
      <c r="D181" s="4" t="s">
        <v>546</v>
      </c>
      <c r="E181" s="4" t="s">
        <v>1233</v>
      </c>
      <c r="F181" s="4" t="s">
        <v>77</v>
      </c>
      <c r="G181" s="4" t="s">
        <v>390</v>
      </c>
    </row>
    <row r="182" spans="1:7" x14ac:dyDescent="0.25">
      <c r="A182" s="4" t="s">
        <v>163</v>
      </c>
      <c r="B182" s="4" t="s">
        <v>387</v>
      </c>
      <c r="C182" s="4" t="s">
        <v>416</v>
      </c>
      <c r="D182" s="4" t="s">
        <v>762</v>
      </c>
      <c r="E182" s="4" t="s">
        <v>1234</v>
      </c>
      <c r="F182" s="4" t="s">
        <v>77</v>
      </c>
      <c r="G182" s="4" t="s">
        <v>390</v>
      </c>
    </row>
    <row r="183" spans="1:7" x14ac:dyDescent="0.25">
      <c r="A183" s="4" t="s">
        <v>163</v>
      </c>
      <c r="B183" s="4" t="s">
        <v>387</v>
      </c>
      <c r="C183" s="4" t="s">
        <v>416</v>
      </c>
      <c r="D183" s="4" t="s">
        <v>763</v>
      </c>
      <c r="E183" s="4" t="s">
        <v>1235</v>
      </c>
      <c r="F183" s="4" t="s">
        <v>181</v>
      </c>
      <c r="G183" s="4" t="s">
        <v>390</v>
      </c>
    </row>
    <row r="184" spans="1:7" x14ac:dyDescent="0.25">
      <c r="A184" s="4" t="s">
        <v>163</v>
      </c>
      <c r="B184" s="4" t="s">
        <v>387</v>
      </c>
      <c r="C184" s="4" t="s">
        <v>416</v>
      </c>
      <c r="D184" s="4" t="s">
        <v>764</v>
      </c>
      <c r="E184" s="4" t="s">
        <v>1236</v>
      </c>
      <c r="F184" s="4" t="s">
        <v>90</v>
      </c>
      <c r="G184" s="4" t="s">
        <v>390</v>
      </c>
    </row>
    <row r="185" spans="1:7" x14ac:dyDescent="0.25">
      <c r="A185" s="4" t="s">
        <v>163</v>
      </c>
      <c r="B185" s="4" t="s">
        <v>387</v>
      </c>
      <c r="C185" s="4" t="s">
        <v>416</v>
      </c>
      <c r="D185" s="4" t="s">
        <v>765</v>
      </c>
      <c r="E185" s="4" t="s">
        <v>1237</v>
      </c>
      <c r="F185" s="4" t="s">
        <v>25</v>
      </c>
      <c r="G185" s="4" t="s">
        <v>390</v>
      </c>
    </row>
    <row r="186" spans="1:7" x14ac:dyDescent="0.25">
      <c r="A186" s="4" t="s">
        <v>163</v>
      </c>
      <c r="B186" s="4" t="s">
        <v>394</v>
      </c>
      <c r="C186" s="4" t="s">
        <v>416</v>
      </c>
      <c r="D186" s="4" t="s">
        <v>766</v>
      </c>
      <c r="E186" s="4" t="s">
        <v>1238</v>
      </c>
      <c r="F186" s="4" t="s">
        <v>187</v>
      </c>
      <c r="G186" s="4" t="s">
        <v>390</v>
      </c>
    </row>
    <row r="187" spans="1:7" x14ac:dyDescent="0.25">
      <c r="A187" s="4" t="s">
        <v>163</v>
      </c>
      <c r="B187" s="4" t="s">
        <v>394</v>
      </c>
      <c r="C187" s="4" t="s">
        <v>416</v>
      </c>
      <c r="D187" s="4" t="s">
        <v>767</v>
      </c>
      <c r="E187" s="4" t="s">
        <v>1239</v>
      </c>
      <c r="F187" s="4" t="s">
        <v>361</v>
      </c>
      <c r="G187" s="4" t="s">
        <v>390</v>
      </c>
    </row>
    <row r="188" spans="1:7" x14ac:dyDescent="0.25">
      <c r="A188" s="4" t="s">
        <v>163</v>
      </c>
      <c r="B188" s="4" t="s">
        <v>394</v>
      </c>
      <c r="C188" s="4" t="s">
        <v>416</v>
      </c>
      <c r="D188" s="4" t="s">
        <v>768</v>
      </c>
      <c r="E188" s="4" t="s">
        <v>1240</v>
      </c>
      <c r="F188" s="4" t="s">
        <v>187</v>
      </c>
      <c r="G188" s="4" t="s">
        <v>390</v>
      </c>
    </row>
    <row r="189" spans="1:7" x14ac:dyDescent="0.25">
      <c r="A189" s="4" t="s">
        <v>163</v>
      </c>
      <c r="B189" s="4" t="s">
        <v>394</v>
      </c>
      <c r="C189" s="4" t="s">
        <v>416</v>
      </c>
      <c r="D189" s="4" t="s">
        <v>769</v>
      </c>
      <c r="E189" s="4" t="s">
        <v>1241</v>
      </c>
      <c r="F189" s="4" t="s">
        <v>77</v>
      </c>
      <c r="G189" s="4" t="s">
        <v>390</v>
      </c>
    </row>
    <row r="190" spans="1:7" x14ac:dyDescent="0.25">
      <c r="A190" s="4" t="s">
        <v>163</v>
      </c>
      <c r="B190" s="4" t="s">
        <v>387</v>
      </c>
      <c r="C190" s="4" t="s">
        <v>417</v>
      </c>
      <c r="D190" s="4" t="s">
        <v>546</v>
      </c>
      <c r="E190" s="4" t="s">
        <v>1242</v>
      </c>
      <c r="F190" s="4" t="s">
        <v>361</v>
      </c>
      <c r="G190" s="4" t="s">
        <v>390</v>
      </c>
    </row>
    <row r="191" spans="1:7" x14ac:dyDescent="0.25">
      <c r="A191" s="4" t="s">
        <v>163</v>
      </c>
      <c r="B191" s="4" t="s">
        <v>394</v>
      </c>
      <c r="C191" s="4" t="s">
        <v>417</v>
      </c>
      <c r="D191" s="4" t="s">
        <v>547</v>
      </c>
      <c r="E191" s="4" t="s">
        <v>1243</v>
      </c>
      <c r="F191" s="4" t="s">
        <v>283</v>
      </c>
      <c r="G191" s="4" t="s">
        <v>390</v>
      </c>
    </row>
    <row r="192" spans="1:7" x14ac:dyDescent="0.25">
      <c r="A192" s="4" t="s">
        <v>163</v>
      </c>
      <c r="B192" s="4" t="s">
        <v>387</v>
      </c>
      <c r="C192" s="4" t="s">
        <v>474</v>
      </c>
      <c r="D192" s="4" t="s">
        <v>387</v>
      </c>
      <c r="E192" s="4" t="s">
        <v>1244</v>
      </c>
      <c r="F192" s="4" t="s">
        <v>35</v>
      </c>
      <c r="G192" s="4" t="s">
        <v>390</v>
      </c>
    </row>
    <row r="193" spans="1:7" x14ac:dyDescent="0.25">
      <c r="A193" s="4" t="s">
        <v>163</v>
      </c>
      <c r="B193" s="4" t="s">
        <v>394</v>
      </c>
      <c r="C193" s="4" t="s">
        <v>474</v>
      </c>
      <c r="D193" s="4" t="s">
        <v>394</v>
      </c>
      <c r="E193" s="4" t="s">
        <v>1245</v>
      </c>
      <c r="F193" s="4" t="s">
        <v>66</v>
      </c>
      <c r="G193" s="4" t="s">
        <v>390</v>
      </c>
    </row>
    <row r="194" spans="1:7" x14ac:dyDescent="0.25">
      <c r="A194" s="4" t="s">
        <v>163</v>
      </c>
      <c r="B194" s="4" t="s">
        <v>387</v>
      </c>
      <c r="C194" s="4" t="s">
        <v>418</v>
      </c>
      <c r="D194" s="4" t="s">
        <v>387</v>
      </c>
      <c r="E194" s="4" t="s">
        <v>1246</v>
      </c>
      <c r="F194" s="4" t="s">
        <v>361</v>
      </c>
      <c r="G194" s="4" t="s">
        <v>390</v>
      </c>
    </row>
    <row r="195" spans="1:7" x14ac:dyDescent="0.25">
      <c r="A195" s="4" t="s">
        <v>163</v>
      </c>
      <c r="B195" s="4" t="s">
        <v>394</v>
      </c>
      <c r="C195" s="4" t="s">
        <v>418</v>
      </c>
      <c r="D195" s="4" t="s">
        <v>394</v>
      </c>
      <c r="E195" s="4" t="s">
        <v>1247</v>
      </c>
      <c r="F195" s="4" t="s">
        <v>363</v>
      </c>
      <c r="G195" s="4" t="s">
        <v>390</v>
      </c>
    </row>
    <row r="196" spans="1:7" x14ac:dyDescent="0.25">
      <c r="A196" s="4" t="s">
        <v>163</v>
      </c>
      <c r="B196" s="4" t="s">
        <v>387</v>
      </c>
      <c r="C196" s="4" t="s">
        <v>421</v>
      </c>
      <c r="D196" s="4" t="s">
        <v>778</v>
      </c>
      <c r="E196" s="4" t="s">
        <v>1248</v>
      </c>
      <c r="F196" s="4" t="s">
        <v>77</v>
      </c>
      <c r="G196" s="4" t="s">
        <v>390</v>
      </c>
    </row>
    <row r="197" spans="1:7" x14ac:dyDescent="0.25">
      <c r="A197" s="4" t="s">
        <v>163</v>
      </c>
      <c r="B197" s="4" t="s">
        <v>387</v>
      </c>
      <c r="C197" s="4" t="s">
        <v>421</v>
      </c>
      <c r="D197" s="4" t="s">
        <v>779</v>
      </c>
      <c r="E197" s="4" t="s">
        <v>1249</v>
      </c>
      <c r="F197" s="4" t="s">
        <v>79</v>
      </c>
      <c r="G197" s="4" t="s">
        <v>390</v>
      </c>
    </row>
    <row r="198" spans="1:7" x14ac:dyDescent="0.25">
      <c r="A198" s="4" t="s">
        <v>163</v>
      </c>
      <c r="B198" s="4" t="s">
        <v>387</v>
      </c>
      <c r="C198" s="4" t="s">
        <v>421</v>
      </c>
      <c r="D198" s="4" t="s">
        <v>780</v>
      </c>
      <c r="E198" s="4" t="s">
        <v>1250</v>
      </c>
      <c r="F198" s="4" t="s">
        <v>77</v>
      </c>
      <c r="G198" s="4" t="s">
        <v>390</v>
      </c>
    </row>
    <row r="199" spans="1:7" x14ac:dyDescent="0.25">
      <c r="A199" s="4" t="s">
        <v>163</v>
      </c>
      <c r="B199" s="4" t="s">
        <v>387</v>
      </c>
      <c r="C199" s="4" t="s">
        <v>421</v>
      </c>
      <c r="D199" s="4" t="s">
        <v>781</v>
      </c>
      <c r="E199" s="4" t="s">
        <v>1251</v>
      </c>
      <c r="F199" s="4" t="s">
        <v>183</v>
      </c>
      <c r="G199" s="4" t="s">
        <v>390</v>
      </c>
    </row>
    <row r="200" spans="1:7" x14ac:dyDescent="0.25">
      <c r="A200" s="4" t="s">
        <v>163</v>
      </c>
      <c r="B200" s="4" t="s">
        <v>387</v>
      </c>
      <c r="C200" s="4" t="s">
        <v>421</v>
      </c>
      <c r="D200" s="4" t="s">
        <v>782</v>
      </c>
      <c r="E200" s="4" t="s">
        <v>1252</v>
      </c>
      <c r="F200" s="4" t="s">
        <v>167</v>
      </c>
      <c r="G200" s="4" t="s">
        <v>390</v>
      </c>
    </row>
    <row r="201" spans="1:7" x14ac:dyDescent="0.25">
      <c r="A201" s="4" t="s">
        <v>163</v>
      </c>
      <c r="B201" s="4" t="s">
        <v>387</v>
      </c>
      <c r="C201" s="4" t="s">
        <v>421</v>
      </c>
      <c r="D201" s="4" t="s">
        <v>783</v>
      </c>
      <c r="E201" s="4" t="s">
        <v>1253</v>
      </c>
      <c r="F201" s="4" t="s">
        <v>167</v>
      </c>
      <c r="G201" s="4" t="s">
        <v>390</v>
      </c>
    </row>
    <row r="202" spans="1:7" x14ac:dyDescent="0.25">
      <c r="A202" s="4" t="s">
        <v>163</v>
      </c>
      <c r="B202" s="4" t="s">
        <v>387</v>
      </c>
      <c r="C202" s="4" t="s">
        <v>421</v>
      </c>
      <c r="D202" s="4" t="s">
        <v>784</v>
      </c>
      <c r="E202" s="4" t="s">
        <v>1254</v>
      </c>
      <c r="F202" s="4" t="s">
        <v>367</v>
      </c>
      <c r="G202" s="4" t="s">
        <v>390</v>
      </c>
    </row>
    <row r="203" spans="1:7" x14ac:dyDescent="0.25">
      <c r="A203" s="4" t="s">
        <v>163</v>
      </c>
      <c r="B203" s="4" t="s">
        <v>387</v>
      </c>
      <c r="C203" s="4" t="s">
        <v>421</v>
      </c>
      <c r="D203" s="4" t="s">
        <v>785</v>
      </c>
      <c r="E203" s="4" t="s">
        <v>1255</v>
      </c>
      <c r="F203" s="4" t="s">
        <v>134</v>
      </c>
      <c r="G203" s="4" t="s">
        <v>390</v>
      </c>
    </row>
    <row r="204" spans="1:7" x14ac:dyDescent="0.25">
      <c r="A204" s="4" t="s">
        <v>163</v>
      </c>
      <c r="B204" s="4" t="s">
        <v>394</v>
      </c>
      <c r="C204" s="4" t="s">
        <v>421</v>
      </c>
      <c r="D204" s="4" t="s">
        <v>786</v>
      </c>
      <c r="E204" s="4" t="s">
        <v>1256</v>
      </c>
      <c r="F204" s="4" t="s">
        <v>343</v>
      </c>
      <c r="G204" s="4" t="s">
        <v>390</v>
      </c>
    </row>
    <row r="205" spans="1:7" x14ac:dyDescent="0.25">
      <c r="A205" s="4" t="s">
        <v>163</v>
      </c>
      <c r="B205" s="4" t="s">
        <v>394</v>
      </c>
      <c r="C205" s="4" t="s">
        <v>421</v>
      </c>
      <c r="D205" s="4" t="s">
        <v>787</v>
      </c>
      <c r="E205" s="4" t="s">
        <v>1257</v>
      </c>
      <c r="F205" s="4" t="s">
        <v>337</v>
      </c>
      <c r="G205" s="4" t="s">
        <v>390</v>
      </c>
    </row>
    <row r="206" spans="1:7" x14ac:dyDescent="0.25">
      <c r="A206" s="4" t="s">
        <v>163</v>
      </c>
      <c r="B206" s="4" t="s">
        <v>394</v>
      </c>
      <c r="C206" s="4" t="s">
        <v>421</v>
      </c>
      <c r="D206" s="4" t="s">
        <v>788</v>
      </c>
      <c r="E206" s="4" t="s">
        <v>1258</v>
      </c>
      <c r="F206" s="4" t="s">
        <v>343</v>
      </c>
      <c r="G206" s="4" t="s">
        <v>390</v>
      </c>
    </row>
    <row r="207" spans="1:7" x14ac:dyDescent="0.25">
      <c r="A207" s="4" t="s">
        <v>163</v>
      </c>
      <c r="B207" s="4" t="s">
        <v>394</v>
      </c>
      <c r="C207" s="4" t="s">
        <v>421</v>
      </c>
      <c r="D207" s="4" t="s">
        <v>789</v>
      </c>
      <c r="E207" s="4" t="s">
        <v>1259</v>
      </c>
      <c r="F207" s="4" t="s">
        <v>77</v>
      </c>
      <c r="G207" s="4" t="s">
        <v>390</v>
      </c>
    </row>
    <row r="208" spans="1:7" x14ac:dyDescent="0.25">
      <c r="A208" s="4" t="s">
        <v>163</v>
      </c>
      <c r="B208" s="4" t="s">
        <v>394</v>
      </c>
      <c r="C208" s="4" t="s">
        <v>421</v>
      </c>
      <c r="D208" s="4" t="s">
        <v>790</v>
      </c>
      <c r="E208" s="4" t="s">
        <v>1260</v>
      </c>
      <c r="F208" s="4" t="s">
        <v>77</v>
      </c>
      <c r="G208" s="4" t="s">
        <v>390</v>
      </c>
    </row>
    <row r="209" spans="1:7" x14ac:dyDescent="0.25">
      <c r="A209" s="4" t="s">
        <v>163</v>
      </c>
      <c r="B209" s="4" t="s">
        <v>394</v>
      </c>
      <c r="C209" s="4" t="s">
        <v>421</v>
      </c>
      <c r="D209" s="4" t="s">
        <v>791</v>
      </c>
      <c r="E209" s="4" t="s">
        <v>1261</v>
      </c>
      <c r="F209" s="4" t="s">
        <v>186</v>
      </c>
      <c r="G209" s="4" t="s">
        <v>390</v>
      </c>
    </row>
    <row r="210" spans="1:7" x14ac:dyDescent="0.25">
      <c r="A210" s="4" t="s">
        <v>163</v>
      </c>
      <c r="B210" s="4" t="s">
        <v>394</v>
      </c>
      <c r="C210" s="4" t="s">
        <v>421</v>
      </c>
      <c r="D210" s="4" t="s">
        <v>792</v>
      </c>
      <c r="E210" s="4" t="s">
        <v>1262</v>
      </c>
      <c r="F210" s="4" t="s">
        <v>77</v>
      </c>
      <c r="G210" s="4" t="s">
        <v>390</v>
      </c>
    </row>
    <row r="211" spans="1:7" x14ac:dyDescent="0.25">
      <c r="A211" s="4" t="s">
        <v>163</v>
      </c>
      <c r="B211" s="4" t="s">
        <v>387</v>
      </c>
      <c r="C211" s="4" t="s">
        <v>422</v>
      </c>
      <c r="D211" s="4" t="s">
        <v>793</v>
      </c>
      <c r="E211" s="4" t="s">
        <v>1263</v>
      </c>
      <c r="F211" s="4" t="s">
        <v>94</v>
      </c>
      <c r="G211" s="4" t="s">
        <v>390</v>
      </c>
    </row>
    <row r="212" spans="1:7" x14ac:dyDescent="0.25">
      <c r="A212" s="4" t="s">
        <v>163</v>
      </c>
      <c r="B212" s="4" t="s">
        <v>387</v>
      </c>
      <c r="C212" s="4" t="s">
        <v>422</v>
      </c>
      <c r="D212" s="4" t="s">
        <v>794</v>
      </c>
      <c r="E212" s="4" t="s">
        <v>1264</v>
      </c>
      <c r="F212" s="4" t="s">
        <v>536</v>
      </c>
      <c r="G212" s="4" t="s">
        <v>390</v>
      </c>
    </row>
    <row r="213" spans="1:7" x14ac:dyDescent="0.25">
      <c r="A213" s="4" t="s">
        <v>163</v>
      </c>
      <c r="B213" s="4" t="s">
        <v>387</v>
      </c>
      <c r="C213" s="4" t="s">
        <v>422</v>
      </c>
      <c r="D213" s="4" t="s">
        <v>795</v>
      </c>
      <c r="E213" s="4" t="s">
        <v>1265</v>
      </c>
      <c r="F213" s="4" t="s">
        <v>287</v>
      </c>
      <c r="G213" s="4" t="s">
        <v>390</v>
      </c>
    </row>
    <row r="214" spans="1:7" x14ac:dyDescent="0.25">
      <c r="A214" s="4" t="s">
        <v>163</v>
      </c>
      <c r="B214" s="4" t="s">
        <v>387</v>
      </c>
      <c r="C214" s="4" t="s">
        <v>422</v>
      </c>
      <c r="D214" s="4" t="s">
        <v>796</v>
      </c>
      <c r="E214" s="4" t="s">
        <v>1266</v>
      </c>
      <c r="F214" s="4" t="s">
        <v>287</v>
      </c>
      <c r="G214" s="4" t="s">
        <v>390</v>
      </c>
    </row>
    <row r="215" spans="1:7" x14ac:dyDescent="0.25">
      <c r="A215" s="4" t="s">
        <v>163</v>
      </c>
      <c r="B215" s="4" t="s">
        <v>387</v>
      </c>
      <c r="C215" s="4" t="s">
        <v>422</v>
      </c>
      <c r="D215" s="4" t="s">
        <v>797</v>
      </c>
      <c r="E215" s="4" t="s">
        <v>1267</v>
      </c>
      <c r="F215" s="4" t="s">
        <v>18</v>
      </c>
      <c r="G215" s="4" t="s">
        <v>390</v>
      </c>
    </row>
    <row r="216" spans="1:7" x14ac:dyDescent="0.25">
      <c r="A216" s="4" t="s">
        <v>163</v>
      </c>
      <c r="B216" s="4" t="s">
        <v>387</v>
      </c>
      <c r="C216" s="4" t="s">
        <v>422</v>
      </c>
      <c r="D216" s="4" t="s">
        <v>798</v>
      </c>
      <c r="E216" s="4" t="s">
        <v>811</v>
      </c>
      <c r="F216" s="4" t="s">
        <v>94</v>
      </c>
      <c r="G216" s="4" t="s">
        <v>390</v>
      </c>
    </row>
    <row r="217" spans="1:7" x14ac:dyDescent="0.25">
      <c r="A217" s="4" t="s">
        <v>163</v>
      </c>
      <c r="B217" s="4" t="s">
        <v>387</v>
      </c>
      <c r="C217" s="4" t="s">
        <v>422</v>
      </c>
      <c r="D217" s="4" t="s">
        <v>799</v>
      </c>
      <c r="E217" s="4" t="s">
        <v>818</v>
      </c>
      <c r="F217" s="4" t="s">
        <v>134</v>
      </c>
      <c r="G217" s="4" t="s">
        <v>390</v>
      </c>
    </row>
    <row r="218" spans="1:7" x14ac:dyDescent="0.25">
      <c r="A218" s="4" t="s">
        <v>163</v>
      </c>
      <c r="B218" s="4" t="s">
        <v>387</v>
      </c>
      <c r="C218" s="4" t="s">
        <v>422</v>
      </c>
      <c r="D218" s="4" t="s">
        <v>800</v>
      </c>
      <c r="E218" s="4" t="s">
        <v>959</v>
      </c>
      <c r="F218" s="4" t="s">
        <v>287</v>
      </c>
      <c r="G218" s="4" t="s">
        <v>390</v>
      </c>
    </row>
    <row r="219" spans="1:7" x14ac:dyDescent="0.25">
      <c r="A219" s="4" t="s">
        <v>163</v>
      </c>
      <c r="B219" s="4" t="s">
        <v>387</v>
      </c>
      <c r="C219" s="4" t="s">
        <v>422</v>
      </c>
      <c r="D219" s="4" t="s">
        <v>801</v>
      </c>
      <c r="E219" s="4" t="s">
        <v>819</v>
      </c>
      <c r="F219" s="4" t="s">
        <v>167</v>
      </c>
      <c r="G219" s="4" t="s">
        <v>390</v>
      </c>
    </row>
    <row r="220" spans="1:7" x14ac:dyDescent="0.25">
      <c r="A220" s="4" t="s">
        <v>163</v>
      </c>
      <c r="B220" s="4" t="s">
        <v>387</v>
      </c>
      <c r="C220" s="4" t="s">
        <v>422</v>
      </c>
      <c r="D220" s="4" t="s">
        <v>802</v>
      </c>
      <c r="E220" s="4" t="s">
        <v>833</v>
      </c>
      <c r="F220" s="4" t="s">
        <v>287</v>
      </c>
      <c r="G220" s="4" t="s">
        <v>390</v>
      </c>
    </row>
    <row r="221" spans="1:7" x14ac:dyDescent="0.25">
      <c r="A221" s="4" t="s">
        <v>163</v>
      </c>
      <c r="B221" s="4" t="s">
        <v>387</v>
      </c>
      <c r="C221" s="4" t="s">
        <v>422</v>
      </c>
      <c r="D221" s="4" t="s">
        <v>803</v>
      </c>
      <c r="E221" s="4" t="s">
        <v>963</v>
      </c>
      <c r="F221" s="4" t="s">
        <v>363</v>
      </c>
      <c r="G221" s="4" t="s">
        <v>390</v>
      </c>
    </row>
    <row r="222" spans="1:7" x14ac:dyDescent="0.25">
      <c r="A222" s="4" t="s">
        <v>163</v>
      </c>
      <c r="B222" s="4" t="s">
        <v>387</v>
      </c>
      <c r="C222" s="4" t="s">
        <v>422</v>
      </c>
      <c r="D222" s="4" t="s">
        <v>804</v>
      </c>
      <c r="E222" s="4" t="s">
        <v>1268</v>
      </c>
      <c r="F222" s="4" t="s">
        <v>352</v>
      </c>
      <c r="G222" s="4" t="s">
        <v>390</v>
      </c>
    </row>
    <row r="223" spans="1:7" x14ac:dyDescent="0.25">
      <c r="A223" s="4" t="s">
        <v>163</v>
      </c>
      <c r="B223" s="4" t="s">
        <v>394</v>
      </c>
      <c r="C223" s="4" t="s">
        <v>422</v>
      </c>
      <c r="D223" s="4" t="s">
        <v>805</v>
      </c>
      <c r="E223" s="4" t="s">
        <v>839</v>
      </c>
      <c r="F223" s="4" t="s">
        <v>179</v>
      </c>
      <c r="G223" s="4" t="s">
        <v>390</v>
      </c>
    </row>
    <row r="224" spans="1:7" x14ac:dyDescent="0.25">
      <c r="A224" s="4" t="s">
        <v>163</v>
      </c>
      <c r="B224" s="4" t="s">
        <v>394</v>
      </c>
      <c r="C224" s="4" t="s">
        <v>422</v>
      </c>
      <c r="D224" s="4" t="s">
        <v>806</v>
      </c>
      <c r="E224" s="4" t="s">
        <v>843</v>
      </c>
      <c r="F224" s="4" t="s">
        <v>363</v>
      </c>
      <c r="G224" s="4" t="s">
        <v>390</v>
      </c>
    </row>
    <row r="225" spans="1:7" x14ac:dyDescent="0.25">
      <c r="A225" s="4" t="s">
        <v>163</v>
      </c>
      <c r="B225" s="4" t="s">
        <v>394</v>
      </c>
      <c r="C225" s="4" t="s">
        <v>422</v>
      </c>
      <c r="D225" s="4" t="s">
        <v>807</v>
      </c>
      <c r="E225" s="4" t="s">
        <v>847</v>
      </c>
      <c r="F225" s="4" t="s">
        <v>179</v>
      </c>
      <c r="G225" s="4" t="s">
        <v>390</v>
      </c>
    </row>
    <row r="226" spans="1:7" x14ac:dyDescent="0.25">
      <c r="A226" s="4" t="s">
        <v>163</v>
      </c>
      <c r="B226" s="4" t="s">
        <v>394</v>
      </c>
      <c r="C226" s="4" t="s">
        <v>422</v>
      </c>
      <c r="D226" s="4" t="s">
        <v>808</v>
      </c>
      <c r="E226" s="4" t="s">
        <v>851</v>
      </c>
      <c r="F226" s="4" t="s">
        <v>179</v>
      </c>
      <c r="G226" s="4" t="s">
        <v>390</v>
      </c>
    </row>
    <row r="227" spans="1:7" x14ac:dyDescent="0.25">
      <c r="A227" s="4" t="s">
        <v>163</v>
      </c>
      <c r="B227" s="4" t="s">
        <v>394</v>
      </c>
      <c r="C227" s="4" t="s">
        <v>422</v>
      </c>
      <c r="D227" s="4" t="s">
        <v>809</v>
      </c>
      <c r="E227" s="4" t="s">
        <v>855</v>
      </c>
      <c r="F227" s="4" t="s">
        <v>179</v>
      </c>
      <c r="G227" s="4" t="s">
        <v>390</v>
      </c>
    </row>
    <row r="228" spans="1:7" x14ac:dyDescent="0.25">
      <c r="A228" s="4" t="s">
        <v>163</v>
      </c>
      <c r="B228" s="4" t="s">
        <v>394</v>
      </c>
      <c r="C228" s="4" t="s">
        <v>422</v>
      </c>
      <c r="D228" s="4" t="s">
        <v>810</v>
      </c>
      <c r="E228" s="4" t="s">
        <v>859</v>
      </c>
      <c r="F228" s="4" t="s">
        <v>66</v>
      </c>
      <c r="G228" s="4" t="s">
        <v>390</v>
      </c>
    </row>
    <row r="229" spans="1:7" x14ac:dyDescent="0.25">
      <c r="A229" s="4" t="s">
        <v>163</v>
      </c>
      <c r="B229" s="4" t="s">
        <v>387</v>
      </c>
      <c r="C229" s="4" t="s">
        <v>395</v>
      </c>
      <c r="D229" s="4" t="s">
        <v>396</v>
      </c>
      <c r="E229" s="4" t="s">
        <v>1269</v>
      </c>
      <c r="F229" s="4" t="s">
        <v>128</v>
      </c>
      <c r="G229" s="4" t="s">
        <v>864</v>
      </c>
    </row>
    <row r="230" spans="1:7" x14ac:dyDescent="0.25">
      <c r="A230" s="4" t="s">
        <v>163</v>
      </c>
      <c r="B230" s="4" t="s">
        <v>394</v>
      </c>
      <c r="C230" s="4" t="s">
        <v>395</v>
      </c>
      <c r="D230" s="4" t="s">
        <v>476</v>
      </c>
      <c r="E230" s="4" t="s">
        <v>1270</v>
      </c>
      <c r="F230" s="4" t="s">
        <v>136</v>
      </c>
      <c r="G230" s="4" t="s">
        <v>864</v>
      </c>
    </row>
    <row r="231" spans="1:7" x14ac:dyDescent="0.25">
      <c r="A231" s="4" t="s">
        <v>163</v>
      </c>
      <c r="B231" s="4" t="s">
        <v>387</v>
      </c>
      <c r="C231" s="4" t="s">
        <v>463</v>
      </c>
      <c r="D231" s="4" t="s">
        <v>485</v>
      </c>
      <c r="E231" s="4" t="s">
        <v>1089</v>
      </c>
      <c r="F231" s="4" t="s">
        <v>358</v>
      </c>
      <c r="G231" s="4" t="s">
        <v>864</v>
      </c>
    </row>
    <row r="232" spans="1:7" x14ac:dyDescent="0.25">
      <c r="A232" s="4" t="s">
        <v>163</v>
      </c>
      <c r="B232" s="4" t="s">
        <v>387</v>
      </c>
      <c r="C232" s="4" t="s">
        <v>463</v>
      </c>
      <c r="D232" s="4" t="s">
        <v>486</v>
      </c>
      <c r="E232" s="4" t="s">
        <v>1271</v>
      </c>
      <c r="F232" s="4" t="s">
        <v>51</v>
      </c>
      <c r="G232" s="4" t="s">
        <v>864</v>
      </c>
    </row>
    <row r="233" spans="1:7" x14ac:dyDescent="0.25">
      <c r="A233" s="4" t="s">
        <v>163</v>
      </c>
      <c r="B233" s="4" t="s">
        <v>387</v>
      </c>
      <c r="C233" s="4" t="s">
        <v>463</v>
      </c>
      <c r="D233" s="4" t="s">
        <v>487</v>
      </c>
      <c r="E233" s="4" t="s">
        <v>1272</v>
      </c>
      <c r="F233" s="4" t="s">
        <v>361</v>
      </c>
      <c r="G233" s="4" t="s">
        <v>864</v>
      </c>
    </row>
    <row r="234" spans="1:7" x14ac:dyDescent="0.25">
      <c r="A234" s="4" t="s">
        <v>163</v>
      </c>
      <c r="B234" s="4" t="s">
        <v>387</v>
      </c>
      <c r="C234" s="4" t="s">
        <v>463</v>
      </c>
      <c r="D234" s="4" t="s">
        <v>488</v>
      </c>
      <c r="E234" s="4" t="s">
        <v>1273</v>
      </c>
      <c r="F234" s="4" t="s">
        <v>51</v>
      </c>
      <c r="G234" s="4" t="s">
        <v>864</v>
      </c>
    </row>
    <row r="235" spans="1:7" x14ac:dyDescent="0.25">
      <c r="A235" s="4" t="s">
        <v>163</v>
      </c>
      <c r="B235" s="4" t="s">
        <v>387</v>
      </c>
      <c r="C235" s="4" t="s">
        <v>463</v>
      </c>
      <c r="D235" s="4" t="s">
        <v>489</v>
      </c>
      <c r="E235" s="4" t="s">
        <v>1274</v>
      </c>
      <c r="F235" s="4" t="s">
        <v>287</v>
      </c>
      <c r="G235" s="4" t="s">
        <v>864</v>
      </c>
    </row>
    <row r="236" spans="1:7" x14ac:dyDescent="0.25">
      <c r="A236" s="4" t="s">
        <v>163</v>
      </c>
      <c r="B236" s="4" t="s">
        <v>387</v>
      </c>
      <c r="C236" s="4" t="s">
        <v>463</v>
      </c>
      <c r="D236" s="4" t="s">
        <v>490</v>
      </c>
      <c r="E236" s="4" t="s">
        <v>1275</v>
      </c>
      <c r="F236" s="4" t="s">
        <v>363</v>
      </c>
      <c r="G236" s="4" t="s">
        <v>864</v>
      </c>
    </row>
    <row r="237" spans="1:7" x14ac:dyDescent="0.25">
      <c r="A237" s="4" t="s">
        <v>163</v>
      </c>
      <c r="B237" s="4" t="s">
        <v>387</v>
      </c>
      <c r="C237" s="4" t="s">
        <v>463</v>
      </c>
      <c r="D237" s="4" t="s">
        <v>491</v>
      </c>
      <c r="E237" s="4" t="s">
        <v>1275</v>
      </c>
      <c r="F237" s="4" t="s">
        <v>363</v>
      </c>
      <c r="G237" s="4" t="s">
        <v>864</v>
      </c>
    </row>
    <row r="238" spans="1:7" x14ac:dyDescent="0.25">
      <c r="A238" s="4" t="s">
        <v>163</v>
      </c>
      <c r="B238" s="4" t="s">
        <v>394</v>
      </c>
      <c r="C238" s="4" t="s">
        <v>463</v>
      </c>
      <c r="D238" s="4" t="s">
        <v>492</v>
      </c>
      <c r="E238" s="4" t="s">
        <v>1276</v>
      </c>
      <c r="F238" s="4" t="s">
        <v>363</v>
      </c>
      <c r="G238" s="4" t="s">
        <v>864</v>
      </c>
    </row>
    <row r="239" spans="1:7" x14ac:dyDescent="0.25">
      <c r="A239" s="4" t="s">
        <v>163</v>
      </c>
      <c r="B239" s="4" t="s">
        <v>394</v>
      </c>
      <c r="C239" s="4" t="s">
        <v>463</v>
      </c>
      <c r="D239" s="4" t="s">
        <v>493</v>
      </c>
      <c r="E239" s="4" t="s">
        <v>1277</v>
      </c>
      <c r="F239" s="4" t="s">
        <v>287</v>
      </c>
      <c r="G239" s="4" t="s">
        <v>864</v>
      </c>
    </row>
    <row r="240" spans="1:7" x14ac:dyDescent="0.25">
      <c r="A240" s="4" t="s">
        <v>163</v>
      </c>
      <c r="B240" s="4" t="s">
        <v>394</v>
      </c>
      <c r="C240" s="4" t="s">
        <v>463</v>
      </c>
      <c r="D240" s="4" t="s">
        <v>494</v>
      </c>
      <c r="E240" s="4" t="s">
        <v>1278</v>
      </c>
      <c r="F240" s="4" t="s">
        <v>363</v>
      </c>
      <c r="G240" s="4" t="s">
        <v>864</v>
      </c>
    </row>
    <row r="241" spans="1:7" x14ac:dyDescent="0.25">
      <c r="A241" s="4" t="s">
        <v>163</v>
      </c>
      <c r="B241" s="4" t="s">
        <v>394</v>
      </c>
      <c r="C241" s="4" t="s">
        <v>463</v>
      </c>
      <c r="D241" s="4" t="s">
        <v>495</v>
      </c>
      <c r="E241" s="4" t="s">
        <v>1279</v>
      </c>
      <c r="F241" s="4" t="s">
        <v>363</v>
      </c>
      <c r="G241" s="4" t="s">
        <v>864</v>
      </c>
    </row>
    <row r="242" spans="1:7" x14ac:dyDescent="0.25">
      <c r="A242" s="4" t="s">
        <v>163</v>
      </c>
      <c r="B242" s="4" t="s">
        <v>394</v>
      </c>
      <c r="C242" s="4" t="s">
        <v>463</v>
      </c>
      <c r="D242" s="4" t="s">
        <v>496</v>
      </c>
      <c r="E242" s="4" t="s">
        <v>1276</v>
      </c>
      <c r="F242" s="4" t="s">
        <v>363</v>
      </c>
      <c r="G242" s="4" t="s">
        <v>864</v>
      </c>
    </row>
    <row r="243" spans="1:7" x14ac:dyDescent="0.25">
      <c r="A243" s="4" t="s">
        <v>163</v>
      </c>
      <c r="B243" s="4" t="s">
        <v>387</v>
      </c>
      <c r="C243" s="4" t="s">
        <v>393</v>
      </c>
      <c r="D243" s="4" t="s">
        <v>497</v>
      </c>
      <c r="E243" s="4" t="s">
        <v>1280</v>
      </c>
      <c r="F243" s="4" t="s">
        <v>363</v>
      </c>
      <c r="G243" s="4" t="s">
        <v>864</v>
      </c>
    </row>
    <row r="244" spans="1:7" x14ac:dyDescent="0.25">
      <c r="A244" s="4" t="s">
        <v>163</v>
      </c>
      <c r="B244" s="4" t="s">
        <v>387</v>
      </c>
      <c r="C244" s="4" t="s">
        <v>393</v>
      </c>
      <c r="D244" s="4" t="s">
        <v>498</v>
      </c>
      <c r="E244" s="4" t="s">
        <v>1066</v>
      </c>
      <c r="F244" s="4" t="s">
        <v>66</v>
      </c>
      <c r="G244" s="4" t="s">
        <v>864</v>
      </c>
    </row>
    <row r="245" spans="1:7" x14ac:dyDescent="0.25">
      <c r="A245" s="4" t="s">
        <v>163</v>
      </c>
      <c r="B245" s="4" t="s">
        <v>387</v>
      </c>
      <c r="C245" s="4" t="s">
        <v>393</v>
      </c>
      <c r="D245" s="4" t="s">
        <v>499</v>
      </c>
      <c r="E245" s="4" t="s">
        <v>1281</v>
      </c>
      <c r="F245" s="4" t="s">
        <v>142</v>
      </c>
      <c r="G245" s="4" t="s">
        <v>864</v>
      </c>
    </row>
    <row r="246" spans="1:7" x14ac:dyDescent="0.25">
      <c r="A246" s="4" t="s">
        <v>163</v>
      </c>
      <c r="B246" s="4" t="s">
        <v>387</v>
      </c>
      <c r="C246" s="4" t="s">
        <v>393</v>
      </c>
      <c r="D246" s="4" t="s">
        <v>500</v>
      </c>
      <c r="E246" s="4" t="s">
        <v>1282</v>
      </c>
      <c r="F246" s="4" t="s">
        <v>7</v>
      </c>
      <c r="G246" s="4" t="s">
        <v>864</v>
      </c>
    </row>
    <row r="247" spans="1:7" x14ac:dyDescent="0.25">
      <c r="A247" s="4" t="s">
        <v>163</v>
      </c>
      <c r="B247" s="4" t="s">
        <v>387</v>
      </c>
      <c r="C247" s="4" t="s">
        <v>393</v>
      </c>
      <c r="D247" s="4" t="s">
        <v>501</v>
      </c>
      <c r="E247" s="4" t="s">
        <v>1282</v>
      </c>
      <c r="F247" s="4" t="s">
        <v>7</v>
      </c>
      <c r="G247" s="4" t="s">
        <v>864</v>
      </c>
    </row>
    <row r="248" spans="1:7" x14ac:dyDescent="0.25">
      <c r="A248" s="4" t="s">
        <v>163</v>
      </c>
      <c r="B248" s="4" t="s">
        <v>387</v>
      </c>
      <c r="C248" s="4" t="s">
        <v>393</v>
      </c>
      <c r="D248" s="4" t="s">
        <v>502</v>
      </c>
      <c r="E248" s="4" t="s">
        <v>1283</v>
      </c>
      <c r="F248" s="4" t="s">
        <v>363</v>
      </c>
      <c r="G248" s="4" t="s">
        <v>864</v>
      </c>
    </row>
    <row r="249" spans="1:7" x14ac:dyDescent="0.25">
      <c r="A249" s="4" t="s">
        <v>163</v>
      </c>
      <c r="B249" s="4" t="s">
        <v>387</v>
      </c>
      <c r="C249" s="4" t="s">
        <v>393</v>
      </c>
      <c r="D249" s="4" t="s">
        <v>503</v>
      </c>
      <c r="E249" s="4" t="s">
        <v>1284</v>
      </c>
      <c r="F249" s="4" t="s">
        <v>185</v>
      </c>
      <c r="G249" s="4" t="s">
        <v>864</v>
      </c>
    </row>
    <row r="250" spans="1:7" x14ac:dyDescent="0.25">
      <c r="A250" s="4" t="s">
        <v>163</v>
      </c>
      <c r="B250" s="4" t="s">
        <v>387</v>
      </c>
      <c r="C250" s="4" t="s">
        <v>393</v>
      </c>
      <c r="D250" s="4" t="s">
        <v>504</v>
      </c>
      <c r="E250" s="4" t="s">
        <v>934</v>
      </c>
      <c r="F250" s="4" t="s">
        <v>122</v>
      </c>
      <c r="G250" s="4" t="s">
        <v>864</v>
      </c>
    </row>
    <row r="251" spans="1:7" x14ac:dyDescent="0.25">
      <c r="A251" s="4" t="s">
        <v>163</v>
      </c>
      <c r="B251" s="4" t="s">
        <v>387</v>
      </c>
      <c r="C251" s="4" t="s">
        <v>393</v>
      </c>
      <c r="D251" s="4" t="s">
        <v>505</v>
      </c>
      <c r="E251" s="4" t="s">
        <v>1285</v>
      </c>
      <c r="F251" s="4" t="s">
        <v>363</v>
      </c>
      <c r="G251" s="4" t="s">
        <v>864</v>
      </c>
    </row>
    <row r="252" spans="1:7" x14ac:dyDescent="0.25">
      <c r="A252" s="4" t="s">
        <v>163</v>
      </c>
      <c r="B252" s="4" t="s">
        <v>387</v>
      </c>
      <c r="C252" s="4" t="s">
        <v>393</v>
      </c>
      <c r="D252" s="4" t="s">
        <v>506</v>
      </c>
      <c r="E252" s="4" t="s">
        <v>1286</v>
      </c>
      <c r="F252" s="4" t="s">
        <v>321</v>
      </c>
      <c r="G252" s="4" t="s">
        <v>864</v>
      </c>
    </row>
    <row r="253" spans="1:7" x14ac:dyDescent="0.25">
      <c r="A253" s="4" t="s">
        <v>163</v>
      </c>
      <c r="B253" s="4" t="s">
        <v>387</v>
      </c>
      <c r="C253" s="4" t="s">
        <v>393</v>
      </c>
      <c r="D253" s="4" t="s">
        <v>507</v>
      </c>
      <c r="E253" s="4" t="s">
        <v>1287</v>
      </c>
      <c r="F253" s="4" t="s">
        <v>185</v>
      </c>
      <c r="G253" s="4" t="s">
        <v>864</v>
      </c>
    </row>
    <row r="254" spans="1:7" x14ac:dyDescent="0.25">
      <c r="A254" s="4" t="s">
        <v>163</v>
      </c>
      <c r="B254" s="4" t="s">
        <v>387</v>
      </c>
      <c r="C254" s="4" t="s">
        <v>393</v>
      </c>
      <c r="D254" s="4" t="s">
        <v>508</v>
      </c>
      <c r="E254" s="4" t="s">
        <v>1288</v>
      </c>
      <c r="F254" s="4" t="s">
        <v>285</v>
      </c>
      <c r="G254" s="4" t="s">
        <v>864</v>
      </c>
    </row>
    <row r="255" spans="1:7" x14ac:dyDescent="0.25">
      <c r="A255" s="4" t="s">
        <v>163</v>
      </c>
      <c r="B255" s="4" t="s">
        <v>387</v>
      </c>
      <c r="C255" s="4" t="s">
        <v>393</v>
      </c>
      <c r="D255" s="4" t="s">
        <v>509</v>
      </c>
      <c r="E255" s="4" t="s">
        <v>1289</v>
      </c>
      <c r="F255" s="4" t="s">
        <v>128</v>
      </c>
      <c r="G255" s="4" t="s">
        <v>864</v>
      </c>
    </row>
    <row r="256" spans="1:7" x14ac:dyDescent="0.25">
      <c r="A256" s="4" t="s">
        <v>163</v>
      </c>
      <c r="B256" s="4" t="s">
        <v>387</v>
      </c>
      <c r="C256" s="4" t="s">
        <v>393</v>
      </c>
      <c r="D256" s="4" t="s">
        <v>510</v>
      </c>
      <c r="E256" s="4" t="s">
        <v>1290</v>
      </c>
      <c r="F256" s="4" t="s">
        <v>319</v>
      </c>
      <c r="G256" s="4" t="s">
        <v>864</v>
      </c>
    </row>
    <row r="257" spans="1:7" x14ac:dyDescent="0.25">
      <c r="A257" s="4" t="s">
        <v>163</v>
      </c>
      <c r="B257" s="4" t="s">
        <v>387</v>
      </c>
      <c r="C257" s="4" t="s">
        <v>393</v>
      </c>
      <c r="D257" s="4" t="s">
        <v>511</v>
      </c>
      <c r="E257" s="4" t="s">
        <v>1291</v>
      </c>
      <c r="F257" s="4" t="s">
        <v>363</v>
      </c>
      <c r="G257" s="4" t="s">
        <v>864</v>
      </c>
    </row>
    <row r="258" spans="1:7" x14ac:dyDescent="0.25">
      <c r="A258" s="4" t="s">
        <v>163</v>
      </c>
      <c r="B258" s="4" t="s">
        <v>387</v>
      </c>
      <c r="C258" s="4" t="s">
        <v>393</v>
      </c>
      <c r="D258" s="4" t="s">
        <v>512</v>
      </c>
      <c r="E258" s="4" t="s">
        <v>1292</v>
      </c>
      <c r="F258" s="4" t="s">
        <v>363</v>
      </c>
      <c r="G258" s="4" t="s">
        <v>864</v>
      </c>
    </row>
    <row r="259" spans="1:7" x14ac:dyDescent="0.25">
      <c r="A259" s="4" t="s">
        <v>163</v>
      </c>
      <c r="B259" s="4" t="s">
        <v>387</v>
      </c>
      <c r="C259" s="4" t="s">
        <v>393</v>
      </c>
      <c r="D259" s="4" t="s">
        <v>513</v>
      </c>
      <c r="E259" s="4" t="s">
        <v>1293</v>
      </c>
      <c r="F259" s="4" t="s">
        <v>280</v>
      </c>
      <c r="G259" s="4" t="s">
        <v>864</v>
      </c>
    </row>
    <row r="260" spans="1:7" x14ac:dyDescent="0.25">
      <c r="A260" s="4" t="s">
        <v>163</v>
      </c>
      <c r="B260" s="4" t="s">
        <v>387</v>
      </c>
      <c r="C260" s="4" t="s">
        <v>393</v>
      </c>
      <c r="D260" s="4" t="s">
        <v>514</v>
      </c>
      <c r="E260" s="4" t="s">
        <v>1294</v>
      </c>
      <c r="F260" s="4" t="s">
        <v>35</v>
      </c>
      <c r="G260" s="4" t="s">
        <v>864</v>
      </c>
    </row>
    <row r="261" spans="1:7" x14ac:dyDescent="0.25">
      <c r="A261" s="4" t="s">
        <v>163</v>
      </c>
      <c r="B261" s="4" t="s">
        <v>387</v>
      </c>
      <c r="C261" s="4" t="s">
        <v>393</v>
      </c>
      <c r="D261" s="4" t="s">
        <v>515</v>
      </c>
      <c r="E261" s="4" t="s">
        <v>1295</v>
      </c>
      <c r="F261" s="4" t="s">
        <v>185</v>
      </c>
      <c r="G261" s="4" t="s">
        <v>864</v>
      </c>
    </row>
    <row r="262" spans="1:7" x14ac:dyDescent="0.25">
      <c r="A262" s="4" t="s">
        <v>163</v>
      </c>
      <c r="B262" s="4" t="s">
        <v>387</v>
      </c>
      <c r="C262" s="4" t="s">
        <v>393</v>
      </c>
      <c r="D262" s="4" t="s">
        <v>517</v>
      </c>
      <c r="E262" s="4" t="s">
        <v>552</v>
      </c>
      <c r="F262" s="4" t="s">
        <v>128</v>
      </c>
      <c r="G262" s="4" t="s">
        <v>864</v>
      </c>
    </row>
    <row r="263" spans="1:7" x14ac:dyDescent="0.25">
      <c r="A263" s="4" t="s">
        <v>163</v>
      </c>
      <c r="B263" s="4" t="s">
        <v>387</v>
      </c>
      <c r="C263" s="4" t="s">
        <v>393</v>
      </c>
      <c r="D263" s="4" t="s">
        <v>518</v>
      </c>
      <c r="E263" s="4" t="s">
        <v>1296</v>
      </c>
      <c r="F263" s="4" t="s">
        <v>77</v>
      </c>
      <c r="G263" s="4" t="s">
        <v>864</v>
      </c>
    </row>
    <row r="264" spans="1:7" x14ac:dyDescent="0.25">
      <c r="A264" s="4" t="s">
        <v>163</v>
      </c>
      <c r="B264" s="4" t="s">
        <v>387</v>
      </c>
      <c r="C264" s="4" t="s">
        <v>393</v>
      </c>
      <c r="D264" s="4" t="s">
        <v>519</v>
      </c>
      <c r="E264" s="4" t="s">
        <v>1297</v>
      </c>
      <c r="F264" s="4" t="s">
        <v>21</v>
      </c>
      <c r="G264" s="4" t="s">
        <v>864</v>
      </c>
    </row>
    <row r="265" spans="1:7" x14ac:dyDescent="0.25">
      <c r="A265" s="4" t="s">
        <v>163</v>
      </c>
      <c r="B265" s="4" t="s">
        <v>394</v>
      </c>
      <c r="C265" s="4" t="s">
        <v>393</v>
      </c>
      <c r="D265" s="4" t="s">
        <v>522</v>
      </c>
      <c r="E265" s="4" t="s">
        <v>1298</v>
      </c>
      <c r="F265" s="4" t="s">
        <v>363</v>
      </c>
      <c r="G265" s="4" t="s">
        <v>864</v>
      </c>
    </row>
    <row r="266" spans="1:7" x14ac:dyDescent="0.25">
      <c r="A266" s="4" t="s">
        <v>163</v>
      </c>
      <c r="B266" s="4" t="s">
        <v>394</v>
      </c>
      <c r="C266" s="4" t="s">
        <v>393</v>
      </c>
      <c r="D266" s="4" t="s">
        <v>523</v>
      </c>
      <c r="E266" s="4" t="s">
        <v>1299</v>
      </c>
      <c r="F266" s="4" t="s">
        <v>250</v>
      </c>
      <c r="G266" s="4" t="s">
        <v>864</v>
      </c>
    </row>
    <row r="267" spans="1:7" x14ac:dyDescent="0.25">
      <c r="A267" s="4" t="s">
        <v>163</v>
      </c>
      <c r="B267" s="4" t="s">
        <v>394</v>
      </c>
      <c r="C267" s="4" t="s">
        <v>393</v>
      </c>
      <c r="D267" s="4" t="s">
        <v>524</v>
      </c>
      <c r="E267" s="4" t="s">
        <v>1300</v>
      </c>
      <c r="F267" s="4" t="s">
        <v>363</v>
      </c>
      <c r="G267" s="4" t="s">
        <v>864</v>
      </c>
    </row>
    <row r="268" spans="1:7" x14ac:dyDescent="0.25">
      <c r="A268" s="4" t="s">
        <v>163</v>
      </c>
      <c r="B268" s="4" t="s">
        <v>394</v>
      </c>
      <c r="C268" s="4" t="s">
        <v>393</v>
      </c>
      <c r="D268" s="4" t="s">
        <v>525</v>
      </c>
      <c r="E268" s="4" t="s">
        <v>1301</v>
      </c>
      <c r="F268" s="4" t="s">
        <v>60</v>
      </c>
      <c r="G268" s="4" t="s">
        <v>864</v>
      </c>
    </row>
    <row r="269" spans="1:7" x14ac:dyDescent="0.25">
      <c r="A269" s="4" t="s">
        <v>163</v>
      </c>
      <c r="B269" s="4" t="s">
        <v>394</v>
      </c>
      <c r="C269" s="4" t="s">
        <v>393</v>
      </c>
      <c r="D269" s="4" t="s">
        <v>526</v>
      </c>
      <c r="E269" s="4" t="s">
        <v>1302</v>
      </c>
      <c r="F269" s="4" t="s">
        <v>122</v>
      </c>
      <c r="G269" s="4" t="s">
        <v>864</v>
      </c>
    </row>
    <row r="270" spans="1:7" x14ac:dyDescent="0.25">
      <c r="A270" s="4" t="s">
        <v>163</v>
      </c>
      <c r="B270" s="4" t="s">
        <v>394</v>
      </c>
      <c r="C270" s="4" t="s">
        <v>393</v>
      </c>
      <c r="D270" s="4" t="s">
        <v>527</v>
      </c>
      <c r="E270" s="4" t="s">
        <v>1303</v>
      </c>
      <c r="F270" s="4" t="s">
        <v>185</v>
      </c>
      <c r="G270" s="4" t="s">
        <v>864</v>
      </c>
    </row>
    <row r="271" spans="1:7" x14ac:dyDescent="0.25">
      <c r="A271" s="4" t="s">
        <v>163</v>
      </c>
      <c r="B271" s="4" t="s">
        <v>394</v>
      </c>
      <c r="C271" s="4" t="s">
        <v>393</v>
      </c>
      <c r="D271" s="4" t="s">
        <v>528</v>
      </c>
      <c r="E271" s="4" t="s">
        <v>1115</v>
      </c>
      <c r="F271" s="4" t="s">
        <v>185</v>
      </c>
      <c r="G271" s="4" t="s">
        <v>864</v>
      </c>
    </row>
    <row r="272" spans="1:7" x14ac:dyDescent="0.25">
      <c r="A272" s="4" t="s">
        <v>163</v>
      </c>
      <c r="B272" s="4" t="s">
        <v>394</v>
      </c>
      <c r="C272" s="4" t="s">
        <v>393</v>
      </c>
      <c r="D272" s="4" t="s">
        <v>529</v>
      </c>
      <c r="E272" s="4" t="s">
        <v>1304</v>
      </c>
      <c r="F272" s="4" t="s">
        <v>29</v>
      </c>
      <c r="G272" s="4" t="s">
        <v>864</v>
      </c>
    </row>
    <row r="273" spans="1:7" x14ac:dyDescent="0.25">
      <c r="A273" s="4" t="s">
        <v>163</v>
      </c>
      <c r="B273" s="4" t="s">
        <v>394</v>
      </c>
      <c r="C273" s="4" t="s">
        <v>393</v>
      </c>
      <c r="D273" s="4" t="s">
        <v>530</v>
      </c>
      <c r="E273" s="4" t="s">
        <v>1305</v>
      </c>
      <c r="F273" s="4" t="s">
        <v>185</v>
      </c>
      <c r="G273" s="4" t="s">
        <v>864</v>
      </c>
    </row>
    <row r="274" spans="1:7" x14ac:dyDescent="0.25">
      <c r="A274" s="4" t="s">
        <v>163</v>
      </c>
      <c r="B274" s="4" t="s">
        <v>394</v>
      </c>
      <c r="C274" s="4" t="s">
        <v>393</v>
      </c>
      <c r="D274" s="4" t="s">
        <v>531</v>
      </c>
      <c r="E274" s="4" t="s">
        <v>1306</v>
      </c>
      <c r="F274" s="4" t="s">
        <v>363</v>
      </c>
      <c r="G274" s="4" t="s">
        <v>864</v>
      </c>
    </row>
    <row r="275" spans="1:7" x14ac:dyDescent="0.25">
      <c r="A275" s="4" t="s">
        <v>163</v>
      </c>
      <c r="B275" s="4" t="s">
        <v>394</v>
      </c>
      <c r="C275" s="4" t="s">
        <v>393</v>
      </c>
      <c r="D275" s="4" t="s">
        <v>532</v>
      </c>
      <c r="E275" s="4" t="s">
        <v>1307</v>
      </c>
      <c r="F275" s="4" t="s">
        <v>100</v>
      </c>
      <c r="G275" s="4" t="s">
        <v>864</v>
      </c>
    </row>
    <row r="276" spans="1:7" x14ac:dyDescent="0.25">
      <c r="A276" s="4" t="s">
        <v>163</v>
      </c>
      <c r="B276" s="4" t="s">
        <v>394</v>
      </c>
      <c r="C276" s="4" t="s">
        <v>393</v>
      </c>
      <c r="D276" s="4" t="s">
        <v>533</v>
      </c>
      <c r="E276" s="4" t="s">
        <v>1308</v>
      </c>
      <c r="F276" s="4" t="s">
        <v>56</v>
      </c>
      <c r="G276" s="4" t="s">
        <v>864</v>
      </c>
    </row>
    <row r="277" spans="1:7" x14ac:dyDescent="0.25">
      <c r="A277" s="4" t="s">
        <v>163</v>
      </c>
      <c r="B277" s="4" t="s">
        <v>394</v>
      </c>
      <c r="C277" s="4" t="s">
        <v>393</v>
      </c>
      <c r="D277" s="4" t="s">
        <v>534</v>
      </c>
      <c r="E277" s="4" t="s">
        <v>1309</v>
      </c>
      <c r="F277" s="4" t="s">
        <v>363</v>
      </c>
      <c r="G277" s="4" t="s">
        <v>864</v>
      </c>
    </row>
    <row r="278" spans="1:7" x14ac:dyDescent="0.25">
      <c r="A278" s="4" t="s">
        <v>163</v>
      </c>
      <c r="B278" s="4" t="s">
        <v>394</v>
      </c>
      <c r="C278" s="4" t="s">
        <v>393</v>
      </c>
      <c r="D278" s="4" t="s">
        <v>535</v>
      </c>
      <c r="E278" s="4" t="s">
        <v>1310</v>
      </c>
      <c r="F278" s="4" t="s">
        <v>363</v>
      </c>
      <c r="G278" s="4" t="s">
        <v>864</v>
      </c>
    </row>
    <row r="279" spans="1:7" x14ac:dyDescent="0.25">
      <c r="A279" s="4" t="s">
        <v>163</v>
      </c>
      <c r="B279" s="4" t="s">
        <v>394</v>
      </c>
      <c r="C279" s="4" t="s">
        <v>393</v>
      </c>
      <c r="D279" s="4" t="s">
        <v>537</v>
      </c>
      <c r="E279" s="4" t="s">
        <v>1311</v>
      </c>
      <c r="F279" s="4" t="s">
        <v>371</v>
      </c>
      <c r="G279" s="4" t="s">
        <v>864</v>
      </c>
    </row>
    <row r="280" spans="1:7" x14ac:dyDescent="0.25">
      <c r="A280" s="4" t="s">
        <v>163</v>
      </c>
      <c r="B280" s="4" t="s">
        <v>394</v>
      </c>
      <c r="C280" s="4" t="s">
        <v>393</v>
      </c>
      <c r="D280" s="4" t="s">
        <v>538</v>
      </c>
      <c r="E280" s="4" t="s">
        <v>1312</v>
      </c>
      <c r="F280" s="4" t="s">
        <v>253</v>
      </c>
      <c r="G280" s="4" t="s">
        <v>864</v>
      </c>
    </row>
    <row r="281" spans="1:7" x14ac:dyDescent="0.25">
      <c r="A281" s="4" t="s">
        <v>163</v>
      </c>
      <c r="B281" s="4" t="s">
        <v>394</v>
      </c>
      <c r="C281" s="4" t="s">
        <v>393</v>
      </c>
      <c r="D281" s="4" t="s">
        <v>539</v>
      </c>
      <c r="E281" s="4" t="s">
        <v>1313</v>
      </c>
      <c r="F281" s="4" t="s">
        <v>128</v>
      </c>
      <c r="G281" s="4" t="s">
        <v>864</v>
      </c>
    </row>
    <row r="282" spans="1:7" x14ac:dyDescent="0.25">
      <c r="A282" s="4" t="s">
        <v>163</v>
      </c>
      <c r="B282" s="4" t="s">
        <v>394</v>
      </c>
      <c r="C282" s="4" t="s">
        <v>393</v>
      </c>
      <c r="D282" s="4" t="s">
        <v>540</v>
      </c>
      <c r="E282" s="4" t="s">
        <v>1314</v>
      </c>
      <c r="F282" s="4" t="s">
        <v>77</v>
      </c>
      <c r="G282" s="4" t="s">
        <v>864</v>
      </c>
    </row>
    <row r="283" spans="1:7" x14ac:dyDescent="0.25">
      <c r="A283" s="4" t="s">
        <v>163</v>
      </c>
      <c r="B283" s="4" t="s">
        <v>394</v>
      </c>
      <c r="C283" s="4" t="s">
        <v>393</v>
      </c>
      <c r="D283" s="4" t="s">
        <v>541</v>
      </c>
      <c r="E283" s="4" t="s">
        <v>1315</v>
      </c>
      <c r="F283" s="4" t="s">
        <v>319</v>
      </c>
      <c r="G283" s="4" t="s">
        <v>864</v>
      </c>
    </row>
    <row r="284" spans="1:7" x14ac:dyDescent="0.25">
      <c r="A284" s="4" t="s">
        <v>163</v>
      </c>
      <c r="B284" s="4" t="s">
        <v>394</v>
      </c>
      <c r="C284" s="4" t="s">
        <v>393</v>
      </c>
      <c r="D284" s="4" t="s">
        <v>542</v>
      </c>
      <c r="E284" s="4" t="s">
        <v>555</v>
      </c>
      <c r="F284" s="4" t="s">
        <v>361</v>
      </c>
      <c r="G284" s="4" t="s">
        <v>864</v>
      </c>
    </row>
    <row r="285" spans="1:7" x14ac:dyDescent="0.25">
      <c r="A285" s="4" t="s">
        <v>163</v>
      </c>
      <c r="B285" s="4" t="s">
        <v>394</v>
      </c>
      <c r="C285" s="4" t="s">
        <v>393</v>
      </c>
      <c r="D285" s="4" t="s">
        <v>543</v>
      </c>
      <c r="E285" s="4" t="s">
        <v>1316</v>
      </c>
      <c r="F285" s="4" t="s">
        <v>229</v>
      </c>
      <c r="G285" s="4" t="s">
        <v>864</v>
      </c>
    </row>
    <row r="286" spans="1:7" x14ac:dyDescent="0.25">
      <c r="A286" s="4" t="s">
        <v>163</v>
      </c>
      <c r="B286" s="4" t="s">
        <v>387</v>
      </c>
      <c r="C286" s="4" t="s">
        <v>398</v>
      </c>
      <c r="D286" s="4" t="s">
        <v>546</v>
      </c>
      <c r="E286" s="4" t="s">
        <v>1317</v>
      </c>
      <c r="F286" s="4" t="s">
        <v>217</v>
      </c>
      <c r="G286" s="4" t="s">
        <v>864</v>
      </c>
    </row>
    <row r="287" spans="1:7" x14ac:dyDescent="0.25">
      <c r="A287" s="4" t="s">
        <v>163</v>
      </c>
      <c r="B287" s="4" t="s">
        <v>394</v>
      </c>
      <c r="C287" s="4" t="s">
        <v>398</v>
      </c>
      <c r="D287" s="4" t="s">
        <v>547</v>
      </c>
      <c r="E287" s="4" t="s">
        <v>1318</v>
      </c>
      <c r="F287" s="4" t="s">
        <v>163</v>
      </c>
      <c r="G287" s="4" t="s">
        <v>864</v>
      </c>
    </row>
    <row r="288" spans="1:7" x14ac:dyDescent="0.25">
      <c r="A288" s="4" t="s">
        <v>163</v>
      </c>
      <c r="B288" s="4" t="s">
        <v>387</v>
      </c>
      <c r="C288" s="4" t="s">
        <v>401</v>
      </c>
      <c r="D288" s="4" t="s">
        <v>557</v>
      </c>
      <c r="E288" s="4" t="s">
        <v>1319</v>
      </c>
      <c r="F288" s="4" t="s">
        <v>79</v>
      </c>
      <c r="G288" s="4" t="s">
        <v>864</v>
      </c>
    </row>
    <row r="289" spans="1:7" x14ac:dyDescent="0.25">
      <c r="A289" s="4" t="s">
        <v>163</v>
      </c>
      <c r="B289" s="4" t="s">
        <v>387</v>
      </c>
      <c r="C289" s="4" t="s">
        <v>401</v>
      </c>
      <c r="D289" s="4" t="s">
        <v>558</v>
      </c>
      <c r="E289" s="4" t="s">
        <v>937</v>
      </c>
      <c r="F289" s="4" t="s">
        <v>287</v>
      </c>
      <c r="G289" s="4" t="s">
        <v>864</v>
      </c>
    </row>
    <row r="290" spans="1:7" x14ac:dyDescent="0.25">
      <c r="A290" s="4" t="s">
        <v>163</v>
      </c>
      <c r="B290" s="4" t="s">
        <v>387</v>
      </c>
      <c r="C290" s="4" t="s">
        <v>401</v>
      </c>
      <c r="D290" s="4" t="s">
        <v>559</v>
      </c>
      <c r="E290" s="4" t="s">
        <v>1320</v>
      </c>
      <c r="F290" s="4" t="s">
        <v>363</v>
      </c>
      <c r="G290" s="4" t="s">
        <v>864</v>
      </c>
    </row>
    <row r="291" spans="1:7" x14ac:dyDescent="0.25">
      <c r="A291" s="4" t="s">
        <v>163</v>
      </c>
      <c r="B291" s="4" t="s">
        <v>387</v>
      </c>
      <c r="C291" s="4" t="s">
        <v>401</v>
      </c>
      <c r="D291" s="4" t="s">
        <v>560</v>
      </c>
      <c r="E291" s="4" t="s">
        <v>1321</v>
      </c>
      <c r="F291" s="4" t="s">
        <v>128</v>
      </c>
      <c r="G291" s="4" t="s">
        <v>864</v>
      </c>
    </row>
    <row r="292" spans="1:7" x14ac:dyDescent="0.25">
      <c r="A292" s="4" t="s">
        <v>163</v>
      </c>
      <c r="B292" s="4" t="s">
        <v>387</v>
      </c>
      <c r="C292" s="4" t="s">
        <v>401</v>
      </c>
      <c r="D292" s="4" t="s">
        <v>561</v>
      </c>
      <c r="E292" s="4" t="s">
        <v>939</v>
      </c>
      <c r="F292" s="4" t="s">
        <v>25</v>
      </c>
      <c r="G292" s="4" t="s">
        <v>864</v>
      </c>
    </row>
    <row r="293" spans="1:7" x14ac:dyDescent="0.25">
      <c r="A293" s="4" t="s">
        <v>163</v>
      </c>
      <c r="B293" s="4" t="s">
        <v>387</v>
      </c>
      <c r="C293" s="4" t="s">
        <v>401</v>
      </c>
      <c r="D293" s="4" t="s">
        <v>562</v>
      </c>
      <c r="E293" s="4" t="s">
        <v>1322</v>
      </c>
      <c r="F293" s="4" t="s">
        <v>367</v>
      </c>
      <c r="G293" s="4" t="s">
        <v>864</v>
      </c>
    </row>
    <row r="294" spans="1:7" x14ac:dyDescent="0.25">
      <c r="A294" s="4" t="s">
        <v>163</v>
      </c>
      <c r="B294" s="4" t="s">
        <v>387</v>
      </c>
      <c r="C294" s="4" t="s">
        <v>401</v>
      </c>
      <c r="D294" s="4" t="s">
        <v>563</v>
      </c>
      <c r="E294" s="4" t="s">
        <v>1323</v>
      </c>
      <c r="F294" s="4" t="s">
        <v>367</v>
      </c>
      <c r="G294" s="4" t="s">
        <v>864</v>
      </c>
    </row>
    <row r="295" spans="1:7" x14ac:dyDescent="0.25">
      <c r="A295" s="4" t="s">
        <v>163</v>
      </c>
      <c r="B295" s="4" t="s">
        <v>387</v>
      </c>
      <c r="C295" s="4" t="s">
        <v>401</v>
      </c>
      <c r="D295" s="4" t="s">
        <v>564</v>
      </c>
      <c r="E295" s="4" t="s">
        <v>1324</v>
      </c>
      <c r="F295" s="4" t="s">
        <v>183</v>
      </c>
      <c r="G295" s="4" t="s">
        <v>864</v>
      </c>
    </row>
    <row r="296" spans="1:7" x14ac:dyDescent="0.25">
      <c r="A296" s="4" t="s">
        <v>163</v>
      </c>
      <c r="B296" s="4" t="s">
        <v>387</v>
      </c>
      <c r="C296" s="4" t="s">
        <v>401</v>
      </c>
      <c r="D296" s="4" t="s">
        <v>565</v>
      </c>
      <c r="E296" s="4" t="s">
        <v>1325</v>
      </c>
      <c r="F296" s="4" t="s">
        <v>183</v>
      </c>
      <c r="G296" s="4" t="s">
        <v>864</v>
      </c>
    </row>
    <row r="297" spans="1:7" x14ac:dyDescent="0.25">
      <c r="A297" s="4" t="s">
        <v>163</v>
      </c>
      <c r="B297" s="4" t="s">
        <v>387</v>
      </c>
      <c r="C297" s="4" t="s">
        <v>401</v>
      </c>
      <c r="D297" s="4" t="s">
        <v>566</v>
      </c>
      <c r="E297" s="4" t="s">
        <v>941</v>
      </c>
      <c r="F297" s="4" t="s">
        <v>361</v>
      </c>
      <c r="G297" s="4" t="s">
        <v>864</v>
      </c>
    </row>
    <row r="298" spans="1:7" x14ac:dyDescent="0.25">
      <c r="A298" s="4" t="s">
        <v>163</v>
      </c>
      <c r="B298" s="4" t="s">
        <v>394</v>
      </c>
      <c r="C298" s="4" t="s">
        <v>401</v>
      </c>
      <c r="D298" s="4" t="s">
        <v>567</v>
      </c>
      <c r="E298" s="4" t="s">
        <v>1326</v>
      </c>
      <c r="F298" s="4" t="s">
        <v>128</v>
      </c>
      <c r="G298" s="4" t="s">
        <v>864</v>
      </c>
    </row>
    <row r="299" spans="1:7" x14ac:dyDescent="0.25">
      <c r="A299" s="4" t="s">
        <v>163</v>
      </c>
      <c r="B299" s="4" t="s">
        <v>394</v>
      </c>
      <c r="C299" s="4" t="s">
        <v>401</v>
      </c>
      <c r="D299" s="4" t="s">
        <v>568</v>
      </c>
      <c r="E299" s="4" t="s">
        <v>1327</v>
      </c>
      <c r="F299" s="4" t="s">
        <v>77</v>
      </c>
      <c r="G299" s="4" t="s">
        <v>864</v>
      </c>
    </row>
    <row r="300" spans="1:7" x14ac:dyDescent="0.25">
      <c r="A300" s="4" t="s">
        <v>163</v>
      </c>
      <c r="B300" s="4" t="s">
        <v>394</v>
      </c>
      <c r="C300" s="4" t="s">
        <v>401</v>
      </c>
      <c r="D300" s="4" t="s">
        <v>569</v>
      </c>
      <c r="E300" s="4" t="s">
        <v>943</v>
      </c>
      <c r="F300" s="4" t="s">
        <v>250</v>
      </c>
      <c r="G300" s="4" t="s">
        <v>864</v>
      </c>
    </row>
    <row r="301" spans="1:7" x14ac:dyDescent="0.25">
      <c r="A301" s="4" t="s">
        <v>163</v>
      </c>
      <c r="B301" s="4" t="s">
        <v>387</v>
      </c>
      <c r="C301" s="4" t="s">
        <v>465</v>
      </c>
      <c r="D301" s="4" t="s">
        <v>582</v>
      </c>
      <c r="E301" s="4" t="s">
        <v>599</v>
      </c>
      <c r="F301" s="4" t="s">
        <v>311</v>
      </c>
      <c r="G301" s="4" t="s">
        <v>864</v>
      </c>
    </row>
    <row r="302" spans="1:7" x14ac:dyDescent="0.25">
      <c r="A302" s="4" t="s">
        <v>163</v>
      </c>
      <c r="B302" s="4" t="s">
        <v>394</v>
      </c>
      <c r="C302" s="4" t="s">
        <v>465</v>
      </c>
      <c r="D302" s="4" t="s">
        <v>583</v>
      </c>
      <c r="E302" s="4" t="s">
        <v>1328</v>
      </c>
      <c r="F302" s="4" t="s">
        <v>253</v>
      </c>
      <c r="G302" s="4" t="s">
        <v>864</v>
      </c>
    </row>
    <row r="303" spans="1:7" x14ac:dyDescent="0.25">
      <c r="A303" s="4" t="s">
        <v>163</v>
      </c>
      <c r="B303" s="4" t="s">
        <v>387</v>
      </c>
      <c r="C303" s="4" t="s">
        <v>465</v>
      </c>
      <c r="D303" s="4" t="s">
        <v>585</v>
      </c>
      <c r="E303" s="4" t="s">
        <v>1329</v>
      </c>
      <c r="F303" s="4" t="s">
        <v>313</v>
      </c>
      <c r="G303" s="4" t="s">
        <v>864</v>
      </c>
    </row>
    <row r="304" spans="1:7" x14ac:dyDescent="0.25">
      <c r="A304" s="4" t="s">
        <v>163</v>
      </c>
      <c r="B304" s="4" t="s">
        <v>387</v>
      </c>
      <c r="C304" s="4" t="s">
        <v>466</v>
      </c>
      <c r="D304" s="4" t="s">
        <v>586</v>
      </c>
      <c r="E304" s="4" t="s">
        <v>1330</v>
      </c>
      <c r="F304" s="4" t="s">
        <v>128</v>
      </c>
      <c r="G304" s="4" t="s">
        <v>864</v>
      </c>
    </row>
    <row r="305" spans="1:7" x14ac:dyDescent="0.25">
      <c r="A305" s="4" t="s">
        <v>163</v>
      </c>
      <c r="B305" s="4" t="s">
        <v>387</v>
      </c>
      <c r="C305" s="4" t="s">
        <v>466</v>
      </c>
      <c r="D305" s="4" t="s">
        <v>587</v>
      </c>
      <c r="E305" s="4" t="s">
        <v>1331</v>
      </c>
      <c r="F305" s="4" t="s">
        <v>98</v>
      </c>
      <c r="G305" s="4" t="s">
        <v>864</v>
      </c>
    </row>
    <row r="306" spans="1:7" x14ac:dyDescent="0.25">
      <c r="A306" s="4" t="s">
        <v>163</v>
      </c>
      <c r="B306" s="4" t="s">
        <v>387</v>
      </c>
      <c r="C306" s="4" t="s">
        <v>466</v>
      </c>
      <c r="D306" s="4" t="s">
        <v>591</v>
      </c>
      <c r="E306" s="4" t="s">
        <v>1332</v>
      </c>
      <c r="F306" s="4" t="s">
        <v>25</v>
      </c>
      <c r="G306" s="4" t="s">
        <v>864</v>
      </c>
    </row>
    <row r="307" spans="1:7" x14ac:dyDescent="0.25">
      <c r="A307" s="4" t="s">
        <v>163</v>
      </c>
      <c r="B307" s="4" t="s">
        <v>387</v>
      </c>
      <c r="C307" s="4" t="s">
        <v>466</v>
      </c>
      <c r="D307" s="4" t="s">
        <v>592</v>
      </c>
      <c r="E307" s="4" t="s">
        <v>1333</v>
      </c>
      <c r="F307" s="4" t="s">
        <v>51</v>
      </c>
      <c r="G307" s="4" t="s">
        <v>864</v>
      </c>
    </row>
    <row r="308" spans="1:7" x14ac:dyDescent="0.25">
      <c r="A308" s="4" t="s">
        <v>163</v>
      </c>
      <c r="B308" s="4" t="s">
        <v>394</v>
      </c>
      <c r="C308" s="4" t="s">
        <v>466</v>
      </c>
      <c r="D308" s="4" t="s">
        <v>594</v>
      </c>
      <c r="E308" s="4" t="s">
        <v>1334</v>
      </c>
      <c r="F308" s="4" t="s">
        <v>280</v>
      </c>
      <c r="G308" s="4" t="s">
        <v>864</v>
      </c>
    </row>
    <row r="309" spans="1:7" x14ac:dyDescent="0.25">
      <c r="A309" s="4" t="s">
        <v>163</v>
      </c>
      <c r="B309" s="4" t="s">
        <v>394</v>
      </c>
      <c r="C309" s="4" t="s">
        <v>466</v>
      </c>
      <c r="D309" s="4" t="s">
        <v>595</v>
      </c>
      <c r="E309" s="4" t="s">
        <v>1335</v>
      </c>
      <c r="F309" s="4" t="s">
        <v>100</v>
      </c>
      <c r="G309" s="4" t="s">
        <v>864</v>
      </c>
    </row>
    <row r="310" spans="1:7" x14ac:dyDescent="0.25">
      <c r="A310" s="4" t="s">
        <v>163</v>
      </c>
      <c r="B310" s="4" t="s">
        <v>387</v>
      </c>
      <c r="C310" s="4" t="s">
        <v>467</v>
      </c>
      <c r="D310" s="4" t="s">
        <v>387</v>
      </c>
      <c r="E310" s="4" t="s">
        <v>1336</v>
      </c>
      <c r="F310" s="4" t="s">
        <v>250</v>
      </c>
      <c r="G310" s="4" t="s">
        <v>864</v>
      </c>
    </row>
    <row r="311" spans="1:7" x14ac:dyDescent="0.25">
      <c r="A311" s="4" t="s">
        <v>163</v>
      </c>
      <c r="B311" s="4" t="s">
        <v>394</v>
      </c>
      <c r="C311" s="4" t="s">
        <v>467</v>
      </c>
      <c r="D311" s="4" t="s">
        <v>394</v>
      </c>
      <c r="E311" s="4" t="s">
        <v>1337</v>
      </c>
      <c r="F311" s="4" t="s">
        <v>363</v>
      </c>
      <c r="G311" s="4" t="s">
        <v>864</v>
      </c>
    </row>
    <row r="312" spans="1:7" x14ac:dyDescent="0.25">
      <c r="A312" s="4" t="s">
        <v>163</v>
      </c>
      <c r="B312" s="4" t="s">
        <v>387</v>
      </c>
      <c r="C312" s="4" t="s">
        <v>468</v>
      </c>
      <c r="D312" s="4" t="s">
        <v>604</v>
      </c>
      <c r="E312" s="4" t="s">
        <v>945</v>
      </c>
      <c r="F312" s="4" t="s">
        <v>98</v>
      </c>
      <c r="G312" s="4" t="s">
        <v>864</v>
      </c>
    </row>
    <row r="313" spans="1:7" x14ac:dyDescent="0.25">
      <c r="A313" s="4" t="s">
        <v>163</v>
      </c>
      <c r="B313" s="4" t="s">
        <v>394</v>
      </c>
      <c r="C313" s="4" t="s">
        <v>468</v>
      </c>
      <c r="D313" s="4" t="s">
        <v>605</v>
      </c>
      <c r="E313" s="4" t="s">
        <v>1338</v>
      </c>
      <c r="F313" s="4" t="s">
        <v>280</v>
      </c>
      <c r="G313" s="4" t="s">
        <v>864</v>
      </c>
    </row>
    <row r="314" spans="1:7" x14ac:dyDescent="0.25">
      <c r="A314" s="4" t="s">
        <v>163</v>
      </c>
      <c r="B314" s="4" t="s">
        <v>387</v>
      </c>
      <c r="C314" s="4" t="s">
        <v>469</v>
      </c>
      <c r="D314" s="4" t="s">
        <v>606</v>
      </c>
      <c r="E314" s="4" t="s">
        <v>1339</v>
      </c>
      <c r="F314" s="4" t="s">
        <v>100</v>
      </c>
      <c r="G314" s="4" t="s">
        <v>864</v>
      </c>
    </row>
    <row r="315" spans="1:7" x14ac:dyDescent="0.25">
      <c r="A315" s="4" t="s">
        <v>163</v>
      </c>
      <c r="B315" s="4" t="s">
        <v>387</v>
      </c>
      <c r="C315" s="4" t="s">
        <v>469</v>
      </c>
      <c r="D315" s="4" t="s">
        <v>607</v>
      </c>
      <c r="E315" s="4" t="s">
        <v>1340</v>
      </c>
      <c r="F315" s="4" t="s">
        <v>250</v>
      </c>
      <c r="G315" s="4" t="s">
        <v>864</v>
      </c>
    </row>
    <row r="316" spans="1:7" x14ac:dyDescent="0.25">
      <c r="A316" s="4" t="s">
        <v>163</v>
      </c>
      <c r="B316" s="4" t="s">
        <v>394</v>
      </c>
      <c r="C316" s="4" t="s">
        <v>469</v>
      </c>
      <c r="D316" s="4" t="s">
        <v>608</v>
      </c>
      <c r="E316" s="4" t="s">
        <v>1341</v>
      </c>
      <c r="F316" s="4" t="s">
        <v>331</v>
      </c>
      <c r="G316" s="4" t="s">
        <v>864</v>
      </c>
    </row>
    <row r="317" spans="1:7" x14ac:dyDescent="0.25">
      <c r="A317" s="4" t="s">
        <v>163</v>
      </c>
      <c r="B317" s="4" t="s">
        <v>394</v>
      </c>
      <c r="C317" s="4" t="s">
        <v>469</v>
      </c>
      <c r="D317" s="4" t="s">
        <v>609</v>
      </c>
      <c r="E317" s="4" t="s">
        <v>1342</v>
      </c>
      <c r="F317" s="4" t="s">
        <v>287</v>
      </c>
      <c r="G317" s="4" t="s">
        <v>864</v>
      </c>
    </row>
    <row r="318" spans="1:7" x14ac:dyDescent="0.25">
      <c r="A318" s="4" t="s">
        <v>163</v>
      </c>
      <c r="B318" s="4" t="s">
        <v>387</v>
      </c>
      <c r="C318" s="4" t="s">
        <v>470</v>
      </c>
      <c r="D318" s="4" t="s">
        <v>610</v>
      </c>
      <c r="E318" s="4" t="s">
        <v>1343</v>
      </c>
      <c r="F318" s="4" t="s">
        <v>361</v>
      </c>
      <c r="G318" s="4" t="s">
        <v>864</v>
      </c>
    </row>
    <row r="319" spans="1:7" x14ac:dyDescent="0.25">
      <c r="A319" s="4" t="s">
        <v>163</v>
      </c>
      <c r="B319" s="4" t="s">
        <v>394</v>
      </c>
      <c r="C319" s="4" t="s">
        <v>470</v>
      </c>
      <c r="D319" s="4" t="s">
        <v>611</v>
      </c>
      <c r="E319" s="4" t="s">
        <v>1344</v>
      </c>
      <c r="F319" s="4" t="s">
        <v>361</v>
      </c>
      <c r="G319" s="4" t="s">
        <v>864</v>
      </c>
    </row>
    <row r="320" spans="1:7" x14ac:dyDescent="0.25">
      <c r="A320" s="4" t="s">
        <v>163</v>
      </c>
      <c r="B320" s="4" t="s">
        <v>387</v>
      </c>
      <c r="C320" s="4" t="s">
        <v>470</v>
      </c>
      <c r="D320" s="4" t="s">
        <v>423</v>
      </c>
      <c r="E320" s="4" t="s">
        <v>1345</v>
      </c>
      <c r="F320" s="4" t="s">
        <v>250</v>
      </c>
      <c r="G320" s="4" t="s">
        <v>864</v>
      </c>
    </row>
    <row r="321" spans="1:7" x14ac:dyDescent="0.25">
      <c r="A321" s="4" t="s">
        <v>163</v>
      </c>
      <c r="B321" s="4" t="s">
        <v>394</v>
      </c>
      <c r="C321" s="4" t="s">
        <v>470</v>
      </c>
      <c r="D321" s="4" t="s">
        <v>424</v>
      </c>
      <c r="E321" s="4" t="s">
        <v>1344</v>
      </c>
      <c r="F321" s="4" t="s">
        <v>361</v>
      </c>
      <c r="G321" s="4" t="s">
        <v>864</v>
      </c>
    </row>
    <row r="322" spans="1:7" x14ac:dyDescent="0.25">
      <c r="A322" s="4" t="s">
        <v>163</v>
      </c>
      <c r="B322" s="4" t="s">
        <v>387</v>
      </c>
      <c r="C322" s="4" t="s">
        <v>470</v>
      </c>
      <c r="D322" s="4" t="s">
        <v>425</v>
      </c>
      <c r="E322" s="4" t="s">
        <v>1346</v>
      </c>
      <c r="F322" s="4" t="s">
        <v>361</v>
      </c>
      <c r="G322" s="4" t="s">
        <v>864</v>
      </c>
    </row>
    <row r="323" spans="1:7" x14ac:dyDescent="0.25">
      <c r="A323" s="4" t="s">
        <v>163</v>
      </c>
      <c r="B323" s="4" t="s">
        <v>394</v>
      </c>
      <c r="C323" s="4" t="s">
        <v>470</v>
      </c>
      <c r="D323" s="4" t="s">
        <v>426</v>
      </c>
      <c r="E323" s="4" t="s">
        <v>1347</v>
      </c>
      <c r="F323" s="4" t="s">
        <v>363</v>
      </c>
      <c r="G323" s="4" t="s">
        <v>864</v>
      </c>
    </row>
    <row r="324" spans="1:7" x14ac:dyDescent="0.25">
      <c r="A324" s="4" t="s">
        <v>163</v>
      </c>
      <c r="B324" s="4" t="s">
        <v>387</v>
      </c>
      <c r="C324" s="4" t="s">
        <v>404</v>
      </c>
      <c r="D324" s="4" t="s">
        <v>618</v>
      </c>
      <c r="E324" s="4" t="s">
        <v>1348</v>
      </c>
      <c r="F324" s="4" t="s">
        <v>361</v>
      </c>
      <c r="G324" s="4" t="s">
        <v>864</v>
      </c>
    </row>
    <row r="325" spans="1:7" x14ac:dyDescent="0.25">
      <c r="A325" s="4" t="s">
        <v>163</v>
      </c>
      <c r="B325" s="4" t="s">
        <v>394</v>
      </c>
      <c r="C325" s="4" t="s">
        <v>404</v>
      </c>
      <c r="D325" s="4" t="s">
        <v>619</v>
      </c>
      <c r="E325" s="4" t="s">
        <v>1349</v>
      </c>
      <c r="F325" s="4" t="s">
        <v>77</v>
      </c>
      <c r="G325" s="4" t="s">
        <v>864</v>
      </c>
    </row>
    <row r="326" spans="1:7" x14ac:dyDescent="0.25">
      <c r="A326" s="4" t="s">
        <v>163</v>
      </c>
      <c r="B326" s="4" t="s">
        <v>387</v>
      </c>
      <c r="C326" s="4" t="s">
        <v>404</v>
      </c>
      <c r="D326" s="4" t="s">
        <v>620</v>
      </c>
      <c r="E326" s="4" t="s">
        <v>1350</v>
      </c>
      <c r="F326" s="4" t="s">
        <v>229</v>
      </c>
      <c r="G326" s="4" t="s">
        <v>864</v>
      </c>
    </row>
    <row r="327" spans="1:7" x14ac:dyDescent="0.25">
      <c r="A327" s="4" t="s">
        <v>163</v>
      </c>
      <c r="B327" s="4" t="s">
        <v>394</v>
      </c>
      <c r="C327" s="4" t="s">
        <v>404</v>
      </c>
      <c r="D327" s="4" t="s">
        <v>621</v>
      </c>
      <c r="E327" s="4" t="s">
        <v>1351</v>
      </c>
      <c r="F327" s="4" t="s">
        <v>77</v>
      </c>
      <c r="G327" s="4" t="s">
        <v>864</v>
      </c>
    </row>
    <row r="328" spans="1:7" x14ac:dyDescent="0.25">
      <c r="A328" s="4" t="s">
        <v>163</v>
      </c>
      <c r="B328" s="4" t="s">
        <v>387</v>
      </c>
      <c r="C328" s="4" t="s">
        <v>405</v>
      </c>
      <c r="D328" s="4" t="s">
        <v>626</v>
      </c>
      <c r="E328" s="4" t="s">
        <v>1352</v>
      </c>
      <c r="F328" s="4" t="s">
        <v>128</v>
      </c>
      <c r="G328" s="4" t="s">
        <v>864</v>
      </c>
    </row>
    <row r="329" spans="1:7" x14ac:dyDescent="0.25">
      <c r="A329" s="4" t="s">
        <v>163</v>
      </c>
      <c r="B329" s="4" t="s">
        <v>394</v>
      </c>
      <c r="C329" s="4" t="s">
        <v>405</v>
      </c>
      <c r="D329" s="4" t="s">
        <v>628</v>
      </c>
      <c r="E329" s="4" t="s">
        <v>1353</v>
      </c>
      <c r="F329" s="4" t="s">
        <v>136</v>
      </c>
      <c r="G329" s="4" t="s">
        <v>864</v>
      </c>
    </row>
    <row r="330" spans="1:7" x14ac:dyDescent="0.25">
      <c r="A330" s="4" t="s">
        <v>163</v>
      </c>
      <c r="B330" s="4" t="s">
        <v>387</v>
      </c>
      <c r="C330" s="4" t="s">
        <v>405</v>
      </c>
      <c r="D330" s="4" t="s">
        <v>630</v>
      </c>
      <c r="E330" s="4" t="s">
        <v>1354</v>
      </c>
      <c r="F330" s="4" t="s">
        <v>331</v>
      </c>
      <c r="G330" s="4" t="s">
        <v>864</v>
      </c>
    </row>
    <row r="331" spans="1:7" x14ac:dyDescent="0.25">
      <c r="A331" s="4" t="s">
        <v>163</v>
      </c>
      <c r="B331" s="4" t="s">
        <v>387</v>
      </c>
      <c r="C331" s="4" t="s">
        <v>406</v>
      </c>
      <c r="D331" s="4" t="s">
        <v>632</v>
      </c>
      <c r="E331" s="4" t="s">
        <v>1355</v>
      </c>
      <c r="F331" s="4" t="s">
        <v>363</v>
      </c>
      <c r="G331" s="4" t="s">
        <v>864</v>
      </c>
    </row>
    <row r="332" spans="1:7" x14ac:dyDescent="0.25">
      <c r="A332" s="4" t="s">
        <v>163</v>
      </c>
      <c r="B332" s="4" t="s">
        <v>394</v>
      </c>
      <c r="C332" s="4" t="s">
        <v>406</v>
      </c>
      <c r="D332" s="4" t="s">
        <v>633</v>
      </c>
      <c r="E332" s="4" t="s">
        <v>1356</v>
      </c>
      <c r="F332" s="4" t="s">
        <v>175</v>
      </c>
      <c r="G332" s="4" t="s">
        <v>864</v>
      </c>
    </row>
    <row r="333" spans="1:7" x14ac:dyDescent="0.25">
      <c r="A333" s="4" t="s">
        <v>163</v>
      </c>
      <c r="B333" s="4" t="s">
        <v>387</v>
      </c>
      <c r="C333" s="4" t="s">
        <v>406</v>
      </c>
      <c r="D333" s="4" t="s">
        <v>634</v>
      </c>
      <c r="E333" s="4" t="s">
        <v>1357</v>
      </c>
      <c r="F333" s="4" t="s">
        <v>159</v>
      </c>
      <c r="G333" s="4" t="s">
        <v>864</v>
      </c>
    </row>
    <row r="334" spans="1:7" x14ac:dyDescent="0.25">
      <c r="A334" s="4" t="s">
        <v>163</v>
      </c>
      <c r="B334" s="4" t="s">
        <v>394</v>
      </c>
      <c r="C334" s="4" t="s">
        <v>406</v>
      </c>
      <c r="D334" s="4" t="s">
        <v>635</v>
      </c>
      <c r="E334" s="4" t="s">
        <v>1358</v>
      </c>
      <c r="F334" s="4" t="s">
        <v>175</v>
      </c>
      <c r="G334" s="4" t="s">
        <v>864</v>
      </c>
    </row>
    <row r="335" spans="1:7" x14ac:dyDescent="0.25">
      <c r="A335" s="4" t="s">
        <v>163</v>
      </c>
      <c r="B335" s="4" t="s">
        <v>387</v>
      </c>
      <c r="C335" s="4" t="s">
        <v>406</v>
      </c>
      <c r="D335" s="4" t="s">
        <v>636</v>
      </c>
      <c r="E335" s="4" t="s">
        <v>1359</v>
      </c>
      <c r="F335" s="4" t="s">
        <v>363</v>
      </c>
      <c r="G335" s="4" t="s">
        <v>864</v>
      </c>
    </row>
    <row r="336" spans="1:7" x14ac:dyDescent="0.25">
      <c r="A336" s="4" t="s">
        <v>163</v>
      </c>
      <c r="B336" s="4" t="s">
        <v>394</v>
      </c>
      <c r="C336" s="4" t="s">
        <v>406</v>
      </c>
      <c r="D336" s="4" t="s">
        <v>637</v>
      </c>
      <c r="E336" s="4" t="s">
        <v>1360</v>
      </c>
      <c r="F336" s="4" t="s">
        <v>287</v>
      </c>
      <c r="G336" s="4" t="s">
        <v>864</v>
      </c>
    </row>
    <row r="337" spans="1:7" x14ac:dyDescent="0.25">
      <c r="A337" s="4" t="s">
        <v>163</v>
      </c>
      <c r="B337" s="4" t="s">
        <v>387</v>
      </c>
      <c r="C337" s="4" t="s">
        <v>475</v>
      </c>
      <c r="D337" s="4" t="s">
        <v>643</v>
      </c>
      <c r="E337" s="4" t="s">
        <v>1361</v>
      </c>
      <c r="F337" s="4" t="s">
        <v>331</v>
      </c>
      <c r="G337" s="4" t="s">
        <v>864</v>
      </c>
    </row>
    <row r="338" spans="1:7" x14ac:dyDescent="0.25">
      <c r="A338" s="4" t="s">
        <v>163</v>
      </c>
      <c r="B338" s="4" t="s">
        <v>394</v>
      </c>
      <c r="C338" s="4" t="s">
        <v>475</v>
      </c>
      <c r="D338" s="4" t="s">
        <v>644</v>
      </c>
      <c r="E338" s="4" t="s">
        <v>1362</v>
      </c>
      <c r="F338" s="4" t="s">
        <v>253</v>
      </c>
      <c r="G338" s="4" t="s">
        <v>864</v>
      </c>
    </row>
    <row r="339" spans="1:7" x14ac:dyDescent="0.25">
      <c r="A339" s="4" t="s">
        <v>163</v>
      </c>
      <c r="B339" s="4" t="s">
        <v>394</v>
      </c>
      <c r="C339" s="4" t="s">
        <v>409</v>
      </c>
      <c r="D339" s="4" t="s">
        <v>646</v>
      </c>
      <c r="E339" s="4" t="s">
        <v>1363</v>
      </c>
      <c r="F339" s="4" t="s">
        <v>187</v>
      </c>
      <c r="G339" s="4" t="s">
        <v>864</v>
      </c>
    </row>
    <row r="340" spans="1:7" x14ac:dyDescent="0.25">
      <c r="A340" s="4" t="s">
        <v>163</v>
      </c>
      <c r="B340" s="4" t="s">
        <v>394</v>
      </c>
      <c r="C340" s="4" t="s">
        <v>409</v>
      </c>
      <c r="D340" s="4" t="s">
        <v>647</v>
      </c>
      <c r="E340" s="4" t="s">
        <v>1364</v>
      </c>
      <c r="F340" s="4" t="s">
        <v>175</v>
      </c>
      <c r="G340" s="4" t="s">
        <v>864</v>
      </c>
    </row>
    <row r="341" spans="1:7" x14ac:dyDescent="0.25">
      <c r="A341" s="4" t="s">
        <v>163</v>
      </c>
      <c r="B341" s="4" t="s">
        <v>394</v>
      </c>
      <c r="C341" s="4" t="s">
        <v>409</v>
      </c>
      <c r="D341" s="4" t="s">
        <v>649</v>
      </c>
      <c r="E341" s="4" t="s">
        <v>1365</v>
      </c>
      <c r="F341" s="4" t="s">
        <v>237</v>
      </c>
      <c r="G341" s="4" t="s">
        <v>864</v>
      </c>
    </row>
    <row r="342" spans="1:7" x14ac:dyDescent="0.25">
      <c r="A342" s="4" t="s">
        <v>163</v>
      </c>
      <c r="B342" s="4" t="s">
        <v>394</v>
      </c>
      <c r="C342" s="4" t="s">
        <v>409</v>
      </c>
      <c r="D342" s="4" t="s">
        <v>650</v>
      </c>
      <c r="E342" s="4" t="s">
        <v>1366</v>
      </c>
      <c r="F342" s="4" t="s">
        <v>128</v>
      </c>
      <c r="G342" s="4" t="s">
        <v>864</v>
      </c>
    </row>
    <row r="343" spans="1:7" x14ac:dyDescent="0.25">
      <c r="A343" s="4" t="s">
        <v>163</v>
      </c>
      <c r="B343" s="4" t="s">
        <v>394</v>
      </c>
      <c r="C343" s="4" t="s">
        <v>409</v>
      </c>
      <c r="D343" s="4" t="s">
        <v>651</v>
      </c>
      <c r="E343" s="4" t="s">
        <v>1367</v>
      </c>
      <c r="F343" s="4" t="s">
        <v>79</v>
      </c>
      <c r="G343" s="4" t="s">
        <v>864</v>
      </c>
    </row>
    <row r="344" spans="1:7" x14ac:dyDescent="0.25">
      <c r="A344" s="4" t="s">
        <v>163</v>
      </c>
      <c r="B344" s="4" t="s">
        <v>394</v>
      </c>
      <c r="C344" s="4" t="s">
        <v>409</v>
      </c>
      <c r="D344" s="4" t="s">
        <v>652</v>
      </c>
      <c r="E344" s="4" t="s">
        <v>1368</v>
      </c>
      <c r="F344" s="4" t="s">
        <v>128</v>
      </c>
      <c r="G344" s="4" t="s">
        <v>864</v>
      </c>
    </row>
    <row r="345" spans="1:7" x14ac:dyDescent="0.25">
      <c r="A345" s="4" t="s">
        <v>163</v>
      </c>
      <c r="B345" s="4" t="s">
        <v>394</v>
      </c>
      <c r="C345" s="4" t="s">
        <v>409</v>
      </c>
      <c r="D345" s="4" t="s">
        <v>653</v>
      </c>
      <c r="E345" s="4" t="s">
        <v>1369</v>
      </c>
      <c r="F345" s="4" t="s">
        <v>94</v>
      </c>
      <c r="G345" s="4" t="s">
        <v>864</v>
      </c>
    </row>
    <row r="346" spans="1:7" x14ac:dyDescent="0.25">
      <c r="A346" s="4" t="s">
        <v>163</v>
      </c>
      <c r="B346" s="4" t="s">
        <v>387</v>
      </c>
      <c r="C346" s="4" t="s">
        <v>409</v>
      </c>
      <c r="D346" s="4" t="s">
        <v>654</v>
      </c>
      <c r="E346" s="4" t="s">
        <v>1370</v>
      </c>
      <c r="F346" s="4" t="s">
        <v>183</v>
      </c>
      <c r="G346" s="4" t="s">
        <v>864</v>
      </c>
    </row>
    <row r="347" spans="1:7" x14ac:dyDescent="0.25">
      <c r="A347" s="4" t="s">
        <v>163</v>
      </c>
      <c r="B347" s="4" t="s">
        <v>387</v>
      </c>
      <c r="C347" s="4" t="s">
        <v>409</v>
      </c>
      <c r="D347" s="4" t="s">
        <v>655</v>
      </c>
      <c r="E347" s="4" t="s">
        <v>1371</v>
      </c>
      <c r="F347" s="4" t="s">
        <v>187</v>
      </c>
      <c r="G347" s="4" t="s">
        <v>864</v>
      </c>
    </row>
    <row r="348" spans="1:7" x14ac:dyDescent="0.25">
      <c r="A348" s="4" t="s">
        <v>163</v>
      </c>
      <c r="B348" s="4" t="s">
        <v>387</v>
      </c>
      <c r="C348" s="4" t="s">
        <v>409</v>
      </c>
      <c r="D348" s="4" t="s">
        <v>656</v>
      </c>
      <c r="E348" s="4" t="s">
        <v>1372</v>
      </c>
      <c r="F348" s="4" t="s">
        <v>25</v>
      </c>
      <c r="G348" s="4" t="s">
        <v>864</v>
      </c>
    </row>
    <row r="349" spans="1:7" x14ac:dyDescent="0.25">
      <c r="A349" s="4" t="s">
        <v>163</v>
      </c>
      <c r="B349" s="4" t="s">
        <v>387</v>
      </c>
      <c r="C349" s="4" t="s">
        <v>409</v>
      </c>
      <c r="D349" s="4" t="s">
        <v>657</v>
      </c>
      <c r="E349" s="4" t="s">
        <v>1373</v>
      </c>
      <c r="F349" s="4" t="s">
        <v>363</v>
      </c>
      <c r="G349" s="4" t="s">
        <v>864</v>
      </c>
    </row>
    <row r="350" spans="1:7" x14ac:dyDescent="0.25">
      <c r="A350" s="4" t="s">
        <v>163</v>
      </c>
      <c r="B350" s="4" t="s">
        <v>387</v>
      </c>
      <c r="C350" s="4" t="s">
        <v>409</v>
      </c>
      <c r="D350" s="4" t="s">
        <v>658</v>
      </c>
      <c r="E350" s="4" t="s">
        <v>1374</v>
      </c>
      <c r="F350" s="4" t="s">
        <v>134</v>
      </c>
      <c r="G350" s="4" t="s">
        <v>864</v>
      </c>
    </row>
    <row r="351" spans="1:7" x14ac:dyDescent="0.25">
      <c r="A351" s="4" t="s">
        <v>163</v>
      </c>
      <c r="B351" s="4" t="s">
        <v>387</v>
      </c>
      <c r="C351" s="4" t="s">
        <v>409</v>
      </c>
      <c r="D351" s="4" t="s">
        <v>659</v>
      </c>
      <c r="E351" s="4" t="s">
        <v>1375</v>
      </c>
      <c r="F351" s="4" t="s">
        <v>25</v>
      </c>
      <c r="G351" s="4" t="s">
        <v>864</v>
      </c>
    </row>
    <row r="352" spans="1:7" x14ac:dyDescent="0.25">
      <c r="A352" s="4" t="s">
        <v>163</v>
      </c>
      <c r="B352" s="4" t="s">
        <v>387</v>
      </c>
      <c r="C352" s="4" t="s">
        <v>409</v>
      </c>
      <c r="D352" s="4" t="s">
        <v>660</v>
      </c>
      <c r="E352" s="4" t="s">
        <v>662</v>
      </c>
      <c r="F352" s="4" t="s">
        <v>179</v>
      </c>
      <c r="G352" s="4" t="s">
        <v>864</v>
      </c>
    </row>
    <row r="353" spans="1:7" x14ac:dyDescent="0.25">
      <c r="A353" s="4" t="s">
        <v>163</v>
      </c>
      <c r="B353" s="4" t="s">
        <v>394</v>
      </c>
      <c r="C353" s="4" t="s">
        <v>471</v>
      </c>
      <c r="D353" s="4" t="s">
        <v>680</v>
      </c>
      <c r="E353" s="4" t="s">
        <v>1376</v>
      </c>
      <c r="F353" s="4" t="s">
        <v>175</v>
      </c>
      <c r="G353" s="4" t="s">
        <v>864</v>
      </c>
    </row>
    <row r="354" spans="1:7" x14ac:dyDescent="0.25">
      <c r="A354" s="4" t="s">
        <v>163</v>
      </c>
      <c r="B354" s="4" t="s">
        <v>387</v>
      </c>
      <c r="C354" s="4" t="s">
        <v>471</v>
      </c>
      <c r="D354" s="4" t="s">
        <v>681</v>
      </c>
      <c r="E354" s="4" t="s">
        <v>1377</v>
      </c>
      <c r="F354" s="4" t="s">
        <v>140</v>
      </c>
      <c r="G354" s="4" t="s">
        <v>864</v>
      </c>
    </row>
    <row r="355" spans="1:7" x14ac:dyDescent="0.25">
      <c r="A355" s="4" t="s">
        <v>163</v>
      </c>
      <c r="B355" s="4" t="s">
        <v>387</v>
      </c>
      <c r="C355" s="4" t="s">
        <v>410</v>
      </c>
      <c r="D355" s="4" t="s">
        <v>396</v>
      </c>
      <c r="E355" s="4" t="s">
        <v>1378</v>
      </c>
      <c r="F355" s="4" t="s">
        <v>358</v>
      </c>
      <c r="G355" s="4" t="s">
        <v>864</v>
      </c>
    </row>
    <row r="356" spans="1:7" x14ac:dyDescent="0.25">
      <c r="A356" s="4" t="s">
        <v>163</v>
      </c>
      <c r="B356" s="4" t="s">
        <v>394</v>
      </c>
      <c r="C356" s="4" t="s">
        <v>410</v>
      </c>
      <c r="D356" s="4" t="s">
        <v>476</v>
      </c>
      <c r="E356" s="4" t="s">
        <v>1379</v>
      </c>
      <c r="F356" s="4" t="s">
        <v>128</v>
      </c>
      <c r="G356" s="4" t="s">
        <v>864</v>
      </c>
    </row>
    <row r="357" spans="1:7" x14ac:dyDescent="0.25">
      <c r="A357" s="4" t="s">
        <v>163</v>
      </c>
      <c r="B357" s="4" t="s">
        <v>394</v>
      </c>
      <c r="C357" s="4" t="s">
        <v>472</v>
      </c>
      <c r="D357" s="4" t="s">
        <v>682</v>
      </c>
      <c r="E357" s="4" t="s">
        <v>1380</v>
      </c>
      <c r="F357" s="4" t="s">
        <v>287</v>
      </c>
      <c r="G357" s="4" t="s">
        <v>864</v>
      </c>
    </row>
    <row r="358" spans="1:7" x14ac:dyDescent="0.25">
      <c r="A358" s="4" t="s">
        <v>163</v>
      </c>
      <c r="B358" s="4" t="s">
        <v>394</v>
      </c>
      <c r="C358" s="4" t="s">
        <v>411</v>
      </c>
      <c r="D358" s="4" t="s">
        <v>689</v>
      </c>
      <c r="E358" s="4" t="s">
        <v>1381</v>
      </c>
      <c r="F358" s="4" t="s">
        <v>363</v>
      </c>
      <c r="G358" s="4" t="s">
        <v>864</v>
      </c>
    </row>
    <row r="359" spans="1:7" x14ac:dyDescent="0.25">
      <c r="A359" s="4" t="s">
        <v>163</v>
      </c>
      <c r="B359" s="4" t="s">
        <v>387</v>
      </c>
      <c r="C359" s="4" t="s">
        <v>411</v>
      </c>
      <c r="D359" s="4" t="s">
        <v>690</v>
      </c>
      <c r="E359" s="4" t="s">
        <v>1382</v>
      </c>
      <c r="F359" s="4" t="s">
        <v>92</v>
      </c>
      <c r="G359" s="4" t="s">
        <v>864</v>
      </c>
    </row>
    <row r="360" spans="1:7" x14ac:dyDescent="0.25">
      <c r="A360" s="4" t="s">
        <v>163</v>
      </c>
      <c r="B360" s="4" t="s">
        <v>387</v>
      </c>
      <c r="C360" s="4" t="s">
        <v>412</v>
      </c>
      <c r="D360" s="4" t="s">
        <v>698</v>
      </c>
      <c r="E360" s="4" t="s">
        <v>1383</v>
      </c>
      <c r="F360" s="4" t="s">
        <v>361</v>
      </c>
      <c r="G360" s="4" t="s">
        <v>864</v>
      </c>
    </row>
    <row r="361" spans="1:7" x14ac:dyDescent="0.25">
      <c r="A361" s="4" t="s">
        <v>163</v>
      </c>
      <c r="B361" s="4" t="s">
        <v>394</v>
      </c>
      <c r="C361" s="4" t="s">
        <v>412</v>
      </c>
      <c r="D361" s="4" t="s">
        <v>699</v>
      </c>
      <c r="E361" s="4" t="s">
        <v>1384</v>
      </c>
      <c r="F361" s="4" t="s">
        <v>77</v>
      </c>
      <c r="G361" s="4" t="s">
        <v>864</v>
      </c>
    </row>
    <row r="362" spans="1:7" x14ac:dyDescent="0.25">
      <c r="A362" s="4" t="s">
        <v>163</v>
      </c>
      <c r="B362" s="4" t="s">
        <v>387</v>
      </c>
      <c r="C362" s="4" t="s">
        <v>412</v>
      </c>
      <c r="D362" s="4" t="s">
        <v>700</v>
      </c>
      <c r="E362" s="4" t="s">
        <v>1385</v>
      </c>
      <c r="F362" s="4" t="s">
        <v>92</v>
      </c>
      <c r="G362" s="4" t="s">
        <v>864</v>
      </c>
    </row>
    <row r="363" spans="1:7" x14ac:dyDescent="0.25">
      <c r="A363" s="4" t="s">
        <v>163</v>
      </c>
      <c r="B363" s="4" t="s">
        <v>394</v>
      </c>
      <c r="C363" s="4" t="s">
        <v>412</v>
      </c>
      <c r="D363" s="4" t="s">
        <v>701</v>
      </c>
      <c r="E363" s="4" t="s">
        <v>1386</v>
      </c>
      <c r="F363" s="4" t="s">
        <v>171</v>
      </c>
      <c r="G363" s="4" t="s">
        <v>864</v>
      </c>
    </row>
    <row r="364" spans="1:7" x14ac:dyDescent="0.25">
      <c r="A364" s="4" t="s">
        <v>163</v>
      </c>
      <c r="B364" s="4" t="s">
        <v>387</v>
      </c>
      <c r="C364" s="4" t="s">
        <v>412</v>
      </c>
      <c r="D364" s="4" t="s">
        <v>702</v>
      </c>
      <c r="E364" s="4" t="s">
        <v>1387</v>
      </c>
      <c r="F364" s="4" t="s">
        <v>313</v>
      </c>
      <c r="G364" s="4" t="s">
        <v>864</v>
      </c>
    </row>
    <row r="365" spans="1:7" x14ac:dyDescent="0.25">
      <c r="A365" s="4" t="s">
        <v>163</v>
      </c>
      <c r="B365" s="4" t="s">
        <v>387</v>
      </c>
      <c r="C365" s="4" t="s">
        <v>413</v>
      </c>
      <c r="D365" s="4" t="s">
        <v>708</v>
      </c>
      <c r="E365" s="4" t="s">
        <v>1388</v>
      </c>
      <c r="F365" s="4" t="s">
        <v>287</v>
      </c>
      <c r="G365" s="4" t="s">
        <v>864</v>
      </c>
    </row>
    <row r="366" spans="1:7" x14ac:dyDescent="0.25">
      <c r="A366" s="4" t="s">
        <v>163</v>
      </c>
      <c r="B366" s="4" t="s">
        <v>387</v>
      </c>
      <c r="C366" s="4" t="s">
        <v>413</v>
      </c>
      <c r="D366" s="4" t="s">
        <v>709</v>
      </c>
      <c r="E366" s="4" t="s">
        <v>1389</v>
      </c>
      <c r="F366" s="4" t="s">
        <v>187</v>
      </c>
      <c r="G366" s="4" t="s">
        <v>864</v>
      </c>
    </row>
    <row r="367" spans="1:7" x14ac:dyDescent="0.25">
      <c r="A367" s="4" t="s">
        <v>163</v>
      </c>
      <c r="B367" s="4" t="s">
        <v>387</v>
      </c>
      <c r="C367" s="4" t="s">
        <v>413</v>
      </c>
      <c r="D367" s="4" t="s">
        <v>710</v>
      </c>
      <c r="E367" s="4" t="s">
        <v>1390</v>
      </c>
      <c r="F367" s="4" t="s">
        <v>358</v>
      </c>
      <c r="G367" s="4" t="s">
        <v>864</v>
      </c>
    </row>
    <row r="368" spans="1:7" x14ac:dyDescent="0.25">
      <c r="A368" s="4" t="s">
        <v>163</v>
      </c>
      <c r="B368" s="4" t="s">
        <v>387</v>
      </c>
      <c r="C368" s="4" t="s">
        <v>413</v>
      </c>
      <c r="D368" s="4" t="s">
        <v>711</v>
      </c>
      <c r="E368" s="4" t="s">
        <v>866</v>
      </c>
      <c r="F368" s="4" t="s">
        <v>373</v>
      </c>
      <c r="G368" s="4" t="s">
        <v>864</v>
      </c>
    </row>
    <row r="369" spans="1:7" x14ac:dyDescent="0.25">
      <c r="A369" s="4" t="s">
        <v>163</v>
      </c>
      <c r="B369" s="4" t="s">
        <v>387</v>
      </c>
      <c r="C369" s="4" t="s">
        <v>413</v>
      </c>
      <c r="D369" s="4" t="s">
        <v>712</v>
      </c>
      <c r="E369" s="4" t="s">
        <v>1391</v>
      </c>
      <c r="F369" s="4" t="s">
        <v>128</v>
      </c>
      <c r="G369" s="4" t="s">
        <v>864</v>
      </c>
    </row>
    <row r="370" spans="1:7" x14ac:dyDescent="0.25">
      <c r="A370" s="4" t="s">
        <v>163</v>
      </c>
      <c r="B370" s="4" t="s">
        <v>387</v>
      </c>
      <c r="C370" s="4" t="s">
        <v>413</v>
      </c>
      <c r="D370" s="4" t="s">
        <v>713</v>
      </c>
      <c r="E370" s="4" t="s">
        <v>867</v>
      </c>
      <c r="F370" s="4" t="s">
        <v>51</v>
      </c>
      <c r="G370" s="4" t="s">
        <v>864</v>
      </c>
    </row>
    <row r="371" spans="1:7" x14ac:dyDescent="0.25">
      <c r="A371" s="4" t="s">
        <v>163</v>
      </c>
      <c r="B371" s="4" t="s">
        <v>387</v>
      </c>
      <c r="C371" s="4" t="s">
        <v>413</v>
      </c>
      <c r="D371" s="4" t="s">
        <v>714</v>
      </c>
      <c r="E371" s="4" t="s">
        <v>1392</v>
      </c>
      <c r="F371" s="4" t="s">
        <v>175</v>
      </c>
      <c r="G371" s="4" t="s">
        <v>864</v>
      </c>
    </row>
    <row r="372" spans="1:7" x14ac:dyDescent="0.25">
      <c r="A372" s="4" t="s">
        <v>163</v>
      </c>
      <c r="B372" s="4" t="s">
        <v>387</v>
      </c>
      <c r="C372" s="4" t="s">
        <v>413</v>
      </c>
      <c r="D372" s="4" t="s">
        <v>715</v>
      </c>
      <c r="E372" s="4" t="s">
        <v>1393</v>
      </c>
      <c r="F372" s="4" t="s">
        <v>175</v>
      </c>
      <c r="G372" s="4" t="s">
        <v>864</v>
      </c>
    </row>
    <row r="373" spans="1:7" x14ac:dyDescent="0.25">
      <c r="A373" s="4" t="s">
        <v>163</v>
      </c>
      <c r="B373" s="4" t="s">
        <v>387</v>
      </c>
      <c r="C373" s="4" t="s">
        <v>413</v>
      </c>
      <c r="D373" s="4" t="s">
        <v>717</v>
      </c>
      <c r="E373" s="4" t="s">
        <v>1394</v>
      </c>
      <c r="F373" s="4" t="s">
        <v>331</v>
      </c>
      <c r="G373" s="4" t="s">
        <v>864</v>
      </c>
    </row>
    <row r="374" spans="1:7" x14ac:dyDescent="0.25">
      <c r="A374" s="4" t="s">
        <v>163</v>
      </c>
      <c r="B374" s="4" t="s">
        <v>394</v>
      </c>
      <c r="C374" s="4" t="s">
        <v>413</v>
      </c>
      <c r="D374" s="4" t="s">
        <v>718</v>
      </c>
      <c r="E374" s="4" t="s">
        <v>1395</v>
      </c>
      <c r="F374" s="4" t="s">
        <v>77</v>
      </c>
      <c r="G374" s="4" t="s">
        <v>864</v>
      </c>
    </row>
    <row r="375" spans="1:7" x14ac:dyDescent="0.25">
      <c r="A375" s="4" t="s">
        <v>163</v>
      </c>
      <c r="B375" s="4" t="s">
        <v>394</v>
      </c>
      <c r="C375" s="4" t="s">
        <v>413</v>
      </c>
      <c r="D375" s="4" t="s">
        <v>719</v>
      </c>
      <c r="E375" s="4" t="s">
        <v>1396</v>
      </c>
      <c r="F375" s="4" t="s">
        <v>77</v>
      </c>
      <c r="G375" s="4" t="s">
        <v>864</v>
      </c>
    </row>
    <row r="376" spans="1:7" x14ac:dyDescent="0.25">
      <c r="A376" s="4" t="s">
        <v>163</v>
      </c>
      <c r="B376" s="4" t="s">
        <v>394</v>
      </c>
      <c r="C376" s="4" t="s">
        <v>413</v>
      </c>
      <c r="D376" s="4" t="s">
        <v>720</v>
      </c>
      <c r="E376" s="4" t="s">
        <v>870</v>
      </c>
      <c r="F376" s="4" t="s">
        <v>136</v>
      </c>
      <c r="G376" s="4" t="s">
        <v>864</v>
      </c>
    </row>
    <row r="377" spans="1:7" x14ac:dyDescent="0.25">
      <c r="A377" s="4" t="s">
        <v>163</v>
      </c>
      <c r="B377" s="4" t="s">
        <v>394</v>
      </c>
      <c r="C377" s="4" t="s">
        <v>413</v>
      </c>
      <c r="D377" s="4" t="s">
        <v>721</v>
      </c>
      <c r="E377" s="4" t="s">
        <v>873</v>
      </c>
      <c r="F377" s="4" t="s">
        <v>287</v>
      </c>
      <c r="G377" s="4" t="s">
        <v>864</v>
      </c>
    </row>
    <row r="378" spans="1:7" x14ac:dyDescent="0.25">
      <c r="A378" s="4" t="s">
        <v>163</v>
      </c>
      <c r="B378" s="4" t="s">
        <v>394</v>
      </c>
      <c r="C378" s="4" t="s">
        <v>413</v>
      </c>
      <c r="D378" s="4" t="s">
        <v>722</v>
      </c>
      <c r="E378" s="4" t="s">
        <v>1397</v>
      </c>
      <c r="F378" s="4" t="s">
        <v>253</v>
      </c>
      <c r="G378" s="4" t="s">
        <v>864</v>
      </c>
    </row>
    <row r="379" spans="1:7" x14ac:dyDescent="0.25">
      <c r="A379" s="4" t="s">
        <v>163</v>
      </c>
      <c r="B379" s="4" t="s">
        <v>394</v>
      </c>
      <c r="C379" s="4" t="s">
        <v>413</v>
      </c>
      <c r="D379" s="4" t="s">
        <v>723</v>
      </c>
      <c r="E379" s="4" t="s">
        <v>1398</v>
      </c>
      <c r="F379" s="4" t="s">
        <v>175</v>
      </c>
      <c r="G379" s="4" t="s">
        <v>864</v>
      </c>
    </row>
    <row r="380" spans="1:7" x14ac:dyDescent="0.25">
      <c r="A380" s="4" t="s">
        <v>163</v>
      </c>
      <c r="B380" s="4" t="s">
        <v>394</v>
      </c>
      <c r="C380" s="4" t="s">
        <v>414</v>
      </c>
      <c r="D380" s="4" t="s">
        <v>724</v>
      </c>
      <c r="E380" s="4" t="s">
        <v>875</v>
      </c>
      <c r="F380" s="4" t="s">
        <v>363</v>
      </c>
      <c r="G380" s="4" t="s">
        <v>864</v>
      </c>
    </row>
    <row r="381" spans="1:7" x14ac:dyDescent="0.25">
      <c r="A381" s="4" t="s">
        <v>163</v>
      </c>
      <c r="B381" s="4" t="s">
        <v>394</v>
      </c>
      <c r="C381" s="4" t="s">
        <v>414</v>
      </c>
      <c r="D381" s="4" t="s">
        <v>727</v>
      </c>
      <c r="E381" s="4" t="s">
        <v>1219</v>
      </c>
      <c r="F381" s="4" t="s">
        <v>331</v>
      </c>
      <c r="G381" s="4" t="s">
        <v>864</v>
      </c>
    </row>
    <row r="382" spans="1:7" x14ac:dyDescent="0.25">
      <c r="A382" s="4" t="s">
        <v>163</v>
      </c>
      <c r="B382" s="4" t="s">
        <v>394</v>
      </c>
      <c r="C382" s="4" t="s">
        <v>414</v>
      </c>
      <c r="D382" s="4" t="s">
        <v>728</v>
      </c>
      <c r="E382" s="4" t="s">
        <v>1399</v>
      </c>
      <c r="F382" s="4" t="s">
        <v>361</v>
      </c>
      <c r="G382" s="4" t="s">
        <v>864</v>
      </c>
    </row>
    <row r="383" spans="1:7" x14ac:dyDescent="0.25">
      <c r="A383" s="4" t="s">
        <v>163</v>
      </c>
      <c r="B383" s="4" t="s">
        <v>394</v>
      </c>
      <c r="C383" s="4" t="s">
        <v>414</v>
      </c>
      <c r="D383" s="4" t="s">
        <v>729</v>
      </c>
      <c r="E383" s="4" t="s">
        <v>1399</v>
      </c>
      <c r="F383" s="4" t="s">
        <v>361</v>
      </c>
      <c r="G383" s="4" t="s">
        <v>864</v>
      </c>
    </row>
    <row r="384" spans="1:7" x14ac:dyDescent="0.25">
      <c r="A384" s="4" t="s">
        <v>163</v>
      </c>
      <c r="B384" s="4" t="s">
        <v>394</v>
      </c>
      <c r="C384" s="4" t="s">
        <v>414</v>
      </c>
      <c r="D384" s="4" t="s">
        <v>730</v>
      </c>
      <c r="E384" s="4" t="s">
        <v>1400</v>
      </c>
      <c r="F384" s="4" t="s">
        <v>363</v>
      </c>
      <c r="G384" s="4" t="s">
        <v>864</v>
      </c>
    </row>
    <row r="385" spans="1:7" x14ac:dyDescent="0.25">
      <c r="A385" s="4" t="s">
        <v>163</v>
      </c>
      <c r="B385" s="4" t="s">
        <v>394</v>
      </c>
      <c r="C385" s="4" t="s">
        <v>414</v>
      </c>
      <c r="D385" s="4" t="s">
        <v>732</v>
      </c>
      <c r="E385" s="4" t="s">
        <v>1215</v>
      </c>
      <c r="F385" s="4" t="s">
        <v>159</v>
      </c>
      <c r="G385" s="4" t="s">
        <v>864</v>
      </c>
    </row>
    <row r="386" spans="1:7" x14ac:dyDescent="0.25">
      <c r="A386" s="4" t="s">
        <v>163</v>
      </c>
      <c r="B386" s="4" t="s">
        <v>394</v>
      </c>
      <c r="C386" s="4" t="s">
        <v>414</v>
      </c>
      <c r="D386" s="4" t="s">
        <v>733</v>
      </c>
      <c r="E386" s="4" t="s">
        <v>1401</v>
      </c>
      <c r="F386" s="4" t="s">
        <v>287</v>
      </c>
      <c r="G386" s="4" t="s">
        <v>864</v>
      </c>
    </row>
    <row r="387" spans="1:7" x14ac:dyDescent="0.25">
      <c r="A387" s="4" t="s">
        <v>163</v>
      </c>
      <c r="B387" s="4" t="s">
        <v>394</v>
      </c>
      <c r="C387" s="4" t="s">
        <v>414</v>
      </c>
      <c r="D387" s="4" t="s">
        <v>734</v>
      </c>
      <c r="E387" s="4" t="s">
        <v>1401</v>
      </c>
      <c r="F387" s="4" t="s">
        <v>287</v>
      </c>
      <c r="G387" s="4" t="s">
        <v>864</v>
      </c>
    </row>
    <row r="388" spans="1:7" x14ac:dyDescent="0.25">
      <c r="A388" s="4" t="s">
        <v>163</v>
      </c>
      <c r="B388" s="4" t="s">
        <v>394</v>
      </c>
      <c r="C388" s="4" t="s">
        <v>414</v>
      </c>
      <c r="D388" s="4" t="s">
        <v>735</v>
      </c>
      <c r="E388" s="4" t="s">
        <v>876</v>
      </c>
      <c r="F388" s="4" t="s">
        <v>66</v>
      </c>
      <c r="G388" s="4" t="s">
        <v>864</v>
      </c>
    </row>
    <row r="389" spans="1:7" x14ac:dyDescent="0.25">
      <c r="A389" s="4" t="s">
        <v>163</v>
      </c>
      <c r="B389" s="4" t="s">
        <v>394</v>
      </c>
      <c r="C389" s="4" t="s">
        <v>414</v>
      </c>
      <c r="D389" s="4" t="s">
        <v>736</v>
      </c>
      <c r="E389" s="4" t="s">
        <v>1402</v>
      </c>
      <c r="F389" s="4" t="s">
        <v>21</v>
      </c>
      <c r="G389" s="4" t="s">
        <v>864</v>
      </c>
    </row>
    <row r="390" spans="1:7" x14ac:dyDescent="0.25">
      <c r="A390" s="4" t="s">
        <v>163</v>
      </c>
      <c r="B390" s="4" t="s">
        <v>394</v>
      </c>
      <c r="C390" s="4" t="s">
        <v>414</v>
      </c>
      <c r="D390" s="4" t="s">
        <v>737</v>
      </c>
      <c r="E390" s="4" t="s">
        <v>1403</v>
      </c>
      <c r="F390" s="4" t="s">
        <v>361</v>
      </c>
      <c r="G390" s="4" t="s">
        <v>864</v>
      </c>
    </row>
    <row r="391" spans="1:7" x14ac:dyDescent="0.25">
      <c r="A391" s="4" t="s">
        <v>163</v>
      </c>
      <c r="B391" s="4" t="s">
        <v>394</v>
      </c>
      <c r="C391" s="4" t="s">
        <v>414</v>
      </c>
      <c r="D391" s="4" t="s">
        <v>738</v>
      </c>
      <c r="E391" s="4" t="s">
        <v>1216</v>
      </c>
      <c r="F391" s="4" t="s">
        <v>363</v>
      </c>
      <c r="G391" s="4" t="s">
        <v>864</v>
      </c>
    </row>
    <row r="392" spans="1:7" x14ac:dyDescent="0.25">
      <c r="A392" s="4" t="s">
        <v>163</v>
      </c>
      <c r="B392" s="4" t="s">
        <v>387</v>
      </c>
      <c r="C392" s="4" t="s">
        <v>414</v>
      </c>
      <c r="D392" s="4" t="s">
        <v>742</v>
      </c>
      <c r="E392" s="4" t="s">
        <v>1404</v>
      </c>
      <c r="F392" s="4" t="s">
        <v>128</v>
      </c>
      <c r="G392" s="4" t="s">
        <v>864</v>
      </c>
    </row>
    <row r="393" spans="1:7" x14ac:dyDescent="0.25">
      <c r="A393" s="4" t="s">
        <v>163</v>
      </c>
      <c r="B393" s="4" t="s">
        <v>387</v>
      </c>
      <c r="C393" s="4" t="s">
        <v>414</v>
      </c>
      <c r="D393" s="4" t="s">
        <v>743</v>
      </c>
      <c r="E393" s="4" t="s">
        <v>1405</v>
      </c>
      <c r="F393" s="4" t="s">
        <v>37</v>
      </c>
      <c r="G393" s="4" t="s">
        <v>864</v>
      </c>
    </row>
    <row r="394" spans="1:7" x14ac:dyDescent="0.25">
      <c r="A394" s="4" t="s">
        <v>163</v>
      </c>
      <c r="B394" s="4" t="s">
        <v>387</v>
      </c>
      <c r="C394" s="4" t="s">
        <v>414</v>
      </c>
      <c r="D394" s="4" t="s">
        <v>744</v>
      </c>
      <c r="E394" s="4" t="s">
        <v>1406</v>
      </c>
      <c r="F394" s="4" t="s">
        <v>319</v>
      </c>
      <c r="G394" s="4" t="s">
        <v>864</v>
      </c>
    </row>
    <row r="395" spans="1:7" x14ac:dyDescent="0.25">
      <c r="A395" s="4" t="s">
        <v>163</v>
      </c>
      <c r="B395" s="4" t="s">
        <v>387</v>
      </c>
      <c r="C395" s="4" t="s">
        <v>414</v>
      </c>
      <c r="D395" s="4" t="s">
        <v>745</v>
      </c>
      <c r="E395" s="4" t="s">
        <v>1223</v>
      </c>
      <c r="F395" s="4" t="s">
        <v>77</v>
      </c>
      <c r="G395" s="4" t="s">
        <v>864</v>
      </c>
    </row>
    <row r="396" spans="1:7" x14ac:dyDescent="0.25">
      <c r="A396" s="4" t="s">
        <v>163</v>
      </c>
      <c r="B396" s="4" t="s">
        <v>387</v>
      </c>
      <c r="C396" s="4" t="s">
        <v>414</v>
      </c>
      <c r="D396" s="4" t="s">
        <v>746</v>
      </c>
      <c r="E396" s="4" t="s">
        <v>1407</v>
      </c>
      <c r="F396" s="4" t="s">
        <v>363</v>
      </c>
      <c r="G396" s="4" t="s">
        <v>864</v>
      </c>
    </row>
    <row r="397" spans="1:7" x14ac:dyDescent="0.25">
      <c r="A397" s="4" t="s">
        <v>163</v>
      </c>
      <c r="B397" s="4" t="s">
        <v>387</v>
      </c>
      <c r="C397" s="4" t="s">
        <v>414</v>
      </c>
      <c r="D397" s="4" t="s">
        <v>747</v>
      </c>
      <c r="E397" s="4" t="s">
        <v>1408</v>
      </c>
      <c r="F397" s="4" t="s">
        <v>77</v>
      </c>
      <c r="G397" s="4" t="s">
        <v>864</v>
      </c>
    </row>
    <row r="398" spans="1:7" x14ac:dyDescent="0.25">
      <c r="A398" s="4" t="s">
        <v>163</v>
      </c>
      <c r="B398" s="4" t="s">
        <v>387</v>
      </c>
      <c r="C398" s="4" t="s">
        <v>414</v>
      </c>
      <c r="D398" s="4" t="s">
        <v>748</v>
      </c>
      <c r="E398" s="4" t="s">
        <v>1409</v>
      </c>
      <c r="F398" s="4" t="s">
        <v>21</v>
      </c>
      <c r="G398" s="4" t="s">
        <v>864</v>
      </c>
    </row>
    <row r="399" spans="1:7" x14ac:dyDescent="0.25">
      <c r="A399" s="4" t="s">
        <v>163</v>
      </c>
      <c r="B399" s="4" t="s">
        <v>387</v>
      </c>
      <c r="C399" s="4" t="s">
        <v>414</v>
      </c>
      <c r="D399" s="4" t="s">
        <v>749</v>
      </c>
      <c r="E399" s="4" t="s">
        <v>1410</v>
      </c>
      <c r="F399" s="4" t="s">
        <v>319</v>
      </c>
      <c r="G399" s="4" t="s">
        <v>864</v>
      </c>
    </row>
    <row r="400" spans="1:7" x14ac:dyDescent="0.25">
      <c r="A400" s="4" t="s">
        <v>163</v>
      </c>
      <c r="B400" s="4" t="s">
        <v>387</v>
      </c>
      <c r="C400" s="4" t="s">
        <v>414</v>
      </c>
      <c r="D400" s="4" t="s">
        <v>750</v>
      </c>
      <c r="E400" s="4" t="s">
        <v>1411</v>
      </c>
      <c r="F400" s="4" t="s">
        <v>363</v>
      </c>
      <c r="G400" s="4" t="s">
        <v>864</v>
      </c>
    </row>
    <row r="401" spans="1:7" x14ac:dyDescent="0.25">
      <c r="A401" s="4" t="s">
        <v>163</v>
      </c>
      <c r="B401" s="4" t="s">
        <v>387</v>
      </c>
      <c r="C401" s="4" t="s">
        <v>414</v>
      </c>
      <c r="D401" s="4" t="s">
        <v>751</v>
      </c>
      <c r="E401" s="4" t="s">
        <v>1230</v>
      </c>
      <c r="F401" s="4" t="s">
        <v>363</v>
      </c>
      <c r="G401" s="4" t="s">
        <v>864</v>
      </c>
    </row>
    <row r="402" spans="1:7" x14ac:dyDescent="0.25">
      <c r="A402" s="4" t="s">
        <v>163</v>
      </c>
      <c r="B402" s="4" t="s">
        <v>387</v>
      </c>
      <c r="C402" s="4" t="s">
        <v>414</v>
      </c>
      <c r="D402" s="4" t="s">
        <v>753</v>
      </c>
      <c r="E402" s="4" t="s">
        <v>1413</v>
      </c>
      <c r="F402" s="4" t="s">
        <v>179</v>
      </c>
      <c r="G402" s="4" t="s">
        <v>864</v>
      </c>
    </row>
    <row r="403" spans="1:7" x14ac:dyDescent="0.25">
      <c r="A403" s="4" t="s">
        <v>163</v>
      </c>
      <c r="B403" s="4" t="s">
        <v>387</v>
      </c>
      <c r="C403" s="4" t="s">
        <v>414</v>
      </c>
      <c r="D403" s="4" t="s">
        <v>754</v>
      </c>
      <c r="E403" s="4" t="s">
        <v>1231</v>
      </c>
      <c r="F403" s="4" t="s">
        <v>179</v>
      </c>
      <c r="G403" s="4" t="s">
        <v>864</v>
      </c>
    </row>
    <row r="404" spans="1:7" x14ac:dyDescent="0.25">
      <c r="A404" s="4" t="s">
        <v>163</v>
      </c>
      <c r="B404" s="4" t="s">
        <v>387</v>
      </c>
      <c r="C404" s="4" t="s">
        <v>414</v>
      </c>
      <c r="D404" s="4" t="s">
        <v>755</v>
      </c>
      <c r="E404" s="4" t="s">
        <v>1414</v>
      </c>
      <c r="F404" s="4" t="s">
        <v>363</v>
      </c>
      <c r="G404" s="4" t="s">
        <v>864</v>
      </c>
    </row>
    <row r="405" spans="1:7" x14ac:dyDescent="0.25">
      <c r="A405" s="4" t="s">
        <v>163</v>
      </c>
      <c r="B405" s="4" t="s">
        <v>394</v>
      </c>
      <c r="C405" s="4" t="s">
        <v>415</v>
      </c>
      <c r="D405" s="4" t="s">
        <v>547</v>
      </c>
      <c r="E405" s="4" t="s">
        <v>1415</v>
      </c>
      <c r="F405" s="4" t="s">
        <v>77</v>
      </c>
      <c r="G405" s="4" t="s">
        <v>864</v>
      </c>
    </row>
    <row r="406" spans="1:7" x14ac:dyDescent="0.25">
      <c r="A406" s="4" t="s">
        <v>163</v>
      </c>
      <c r="B406" s="4" t="s">
        <v>387</v>
      </c>
      <c r="C406" s="4" t="s">
        <v>415</v>
      </c>
      <c r="D406" s="4" t="s">
        <v>546</v>
      </c>
      <c r="E406" s="4" t="s">
        <v>1416</v>
      </c>
      <c r="F406" s="4" t="s">
        <v>77</v>
      </c>
      <c r="G406" s="4" t="s">
        <v>864</v>
      </c>
    </row>
    <row r="407" spans="1:7" x14ac:dyDescent="0.25">
      <c r="A407" s="4" t="s">
        <v>163</v>
      </c>
      <c r="B407" s="4" t="s">
        <v>387</v>
      </c>
      <c r="C407" s="4" t="s">
        <v>416</v>
      </c>
      <c r="D407" s="4" t="s">
        <v>762</v>
      </c>
      <c r="E407" s="4" t="s">
        <v>1417</v>
      </c>
      <c r="F407" s="4" t="s">
        <v>343</v>
      </c>
      <c r="G407" s="4" t="s">
        <v>864</v>
      </c>
    </row>
    <row r="408" spans="1:7" x14ac:dyDescent="0.25">
      <c r="A408" s="4" t="s">
        <v>163</v>
      </c>
      <c r="B408" s="4" t="s">
        <v>387</v>
      </c>
      <c r="C408" s="4" t="s">
        <v>416</v>
      </c>
      <c r="D408" s="4" t="s">
        <v>763</v>
      </c>
      <c r="E408" s="4" t="s">
        <v>1418</v>
      </c>
      <c r="F408" s="4" t="s">
        <v>287</v>
      </c>
      <c r="G408" s="4" t="s">
        <v>864</v>
      </c>
    </row>
    <row r="409" spans="1:7" x14ac:dyDescent="0.25">
      <c r="A409" s="4" t="s">
        <v>163</v>
      </c>
      <c r="B409" s="4" t="s">
        <v>387</v>
      </c>
      <c r="C409" s="4" t="s">
        <v>416</v>
      </c>
      <c r="D409" s="4" t="s">
        <v>764</v>
      </c>
      <c r="E409" s="4" t="s">
        <v>1419</v>
      </c>
      <c r="F409" s="4" t="s">
        <v>361</v>
      </c>
      <c r="G409" s="4" t="s">
        <v>864</v>
      </c>
    </row>
    <row r="410" spans="1:7" x14ac:dyDescent="0.25">
      <c r="A410" s="4" t="s">
        <v>163</v>
      </c>
      <c r="B410" s="4" t="s">
        <v>387</v>
      </c>
      <c r="C410" s="4" t="s">
        <v>416</v>
      </c>
      <c r="D410" s="4" t="s">
        <v>765</v>
      </c>
      <c r="E410" s="4" t="s">
        <v>1420</v>
      </c>
      <c r="F410" s="4" t="s">
        <v>257</v>
      </c>
      <c r="G410" s="4" t="s">
        <v>864</v>
      </c>
    </row>
    <row r="411" spans="1:7" x14ac:dyDescent="0.25">
      <c r="A411" s="4" t="s">
        <v>163</v>
      </c>
      <c r="B411" s="4" t="s">
        <v>394</v>
      </c>
      <c r="C411" s="4" t="s">
        <v>416</v>
      </c>
      <c r="D411" s="4" t="s">
        <v>766</v>
      </c>
      <c r="E411" s="4" t="s">
        <v>1421</v>
      </c>
      <c r="F411" s="4" t="s">
        <v>536</v>
      </c>
      <c r="G411" s="4" t="s">
        <v>864</v>
      </c>
    </row>
    <row r="412" spans="1:7" x14ac:dyDescent="0.25">
      <c r="A412" s="4" t="s">
        <v>163</v>
      </c>
      <c r="B412" s="4" t="s">
        <v>394</v>
      </c>
      <c r="C412" s="4" t="s">
        <v>416</v>
      </c>
      <c r="D412" s="4" t="s">
        <v>767</v>
      </c>
      <c r="E412" s="4" t="s">
        <v>1422</v>
      </c>
      <c r="F412" s="4" t="s">
        <v>321</v>
      </c>
      <c r="G412" s="4" t="s">
        <v>864</v>
      </c>
    </row>
    <row r="413" spans="1:7" x14ac:dyDescent="0.25">
      <c r="A413" s="4" t="s">
        <v>163</v>
      </c>
      <c r="B413" s="4" t="s">
        <v>394</v>
      </c>
      <c r="C413" s="4" t="s">
        <v>416</v>
      </c>
      <c r="D413" s="4" t="s">
        <v>768</v>
      </c>
      <c r="E413" s="4" t="s">
        <v>1423</v>
      </c>
      <c r="F413" s="4" t="s">
        <v>128</v>
      </c>
      <c r="G413" s="4" t="s">
        <v>864</v>
      </c>
    </row>
    <row r="414" spans="1:7" x14ac:dyDescent="0.25">
      <c r="A414" s="4" t="s">
        <v>163</v>
      </c>
      <c r="B414" s="4" t="s">
        <v>394</v>
      </c>
      <c r="C414" s="4" t="s">
        <v>416</v>
      </c>
      <c r="D414" s="4" t="s">
        <v>769</v>
      </c>
      <c r="E414" s="4" t="s">
        <v>1424</v>
      </c>
      <c r="F414" s="4" t="s">
        <v>229</v>
      </c>
      <c r="G414" s="4" t="s">
        <v>864</v>
      </c>
    </row>
    <row r="415" spans="1:7" x14ac:dyDescent="0.25">
      <c r="A415" s="4" t="s">
        <v>163</v>
      </c>
      <c r="B415" s="4" t="s">
        <v>387</v>
      </c>
      <c r="C415" s="4" t="s">
        <v>417</v>
      </c>
      <c r="D415" s="4" t="s">
        <v>546</v>
      </c>
      <c r="E415" s="4" t="s">
        <v>1425</v>
      </c>
      <c r="F415" s="4" t="s">
        <v>16</v>
      </c>
      <c r="G415" s="4" t="s">
        <v>864</v>
      </c>
    </row>
    <row r="416" spans="1:7" x14ac:dyDescent="0.25">
      <c r="A416" s="4" t="s">
        <v>163</v>
      </c>
      <c r="B416" s="4" t="s">
        <v>394</v>
      </c>
      <c r="C416" s="4" t="s">
        <v>417</v>
      </c>
      <c r="D416" s="4" t="s">
        <v>547</v>
      </c>
      <c r="E416" s="4" t="s">
        <v>1426</v>
      </c>
      <c r="F416" s="4" t="s">
        <v>136</v>
      </c>
      <c r="G416" s="4" t="s">
        <v>864</v>
      </c>
    </row>
    <row r="417" spans="1:7" x14ac:dyDescent="0.25">
      <c r="A417" s="4" t="s">
        <v>163</v>
      </c>
      <c r="B417" s="4" t="s">
        <v>387</v>
      </c>
      <c r="C417" s="4" t="s">
        <v>474</v>
      </c>
      <c r="D417" s="4" t="s">
        <v>387</v>
      </c>
      <c r="E417" s="4" t="s">
        <v>1427</v>
      </c>
      <c r="F417" s="4" t="s">
        <v>77</v>
      </c>
      <c r="G417" s="4" t="s">
        <v>864</v>
      </c>
    </row>
    <row r="418" spans="1:7" x14ac:dyDescent="0.25">
      <c r="A418" s="4" t="s">
        <v>163</v>
      </c>
      <c r="B418" s="4" t="s">
        <v>394</v>
      </c>
      <c r="C418" s="4" t="s">
        <v>474</v>
      </c>
      <c r="D418" s="4" t="s">
        <v>394</v>
      </c>
      <c r="E418" s="4" t="s">
        <v>1428</v>
      </c>
      <c r="F418" s="4" t="s">
        <v>361</v>
      </c>
      <c r="G418" s="4" t="s">
        <v>864</v>
      </c>
    </row>
    <row r="419" spans="1:7" x14ac:dyDescent="0.25">
      <c r="A419" s="4" t="s">
        <v>163</v>
      </c>
      <c r="B419" s="4" t="s">
        <v>387</v>
      </c>
      <c r="C419" s="4" t="s">
        <v>418</v>
      </c>
      <c r="D419" s="4" t="s">
        <v>387</v>
      </c>
      <c r="E419" s="4" t="s">
        <v>1429</v>
      </c>
      <c r="F419" s="4" t="s">
        <v>361</v>
      </c>
      <c r="G419" s="4" t="s">
        <v>864</v>
      </c>
    </row>
    <row r="420" spans="1:7" x14ac:dyDescent="0.25">
      <c r="A420" s="4" t="s">
        <v>163</v>
      </c>
      <c r="B420" s="4" t="s">
        <v>394</v>
      </c>
      <c r="C420" s="4" t="s">
        <v>418</v>
      </c>
      <c r="D420" s="4" t="s">
        <v>394</v>
      </c>
      <c r="E420" s="4" t="s">
        <v>1430</v>
      </c>
      <c r="F420" s="4" t="s">
        <v>333</v>
      </c>
      <c r="G420" s="4" t="s">
        <v>864</v>
      </c>
    </row>
    <row r="421" spans="1:7" x14ac:dyDescent="0.25">
      <c r="A421" s="4" t="s">
        <v>163</v>
      </c>
      <c r="B421" s="4" t="s">
        <v>387</v>
      </c>
      <c r="C421" s="4" t="s">
        <v>421</v>
      </c>
      <c r="D421" s="4" t="s">
        <v>778</v>
      </c>
      <c r="E421" s="4" t="s">
        <v>1431</v>
      </c>
      <c r="F421" s="4" t="s">
        <v>186</v>
      </c>
      <c r="G421" s="4" t="s">
        <v>864</v>
      </c>
    </row>
    <row r="422" spans="1:7" x14ac:dyDescent="0.25">
      <c r="A422" s="4" t="s">
        <v>163</v>
      </c>
      <c r="B422" s="4" t="s">
        <v>387</v>
      </c>
      <c r="C422" s="4" t="s">
        <v>421</v>
      </c>
      <c r="D422" s="4" t="s">
        <v>779</v>
      </c>
      <c r="E422" s="4" t="s">
        <v>1432</v>
      </c>
      <c r="F422" s="4" t="s">
        <v>165</v>
      </c>
      <c r="G422" s="4" t="s">
        <v>864</v>
      </c>
    </row>
    <row r="423" spans="1:7" x14ac:dyDescent="0.25">
      <c r="A423" s="4" t="s">
        <v>163</v>
      </c>
      <c r="B423" s="4" t="s">
        <v>387</v>
      </c>
      <c r="C423" s="4" t="s">
        <v>421</v>
      </c>
      <c r="D423" s="4" t="s">
        <v>780</v>
      </c>
      <c r="E423" s="4" t="s">
        <v>1433</v>
      </c>
      <c r="F423" s="4" t="s">
        <v>352</v>
      </c>
      <c r="G423" s="4" t="s">
        <v>864</v>
      </c>
    </row>
    <row r="424" spans="1:7" x14ac:dyDescent="0.25">
      <c r="A424" s="4" t="s">
        <v>163</v>
      </c>
      <c r="B424" s="4" t="s">
        <v>387</v>
      </c>
      <c r="C424" s="4" t="s">
        <v>421</v>
      </c>
      <c r="D424" s="4" t="s">
        <v>781</v>
      </c>
      <c r="E424" s="4" t="s">
        <v>1434</v>
      </c>
      <c r="F424" s="4" t="s">
        <v>77</v>
      </c>
      <c r="G424" s="4" t="s">
        <v>864</v>
      </c>
    </row>
    <row r="425" spans="1:7" x14ac:dyDescent="0.25">
      <c r="A425" s="4" t="s">
        <v>163</v>
      </c>
      <c r="B425" s="4" t="s">
        <v>387</v>
      </c>
      <c r="C425" s="4" t="s">
        <v>421</v>
      </c>
      <c r="D425" s="4" t="s">
        <v>782</v>
      </c>
      <c r="E425" s="4" t="s">
        <v>1435</v>
      </c>
      <c r="F425" s="4" t="s">
        <v>77</v>
      </c>
      <c r="G425" s="4" t="s">
        <v>864</v>
      </c>
    </row>
    <row r="426" spans="1:7" x14ac:dyDescent="0.25">
      <c r="A426" s="4" t="s">
        <v>163</v>
      </c>
      <c r="B426" s="4" t="s">
        <v>387</v>
      </c>
      <c r="C426" s="4" t="s">
        <v>421</v>
      </c>
      <c r="D426" s="4" t="s">
        <v>783</v>
      </c>
      <c r="E426" s="4" t="s">
        <v>1436</v>
      </c>
      <c r="F426" s="4" t="s">
        <v>35</v>
      </c>
      <c r="G426" s="4" t="s">
        <v>864</v>
      </c>
    </row>
    <row r="427" spans="1:7" x14ac:dyDescent="0.25">
      <c r="A427" s="4" t="s">
        <v>163</v>
      </c>
      <c r="B427" s="4" t="s">
        <v>387</v>
      </c>
      <c r="C427" s="4" t="s">
        <v>421</v>
      </c>
      <c r="D427" s="4" t="s">
        <v>784</v>
      </c>
      <c r="E427" s="4" t="s">
        <v>1437</v>
      </c>
      <c r="F427" s="4" t="s">
        <v>18</v>
      </c>
      <c r="G427" s="4" t="s">
        <v>864</v>
      </c>
    </row>
    <row r="428" spans="1:7" x14ac:dyDescent="0.25">
      <c r="A428" s="4" t="s">
        <v>163</v>
      </c>
      <c r="B428" s="4" t="s">
        <v>387</v>
      </c>
      <c r="C428" s="4" t="s">
        <v>421</v>
      </c>
      <c r="D428" s="4" t="s">
        <v>785</v>
      </c>
      <c r="E428" s="4" t="s">
        <v>1438</v>
      </c>
      <c r="F428" s="4" t="s">
        <v>18</v>
      </c>
      <c r="G428" s="4" t="s">
        <v>864</v>
      </c>
    </row>
    <row r="429" spans="1:7" x14ac:dyDescent="0.25">
      <c r="A429" s="4" t="s">
        <v>163</v>
      </c>
      <c r="B429" s="4" t="s">
        <v>394</v>
      </c>
      <c r="C429" s="4" t="s">
        <v>421</v>
      </c>
      <c r="D429" s="4" t="s">
        <v>786</v>
      </c>
      <c r="E429" s="4" t="s">
        <v>1439</v>
      </c>
      <c r="F429" s="4" t="s">
        <v>165</v>
      </c>
      <c r="G429" s="4" t="s">
        <v>864</v>
      </c>
    </row>
    <row r="430" spans="1:7" x14ac:dyDescent="0.25">
      <c r="A430" s="4" t="s">
        <v>163</v>
      </c>
      <c r="B430" s="4" t="s">
        <v>394</v>
      </c>
      <c r="C430" s="4" t="s">
        <v>421</v>
      </c>
      <c r="D430" s="4" t="s">
        <v>787</v>
      </c>
      <c r="E430" s="4" t="s">
        <v>1440</v>
      </c>
      <c r="F430" s="4" t="s">
        <v>278</v>
      </c>
      <c r="G430" s="4" t="s">
        <v>864</v>
      </c>
    </row>
    <row r="431" spans="1:7" x14ac:dyDescent="0.25">
      <c r="A431" s="4" t="s">
        <v>163</v>
      </c>
      <c r="B431" s="4" t="s">
        <v>394</v>
      </c>
      <c r="C431" s="4" t="s">
        <v>421</v>
      </c>
      <c r="D431" s="4" t="s">
        <v>788</v>
      </c>
      <c r="E431" s="4" t="s">
        <v>1441</v>
      </c>
      <c r="F431" s="4" t="s">
        <v>343</v>
      </c>
      <c r="G431" s="4" t="s">
        <v>864</v>
      </c>
    </row>
    <row r="432" spans="1:7" x14ac:dyDescent="0.25">
      <c r="A432" s="4" t="s">
        <v>163</v>
      </c>
      <c r="B432" s="4" t="s">
        <v>394</v>
      </c>
      <c r="C432" s="4" t="s">
        <v>421</v>
      </c>
      <c r="D432" s="4" t="s">
        <v>789</v>
      </c>
      <c r="E432" s="4" t="s">
        <v>1442</v>
      </c>
      <c r="F432" s="4" t="s">
        <v>186</v>
      </c>
      <c r="G432" s="4" t="s">
        <v>864</v>
      </c>
    </row>
    <row r="433" spans="1:7" x14ac:dyDescent="0.25">
      <c r="A433" s="4" t="s">
        <v>163</v>
      </c>
      <c r="B433" s="4" t="s">
        <v>394</v>
      </c>
      <c r="C433" s="4" t="s">
        <v>421</v>
      </c>
      <c r="D433" s="4" t="s">
        <v>790</v>
      </c>
      <c r="E433" s="4" t="s">
        <v>1443</v>
      </c>
      <c r="F433" s="4" t="s">
        <v>183</v>
      </c>
      <c r="G433" s="4" t="s">
        <v>864</v>
      </c>
    </row>
    <row r="434" spans="1:7" x14ac:dyDescent="0.25">
      <c r="A434" s="4" t="s">
        <v>163</v>
      </c>
      <c r="B434" s="4" t="s">
        <v>394</v>
      </c>
      <c r="C434" s="4" t="s">
        <v>421</v>
      </c>
      <c r="D434" s="4" t="s">
        <v>791</v>
      </c>
      <c r="E434" s="4" t="s">
        <v>1444</v>
      </c>
      <c r="F434" s="4" t="s">
        <v>35</v>
      </c>
      <c r="G434" s="4" t="s">
        <v>864</v>
      </c>
    </row>
    <row r="435" spans="1:7" x14ac:dyDescent="0.25">
      <c r="A435" s="4" t="s">
        <v>163</v>
      </c>
      <c r="B435" s="4" t="s">
        <v>394</v>
      </c>
      <c r="C435" s="4" t="s">
        <v>421</v>
      </c>
      <c r="D435" s="4" t="s">
        <v>792</v>
      </c>
      <c r="E435" s="4" t="s">
        <v>1445</v>
      </c>
      <c r="F435" s="4" t="s">
        <v>186</v>
      </c>
      <c r="G435" s="4" t="s">
        <v>864</v>
      </c>
    </row>
    <row r="436" spans="1:7" x14ac:dyDescent="0.25">
      <c r="A436" s="4" t="s">
        <v>163</v>
      </c>
      <c r="B436" s="4" t="s">
        <v>387</v>
      </c>
      <c r="C436" s="4" t="s">
        <v>422</v>
      </c>
      <c r="D436" s="4" t="s">
        <v>793</v>
      </c>
      <c r="E436" s="4" t="s">
        <v>1446</v>
      </c>
      <c r="F436" s="4" t="s">
        <v>179</v>
      </c>
      <c r="G436" s="4" t="s">
        <v>864</v>
      </c>
    </row>
    <row r="437" spans="1:7" x14ac:dyDescent="0.25">
      <c r="A437" s="4" t="s">
        <v>163</v>
      </c>
      <c r="B437" s="4" t="s">
        <v>387</v>
      </c>
      <c r="C437" s="4" t="s">
        <v>422</v>
      </c>
      <c r="D437" s="4" t="s">
        <v>794</v>
      </c>
      <c r="E437" s="4" t="s">
        <v>1447</v>
      </c>
      <c r="F437" s="4" t="s">
        <v>18</v>
      </c>
      <c r="G437" s="4" t="s">
        <v>864</v>
      </c>
    </row>
    <row r="438" spans="1:7" x14ac:dyDescent="0.25">
      <c r="A438" s="4" t="s">
        <v>163</v>
      </c>
      <c r="B438" s="4" t="s">
        <v>387</v>
      </c>
      <c r="C438" s="4" t="s">
        <v>422</v>
      </c>
      <c r="D438" s="4" t="s">
        <v>795</v>
      </c>
      <c r="E438" s="4" t="s">
        <v>1448</v>
      </c>
      <c r="F438" s="4" t="s">
        <v>100</v>
      </c>
      <c r="G438" s="4" t="s">
        <v>864</v>
      </c>
    </row>
    <row r="439" spans="1:7" x14ac:dyDescent="0.25">
      <c r="A439" s="4" t="s">
        <v>163</v>
      </c>
      <c r="B439" s="4" t="s">
        <v>387</v>
      </c>
      <c r="C439" s="4" t="s">
        <v>422</v>
      </c>
      <c r="D439" s="4" t="s">
        <v>796</v>
      </c>
      <c r="E439" s="4" t="s">
        <v>1449</v>
      </c>
      <c r="F439" s="4" t="s">
        <v>358</v>
      </c>
      <c r="G439" s="4" t="s">
        <v>864</v>
      </c>
    </row>
    <row r="440" spans="1:7" x14ac:dyDescent="0.25">
      <c r="A440" s="4" t="s">
        <v>163</v>
      </c>
      <c r="B440" s="4" t="s">
        <v>387</v>
      </c>
      <c r="C440" s="4" t="s">
        <v>422</v>
      </c>
      <c r="D440" s="4" t="s">
        <v>797</v>
      </c>
      <c r="E440" s="4" t="s">
        <v>1450</v>
      </c>
      <c r="F440" s="4" t="s">
        <v>94</v>
      </c>
      <c r="G440" s="4" t="s">
        <v>864</v>
      </c>
    </row>
    <row r="441" spans="1:7" x14ac:dyDescent="0.25">
      <c r="A441" s="4" t="s">
        <v>163</v>
      </c>
      <c r="B441" s="4" t="s">
        <v>387</v>
      </c>
      <c r="C441" s="4" t="s">
        <v>422</v>
      </c>
      <c r="D441" s="4" t="s">
        <v>798</v>
      </c>
      <c r="E441" s="4" t="s">
        <v>812</v>
      </c>
      <c r="F441" s="4" t="s">
        <v>352</v>
      </c>
      <c r="G441" s="4" t="s">
        <v>864</v>
      </c>
    </row>
    <row r="442" spans="1:7" x14ac:dyDescent="0.25">
      <c r="A442" s="4" t="s">
        <v>163</v>
      </c>
      <c r="B442" s="4" t="s">
        <v>387</v>
      </c>
      <c r="C442" s="4" t="s">
        <v>422</v>
      </c>
      <c r="D442" s="4" t="s">
        <v>799</v>
      </c>
      <c r="E442" s="4" t="s">
        <v>815</v>
      </c>
      <c r="F442" s="4" t="s">
        <v>179</v>
      </c>
      <c r="G442" s="4" t="s">
        <v>864</v>
      </c>
    </row>
    <row r="443" spans="1:7" x14ac:dyDescent="0.25">
      <c r="A443" s="4" t="s">
        <v>163</v>
      </c>
      <c r="B443" s="4" t="s">
        <v>387</v>
      </c>
      <c r="C443" s="4" t="s">
        <v>422</v>
      </c>
      <c r="D443" s="4" t="s">
        <v>800</v>
      </c>
      <c r="E443" s="4" t="s">
        <v>960</v>
      </c>
      <c r="F443" s="4" t="s">
        <v>25</v>
      </c>
      <c r="G443" s="4" t="s">
        <v>864</v>
      </c>
    </row>
    <row r="444" spans="1:7" x14ac:dyDescent="0.25">
      <c r="A444" s="4" t="s">
        <v>163</v>
      </c>
      <c r="B444" s="4" t="s">
        <v>387</v>
      </c>
      <c r="C444" s="4" t="s">
        <v>422</v>
      </c>
      <c r="D444" s="4" t="s">
        <v>801</v>
      </c>
      <c r="E444" s="4" t="s">
        <v>820</v>
      </c>
      <c r="F444" s="4" t="s">
        <v>287</v>
      </c>
      <c r="G444" s="4" t="s">
        <v>864</v>
      </c>
    </row>
    <row r="445" spans="1:7" x14ac:dyDescent="0.25">
      <c r="A445" s="4" t="s">
        <v>163</v>
      </c>
      <c r="B445" s="4" t="s">
        <v>387</v>
      </c>
      <c r="C445" s="4" t="s">
        <v>422</v>
      </c>
      <c r="D445" s="4" t="s">
        <v>802</v>
      </c>
      <c r="E445" s="4" t="s">
        <v>834</v>
      </c>
      <c r="F445" s="4" t="s">
        <v>352</v>
      </c>
      <c r="G445" s="4" t="s">
        <v>864</v>
      </c>
    </row>
    <row r="446" spans="1:7" x14ac:dyDescent="0.25">
      <c r="A446" s="4" t="s">
        <v>163</v>
      </c>
      <c r="B446" s="4" t="s">
        <v>387</v>
      </c>
      <c r="C446" s="4" t="s">
        <v>422</v>
      </c>
      <c r="D446" s="4" t="s">
        <v>803</v>
      </c>
      <c r="E446" s="4" t="s">
        <v>964</v>
      </c>
      <c r="F446" s="4" t="s">
        <v>25</v>
      </c>
      <c r="G446" s="4" t="s">
        <v>864</v>
      </c>
    </row>
    <row r="447" spans="1:7" x14ac:dyDescent="0.25">
      <c r="A447" s="4" t="s">
        <v>163</v>
      </c>
      <c r="B447" s="4" t="s">
        <v>387</v>
      </c>
      <c r="C447" s="4" t="s">
        <v>422</v>
      </c>
      <c r="D447" s="4" t="s">
        <v>804</v>
      </c>
      <c r="E447" s="4" t="s">
        <v>1451</v>
      </c>
      <c r="F447" s="4" t="s">
        <v>167</v>
      </c>
      <c r="G447" s="4" t="s">
        <v>864</v>
      </c>
    </row>
    <row r="448" spans="1:7" x14ac:dyDescent="0.25">
      <c r="A448" s="4" t="s">
        <v>163</v>
      </c>
      <c r="B448" s="4" t="s">
        <v>394</v>
      </c>
      <c r="C448" s="4" t="s">
        <v>422</v>
      </c>
      <c r="D448" s="4" t="s">
        <v>805</v>
      </c>
      <c r="E448" s="4" t="s">
        <v>840</v>
      </c>
      <c r="F448" s="4" t="s">
        <v>25</v>
      </c>
      <c r="G448" s="4" t="s">
        <v>864</v>
      </c>
    </row>
    <row r="449" spans="1:7" x14ac:dyDescent="0.25">
      <c r="A449" s="4" t="s">
        <v>163</v>
      </c>
      <c r="B449" s="4" t="s">
        <v>394</v>
      </c>
      <c r="C449" s="4" t="s">
        <v>422</v>
      </c>
      <c r="D449" s="4" t="s">
        <v>806</v>
      </c>
      <c r="E449" s="4" t="s">
        <v>844</v>
      </c>
      <c r="F449" s="4" t="s">
        <v>179</v>
      </c>
      <c r="G449" s="4" t="s">
        <v>864</v>
      </c>
    </row>
    <row r="450" spans="1:7" x14ac:dyDescent="0.25">
      <c r="A450" s="4" t="s">
        <v>163</v>
      </c>
      <c r="B450" s="4" t="s">
        <v>394</v>
      </c>
      <c r="C450" s="4" t="s">
        <v>422</v>
      </c>
      <c r="D450" s="4" t="s">
        <v>807</v>
      </c>
      <c r="E450" s="4" t="s">
        <v>848</v>
      </c>
      <c r="F450" s="4" t="s">
        <v>287</v>
      </c>
      <c r="G450" s="4" t="s">
        <v>864</v>
      </c>
    </row>
    <row r="451" spans="1:7" x14ac:dyDescent="0.25">
      <c r="A451" s="4" t="s">
        <v>163</v>
      </c>
      <c r="B451" s="4" t="s">
        <v>394</v>
      </c>
      <c r="C451" s="4" t="s">
        <v>422</v>
      </c>
      <c r="D451" s="4" t="s">
        <v>808</v>
      </c>
      <c r="E451" s="4" t="s">
        <v>852</v>
      </c>
      <c r="F451" s="4" t="s">
        <v>35</v>
      </c>
      <c r="G451" s="4" t="s">
        <v>864</v>
      </c>
    </row>
    <row r="452" spans="1:7" x14ac:dyDescent="0.25">
      <c r="A452" s="4" t="s">
        <v>163</v>
      </c>
      <c r="B452" s="4" t="s">
        <v>394</v>
      </c>
      <c r="C452" s="4" t="s">
        <v>422</v>
      </c>
      <c r="D452" s="4" t="s">
        <v>809</v>
      </c>
      <c r="E452" s="4" t="s">
        <v>856</v>
      </c>
      <c r="F452" s="4" t="s">
        <v>287</v>
      </c>
      <c r="G452" s="4" t="s">
        <v>864</v>
      </c>
    </row>
    <row r="453" spans="1:7" x14ac:dyDescent="0.25">
      <c r="A453" s="4" t="s">
        <v>163</v>
      </c>
      <c r="B453" s="4" t="s">
        <v>394</v>
      </c>
      <c r="C453" s="4" t="s">
        <v>422</v>
      </c>
      <c r="D453" s="4" t="s">
        <v>810</v>
      </c>
      <c r="E453" s="4" t="s">
        <v>860</v>
      </c>
      <c r="F453" s="4" t="s">
        <v>183</v>
      </c>
      <c r="G453" s="4" t="s">
        <v>864</v>
      </c>
    </row>
    <row r="454" spans="1:7" x14ac:dyDescent="0.25">
      <c r="A454" s="4" t="s">
        <v>163</v>
      </c>
      <c r="B454" s="4" t="s">
        <v>387</v>
      </c>
      <c r="C454" s="4" t="s">
        <v>395</v>
      </c>
      <c r="D454" s="4" t="s">
        <v>396</v>
      </c>
      <c r="E454" s="4" t="s">
        <v>1452</v>
      </c>
      <c r="F454" s="4" t="s">
        <v>363</v>
      </c>
      <c r="G454" s="4" t="s">
        <v>865</v>
      </c>
    </row>
    <row r="455" spans="1:7" x14ac:dyDescent="0.25">
      <c r="A455" s="4" t="s">
        <v>163</v>
      </c>
      <c r="B455" s="4" t="s">
        <v>394</v>
      </c>
      <c r="C455" s="4" t="s">
        <v>395</v>
      </c>
      <c r="D455" s="4" t="s">
        <v>476</v>
      </c>
      <c r="E455" s="4" t="s">
        <v>1453</v>
      </c>
      <c r="F455" s="4" t="s">
        <v>187</v>
      </c>
      <c r="G455" s="4" t="s">
        <v>865</v>
      </c>
    </row>
    <row r="456" spans="1:7" x14ac:dyDescent="0.25">
      <c r="A456" s="4" t="s">
        <v>163</v>
      </c>
      <c r="B456" s="4" t="s">
        <v>387</v>
      </c>
      <c r="C456" s="4" t="s">
        <v>463</v>
      </c>
      <c r="D456" s="4" t="s">
        <v>485</v>
      </c>
      <c r="E456" s="4" t="s">
        <v>1086</v>
      </c>
      <c r="F456" s="4" t="s">
        <v>361</v>
      </c>
      <c r="G456" s="4" t="s">
        <v>865</v>
      </c>
    </row>
    <row r="457" spans="1:7" x14ac:dyDescent="0.25">
      <c r="A457" s="4" t="s">
        <v>163</v>
      </c>
      <c r="B457" s="4" t="s">
        <v>387</v>
      </c>
      <c r="C457" s="4" t="s">
        <v>463</v>
      </c>
      <c r="D457" s="4" t="s">
        <v>486</v>
      </c>
      <c r="E457" s="4" t="s">
        <v>1454</v>
      </c>
      <c r="F457" s="4" t="s">
        <v>51</v>
      </c>
      <c r="G457" s="4" t="s">
        <v>865</v>
      </c>
    </row>
    <row r="458" spans="1:7" x14ac:dyDescent="0.25">
      <c r="A458" s="4" t="s">
        <v>163</v>
      </c>
      <c r="B458" s="4" t="s">
        <v>387</v>
      </c>
      <c r="C458" s="4" t="s">
        <v>463</v>
      </c>
      <c r="D458" s="4" t="s">
        <v>487</v>
      </c>
      <c r="E458" s="4" t="s">
        <v>1455</v>
      </c>
      <c r="F458" s="4" t="s">
        <v>363</v>
      </c>
      <c r="G458" s="4" t="s">
        <v>865</v>
      </c>
    </row>
    <row r="459" spans="1:7" x14ac:dyDescent="0.25">
      <c r="A459" s="4" t="s">
        <v>163</v>
      </c>
      <c r="B459" s="4" t="s">
        <v>387</v>
      </c>
      <c r="C459" s="4" t="s">
        <v>463</v>
      </c>
      <c r="D459" s="4" t="s">
        <v>488</v>
      </c>
      <c r="E459" s="4" t="s">
        <v>1274</v>
      </c>
      <c r="F459" s="4" t="s">
        <v>287</v>
      </c>
      <c r="G459" s="4" t="s">
        <v>865</v>
      </c>
    </row>
    <row r="460" spans="1:7" x14ac:dyDescent="0.25">
      <c r="A460" s="4" t="s">
        <v>163</v>
      </c>
      <c r="B460" s="4" t="s">
        <v>387</v>
      </c>
      <c r="C460" s="4" t="s">
        <v>463</v>
      </c>
      <c r="D460" s="4" t="s">
        <v>489</v>
      </c>
      <c r="E460" s="4" t="s">
        <v>1456</v>
      </c>
      <c r="F460" s="4" t="s">
        <v>179</v>
      </c>
      <c r="G460" s="4" t="s">
        <v>865</v>
      </c>
    </row>
    <row r="461" spans="1:7" x14ac:dyDescent="0.25">
      <c r="A461" s="4" t="s">
        <v>163</v>
      </c>
      <c r="B461" s="4" t="s">
        <v>387</v>
      </c>
      <c r="C461" s="4" t="s">
        <v>463</v>
      </c>
      <c r="D461" s="4" t="s">
        <v>490</v>
      </c>
      <c r="E461" s="4" t="s">
        <v>1457</v>
      </c>
      <c r="F461" s="4" t="s">
        <v>287</v>
      </c>
      <c r="G461" s="4" t="s">
        <v>865</v>
      </c>
    </row>
    <row r="462" spans="1:7" x14ac:dyDescent="0.25">
      <c r="A462" s="4" t="s">
        <v>163</v>
      </c>
      <c r="B462" s="4" t="s">
        <v>387</v>
      </c>
      <c r="C462" s="4" t="s">
        <v>463</v>
      </c>
      <c r="D462" s="4" t="s">
        <v>491</v>
      </c>
      <c r="E462" s="4" t="s">
        <v>1458</v>
      </c>
      <c r="F462" s="4" t="s">
        <v>361</v>
      </c>
      <c r="G462" s="4" t="s">
        <v>865</v>
      </c>
    </row>
    <row r="463" spans="1:7" x14ac:dyDescent="0.25">
      <c r="A463" s="4" t="s">
        <v>163</v>
      </c>
      <c r="B463" s="4" t="s">
        <v>394</v>
      </c>
      <c r="C463" s="4" t="s">
        <v>463</v>
      </c>
      <c r="D463" s="4" t="s">
        <v>492</v>
      </c>
      <c r="E463" s="4" t="s">
        <v>1092</v>
      </c>
      <c r="F463" s="4" t="s">
        <v>287</v>
      </c>
      <c r="G463" s="4" t="s">
        <v>865</v>
      </c>
    </row>
    <row r="464" spans="1:7" x14ac:dyDescent="0.25">
      <c r="A464" s="4" t="s">
        <v>163</v>
      </c>
      <c r="B464" s="4" t="s">
        <v>394</v>
      </c>
      <c r="C464" s="4" t="s">
        <v>463</v>
      </c>
      <c r="D464" s="4" t="s">
        <v>493</v>
      </c>
      <c r="E464" s="4" t="s">
        <v>1459</v>
      </c>
      <c r="F464" s="4" t="s">
        <v>333</v>
      </c>
      <c r="G464" s="4" t="s">
        <v>865</v>
      </c>
    </row>
    <row r="465" spans="1:7" x14ac:dyDescent="0.25">
      <c r="A465" s="4" t="s">
        <v>163</v>
      </c>
      <c r="B465" s="4" t="s">
        <v>394</v>
      </c>
      <c r="C465" s="4" t="s">
        <v>463</v>
      </c>
      <c r="D465" s="4" t="s">
        <v>494</v>
      </c>
      <c r="E465" s="4" t="s">
        <v>1460</v>
      </c>
      <c r="F465" s="4" t="s">
        <v>136</v>
      </c>
      <c r="G465" s="4" t="s">
        <v>865</v>
      </c>
    </row>
    <row r="466" spans="1:7" x14ac:dyDescent="0.25">
      <c r="A466" s="4" t="s">
        <v>163</v>
      </c>
      <c r="B466" s="4" t="s">
        <v>394</v>
      </c>
      <c r="C466" s="4" t="s">
        <v>463</v>
      </c>
      <c r="D466" s="4" t="s">
        <v>495</v>
      </c>
      <c r="E466" s="4" t="s">
        <v>1091</v>
      </c>
      <c r="F466" s="4" t="s">
        <v>363</v>
      </c>
      <c r="G466" s="4" t="s">
        <v>865</v>
      </c>
    </row>
    <row r="467" spans="1:7" x14ac:dyDescent="0.25">
      <c r="A467" s="4" t="s">
        <v>163</v>
      </c>
      <c r="B467" s="4" t="s">
        <v>394</v>
      </c>
      <c r="C467" s="4" t="s">
        <v>463</v>
      </c>
      <c r="D467" s="4" t="s">
        <v>496</v>
      </c>
      <c r="E467" s="4" t="s">
        <v>1461</v>
      </c>
      <c r="F467" s="4" t="s">
        <v>361</v>
      </c>
      <c r="G467" s="4" t="s">
        <v>865</v>
      </c>
    </row>
    <row r="468" spans="1:7" x14ac:dyDescent="0.25">
      <c r="A468" s="4" t="s">
        <v>163</v>
      </c>
      <c r="B468" s="4" t="s">
        <v>387</v>
      </c>
      <c r="C468" s="4" t="s">
        <v>393</v>
      </c>
      <c r="D468" s="4" t="s">
        <v>497</v>
      </c>
      <c r="E468" s="4" t="s">
        <v>1066</v>
      </c>
      <c r="F468" s="4" t="s">
        <v>66</v>
      </c>
      <c r="G468" s="4" t="s">
        <v>865</v>
      </c>
    </row>
    <row r="469" spans="1:7" x14ac:dyDescent="0.25">
      <c r="A469" s="4" t="s">
        <v>163</v>
      </c>
      <c r="B469" s="4" t="s">
        <v>387</v>
      </c>
      <c r="C469" s="4" t="s">
        <v>393</v>
      </c>
      <c r="D469" s="4" t="s">
        <v>498</v>
      </c>
      <c r="E469" s="4" t="s">
        <v>1462</v>
      </c>
      <c r="F469" s="4" t="s">
        <v>128</v>
      </c>
      <c r="G469" s="4" t="s">
        <v>865</v>
      </c>
    </row>
    <row r="470" spans="1:7" x14ac:dyDescent="0.25">
      <c r="A470" s="4" t="s">
        <v>163</v>
      </c>
      <c r="B470" s="4" t="s">
        <v>387</v>
      </c>
      <c r="C470" s="4" t="s">
        <v>393</v>
      </c>
      <c r="D470" s="4" t="s">
        <v>499</v>
      </c>
      <c r="E470" s="4" t="s">
        <v>1070</v>
      </c>
      <c r="F470" s="4" t="s">
        <v>363</v>
      </c>
      <c r="G470" s="4" t="s">
        <v>865</v>
      </c>
    </row>
    <row r="471" spans="1:7" x14ac:dyDescent="0.25">
      <c r="A471" s="4" t="s">
        <v>163</v>
      </c>
      <c r="B471" s="4" t="s">
        <v>387</v>
      </c>
      <c r="C471" s="4" t="s">
        <v>393</v>
      </c>
      <c r="D471" s="4" t="s">
        <v>500</v>
      </c>
      <c r="E471" s="4" t="s">
        <v>1463</v>
      </c>
      <c r="F471" s="4" t="s">
        <v>363</v>
      </c>
      <c r="G471" s="4" t="s">
        <v>865</v>
      </c>
    </row>
    <row r="472" spans="1:7" x14ac:dyDescent="0.25">
      <c r="A472" s="4" t="s">
        <v>163</v>
      </c>
      <c r="B472" s="4" t="s">
        <v>387</v>
      </c>
      <c r="C472" s="4" t="s">
        <v>393</v>
      </c>
      <c r="D472" s="4" t="s">
        <v>501</v>
      </c>
      <c r="E472" s="4" t="s">
        <v>1464</v>
      </c>
      <c r="F472" s="4" t="s">
        <v>253</v>
      </c>
      <c r="G472" s="4" t="s">
        <v>865</v>
      </c>
    </row>
    <row r="473" spans="1:7" x14ac:dyDescent="0.25">
      <c r="A473" s="4" t="s">
        <v>163</v>
      </c>
      <c r="B473" s="4" t="s">
        <v>387</v>
      </c>
      <c r="C473" s="4" t="s">
        <v>393</v>
      </c>
      <c r="D473" s="4" t="s">
        <v>502</v>
      </c>
      <c r="E473" s="4" t="s">
        <v>1465</v>
      </c>
      <c r="F473" s="4" t="s">
        <v>122</v>
      </c>
      <c r="G473" s="4" t="s">
        <v>865</v>
      </c>
    </row>
    <row r="474" spans="1:7" x14ac:dyDescent="0.25">
      <c r="A474" s="4" t="s">
        <v>163</v>
      </c>
      <c r="B474" s="4" t="s">
        <v>387</v>
      </c>
      <c r="C474" s="4" t="s">
        <v>393</v>
      </c>
      <c r="D474" s="4" t="s">
        <v>503</v>
      </c>
      <c r="E474" s="4" t="s">
        <v>1466</v>
      </c>
      <c r="F474" s="4" t="s">
        <v>122</v>
      </c>
      <c r="G474" s="4" t="s">
        <v>865</v>
      </c>
    </row>
    <row r="475" spans="1:7" x14ac:dyDescent="0.25">
      <c r="A475" s="4" t="s">
        <v>163</v>
      </c>
      <c r="B475" s="4" t="s">
        <v>387</v>
      </c>
      <c r="C475" s="4" t="s">
        <v>393</v>
      </c>
      <c r="D475" s="4" t="s">
        <v>504</v>
      </c>
      <c r="E475" s="4" t="s">
        <v>935</v>
      </c>
      <c r="F475" s="4" t="s">
        <v>363</v>
      </c>
      <c r="G475" s="4" t="s">
        <v>865</v>
      </c>
    </row>
    <row r="476" spans="1:7" x14ac:dyDescent="0.25">
      <c r="A476" s="4" t="s">
        <v>163</v>
      </c>
      <c r="B476" s="4" t="s">
        <v>387</v>
      </c>
      <c r="C476" s="4" t="s">
        <v>393</v>
      </c>
      <c r="D476" s="4" t="s">
        <v>505</v>
      </c>
      <c r="E476" s="4" t="s">
        <v>1467</v>
      </c>
      <c r="F476" s="4" t="s">
        <v>128</v>
      </c>
      <c r="G476" s="4" t="s">
        <v>865</v>
      </c>
    </row>
    <row r="477" spans="1:7" x14ac:dyDescent="0.25">
      <c r="A477" s="4" t="s">
        <v>163</v>
      </c>
      <c r="B477" s="4" t="s">
        <v>387</v>
      </c>
      <c r="C477" s="4" t="s">
        <v>393</v>
      </c>
      <c r="D477" s="4" t="s">
        <v>506</v>
      </c>
      <c r="E477" s="4" t="s">
        <v>1468</v>
      </c>
      <c r="F477" s="4" t="s">
        <v>128</v>
      </c>
      <c r="G477" s="4" t="s">
        <v>865</v>
      </c>
    </row>
    <row r="478" spans="1:7" x14ac:dyDescent="0.25">
      <c r="A478" s="4" t="s">
        <v>163</v>
      </c>
      <c r="B478" s="4" t="s">
        <v>387</v>
      </c>
      <c r="C478" s="4" t="s">
        <v>393</v>
      </c>
      <c r="D478" s="4" t="s">
        <v>507</v>
      </c>
      <c r="E478" s="4" t="s">
        <v>1469</v>
      </c>
      <c r="F478" s="4" t="s">
        <v>352</v>
      </c>
      <c r="G478" s="4" t="s">
        <v>865</v>
      </c>
    </row>
    <row r="479" spans="1:7" x14ac:dyDescent="0.25">
      <c r="A479" s="4" t="s">
        <v>163</v>
      </c>
      <c r="B479" s="4" t="s">
        <v>387</v>
      </c>
      <c r="C479" s="4" t="s">
        <v>393</v>
      </c>
      <c r="D479" s="4" t="s">
        <v>508</v>
      </c>
      <c r="E479" s="4" t="s">
        <v>1470</v>
      </c>
      <c r="F479" s="4" t="s">
        <v>358</v>
      </c>
      <c r="G479" s="4" t="s">
        <v>865</v>
      </c>
    </row>
    <row r="480" spans="1:7" x14ac:dyDescent="0.25">
      <c r="A480" s="4" t="s">
        <v>163</v>
      </c>
      <c r="B480" s="4" t="s">
        <v>387</v>
      </c>
      <c r="C480" s="4" t="s">
        <v>393</v>
      </c>
      <c r="D480" s="4" t="s">
        <v>509</v>
      </c>
      <c r="E480" s="4" t="s">
        <v>1471</v>
      </c>
      <c r="F480" s="4" t="s">
        <v>363</v>
      </c>
      <c r="G480" s="4" t="s">
        <v>865</v>
      </c>
    </row>
    <row r="481" spans="1:7" x14ac:dyDescent="0.25">
      <c r="A481" s="4" t="s">
        <v>163</v>
      </c>
      <c r="B481" s="4" t="s">
        <v>387</v>
      </c>
      <c r="C481" s="4" t="s">
        <v>393</v>
      </c>
      <c r="D481" s="4" t="s">
        <v>510</v>
      </c>
      <c r="E481" s="4" t="s">
        <v>1472</v>
      </c>
      <c r="F481" s="4" t="s">
        <v>361</v>
      </c>
      <c r="G481" s="4" t="s">
        <v>865</v>
      </c>
    </row>
    <row r="482" spans="1:7" x14ac:dyDescent="0.25">
      <c r="A482" s="4" t="s">
        <v>163</v>
      </c>
      <c r="B482" s="4" t="s">
        <v>387</v>
      </c>
      <c r="C482" s="4" t="s">
        <v>393</v>
      </c>
      <c r="D482" s="4" t="s">
        <v>511</v>
      </c>
      <c r="E482" s="4" t="s">
        <v>1473</v>
      </c>
      <c r="F482" s="4" t="s">
        <v>77</v>
      </c>
      <c r="G482" s="4" t="s">
        <v>865</v>
      </c>
    </row>
    <row r="483" spans="1:7" x14ac:dyDescent="0.25">
      <c r="A483" s="4" t="s">
        <v>163</v>
      </c>
      <c r="B483" s="4" t="s">
        <v>387</v>
      </c>
      <c r="C483" s="4" t="s">
        <v>393</v>
      </c>
      <c r="D483" s="4" t="s">
        <v>512</v>
      </c>
      <c r="E483" s="4" t="s">
        <v>1474</v>
      </c>
      <c r="F483" s="4" t="s">
        <v>253</v>
      </c>
      <c r="G483" s="4" t="s">
        <v>865</v>
      </c>
    </row>
    <row r="484" spans="1:7" x14ac:dyDescent="0.25">
      <c r="A484" s="4" t="s">
        <v>163</v>
      </c>
      <c r="B484" s="4" t="s">
        <v>387</v>
      </c>
      <c r="C484" s="4" t="s">
        <v>393</v>
      </c>
      <c r="D484" s="4" t="s">
        <v>513</v>
      </c>
      <c r="E484" s="4" t="s">
        <v>1475</v>
      </c>
      <c r="F484" s="4" t="s">
        <v>136</v>
      </c>
      <c r="G484" s="4" t="s">
        <v>865</v>
      </c>
    </row>
    <row r="485" spans="1:7" x14ac:dyDescent="0.25">
      <c r="A485" s="4" t="s">
        <v>163</v>
      </c>
      <c r="B485" s="4" t="s">
        <v>387</v>
      </c>
      <c r="C485" s="4" t="s">
        <v>393</v>
      </c>
      <c r="D485" s="4" t="s">
        <v>514</v>
      </c>
      <c r="E485" s="4" t="s">
        <v>1476</v>
      </c>
      <c r="F485" s="4" t="s">
        <v>280</v>
      </c>
      <c r="G485" s="4" t="s">
        <v>865</v>
      </c>
    </row>
    <row r="486" spans="1:7" x14ac:dyDescent="0.25">
      <c r="A486" s="4" t="s">
        <v>163</v>
      </c>
      <c r="B486" s="4" t="s">
        <v>387</v>
      </c>
      <c r="C486" s="4" t="s">
        <v>393</v>
      </c>
      <c r="D486" s="4" t="s">
        <v>515</v>
      </c>
      <c r="E486" s="4" t="s">
        <v>1477</v>
      </c>
      <c r="F486" s="4" t="s">
        <v>516</v>
      </c>
      <c r="G486" s="4" t="s">
        <v>865</v>
      </c>
    </row>
    <row r="487" spans="1:7" x14ac:dyDescent="0.25">
      <c r="A487" s="4" t="s">
        <v>163</v>
      </c>
      <c r="B487" s="4" t="s">
        <v>387</v>
      </c>
      <c r="C487" s="4" t="s">
        <v>393</v>
      </c>
      <c r="D487" s="4" t="s">
        <v>517</v>
      </c>
      <c r="E487" s="4" t="s">
        <v>553</v>
      </c>
      <c r="F487" s="4" t="s">
        <v>66</v>
      </c>
      <c r="G487" s="4" t="s">
        <v>865</v>
      </c>
    </row>
    <row r="488" spans="1:7" x14ac:dyDescent="0.25">
      <c r="A488" s="4" t="s">
        <v>163</v>
      </c>
      <c r="B488" s="4" t="s">
        <v>387</v>
      </c>
      <c r="C488" s="4" t="s">
        <v>393</v>
      </c>
      <c r="D488" s="4" t="s">
        <v>518</v>
      </c>
      <c r="E488" s="4" t="s">
        <v>1478</v>
      </c>
      <c r="F488" s="4" t="s">
        <v>21</v>
      </c>
      <c r="G488" s="4" t="s">
        <v>865</v>
      </c>
    </row>
    <row r="489" spans="1:7" x14ac:dyDescent="0.25">
      <c r="A489" s="4" t="s">
        <v>163</v>
      </c>
      <c r="B489" s="4" t="s">
        <v>387</v>
      </c>
      <c r="C489" s="4" t="s">
        <v>393</v>
      </c>
      <c r="D489" s="4" t="s">
        <v>519</v>
      </c>
      <c r="E489" s="4" t="s">
        <v>1479</v>
      </c>
      <c r="F489" s="4" t="s">
        <v>179</v>
      </c>
      <c r="G489" s="4" t="s">
        <v>865</v>
      </c>
    </row>
    <row r="490" spans="1:7" x14ac:dyDescent="0.25">
      <c r="A490" s="4" t="s">
        <v>163</v>
      </c>
      <c r="B490" s="4" t="s">
        <v>394</v>
      </c>
      <c r="C490" s="4" t="s">
        <v>393</v>
      </c>
      <c r="D490" s="4" t="s">
        <v>522</v>
      </c>
      <c r="E490" s="4" t="s">
        <v>1480</v>
      </c>
      <c r="F490" s="4" t="s">
        <v>177</v>
      </c>
      <c r="G490" s="4" t="s">
        <v>865</v>
      </c>
    </row>
    <row r="491" spans="1:7" x14ac:dyDescent="0.25">
      <c r="A491" s="4" t="s">
        <v>163</v>
      </c>
      <c r="B491" s="4" t="s">
        <v>394</v>
      </c>
      <c r="C491" s="4" t="s">
        <v>393</v>
      </c>
      <c r="D491" s="4" t="s">
        <v>523</v>
      </c>
      <c r="E491" s="4" t="s">
        <v>1298</v>
      </c>
      <c r="F491" s="4" t="s">
        <v>363</v>
      </c>
      <c r="G491" s="4" t="s">
        <v>865</v>
      </c>
    </row>
    <row r="492" spans="1:7" x14ac:dyDescent="0.25">
      <c r="A492" s="4" t="s">
        <v>163</v>
      </c>
      <c r="B492" s="4" t="s">
        <v>394</v>
      </c>
      <c r="C492" s="4" t="s">
        <v>393</v>
      </c>
      <c r="D492" s="4" t="s">
        <v>524</v>
      </c>
      <c r="E492" s="4" t="s">
        <v>1481</v>
      </c>
      <c r="F492" s="4" t="s">
        <v>177</v>
      </c>
      <c r="G492" s="4" t="s">
        <v>865</v>
      </c>
    </row>
    <row r="493" spans="1:7" x14ac:dyDescent="0.25">
      <c r="A493" s="4" t="s">
        <v>163</v>
      </c>
      <c r="B493" s="4" t="s">
        <v>394</v>
      </c>
      <c r="C493" s="4" t="s">
        <v>393</v>
      </c>
      <c r="D493" s="4" t="s">
        <v>525</v>
      </c>
      <c r="E493" s="4" t="s">
        <v>1482</v>
      </c>
      <c r="F493" s="4" t="s">
        <v>185</v>
      </c>
      <c r="G493" s="4" t="s">
        <v>865</v>
      </c>
    </row>
    <row r="494" spans="1:7" x14ac:dyDescent="0.25">
      <c r="A494" s="4" t="s">
        <v>163</v>
      </c>
      <c r="B494" s="4" t="s">
        <v>394</v>
      </c>
      <c r="C494" s="4" t="s">
        <v>393</v>
      </c>
      <c r="D494" s="4" t="s">
        <v>526</v>
      </c>
      <c r="E494" s="4" t="s">
        <v>1483</v>
      </c>
      <c r="F494" s="4" t="s">
        <v>363</v>
      </c>
      <c r="G494" s="4" t="s">
        <v>865</v>
      </c>
    </row>
    <row r="495" spans="1:7" x14ac:dyDescent="0.25">
      <c r="A495" s="4" t="s">
        <v>163</v>
      </c>
      <c r="B495" s="4" t="s">
        <v>394</v>
      </c>
      <c r="C495" s="4" t="s">
        <v>393</v>
      </c>
      <c r="D495" s="4" t="s">
        <v>527</v>
      </c>
      <c r="E495" s="4" t="s">
        <v>1116</v>
      </c>
      <c r="F495" s="4" t="s">
        <v>122</v>
      </c>
      <c r="G495" s="4" t="s">
        <v>865</v>
      </c>
    </row>
    <row r="496" spans="1:7" x14ac:dyDescent="0.25">
      <c r="A496" s="4" t="s">
        <v>163</v>
      </c>
      <c r="B496" s="4" t="s">
        <v>394</v>
      </c>
      <c r="C496" s="4" t="s">
        <v>393</v>
      </c>
      <c r="D496" s="4" t="s">
        <v>528</v>
      </c>
      <c r="E496" s="4" t="s">
        <v>1484</v>
      </c>
      <c r="F496" s="4" t="s">
        <v>122</v>
      </c>
      <c r="G496" s="4" t="s">
        <v>865</v>
      </c>
    </row>
    <row r="497" spans="1:7" x14ac:dyDescent="0.25">
      <c r="A497" s="4" t="s">
        <v>163</v>
      </c>
      <c r="B497" s="4" t="s">
        <v>394</v>
      </c>
      <c r="C497" s="4" t="s">
        <v>393</v>
      </c>
      <c r="D497" s="4" t="s">
        <v>529</v>
      </c>
      <c r="E497" s="4" t="s">
        <v>1485</v>
      </c>
      <c r="F497" s="4" t="s">
        <v>122</v>
      </c>
      <c r="G497" s="4" t="s">
        <v>865</v>
      </c>
    </row>
    <row r="498" spans="1:7" x14ac:dyDescent="0.25">
      <c r="A498" s="4" t="s">
        <v>163</v>
      </c>
      <c r="B498" s="4" t="s">
        <v>394</v>
      </c>
      <c r="C498" s="4" t="s">
        <v>393</v>
      </c>
      <c r="D498" s="4" t="s">
        <v>530</v>
      </c>
      <c r="E498" s="4" t="s">
        <v>1486</v>
      </c>
      <c r="F498" s="4" t="s">
        <v>363</v>
      </c>
      <c r="G498" s="4" t="s">
        <v>865</v>
      </c>
    </row>
    <row r="499" spans="1:7" x14ac:dyDescent="0.25">
      <c r="A499" s="4" t="s">
        <v>163</v>
      </c>
      <c r="B499" s="4" t="s">
        <v>394</v>
      </c>
      <c r="C499" s="4" t="s">
        <v>393</v>
      </c>
      <c r="D499" s="4" t="s">
        <v>531</v>
      </c>
      <c r="E499" s="4" t="s">
        <v>1487</v>
      </c>
      <c r="F499" s="4" t="s">
        <v>363</v>
      </c>
      <c r="G499" s="4" t="s">
        <v>865</v>
      </c>
    </row>
    <row r="500" spans="1:7" x14ac:dyDescent="0.25">
      <c r="A500" s="4" t="s">
        <v>163</v>
      </c>
      <c r="B500" s="4" t="s">
        <v>394</v>
      </c>
      <c r="C500" s="4" t="s">
        <v>393</v>
      </c>
      <c r="D500" s="4" t="s">
        <v>532</v>
      </c>
      <c r="E500" s="4" t="s">
        <v>1488</v>
      </c>
      <c r="F500" s="4" t="s">
        <v>363</v>
      </c>
      <c r="G500" s="4" t="s">
        <v>865</v>
      </c>
    </row>
    <row r="501" spans="1:7" x14ac:dyDescent="0.25">
      <c r="A501" s="4" t="s">
        <v>163</v>
      </c>
      <c r="B501" s="4" t="s">
        <v>394</v>
      </c>
      <c r="C501" s="4" t="s">
        <v>393</v>
      </c>
      <c r="D501" s="4" t="s">
        <v>533</v>
      </c>
      <c r="E501" s="4" t="s">
        <v>1489</v>
      </c>
      <c r="F501" s="4" t="s">
        <v>92</v>
      </c>
      <c r="G501" s="4" t="s">
        <v>865</v>
      </c>
    </row>
    <row r="502" spans="1:7" x14ac:dyDescent="0.25">
      <c r="A502" s="4" t="s">
        <v>163</v>
      </c>
      <c r="B502" s="4" t="s">
        <v>394</v>
      </c>
      <c r="C502" s="4" t="s">
        <v>393</v>
      </c>
      <c r="D502" s="4" t="s">
        <v>534</v>
      </c>
      <c r="E502" s="4" t="s">
        <v>1490</v>
      </c>
      <c r="F502" s="4" t="s">
        <v>253</v>
      </c>
      <c r="G502" s="4" t="s">
        <v>865</v>
      </c>
    </row>
    <row r="503" spans="1:7" x14ac:dyDescent="0.25">
      <c r="A503" s="4" t="s">
        <v>163</v>
      </c>
      <c r="B503" s="4" t="s">
        <v>394</v>
      </c>
      <c r="C503" s="4" t="s">
        <v>393</v>
      </c>
      <c r="D503" s="4" t="s">
        <v>535</v>
      </c>
      <c r="E503" s="4" t="s">
        <v>1491</v>
      </c>
      <c r="F503" s="4" t="s">
        <v>536</v>
      </c>
      <c r="G503" s="4" t="s">
        <v>865</v>
      </c>
    </row>
    <row r="504" spans="1:7" x14ac:dyDescent="0.25">
      <c r="A504" s="4" t="s">
        <v>163</v>
      </c>
      <c r="B504" s="4" t="s">
        <v>394</v>
      </c>
      <c r="C504" s="4" t="s">
        <v>393</v>
      </c>
      <c r="D504" s="4" t="s">
        <v>537</v>
      </c>
      <c r="E504" s="4" t="s">
        <v>1492</v>
      </c>
      <c r="F504" s="4" t="s">
        <v>183</v>
      </c>
      <c r="G504" s="4" t="s">
        <v>865</v>
      </c>
    </row>
    <row r="505" spans="1:7" x14ac:dyDescent="0.25">
      <c r="A505" s="4" t="s">
        <v>163</v>
      </c>
      <c r="B505" s="4" t="s">
        <v>394</v>
      </c>
      <c r="C505" s="4" t="s">
        <v>393</v>
      </c>
      <c r="D505" s="4" t="s">
        <v>538</v>
      </c>
      <c r="E505" s="4" t="s">
        <v>1493</v>
      </c>
      <c r="F505" s="4" t="s">
        <v>159</v>
      </c>
      <c r="G505" s="4" t="s">
        <v>865</v>
      </c>
    </row>
    <row r="506" spans="1:7" x14ac:dyDescent="0.25">
      <c r="A506" s="4" t="s">
        <v>163</v>
      </c>
      <c r="B506" s="4" t="s">
        <v>394</v>
      </c>
      <c r="C506" s="4" t="s">
        <v>393</v>
      </c>
      <c r="D506" s="4" t="s">
        <v>539</v>
      </c>
      <c r="E506" s="4" t="s">
        <v>1494</v>
      </c>
      <c r="F506" s="4" t="s">
        <v>94</v>
      </c>
      <c r="G506" s="4" t="s">
        <v>865</v>
      </c>
    </row>
    <row r="507" spans="1:7" x14ac:dyDescent="0.25">
      <c r="A507" s="4" t="s">
        <v>163</v>
      </c>
      <c r="B507" s="4" t="s">
        <v>394</v>
      </c>
      <c r="C507" s="4" t="s">
        <v>393</v>
      </c>
      <c r="D507" s="4" t="s">
        <v>540</v>
      </c>
      <c r="E507" s="4" t="s">
        <v>1495</v>
      </c>
      <c r="F507" s="4" t="s">
        <v>361</v>
      </c>
      <c r="G507" s="4" t="s">
        <v>865</v>
      </c>
    </row>
    <row r="508" spans="1:7" x14ac:dyDescent="0.25">
      <c r="A508" s="4" t="s">
        <v>163</v>
      </c>
      <c r="B508" s="4" t="s">
        <v>394</v>
      </c>
      <c r="C508" s="4" t="s">
        <v>393</v>
      </c>
      <c r="D508" s="4" t="s">
        <v>541</v>
      </c>
      <c r="E508" s="4" t="s">
        <v>1496</v>
      </c>
      <c r="F508" s="4" t="s">
        <v>98</v>
      </c>
      <c r="G508" s="4" t="s">
        <v>865</v>
      </c>
    </row>
    <row r="509" spans="1:7" x14ac:dyDescent="0.25">
      <c r="A509" s="4" t="s">
        <v>163</v>
      </c>
      <c r="B509" s="4" t="s">
        <v>394</v>
      </c>
      <c r="C509" s="4" t="s">
        <v>393</v>
      </c>
      <c r="D509" s="4" t="s">
        <v>542</v>
      </c>
      <c r="E509" s="4" t="s">
        <v>556</v>
      </c>
      <c r="F509" s="4" t="s">
        <v>66</v>
      </c>
      <c r="G509" s="4" t="s">
        <v>865</v>
      </c>
    </row>
    <row r="510" spans="1:7" x14ac:dyDescent="0.25">
      <c r="A510" s="4" t="s">
        <v>163</v>
      </c>
      <c r="B510" s="4" t="s">
        <v>394</v>
      </c>
      <c r="C510" s="4" t="s">
        <v>393</v>
      </c>
      <c r="D510" s="4" t="s">
        <v>543</v>
      </c>
      <c r="E510" s="4" t="s">
        <v>1497</v>
      </c>
      <c r="F510" s="4" t="s">
        <v>77</v>
      </c>
      <c r="G510" s="4" t="s">
        <v>865</v>
      </c>
    </row>
    <row r="511" spans="1:7" x14ac:dyDescent="0.25">
      <c r="A511" s="4" t="s">
        <v>163</v>
      </c>
      <c r="B511" s="4" t="s">
        <v>387</v>
      </c>
      <c r="C511" s="4" t="s">
        <v>398</v>
      </c>
      <c r="D511" s="4" t="s">
        <v>546</v>
      </c>
      <c r="E511" s="4" t="s">
        <v>1498</v>
      </c>
      <c r="F511" s="4" t="s">
        <v>100</v>
      </c>
      <c r="G511" s="4" t="s">
        <v>865</v>
      </c>
    </row>
    <row r="512" spans="1:7" x14ac:dyDescent="0.25">
      <c r="A512" s="4" t="s">
        <v>163</v>
      </c>
      <c r="B512" s="4" t="s">
        <v>394</v>
      </c>
      <c r="C512" s="4" t="s">
        <v>398</v>
      </c>
      <c r="D512" s="4" t="s">
        <v>547</v>
      </c>
      <c r="E512" s="4" t="s">
        <v>1499</v>
      </c>
      <c r="F512" s="4" t="s">
        <v>179</v>
      </c>
      <c r="G512" s="4" t="s">
        <v>865</v>
      </c>
    </row>
    <row r="513" spans="1:7" x14ac:dyDescent="0.25">
      <c r="A513" s="4" t="s">
        <v>163</v>
      </c>
      <c r="B513" s="4" t="s">
        <v>387</v>
      </c>
      <c r="C513" s="4" t="s">
        <v>401</v>
      </c>
      <c r="D513" s="4" t="s">
        <v>557</v>
      </c>
      <c r="E513" s="4" t="s">
        <v>570</v>
      </c>
      <c r="F513" s="4" t="s">
        <v>94</v>
      </c>
      <c r="G513" s="4" t="s">
        <v>865</v>
      </c>
    </row>
    <row r="514" spans="1:7" x14ac:dyDescent="0.25">
      <c r="A514" s="4" t="s">
        <v>163</v>
      </c>
      <c r="B514" s="4" t="s">
        <v>387</v>
      </c>
      <c r="C514" s="4" t="s">
        <v>401</v>
      </c>
      <c r="D514" s="4" t="s">
        <v>558</v>
      </c>
      <c r="E514" s="4" t="s">
        <v>571</v>
      </c>
      <c r="F514" s="4" t="s">
        <v>371</v>
      </c>
      <c r="G514" s="4" t="s">
        <v>865</v>
      </c>
    </row>
    <row r="515" spans="1:7" x14ac:dyDescent="0.25">
      <c r="A515" s="4" t="s">
        <v>163</v>
      </c>
      <c r="B515" s="4" t="s">
        <v>387</v>
      </c>
      <c r="C515" s="4" t="s">
        <v>401</v>
      </c>
      <c r="D515" s="4" t="s">
        <v>559</v>
      </c>
      <c r="E515" s="4" t="s">
        <v>572</v>
      </c>
      <c r="F515" s="4" t="s">
        <v>287</v>
      </c>
      <c r="G515" s="4" t="s">
        <v>865</v>
      </c>
    </row>
    <row r="516" spans="1:7" x14ac:dyDescent="0.25">
      <c r="A516" s="4" t="s">
        <v>163</v>
      </c>
      <c r="B516" s="4" t="s">
        <v>387</v>
      </c>
      <c r="C516" s="4" t="s">
        <v>401</v>
      </c>
      <c r="D516" s="4" t="s">
        <v>560</v>
      </c>
      <c r="E516" s="4" t="s">
        <v>573</v>
      </c>
      <c r="F516" s="4" t="s">
        <v>94</v>
      </c>
      <c r="G516" s="4" t="s">
        <v>865</v>
      </c>
    </row>
    <row r="517" spans="1:7" x14ac:dyDescent="0.25">
      <c r="A517" s="4" t="s">
        <v>163</v>
      </c>
      <c r="B517" s="4" t="s">
        <v>387</v>
      </c>
      <c r="C517" s="4" t="s">
        <v>401</v>
      </c>
      <c r="D517" s="4" t="s">
        <v>561</v>
      </c>
      <c r="E517" s="4" t="s">
        <v>574</v>
      </c>
      <c r="F517" s="4" t="s">
        <v>287</v>
      </c>
      <c r="G517" s="4" t="s">
        <v>865</v>
      </c>
    </row>
    <row r="518" spans="1:7" x14ac:dyDescent="0.25">
      <c r="A518" s="4" t="s">
        <v>163</v>
      </c>
      <c r="B518" s="4" t="s">
        <v>387</v>
      </c>
      <c r="C518" s="4" t="s">
        <v>401</v>
      </c>
      <c r="D518" s="4" t="s">
        <v>562</v>
      </c>
      <c r="E518" s="4" t="s">
        <v>1500</v>
      </c>
      <c r="F518" s="4" t="s">
        <v>128</v>
      </c>
      <c r="G518" s="4" t="s">
        <v>865</v>
      </c>
    </row>
    <row r="519" spans="1:7" x14ac:dyDescent="0.25">
      <c r="A519" s="4" t="s">
        <v>163</v>
      </c>
      <c r="B519" s="4" t="s">
        <v>387</v>
      </c>
      <c r="C519" s="4" t="s">
        <v>401</v>
      </c>
      <c r="D519" s="4" t="s">
        <v>563</v>
      </c>
      <c r="E519" s="4" t="s">
        <v>575</v>
      </c>
      <c r="F519" s="4" t="s">
        <v>229</v>
      </c>
      <c r="G519" s="4" t="s">
        <v>865</v>
      </c>
    </row>
    <row r="520" spans="1:7" x14ac:dyDescent="0.25">
      <c r="A520" s="4" t="s">
        <v>163</v>
      </c>
      <c r="B520" s="4" t="s">
        <v>387</v>
      </c>
      <c r="C520" s="4" t="s">
        <v>401</v>
      </c>
      <c r="D520" s="4" t="s">
        <v>564</v>
      </c>
      <c r="E520" s="4" t="s">
        <v>576</v>
      </c>
      <c r="F520" s="4" t="s">
        <v>361</v>
      </c>
      <c r="G520" s="4" t="s">
        <v>865</v>
      </c>
    </row>
    <row r="521" spans="1:7" x14ac:dyDescent="0.25">
      <c r="A521" s="4" t="s">
        <v>163</v>
      </c>
      <c r="B521" s="4" t="s">
        <v>387</v>
      </c>
      <c r="C521" s="4" t="s">
        <v>401</v>
      </c>
      <c r="D521" s="4" t="s">
        <v>565</v>
      </c>
      <c r="E521" s="4" t="s">
        <v>577</v>
      </c>
      <c r="F521" s="4" t="s">
        <v>94</v>
      </c>
      <c r="G521" s="4" t="s">
        <v>865</v>
      </c>
    </row>
    <row r="522" spans="1:7" x14ac:dyDescent="0.25">
      <c r="A522" s="4" t="s">
        <v>163</v>
      </c>
      <c r="B522" s="4" t="s">
        <v>387</v>
      </c>
      <c r="C522" s="4" t="s">
        <v>401</v>
      </c>
      <c r="D522" s="4" t="s">
        <v>566</v>
      </c>
      <c r="E522" s="4" t="s">
        <v>578</v>
      </c>
      <c r="F522" s="4" t="s">
        <v>92</v>
      </c>
      <c r="G522" s="4" t="s">
        <v>865</v>
      </c>
    </row>
    <row r="523" spans="1:7" x14ac:dyDescent="0.25">
      <c r="A523" s="4" t="s">
        <v>163</v>
      </c>
      <c r="B523" s="4" t="s">
        <v>394</v>
      </c>
      <c r="C523" s="4" t="s">
        <v>401</v>
      </c>
      <c r="D523" s="4" t="s">
        <v>567</v>
      </c>
      <c r="E523" s="4" t="s">
        <v>579</v>
      </c>
      <c r="F523" s="4" t="s">
        <v>77</v>
      </c>
      <c r="G523" s="4" t="s">
        <v>865</v>
      </c>
    </row>
    <row r="524" spans="1:7" x14ac:dyDescent="0.25">
      <c r="A524" s="4" t="s">
        <v>163</v>
      </c>
      <c r="B524" s="4" t="s">
        <v>394</v>
      </c>
      <c r="C524" s="4" t="s">
        <v>401</v>
      </c>
      <c r="D524" s="4" t="s">
        <v>568</v>
      </c>
      <c r="E524" s="4" t="s">
        <v>580</v>
      </c>
      <c r="F524" s="4" t="s">
        <v>126</v>
      </c>
      <c r="G524" s="4" t="s">
        <v>865</v>
      </c>
    </row>
    <row r="525" spans="1:7" x14ac:dyDescent="0.25">
      <c r="A525" s="4" t="s">
        <v>163</v>
      </c>
      <c r="B525" s="4" t="s">
        <v>394</v>
      </c>
      <c r="C525" s="4" t="s">
        <v>401</v>
      </c>
      <c r="D525" s="4" t="s">
        <v>569</v>
      </c>
      <c r="E525" s="4" t="s">
        <v>581</v>
      </c>
      <c r="F525" s="4" t="s">
        <v>77</v>
      </c>
      <c r="G525" s="4" t="s">
        <v>865</v>
      </c>
    </row>
    <row r="526" spans="1:7" x14ac:dyDescent="0.25">
      <c r="A526" s="4" t="s">
        <v>163</v>
      </c>
      <c r="B526" s="4" t="s">
        <v>387</v>
      </c>
      <c r="C526" s="4" t="s">
        <v>465</v>
      </c>
      <c r="D526" s="4" t="s">
        <v>582</v>
      </c>
      <c r="E526" s="4" t="s">
        <v>600</v>
      </c>
      <c r="F526" s="4" t="s">
        <v>179</v>
      </c>
      <c r="G526" s="4" t="s">
        <v>865</v>
      </c>
    </row>
    <row r="527" spans="1:7" x14ac:dyDescent="0.25">
      <c r="A527" s="4" t="s">
        <v>163</v>
      </c>
      <c r="B527" s="4" t="s">
        <v>394</v>
      </c>
      <c r="C527" s="4" t="s">
        <v>465</v>
      </c>
      <c r="D527" s="4" t="s">
        <v>583</v>
      </c>
      <c r="E527" s="4" t="s">
        <v>1501</v>
      </c>
      <c r="F527" s="4" t="s">
        <v>21</v>
      </c>
      <c r="G527" s="4" t="s">
        <v>865</v>
      </c>
    </row>
    <row r="528" spans="1:7" x14ac:dyDescent="0.25">
      <c r="A528" s="4" t="s">
        <v>163</v>
      </c>
      <c r="B528" s="4" t="s">
        <v>387</v>
      </c>
      <c r="C528" s="4" t="s">
        <v>465</v>
      </c>
      <c r="D528" s="4" t="s">
        <v>585</v>
      </c>
      <c r="E528" s="4" t="s">
        <v>1502</v>
      </c>
      <c r="F528" s="4" t="s">
        <v>98</v>
      </c>
      <c r="G528" s="4" t="s">
        <v>865</v>
      </c>
    </row>
    <row r="529" spans="1:7" x14ac:dyDescent="0.25">
      <c r="A529" s="4" t="s">
        <v>163</v>
      </c>
      <c r="B529" s="4" t="s">
        <v>387</v>
      </c>
      <c r="C529" s="4" t="s">
        <v>466</v>
      </c>
      <c r="D529" s="4" t="s">
        <v>586</v>
      </c>
      <c r="E529" s="4" t="s">
        <v>616</v>
      </c>
      <c r="F529" s="4" t="s">
        <v>136</v>
      </c>
      <c r="G529" s="4" t="s">
        <v>865</v>
      </c>
    </row>
    <row r="530" spans="1:7" x14ac:dyDescent="0.25">
      <c r="A530" s="4" t="s">
        <v>163</v>
      </c>
      <c r="B530" s="4" t="s">
        <v>387</v>
      </c>
      <c r="C530" s="4" t="s">
        <v>466</v>
      </c>
      <c r="D530" s="4" t="s">
        <v>587</v>
      </c>
      <c r="E530" s="4" t="s">
        <v>1503</v>
      </c>
      <c r="F530" s="4" t="s">
        <v>287</v>
      </c>
      <c r="G530" s="4" t="s">
        <v>865</v>
      </c>
    </row>
    <row r="531" spans="1:7" x14ac:dyDescent="0.25">
      <c r="A531" s="4" t="s">
        <v>163</v>
      </c>
      <c r="B531" s="4" t="s">
        <v>387</v>
      </c>
      <c r="C531" s="4" t="s">
        <v>466</v>
      </c>
      <c r="D531" s="4" t="s">
        <v>591</v>
      </c>
      <c r="E531" s="4" t="s">
        <v>1333</v>
      </c>
      <c r="F531" s="4" t="s">
        <v>51</v>
      </c>
      <c r="G531" s="4" t="s">
        <v>865</v>
      </c>
    </row>
    <row r="532" spans="1:7" x14ac:dyDescent="0.25">
      <c r="A532" s="4" t="s">
        <v>163</v>
      </c>
      <c r="B532" s="4" t="s">
        <v>387</v>
      </c>
      <c r="C532" s="4" t="s">
        <v>466</v>
      </c>
      <c r="D532" s="4" t="s">
        <v>592</v>
      </c>
      <c r="E532" s="4" t="s">
        <v>1504</v>
      </c>
      <c r="F532" s="4" t="s">
        <v>233</v>
      </c>
      <c r="G532" s="4" t="s">
        <v>865</v>
      </c>
    </row>
    <row r="533" spans="1:7" x14ac:dyDescent="0.25">
      <c r="A533" s="4" t="s">
        <v>163</v>
      </c>
      <c r="B533" s="4" t="s">
        <v>394</v>
      </c>
      <c r="C533" s="4" t="s">
        <v>466</v>
      </c>
      <c r="D533" s="4" t="s">
        <v>594</v>
      </c>
      <c r="E533" s="4" t="s">
        <v>1505</v>
      </c>
      <c r="F533" s="4" t="s">
        <v>25</v>
      </c>
      <c r="G533" s="4" t="s">
        <v>865</v>
      </c>
    </row>
    <row r="534" spans="1:7" x14ac:dyDescent="0.25">
      <c r="A534" s="4" t="s">
        <v>163</v>
      </c>
      <c r="B534" s="4" t="s">
        <v>394</v>
      </c>
      <c r="C534" s="4" t="s">
        <v>466</v>
      </c>
      <c r="D534" s="4" t="s">
        <v>595</v>
      </c>
      <c r="E534" s="4" t="s">
        <v>1147</v>
      </c>
      <c r="F534" s="4" t="s">
        <v>253</v>
      </c>
      <c r="G534" s="4" t="s">
        <v>865</v>
      </c>
    </row>
    <row r="535" spans="1:7" x14ac:dyDescent="0.25">
      <c r="A535" s="4" t="s">
        <v>163</v>
      </c>
      <c r="B535" s="4" t="s">
        <v>387</v>
      </c>
      <c r="C535" s="4" t="s">
        <v>467</v>
      </c>
      <c r="D535" s="4" t="s">
        <v>387</v>
      </c>
      <c r="E535" s="4" t="s">
        <v>1506</v>
      </c>
      <c r="F535" s="4" t="s">
        <v>79</v>
      </c>
      <c r="G535" s="4" t="s">
        <v>865</v>
      </c>
    </row>
    <row r="536" spans="1:7" x14ac:dyDescent="0.25">
      <c r="A536" s="4" t="s">
        <v>163</v>
      </c>
      <c r="B536" s="4" t="s">
        <v>394</v>
      </c>
      <c r="C536" s="4" t="s">
        <v>467</v>
      </c>
      <c r="D536" s="4" t="s">
        <v>394</v>
      </c>
      <c r="E536" s="4" t="s">
        <v>1507</v>
      </c>
      <c r="F536" s="4" t="s">
        <v>371</v>
      </c>
      <c r="G536" s="4" t="s">
        <v>865</v>
      </c>
    </row>
    <row r="537" spans="1:7" x14ac:dyDescent="0.25">
      <c r="A537" s="4" t="s">
        <v>163</v>
      </c>
      <c r="B537" s="4" t="s">
        <v>387</v>
      </c>
      <c r="C537" s="4" t="s">
        <v>468</v>
      </c>
      <c r="D537" s="4" t="s">
        <v>604</v>
      </c>
      <c r="E537" s="4" t="s">
        <v>946</v>
      </c>
      <c r="F537" s="4" t="s">
        <v>321</v>
      </c>
      <c r="G537" s="4" t="s">
        <v>865</v>
      </c>
    </row>
    <row r="538" spans="1:7" x14ac:dyDescent="0.25">
      <c r="A538" s="4" t="s">
        <v>163</v>
      </c>
      <c r="B538" s="4" t="s">
        <v>394</v>
      </c>
      <c r="C538" s="4" t="s">
        <v>468</v>
      </c>
      <c r="D538" s="4" t="s">
        <v>605</v>
      </c>
      <c r="E538" s="4" t="s">
        <v>1508</v>
      </c>
      <c r="F538" s="4" t="s">
        <v>66</v>
      </c>
      <c r="G538" s="4" t="s">
        <v>865</v>
      </c>
    </row>
    <row r="539" spans="1:7" x14ac:dyDescent="0.25">
      <c r="A539" s="4" t="s">
        <v>163</v>
      </c>
      <c r="B539" s="4" t="s">
        <v>387</v>
      </c>
      <c r="C539" s="4" t="s">
        <v>469</v>
      </c>
      <c r="D539" s="4" t="s">
        <v>606</v>
      </c>
      <c r="E539" s="4" t="s">
        <v>1509</v>
      </c>
      <c r="F539" s="4" t="s">
        <v>280</v>
      </c>
      <c r="G539" s="4" t="s">
        <v>865</v>
      </c>
    </row>
    <row r="540" spans="1:7" x14ac:dyDescent="0.25">
      <c r="A540" s="4" t="s">
        <v>163</v>
      </c>
      <c r="B540" s="4" t="s">
        <v>387</v>
      </c>
      <c r="C540" s="4" t="s">
        <v>469</v>
      </c>
      <c r="D540" s="4" t="s">
        <v>607</v>
      </c>
      <c r="E540" s="4" t="s">
        <v>1510</v>
      </c>
      <c r="F540" s="4" t="s">
        <v>361</v>
      </c>
      <c r="G540" s="4" t="s">
        <v>865</v>
      </c>
    </row>
    <row r="541" spans="1:7" x14ac:dyDescent="0.25">
      <c r="A541" s="4" t="s">
        <v>163</v>
      </c>
      <c r="B541" s="4" t="s">
        <v>394</v>
      </c>
      <c r="C541" s="4" t="s">
        <v>469</v>
      </c>
      <c r="D541" s="4" t="s">
        <v>608</v>
      </c>
      <c r="E541" s="4" t="s">
        <v>1511</v>
      </c>
      <c r="F541" s="4" t="s">
        <v>175</v>
      </c>
      <c r="G541" s="4" t="s">
        <v>865</v>
      </c>
    </row>
    <row r="542" spans="1:7" x14ac:dyDescent="0.25">
      <c r="A542" s="4" t="s">
        <v>163</v>
      </c>
      <c r="B542" s="4" t="s">
        <v>394</v>
      </c>
      <c r="C542" s="4" t="s">
        <v>469</v>
      </c>
      <c r="D542" s="4" t="s">
        <v>609</v>
      </c>
      <c r="E542" s="4" t="s">
        <v>1154</v>
      </c>
      <c r="F542" s="4" t="s">
        <v>250</v>
      </c>
      <c r="G542" s="4" t="s">
        <v>865</v>
      </c>
    </row>
    <row r="543" spans="1:7" x14ac:dyDescent="0.25">
      <c r="A543" s="4" t="s">
        <v>163</v>
      </c>
      <c r="B543" s="4" t="s">
        <v>387</v>
      </c>
      <c r="C543" s="4" t="s">
        <v>470</v>
      </c>
      <c r="D543" s="4" t="s">
        <v>610</v>
      </c>
      <c r="E543" s="4" t="s">
        <v>1512</v>
      </c>
      <c r="F543" s="4" t="s">
        <v>287</v>
      </c>
      <c r="G543" s="4" t="s">
        <v>865</v>
      </c>
    </row>
    <row r="544" spans="1:7" x14ac:dyDescent="0.25">
      <c r="A544" s="4" t="s">
        <v>163</v>
      </c>
      <c r="B544" s="4" t="s">
        <v>394</v>
      </c>
      <c r="C544" s="4" t="s">
        <v>470</v>
      </c>
      <c r="D544" s="4" t="s">
        <v>611</v>
      </c>
      <c r="E544" s="4" t="s">
        <v>1513</v>
      </c>
      <c r="F544" s="4" t="s">
        <v>361</v>
      </c>
      <c r="G544" s="4" t="s">
        <v>865</v>
      </c>
    </row>
    <row r="545" spans="1:7" x14ac:dyDescent="0.25">
      <c r="A545" s="4" t="s">
        <v>163</v>
      </c>
      <c r="B545" s="4" t="s">
        <v>387</v>
      </c>
      <c r="C545" s="4" t="s">
        <v>470</v>
      </c>
      <c r="D545" s="4" t="s">
        <v>423</v>
      </c>
      <c r="E545" s="4" t="s">
        <v>1514</v>
      </c>
      <c r="F545" s="4" t="s">
        <v>217</v>
      </c>
      <c r="G545" s="4" t="s">
        <v>865</v>
      </c>
    </row>
    <row r="546" spans="1:7" x14ac:dyDescent="0.25">
      <c r="A546" s="4" t="s">
        <v>163</v>
      </c>
      <c r="B546" s="4" t="s">
        <v>394</v>
      </c>
      <c r="C546" s="4" t="s">
        <v>470</v>
      </c>
      <c r="D546" s="4" t="s">
        <v>424</v>
      </c>
      <c r="E546" s="4" t="s">
        <v>1515</v>
      </c>
      <c r="F546" s="4" t="s">
        <v>21</v>
      </c>
      <c r="G546" s="4" t="s">
        <v>865</v>
      </c>
    </row>
    <row r="547" spans="1:7" x14ac:dyDescent="0.25">
      <c r="A547" s="4" t="s">
        <v>163</v>
      </c>
      <c r="B547" s="4" t="s">
        <v>387</v>
      </c>
      <c r="C547" s="4" t="s">
        <v>470</v>
      </c>
      <c r="D547" s="4" t="s">
        <v>425</v>
      </c>
      <c r="E547" s="4" t="s">
        <v>1516</v>
      </c>
      <c r="F547" s="4" t="s">
        <v>100</v>
      </c>
      <c r="G547" s="4" t="s">
        <v>865</v>
      </c>
    </row>
    <row r="548" spans="1:7" x14ac:dyDescent="0.25">
      <c r="A548" s="4" t="s">
        <v>163</v>
      </c>
      <c r="B548" s="4" t="s">
        <v>394</v>
      </c>
      <c r="C548" s="4" t="s">
        <v>470</v>
      </c>
      <c r="D548" s="4" t="s">
        <v>426</v>
      </c>
      <c r="E548" s="4" t="s">
        <v>1517</v>
      </c>
      <c r="F548" s="4" t="s">
        <v>37</v>
      </c>
      <c r="G548" s="4" t="s">
        <v>865</v>
      </c>
    </row>
    <row r="549" spans="1:7" x14ac:dyDescent="0.25">
      <c r="A549" s="4" t="s">
        <v>163</v>
      </c>
      <c r="B549" s="4" t="s">
        <v>387</v>
      </c>
      <c r="C549" s="4" t="s">
        <v>404</v>
      </c>
      <c r="D549" s="4" t="s">
        <v>618</v>
      </c>
      <c r="E549" s="4" t="s">
        <v>1518</v>
      </c>
      <c r="F549" s="4" t="s">
        <v>136</v>
      </c>
      <c r="G549" s="4" t="s">
        <v>865</v>
      </c>
    </row>
    <row r="550" spans="1:7" x14ac:dyDescent="0.25">
      <c r="A550" s="4" t="s">
        <v>163</v>
      </c>
      <c r="B550" s="4" t="s">
        <v>394</v>
      </c>
      <c r="C550" s="4" t="s">
        <v>404</v>
      </c>
      <c r="D550" s="4" t="s">
        <v>619</v>
      </c>
      <c r="E550" s="4" t="s">
        <v>1519</v>
      </c>
      <c r="F550" s="4" t="s">
        <v>175</v>
      </c>
      <c r="G550" s="4" t="s">
        <v>865</v>
      </c>
    </row>
    <row r="551" spans="1:7" x14ac:dyDescent="0.25">
      <c r="A551" s="4" t="s">
        <v>163</v>
      </c>
      <c r="B551" s="4" t="s">
        <v>387</v>
      </c>
      <c r="C551" s="4" t="s">
        <v>404</v>
      </c>
      <c r="D551" s="4" t="s">
        <v>620</v>
      </c>
      <c r="E551" s="4" t="s">
        <v>1520</v>
      </c>
      <c r="F551" s="4" t="s">
        <v>363</v>
      </c>
      <c r="G551" s="4" t="s">
        <v>865</v>
      </c>
    </row>
    <row r="552" spans="1:7" x14ac:dyDescent="0.25">
      <c r="A552" s="4" t="s">
        <v>163</v>
      </c>
      <c r="B552" s="4" t="s">
        <v>394</v>
      </c>
      <c r="C552" s="4" t="s">
        <v>404</v>
      </c>
      <c r="D552" s="4" t="s">
        <v>621</v>
      </c>
      <c r="E552" s="4" t="s">
        <v>1521</v>
      </c>
      <c r="F552" s="4" t="s">
        <v>66</v>
      </c>
      <c r="G552" s="4" t="s">
        <v>865</v>
      </c>
    </row>
    <row r="553" spans="1:7" x14ac:dyDescent="0.25">
      <c r="A553" s="4" t="s">
        <v>163</v>
      </c>
      <c r="B553" s="4" t="s">
        <v>387</v>
      </c>
      <c r="C553" s="4" t="s">
        <v>405</v>
      </c>
      <c r="D553" s="4" t="s">
        <v>626</v>
      </c>
      <c r="E553" s="4" t="s">
        <v>1522</v>
      </c>
      <c r="F553" s="4" t="s">
        <v>363</v>
      </c>
      <c r="G553" s="4" t="s">
        <v>865</v>
      </c>
    </row>
    <row r="554" spans="1:7" x14ac:dyDescent="0.25">
      <c r="A554" s="4" t="s">
        <v>163</v>
      </c>
      <c r="B554" s="4" t="s">
        <v>394</v>
      </c>
      <c r="C554" s="4" t="s">
        <v>405</v>
      </c>
      <c r="D554" s="4" t="s">
        <v>628</v>
      </c>
      <c r="E554" s="4" t="s">
        <v>1523</v>
      </c>
      <c r="F554" s="4" t="s">
        <v>136</v>
      </c>
      <c r="G554" s="4" t="s">
        <v>865</v>
      </c>
    </row>
    <row r="555" spans="1:7" x14ac:dyDescent="0.25">
      <c r="A555" s="4" t="s">
        <v>163</v>
      </c>
      <c r="B555" s="4" t="s">
        <v>387</v>
      </c>
      <c r="C555" s="4" t="s">
        <v>405</v>
      </c>
      <c r="D555" s="4" t="s">
        <v>630</v>
      </c>
      <c r="E555" s="4" t="s">
        <v>1524</v>
      </c>
      <c r="F555" s="4" t="s">
        <v>66</v>
      </c>
      <c r="G555" s="4" t="s">
        <v>865</v>
      </c>
    </row>
    <row r="556" spans="1:7" x14ac:dyDescent="0.25">
      <c r="A556" s="4" t="s">
        <v>163</v>
      </c>
      <c r="B556" s="4" t="s">
        <v>387</v>
      </c>
      <c r="C556" s="4" t="s">
        <v>406</v>
      </c>
      <c r="D556" s="4" t="s">
        <v>632</v>
      </c>
      <c r="E556" s="4" t="s">
        <v>1525</v>
      </c>
      <c r="F556" s="4" t="s">
        <v>287</v>
      </c>
      <c r="G556" s="4" t="s">
        <v>865</v>
      </c>
    </row>
    <row r="557" spans="1:7" x14ac:dyDescent="0.25">
      <c r="A557" s="4" t="s">
        <v>163</v>
      </c>
      <c r="B557" s="4" t="s">
        <v>394</v>
      </c>
      <c r="C557" s="4" t="s">
        <v>406</v>
      </c>
      <c r="D557" s="4" t="s">
        <v>633</v>
      </c>
      <c r="E557" s="4" t="s">
        <v>1526</v>
      </c>
      <c r="F557" s="4" t="s">
        <v>350</v>
      </c>
      <c r="G557" s="4" t="s">
        <v>865</v>
      </c>
    </row>
    <row r="558" spans="1:7" x14ac:dyDescent="0.25">
      <c r="A558" s="4" t="s">
        <v>163</v>
      </c>
      <c r="B558" s="4" t="s">
        <v>387</v>
      </c>
      <c r="C558" s="4" t="s">
        <v>406</v>
      </c>
      <c r="D558" s="4" t="s">
        <v>634</v>
      </c>
      <c r="E558" s="4" t="s">
        <v>1527</v>
      </c>
      <c r="F558" s="4" t="s">
        <v>128</v>
      </c>
      <c r="G558" s="4" t="s">
        <v>865</v>
      </c>
    </row>
    <row r="559" spans="1:7" x14ac:dyDescent="0.25">
      <c r="A559" s="4" t="s">
        <v>163</v>
      </c>
      <c r="B559" s="4" t="s">
        <v>394</v>
      </c>
      <c r="C559" s="4" t="s">
        <v>406</v>
      </c>
      <c r="D559" s="4" t="s">
        <v>635</v>
      </c>
      <c r="E559" s="4" t="s">
        <v>1528</v>
      </c>
      <c r="F559" s="4" t="s">
        <v>77</v>
      </c>
      <c r="G559" s="4" t="s">
        <v>865</v>
      </c>
    </row>
    <row r="560" spans="1:7" x14ac:dyDescent="0.25">
      <c r="A560" s="4" t="s">
        <v>163</v>
      </c>
      <c r="B560" s="4" t="s">
        <v>387</v>
      </c>
      <c r="C560" s="4" t="s">
        <v>406</v>
      </c>
      <c r="D560" s="4" t="s">
        <v>636</v>
      </c>
      <c r="E560" s="4" t="s">
        <v>1529</v>
      </c>
      <c r="F560" s="4" t="s">
        <v>187</v>
      </c>
      <c r="G560" s="4" t="s">
        <v>865</v>
      </c>
    </row>
    <row r="561" spans="1:7" x14ac:dyDescent="0.25">
      <c r="A561" s="4" t="s">
        <v>163</v>
      </c>
      <c r="B561" s="4" t="s">
        <v>394</v>
      </c>
      <c r="C561" s="4" t="s">
        <v>406</v>
      </c>
      <c r="D561" s="4" t="s">
        <v>637</v>
      </c>
      <c r="E561" s="4" t="s">
        <v>1530</v>
      </c>
      <c r="F561" s="4" t="s">
        <v>358</v>
      </c>
      <c r="G561" s="4" t="s">
        <v>865</v>
      </c>
    </row>
    <row r="562" spans="1:7" x14ac:dyDescent="0.25">
      <c r="A562" s="4" t="s">
        <v>163</v>
      </c>
      <c r="B562" s="4" t="s">
        <v>387</v>
      </c>
      <c r="C562" s="4" t="s">
        <v>475</v>
      </c>
      <c r="D562" s="4" t="s">
        <v>643</v>
      </c>
      <c r="E562" s="4" t="s">
        <v>1531</v>
      </c>
      <c r="F562" s="4" t="s">
        <v>363</v>
      </c>
      <c r="G562" s="4" t="s">
        <v>865</v>
      </c>
    </row>
    <row r="563" spans="1:7" x14ac:dyDescent="0.25">
      <c r="A563" s="4" t="s">
        <v>163</v>
      </c>
      <c r="B563" s="4" t="s">
        <v>394</v>
      </c>
      <c r="C563" s="4" t="s">
        <v>475</v>
      </c>
      <c r="D563" s="4" t="s">
        <v>644</v>
      </c>
      <c r="E563" s="4" t="s">
        <v>1532</v>
      </c>
      <c r="F563" s="4" t="s">
        <v>77</v>
      </c>
      <c r="G563" s="4" t="s">
        <v>865</v>
      </c>
    </row>
    <row r="564" spans="1:7" x14ac:dyDescent="0.25">
      <c r="A564" s="4" t="s">
        <v>163</v>
      </c>
      <c r="B564" s="4" t="s">
        <v>394</v>
      </c>
      <c r="C564" s="4" t="s">
        <v>409</v>
      </c>
      <c r="D564" s="4" t="s">
        <v>646</v>
      </c>
      <c r="E564" s="4" t="s">
        <v>667</v>
      </c>
      <c r="F564" s="4" t="s">
        <v>179</v>
      </c>
      <c r="G564" s="4" t="s">
        <v>865</v>
      </c>
    </row>
    <row r="565" spans="1:7" x14ac:dyDescent="0.25">
      <c r="A565" s="4" t="s">
        <v>163</v>
      </c>
      <c r="B565" s="4" t="s">
        <v>394</v>
      </c>
      <c r="C565" s="4" t="s">
        <v>409</v>
      </c>
      <c r="D565" s="4" t="s">
        <v>647</v>
      </c>
      <c r="E565" s="4" t="s">
        <v>668</v>
      </c>
      <c r="F565" s="4" t="s">
        <v>287</v>
      </c>
      <c r="G565" s="4" t="s">
        <v>865</v>
      </c>
    </row>
    <row r="566" spans="1:7" x14ac:dyDescent="0.25">
      <c r="A566" s="4" t="s">
        <v>163</v>
      </c>
      <c r="B566" s="4" t="s">
        <v>394</v>
      </c>
      <c r="C566" s="4" t="s">
        <v>409</v>
      </c>
      <c r="D566" s="4" t="s">
        <v>649</v>
      </c>
      <c r="E566" s="4" t="s">
        <v>669</v>
      </c>
      <c r="F566" s="4" t="s">
        <v>282</v>
      </c>
      <c r="G566" s="4" t="s">
        <v>865</v>
      </c>
    </row>
    <row r="567" spans="1:7" x14ac:dyDescent="0.25">
      <c r="A567" s="4" t="s">
        <v>163</v>
      </c>
      <c r="B567" s="4" t="s">
        <v>394</v>
      </c>
      <c r="C567" s="4" t="s">
        <v>409</v>
      </c>
      <c r="D567" s="4" t="s">
        <v>650</v>
      </c>
      <c r="E567" s="4" t="s">
        <v>670</v>
      </c>
      <c r="F567" s="4" t="s">
        <v>250</v>
      </c>
      <c r="G567" s="4" t="s">
        <v>865</v>
      </c>
    </row>
    <row r="568" spans="1:7" x14ac:dyDescent="0.25">
      <c r="A568" s="4" t="s">
        <v>163</v>
      </c>
      <c r="B568" s="4" t="s">
        <v>394</v>
      </c>
      <c r="C568" s="4" t="s">
        <v>409</v>
      </c>
      <c r="D568" s="4" t="s">
        <v>651</v>
      </c>
      <c r="E568" s="4" t="s">
        <v>671</v>
      </c>
      <c r="F568" s="4" t="s">
        <v>136</v>
      </c>
      <c r="G568" s="4" t="s">
        <v>865</v>
      </c>
    </row>
    <row r="569" spans="1:7" x14ac:dyDescent="0.25">
      <c r="A569" s="4" t="s">
        <v>163</v>
      </c>
      <c r="B569" s="4" t="s">
        <v>394</v>
      </c>
      <c r="C569" s="4" t="s">
        <v>409</v>
      </c>
      <c r="D569" s="4" t="s">
        <v>652</v>
      </c>
      <c r="E569" s="4" t="s">
        <v>672</v>
      </c>
      <c r="F569" s="4" t="s">
        <v>313</v>
      </c>
      <c r="G569" s="4" t="s">
        <v>865</v>
      </c>
    </row>
    <row r="570" spans="1:7" x14ac:dyDescent="0.25">
      <c r="A570" s="4" t="s">
        <v>163</v>
      </c>
      <c r="B570" s="4" t="s">
        <v>394</v>
      </c>
      <c r="C570" s="4" t="s">
        <v>409</v>
      </c>
      <c r="D570" s="4" t="s">
        <v>653</v>
      </c>
      <c r="E570" s="4" t="s">
        <v>673</v>
      </c>
      <c r="F570" s="4" t="s">
        <v>179</v>
      </c>
      <c r="G570" s="4" t="s">
        <v>865</v>
      </c>
    </row>
    <row r="571" spans="1:7" x14ac:dyDescent="0.25">
      <c r="A571" s="4" t="s">
        <v>163</v>
      </c>
      <c r="B571" s="4" t="s">
        <v>387</v>
      </c>
      <c r="C571" s="4" t="s">
        <v>409</v>
      </c>
      <c r="D571" s="4" t="s">
        <v>654</v>
      </c>
      <c r="E571" s="4" t="s">
        <v>674</v>
      </c>
      <c r="F571" s="4" t="s">
        <v>367</v>
      </c>
      <c r="G571" s="4" t="s">
        <v>865</v>
      </c>
    </row>
    <row r="572" spans="1:7" x14ac:dyDescent="0.25">
      <c r="A572" s="4" t="s">
        <v>163</v>
      </c>
      <c r="B572" s="4" t="s">
        <v>387</v>
      </c>
      <c r="C572" s="4" t="s">
        <v>409</v>
      </c>
      <c r="D572" s="4" t="s">
        <v>655</v>
      </c>
      <c r="E572" s="4" t="s">
        <v>675</v>
      </c>
      <c r="F572" s="4" t="s">
        <v>179</v>
      </c>
      <c r="G572" s="4" t="s">
        <v>865</v>
      </c>
    </row>
    <row r="573" spans="1:7" x14ac:dyDescent="0.25">
      <c r="A573" s="4" t="s">
        <v>163</v>
      </c>
      <c r="B573" s="4" t="s">
        <v>387</v>
      </c>
      <c r="C573" s="4" t="s">
        <v>409</v>
      </c>
      <c r="D573" s="4" t="s">
        <v>656</v>
      </c>
      <c r="E573" s="4" t="s">
        <v>676</v>
      </c>
      <c r="F573" s="4" t="s">
        <v>134</v>
      </c>
      <c r="G573" s="4" t="s">
        <v>865</v>
      </c>
    </row>
    <row r="574" spans="1:7" x14ac:dyDescent="0.25">
      <c r="A574" s="4" t="s">
        <v>163</v>
      </c>
      <c r="B574" s="4" t="s">
        <v>387</v>
      </c>
      <c r="C574" s="4" t="s">
        <v>409</v>
      </c>
      <c r="D574" s="4" t="s">
        <v>657</v>
      </c>
      <c r="E574" s="4" t="s">
        <v>677</v>
      </c>
      <c r="F574" s="4" t="s">
        <v>360</v>
      </c>
      <c r="G574" s="4" t="s">
        <v>865</v>
      </c>
    </row>
    <row r="575" spans="1:7" x14ac:dyDescent="0.25">
      <c r="A575" s="4" t="s">
        <v>163</v>
      </c>
      <c r="B575" s="4" t="s">
        <v>387</v>
      </c>
      <c r="C575" s="4" t="s">
        <v>409</v>
      </c>
      <c r="D575" s="4" t="s">
        <v>658</v>
      </c>
      <c r="E575" s="4" t="s">
        <v>678</v>
      </c>
      <c r="F575" s="4" t="s">
        <v>77</v>
      </c>
      <c r="G575" s="4" t="s">
        <v>865</v>
      </c>
    </row>
    <row r="576" spans="1:7" x14ac:dyDescent="0.25">
      <c r="A576" s="4" t="s">
        <v>163</v>
      </c>
      <c r="B576" s="4" t="s">
        <v>387</v>
      </c>
      <c r="C576" s="4" t="s">
        <v>409</v>
      </c>
      <c r="D576" s="4" t="s">
        <v>659</v>
      </c>
      <c r="E576" s="4" t="s">
        <v>679</v>
      </c>
      <c r="F576" s="4" t="s">
        <v>128</v>
      </c>
      <c r="G576" s="4" t="s">
        <v>865</v>
      </c>
    </row>
    <row r="577" spans="1:7" x14ac:dyDescent="0.25">
      <c r="A577" s="4" t="s">
        <v>163</v>
      </c>
      <c r="B577" s="4" t="s">
        <v>387</v>
      </c>
      <c r="C577" s="4" t="s">
        <v>409</v>
      </c>
      <c r="D577" s="4" t="s">
        <v>660</v>
      </c>
      <c r="E577" s="4" t="s">
        <v>663</v>
      </c>
      <c r="F577" s="4" t="s">
        <v>51</v>
      </c>
      <c r="G577" s="4" t="s">
        <v>865</v>
      </c>
    </row>
    <row r="578" spans="1:7" x14ac:dyDescent="0.25">
      <c r="A578" s="4" t="s">
        <v>163</v>
      </c>
      <c r="B578" s="4" t="s">
        <v>394</v>
      </c>
      <c r="C578" s="4" t="s">
        <v>471</v>
      </c>
      <c r="D578" s="4" t="s">
        <v>680</v>
      </c>
      <c r="E578" s="4" t="s">
        <v>1533</v>
      </c>
      <c r="F578" s="4" t="s">
        <v>51</v>
      </c>
      <c r="G578" s="4" t="s">
        <v>865</v>
      </c>
    </row>
    <row r="579" spans="1:7" x14ac:dyDescent="0.25">
      <c r="A579" s="4" t="s">
        <v>163</v>
      </c>
      <c r="B579" s="4" t="s">
        <v>387</v>
      </c>
      <c r="C579" s="4" t="s">
        <v>471</v>
      </c>
      <c r="D579" s="4" t="s">
        <v>681</v>
      </c>
      <c r="E579" s="4" t="s">
        <v>1534</v>
      </c>
      <c r="F579" s="4" t="s">
        <v>128</v>
      </c>
      <c r="G579" s="4" t="s">
        <v>865</v>
      </c>
    </row>
    <row r="580" spans="1:7" x14ac:dyDescent="0.25">
      <c r="A580" s="4" t="s">
        <v>163</v>
      </c>
      <c r="B580" s="4" t="s">
        <v>387</v>
      </c>
      <c r="C580" s="4" t="s">
        <v>410</v>
      </c>
      <c r="D580" s="4" t="s">
        <v>396</v>
      </c>
      <c r="E580" s="4" t="s">
        <v>1535</v>
      </c>
      <c r="F580" s="4" t="s">
        <v>229</v>
      </c>
      <c r="G580" s="4" t="s">
        <v>865</v>
      </c>
    </row>
    <row r="581" spans="1:7" x14ac:dyDescent="0.25">
      <c r="A581" s="4" t="s">
        <v>163</v>
      </c>
      <c r="B581" s="4" t="s">
        <v>394</v>
      </c>
      <c r="C581" s="4" t="s">
        <v>410</v>
      </c>
      <c r="D581" s="4" t="s">
        <v>476</v>
      </c>
      <c r="E581" s="4" t="s">
        <v>1536</v>
      </c>
      <c r="F581" s="4" t="s">
        <v>280</v>
      </c>
      <c r="G581" s="4" t="s">
        <v>865</v>
      </c>
    </row>
    <row r="582" spans="1:7" x14ac:dyDescent="0.25">
      <c r="A582" s="4" t="s">
        <v>163</v>
      </c>
      <c r="B582" s="4" t="s">
        <v>394</v>
      </c>
      <c r="C582" s="4" t="s">
        <v>472</v>
      </c>
      <c r="D582" s="4" t="s">
        <v>682</v>
      </c>
      <c r="E582" s="4" t="s">
        <v>1537</v>
      </c>
      <c r="F582" s="4" t="s">
        <v>358</v>
      </c>
      <c r="G582" s="4" t="s">
        <v>865</v>
      </c>
    </row>
    <row r="583" spans="1:7" x14ac:dyDescent="0.25">
      <c r="A583" s="4" t="s">
        <v>163</v>
      </c>
      <c r="B583" s="4" t="s">
        <v>394</v>
      </c>
      <c r="C583" s="4" t="s">
        <v>411</v>
      </c>
      <c r="D583" s="4" t="s">
        <v>689</v>
      </c>
      <c r="E583" s="4" t="s">
        <v>1538</v>
      </c>
      <c r="F583" s="4" t="s">
        <v>77</v>
      </c>
      <c r="G583" s="4" t="s">
        <v>865</v>
      </c>
    </row>
    <row r="584" spans="1:7" x14ac:dyDescent="0.25">
      <c r="A584" s="4" t="s">
        <v>163</v>
      </c>
      <c r="B584" s="4" t="s">
        <v>387</v>
      </c>
      <c r="C584" s="4" t="s">
        <v>411</v>
      </c>
      <c r="D584" s="4" t="s">
        <v>690</v>
      </c>
      <c r="E584" s="4" t="s">
        <v>1539</v>
      </c>
      <c r="F584" s="4" t="s">
        <v>98</v>
      </c>
      <c r="G584" s="4" t="s">
        <v>865</v>
      </c>
    </row>
    <row r="585" spans="1:7" x14ac:dyDescent="0.25">
      <c r="A585" s="4" t="s">
        <v>163</v>
      </c>
      <c r="B585" s="4" t="s">
        <v>387</v>
      </c>
      <c r="C585" s="4" t="s">
        <v>412</v>
      </c>
      <c r="D585" s="4" t="s">
        <v>698</v>
      </c>
      <c r="E585" s="4" t="s">
        <v>1540</v>
      </c>
      <c r="F585" s="4" t="s">
        <v>128</v>
      </c>
      <c r="G585" s="4" t="s">
        <v>865</v>
      </c>
    </row>
    <row r="586" spans="1:7" x14ac:dyDescent="0.25">
      <c r="A586" s="4" t="s">
        <v>163</v>
      </c>
      <c r="B586" s="4" t="s">
        <v>394</v>
      </c>
      <c r="C586" s="4" t="s">
        <v>412</v>
      </c>
      <c r="D586" s="4" t="s">
        <v>699</v>
      </c>
      <c r="E586" s="4" t="s">
        <v>1541</v>
      </c>
      <c r="F586" s="4" t="s">
        <v>287</v>
      </c>
      <c r="G586" s="4" t="s">
        <v>865</v>
      </c>
    </row>
    <row r="587" spans="1:7" x14ac:dyDescent="0.25">
      <c r="A587" s="4" t="s">
        <v>163</v>
      </c>
      <c r="B587" s="4" t="s">
        <v>387</v>
      </c>
      <c r="C587" s="4" t="s">
        <v>412</v>
      </c>
      <c r="D587" s="4" t="s">
        <v>700</v>
      </c>
      <c r="E587" s="4" t="s">
        <v>1542</v>
      </c>
      <c r="F587" s="4" t="s">
        <v>253</v>
      </c>
      <c r="G587" s="4" t="s">
        <v>865</v>
      </c>
    </row>
    <row r="588" spans="1:7" x14ac:dyDescent="0.25">
      <c r="A588" s="4" t="s">
        <v>163</v>
      </c>
      <c r="B588" s="4" t="s">
        <v>394</v>
      </c>
      <c r="C588" s="4" t="s">
        <v>412</v>
      </c>
      <c r="D588" s="4" t="s">
        <v>701</v>
      </c>
      <c r="E588" s="4" t="s">
        <v>1543</v>
      </c>
      <c r="F588" s="4" t="s">
        <v>100</v>
      </c>
      <c r="G588" s="4" t="s">
        <v>865</v>
      </c>
    </row>
    <row r="589" spans="1:7" x14ac:dyDescent="0.25">
      <c r="A589" s="4" t="s">
        <v>163</v>
      </c>
      <c r="B589" s="4" t="s">
        <v>387</v>
      </c>
      <c r="C589" s="4" t="s">
        <v>412</v>
      </c>
      <c r="D589" s="4" t="s">
        <v>702</v>
      </c>
      <c r="E589" s="4" t="s">
        <v>1544</v>
      </c>
      <c r="F589" s="4" t="s">
        <v>363</v>
      </c>
      <c r="G589" s="4" t="s">
        <v>865</v>
      </c>
    </row>
    <row r="590" spans="1:7" x14ac:dyDescent="0.25">
      <c r="A590" s="4" t="s">
        <v>163</v>
      </c>
      <c r="B590" s="4" t="s">
        <v>387</v>
      </c>
      <c r="C590" s="4" t="s">
        <v>413</v>
      </c>
      <c r="D590" s="4" t="s">
        <v>708</v>
      </c>
      <c r="E590" s="4" t="s">
        <v>1545</v>
      </c>
      <c r="F590" s="4" t="s">
        <v>128</v>
      </c>
      <c r="G590" s="4" t="s">
        <v>865</v>
      </c>
    </row>
    <row r="591" spans="1:7" x14ac:dyDescent="0.25">
      <c r="A591" s="4" t="s">
        <v>163</v>
      </c>
      <c r="B591" s="4" t="s">
        <v>387</v>
      </c>
      <c r="C591" s="4" t="s">
        <v>413</v>
      </c>
      <c r="D591" s="4" t="s">
        <v>709</v>
      </c>
      <c r="E591" s="4" t="s">
        <v>1546</v>
      </c>
      <c r="F591" s="4" t="s">
        <v>287</v>
      </c>
      <c r="G591" s="4" t="s">
        <v>865</v>
      </c>
    </row>
    <row r="592" spans="1:7" x14ac:dyDescent="0.25">
      <c r="A592" s="4" t="s">
        <v>163</v>
      </c>
      <c r="B592" s="4" t="s">
        <v>387</v>
      </c>
      <c r="C592" s="4" t="s">
        <v>413</v>
      </c>
      <c r="D592" s="4" t="s">
        <v>710</v>
      </c>
      <c r="E592" s="4" t="s">
        <v>1547</v>
      </c>
      <c r="F592" s="4" t="s">
        <v>287</v>
      </c>
      <c r="G592" s="4" t="s">
        <v>865</v>
      </c>
    </row>
    <row r="593" spans="1:7" x14ac:dyDescent="0.25">
      <c r="A593" s="4" t="s">
        <v>163</v>
      </c>
      <c r="B593" s="4" t="s">
        <v>387</v>
      </c>
      <c r="C593" s="4" t="s">
        <v>413</v>
      </c>
      <c r="D593" s="4" t="s">
        <v>711</v>
      </c>
      <c r="E593" s="4" t="s">
        <v>1548</v>
      </c>
      <c r="F593" s="4" t="s">
        <v>186</v>
      </c>
      <c r="G593" s="4" t="s">
        <v>865</v>
      </c>
    </row>
    <row r="594" spans="1:7" x14ac:dyDescent="0.25">
      <c r="A594" s="4" t="s">
        <v>163</v>
      </c>
      <c r="B594" s="4" t="s">
        <v>387</v>
      </c>
      <c r="C594" s="4" t="s">
        <v>413</v>
      </c>
      <c r="D594" s="4" t="s">
        <v>712</v>
      </c>
      <c r="E594" s="4" t="s">
        <v>1549</v>
      </c>
      <c r="F594" s="4" t="s">
        <v>77</v>
      </c>
      <c r="G594" s="4" t="s">
        <v>865</v>
      </c>
    </row>
    <row r="595" spans="1:7" x14ac:dyDescent="0.25">
      <c r="A595" s="4" t="s">
        <v>163</v>
      </c>
      <c r="B595" s="4" t="s">
        <v>387</v>
      </c>
      <c r="C595" s="4" t="s">
        <v>413</v>
      </c>
      <c r="D595" s="4" t="s">
        <v>713</v>
      </c>
      <c r="E595" s="4" t="s">
        <v>868</v>
      </c>
      <c r="F595" s="4" t="s">
        <v>77</v>
      </c>
      <c r="G595" s="4" t="s">
        <v>865</v>
      </c>
    </row>
    <row r="596" spans="1:7" x14ac:dyDescent="0.25">
      <c r="A596" s="4" t="s">
        <v>163</v>
      </c>
      <c r="B596" s="4" t="s">
        <v>387</v>
      </c>
      <c r="C596" s="4" t="s">
        <v>413</v>
      </c>
      <c r="D596" s="4" t="s">
        <v>714</v>
      </c>
      <c r="E596" s="4" t="s">
        <v>1550</v>
      </c>
      <c r="F596" s="4" t="s">
        <v>361</v>
      </c>
      <c r="G596" s="4" t="s">
        <v>865</v>
      </c>
    </row>
    <row r="597" spans="1:7" x14ac:dyDescent="0.25">
      <c r="A597" s="4" t="s">
        <v>163</v>
      </c>
      <c r="B597" s="4" t="s">
        <v>387</v>
      </c>
      <c r="C597" s="4" t="s">
        <v>413</v>
      </c>
      <c r="D597" s="4" t="s">
        <v>715</v>
      </c>
      <c r="E597" s="4" t="s">
        <v>1551</v>
      </c>
      <c r="F597" s="4" t="s">
        <v>361</v>
      </c>
      <c r="G597" s="4" t="s">
        <v>865</v>
      </c>
    </row>
    <row r="598" spans="1:7" x14ac:dyDescent="0.25">
      <c r="A598" s="4" t="s">
        <v>163</v>
      </c>
      <c r="B598" s="4" t="s">
        <v>387</v>
      </c>
      <c r="C598" s="4" t="s">
        <v>413</v>
      </c>
      <c r="D598" s="4" t="s">
        <v>717</v>
      </c>
      <c r="E598" s="4" t="s">
        <v>1552</v>
      </c>
      <c r="F598" s="4" t="s">
        <v>716</v>
      </c>
      <c r="G598" s="4" t="s">
        <v>865</v>
      </c>
    </row>
    <row r="599" spans="1:7" x14ac:dyDescent="0.25">
      <c r="A599" s="4" t="s">
        <v>163</v>
      </c>
      <c r="B599" s="4" t="s">
        <v>394</v>
      </c>
      <c r="C599" s="4" t="s">
        <v>413</v>
      </c>
      <c r="D599" s="4" t="s">
        <v>718</v>
      </c>
      <c r="E599" s="4" t="s">
        <v>1396</v>
      </c>
      <c r="F599" s="4" t="s">
        <v>77</v>
      </c>
      <c r="G599" s="4" t="s">
        <v>865</v>
      </c>
    </row>
    <row r="600" spans="1:7" x14ac:dyDescent="0.25">
      <c r="A600" s="4" t="s">
        <v>163</v>
      </c>
      <c r="B600" s="4" t="s">
        <v>394</v>
      </c>
      <c r="C600" s="4" t="s">
        <v>413</v>
      </c>
      <c r="D600" s="4" t="s">
        <v>719</v>
      </c>
      <c r="E600" s="4" t="s">
        <v>1553</v>
      </c>
      <c r="F600" s="4" t="s">
        <v>77</v>
      </c>
      <c r="G600" s="4" t="s">
        <v>865</v>
      </c>
    </row>
    <row r="601" spans="1:7" x14ac:dyDescent="0.25">
      <c r="A601" s="4" t="s">
        <v>163</v>
      </c>
      <c r="B601" s="4" t="s">
        <v>394</v>
      </c>
      <c r="C601" s="4" t="s">
        <v>413</v>
      </c>
      <c r="D601" s="4" t="s">
        <v>720</v>
      </c>
      <c r="E601" s="4" t="s">
        <v>871</v>
      </c>
      <c r="F601" s="4" t="s">
        <v>333</v>
      </c>
      <c r="G601" s="4" t="s">
        <v>865</v>
      </c>
    </row>
    <row r="602" spans="1:7" x14ac:dyDescent="0.25">
      <c r="A602" s="4" t="s">
        <v>163</v>
      </c>
      <c r="B602" s="4" t="s">
        <v>394</v>
      </c>
      <c r="C602" s="4" t="s">
        <v>413</v>
      </c>
      <c r="D602" s="4" t="s">
        <v>721</v>
      </c>
      <c r="E602" s="4" t="s">
        <v>869</v>
      </c>
      <c r="F602" s="4" t="s">
        <v>140</v>
      </c>
      <c r="G602" s="4" t="s">
        <v>865</v>
      </c>
    </row>
    <row r="603" spans="1:7" x14ac:dyDescent="0.25">
      <c r="A603" s="4" t="s">
        <v>163</v>
      </c>
      <c r="B603" s="4" t="s">
        <v>394</v>
      </c>
      <c r="C603" s="4" t="s">
        <v>413</v>
      </c>
      <c r="D603" s="4" t="s">
        <v>722</v>
      </c>
      <c r="E603" s="4" t="s">
        <v>1554</v>
      </c>
      <c r="F603" s="4" t="s">
        <v>363</v>
      </c>
      <c r="G603" s="4" t="s">
        <v>865</v>
      </c>
    </row>
    <row r="604" spans="1:7" x14ac:dyDescent="0.25">
      <c r="A604" s="4" t="s">
        <v>163</v>
      </c>
      <c r="B604" s="4" t="s">
        <v>394</v>
      </c>
      <c r="C604" s="4" t="s">
        <v>413</v>
      </c>
      <c r="D604" s="4" t="s">
        <v>723</v>
      </c>
      <c r="E604" s="4" t="s">
        <v>1555</v>
      </c>
      <c r="F604" s="4" t="s">
        <v>363</v>
      </c>
      <c r="G604" s="4" t="s">
        <v>865</v>
      </c>
    </row>
    <row r="605" spans="1:7" x14ac:dyDescent="0.25">
      <c r="A605" s="4" t="s">
        <v>163</v>
      </c>
      <c r="B605" s="4" t="s">
        <v>394</v>
      </c>
      <c r="C605" s="4" t="s">
        <v>414</v>
      </c>
      <c r="D605" s="4" t="s">
        <v>724</v>
      </c>
      <c r="E605" s="4" t="s">
        <v>1556</v>
      </c>
      <c r="F605" s="4" t="s">
        <v>35</v>
      </c>
      <c r="G605" s="4" t="s">
        <v>865</v>
      </c>
    </row>
    <row r="606" spans="1:7" x14ac:dyDescent="0.25">
      <c r="A606" s="4" t="s">
        <v>163</v>
      </c>
      <c r="B606" s="4" t="s">
        <v>394</v>
      </c>
      <c r="C606" s="4" t="s">
        <v>414</v>
      </c>
      <c r="D606" s="4" t="s">
        <v>725</v>
      </c>
      <c r="E606" s="4" t="s">
        <v>1219</v>
      </c>
      <c r="F606" s="4" t="s">
        <v>331</v>
      </c>
      <c r="G606" s="4" t="s">
        <v>865</v>
      </c>
    </row>
    <row r="607" spans="1:7" x14ac:dyDescent="0.25">
      <c r="A607" s="4" t="s">
        <v>163</v>
      </c>
      <c r="B607" s="4" t="s">
        <v>394</v>
      </c>
      <c r="C607" s="4" t="s">
        <v>414</v>
      </c>
      <c r="D607" s="4" t="s">
        <v>727</v>
      </c>
      <c r="E607" s="4" t="s">
        <v>1557</v>
      </c>
      <c r="F607" s="4" t="s">
        <v>21</v>
      </c>
      <c r="G607" s="4" t="s">
        <v>865</v>
      </c>
    </row>
    <row r="608" spans="1:7" x14ac:dyDescent="0.25">
      <c r="A608" s="4" t="s">
        <v>163</v>
      </c>
      <c r="B608" s="4" t="s">
        <v>394</v>
      </c>
      <c r="C608" s="4" t="s">
        <v>414</v>
      </c>
      <c r="D608" s="4" t="s">
        <v>728</v>
      </c>
      <c r="E608" s="4" t="s">
        <v>1558</v>
      </c>
      <c r="F608" s="4" t="s">
        <v>363</v>
      </c>
      <c r="G608" s="4" t="s">
        <v>865</v>
      </c>
    </row>
    <row r="609" spans="1:7" x14ac:dyDescent="0.25">
      <c r="A609" s="4" t="s">
        <v>163</v>
      </c>
      <c r="B609" s="4" t="s">
        <v>394</v>
      </c>
      <c r="C609" s="4" t="s">
        <v>414</v>
      </c>
      <c r="D609" s="4" t="s">
        <v>729</v>
      </c>
      <c r="E609" s="4" t="s">
        <v>1559</v>
      </c>
      <c r="F609" s="4" t="s">
        <v>159</v>
      </c>
      <c r="G609" s="4" t="s">
        <v>865</v>
      </c>
    </row>
    <row r="610" spans="1:7" x14ac:dyDescent="0.25">
      <c r="A610" s="4" t="s">
        <v>163</v>
      </c>
      <c r="B610" s="4" t="s">
        <v>394</v>
      </c>
      <c r="C610" s="4" t="s">
        <v>414</v>
      </c>
      <c r="D610" s="4" t="s">
        <v>730</v>
      </c>
      <c r="E610" s="4" t="s">
        <v>884</v>
      </c>
      <c r="F610" s="4" t="s">
        <v>66</v>
      </c>
      <c r="G610" s="4" t="s">
        <v>865</v>
      </c>
    </row>
    <row r="611" spans="1:7" x14ac:dyDescent="0.25">
      <c r="A611" s="4" t="s">
        <v>163</v>
      </c>
      <c r="B611" s="4" t="s">
        <v>394</v>
      </c>
      <c r="C611" s="4" t="s">
        <v>414</v>
      </c>
      <c r="D611" s="4" t="s">
        <v>732</v>
      </c>
      <c r="E611" s="4" t="s">
        <v>1560</v>
      </c>
      <c r="F611" s="4" t="s">
        <v>66</v>
      </c>
      <c r="G611" s="4" t="s">
        <v>865</v>
      </c>
    </row>
    <row r="612" spans="1:7" x14ac:dyDescent="0.25">
      <c r="A612" s="4" t="s">
        <v>163</v>
      </c>
      <c r="B612" s="4" t="s">
        <v>394</v>
      </c>
      <c r="C612" s="4" t="s">
        <v>414</v>
      </c>
      <c r="D612" s="4" t="s">
        <v>733</v>
      </c>
      <c r="E612" s="4" t="s">
        <v>1561</v>
      </c>
      <c r="F612" s="4" t="s">
        <v>363</v>
      </c>
      <c r="G612" s="4" t="s">
        <v>865</v>
      </c>
    </row>
    <row r="613" spans="1:7" x14ac:dyDescent="0.25">
      <c r="A613" s="4" t="s">
        <v>163</v>
      </c>
      <c r="B613" s="4" t="s">
        <v>394</v>
      </c>
      <c r="C613" s="4" t="s">
        <v>414</v>
      </c>
      <c r="D613" s="4" t="s">
        <v>734</v>
      </c>
      <c r="E613" s="4" t="s">
        <v>1562</v>
      </c>
      <c r="F613" s="4" t="s">
        <v>77</v>
      </c>
      <c r="G613" s="4" t="s">
        <v>865</v>
      </c>
    </row>
    <row r="614" spans="1:7" x14ac:dyDescent="0.25">
      <c r="A614" s="4" t="s">
        <v>163</v>
      </c>
      <c r="B614" s="4" t="s">
        <v>394</v>
      </c>
      <c r="C614" s="4" t="s">
        <v>414</v>
      </c>
      <c r="D614" s="4" t="s">
        <v>735</v>
      </c>
      <c r="E614" s="4" t="s">
        <v>1563</v>
      </c>
      <c r="F614" s="4" t="s">
        <v>363</v>
      </c>
      <c r="G614" s="4" t="s">
        <v>865</v>
      </c>
    </row>
    <row r="615" spans="1:7" x14ac:dyDescent="0.25">
      <c r="A615" s="4" t="s">
        <v>163</v>
      </c>
      <c r="B615" s="4" t="s">
        <v>394</v>
      </c>
      <c r="C615" s="4" t="s">
        <v>414</v>
      </c>
      <c r="D615" s="4" t="s">
        <v>736</v>
      </c>
      <c r="E615" s="4" t="s">
        <v>1564</v>
      </c>
      <c r="F615" s="4" t="s">
        <v>179</v>
      </c>
      <c r="G615" s="4" t="s">
        <v>865</v>
      </c>
    </row>
    <row r="616" spans="1:7" x14ac:dyDescent="0.25">
      <c r="A616" s="4" t="s">
        <v>163</v>
      </c>
      <c r="B616" s="4" t="s">
        <v>394</v>
      </c>
      <c r="C616" s="4" t="s">
        <v>414</v>
      </c>
      <c r="D616" s="4" t="s">
        <v>737</v>
      </c>
      <c r="E616" s="4" t="s">
        <v>1216</v>
      </c>
      <c r="F616" s="4" t="s">
        <v>363</v>
      </c>
      <c r="G616" s="4" t="s">
        <v>865</v>
      </c>
    </row>
    <row r="617" spans="1:7" x14ac:dyDescent="0.25">
      <c r="A617" s="4" t="s">
        <v>163</v>
      </c>
      <c r="B617" s="4" t="s">
        <v>394</v>
      </c>
      <c r="C617" s="4" t="s">
        <v>414</v>
      </c>
      <c r="D617" s="4" t="s">
        <v>738</v>
      </c>
      <c r="E617" s="4" t="s">
        <v>1220</v>
      </c>
      <c r="F617" s="4" t="s">
        <v>321</v>
      </c>
      <c r="G617" s="4" t="s">
        <v>865</v>
      </c>
    </row>
    <row r="618" spans="1:7" x14ac:dyDescent="0.25">
      <c r="A618" s="4" t="s">
        <v>163</v>
      </c>
      <c r="B618" s="4" t="s">
        <v>387</v>
      </c>
      <c r="C618" s="4" t="s">
        <v>414</v>
      </c>
      <c r="D618" s="4" t="s">
        <v>742</v>
      </c>
      <c r="E618" s="4" t="s">
        <v>1565</v>
      </c>
      <c r="F618" s="4" t="s">
        <v>363</v>
      </c>
      <c r="G618" s="4" t="s">
        <v>865</v>
      </c>
    </row>
    <row r="619" spans="1:7" x14ac:dyDescent="0.25">
      <c r="A619" s="4" t="s">
        <v>163</v>
      </c>
      <c r="B619" s="4" t="s">
        <v>387</v>
      </c>
      <c r="C619" s="4" t="s">
        <v>414</v>
      </c>
      <c r="D619" s="4" t="s">
        <v>743</v>
      </c>
      <c r="E619" s="4" t="s">
        <v>1565</v>
      </c>
      <c r="F619" s="4" t="s">
        <v>363</v>
      </c>
      <c r="G619" s="4" t="s">
        <v>865</v>
      </c>
    </row>
    <row r="620" spans="1:7" x14ac:dyDescent="0.25">
      <c r="A620" s="4" t="s">
        <v>163</v>
      </c>
      <c r="B620" s="4" t="s">
        <v>387</v>
      </c>
      <c r="C620" s="4" t="s">
        <v>414</v>
      </c>
      <c r="D620" s="4" t="s">
        <v>744</v>
      </c>
      <c r="E620" s="4" t="s">
        <v>1566</v>
      </c>
      <c r="F620" s="4" t="s">
        <v>363</v>
      </c>
      <c r="G620" s="4" t="s">
        <v>865</v>
      </c>
    </row>
    <row r="621" spans="1:7" x14ac:dyDescent="0.25">
      <c r="A621" s="4" t="s">
        <v>163</v>
      </c>
      <c r="B621" s="4" t="s">
        <v>387</v>
      </c>
      <c r="C621" s="4" t="s">
        <v>414</v>
      </c>
      <c r="D621" s="4" t="s">
        <v>745</v>
      </c>
      <c r="E621" s="4" t="s">
        <v>1567</v>
      </c>
      <c r="F621" s="4" t="s">
        <v>175</v>
      </c>
      <c r="G621" s="4" t="s">
        <v>865</v>
      </c>
    </row>
    <row r="622" spans="1:7" x14ac:dyDescent="0.25">
      <c r="A622" s="4" t="s">
        <v>163</v>
      </c>
      <c r="B622" s="4" t="s">
        <v>387</v>
      </c>
      <c r="C622" s="4" t="s">
        <v>414</v>
      </c>
      <c r="D622" s="4" t="s">
        <v>746</v>
      </c>
      <c r="E622" s="4" t="s">
        <v>1567</v>
      </c>
      <c r="F622" s="4" t="s">
        <v>175</v>
      </c>
      <c r="G622" s="4" t="s">
        <v>865</v>
      </c>
    </row>
    <row r="623" spans="1:7" x14ac:dyDescent="0.25">
      <c r="A623" s="4" t="s">
        <v>163</v>
      </c>
      <c r="B623" s="4" t="s">
        <v>387</v>
      </c>
      <c r="C623" s="4" t="s">
        <v>414</v>
      </c>
      <c r="D623" s="4" t="s">
        <v>747</v>
      </c>
      <c r="E623" s="4" t="s">
        <v>1568</v>
      </c>
      <c r="F623" s="4" t="s">
        <v>363</v>
      </c>
      <c r="G623" s="4" t="s">
        <v>865</v>
      </c>
    </row>
    <row r="624" spans="1:7" x14ac:dyDescent="0.25">
      <c r="A624" s="4" t="s">
        <v>163</v>
      </c>
      <c r="B624" s="4" t="s">
        <v>387</v>
      </c>
      <c r="C624" s="4" t="s">
        <v>414</v>
      </c>
      <c r="D624" s="4" t="s">
        <v>748</v>
      </c>
      <c r="E624" s="4" t="s">
        <v>1569</v>
      </c>
      <c r="F624" s="4" t="s">
        <v>287</v>
      </c>
      <c r="G624" s="4" t="s">
        <v>865</v>
      </c>
    </row>
    <row r="625" spans="1:7" x14ac:dyDescent="0.25">
      <c r="A625" s="4" t="s">
        <v>163</v>
      </c>
      <c r="B625" s="4" t="s">
        <v>387</v>
      </c>
      <c r="C625" s="4" t="s">
        <v>414</v>
      </c>
      <c r="D625" s="4" t="s">
        <v>749</v>
      </c>
      <c r="E625" s="4" t="s">
        <v>1570</v>
      </c>
      <c r="F625" s="4" t="s">
        <v>363</v>
      </c>
      <c r="G625" s="4" t="s">
        <v>865</v>
      </c>
    </row>
    <row r="626" spans="1:7" x14ac:dyDescent="0.25">
      <c r="A626" s="4" t="s">
        <v>163</v>
      </c>
      <c r="B626" s="4" t="s">
        <v>387</v>
      </c>
      <c r="C626" s="4" t="s">
        <v>414</v>
      </c>
      <c r="D626" s="4" t="s">
        <v>750</v>
      </c>
      <c r="E626" s="4" t="s">
        <v>1571</v>
      </c>
      <c r="F626" s="4" t="s">
        <v>287</v>
      </c>
      <c r="G626" s="4" t="s">
        <v>865</v>
      </c>
    </row>
    <row r="627" spans="1:7" x14ac:dyDescent="0.25">
      <c r="A627" s="4" t="s">
        <v>163</v>
      </c>
      <c r="B627" s="4" t="s">
        <v>387</v>
      </c>
      <c r="C627" s="4" t="s">
        <v>414</v>
      </c>
      <c r="D627" s="4" t="s">
        <v>753</v>
      </c>
      <c r="E627" s="4" t="s">
        <v>1572</v>
      </c>
      <c r="F627" s="4" t="s">
        <v>159</v>
      </c>
      <c r="G627" s="4" t="s">
        <v>865</v>
      </c>
    </row>
    <row r="628" spans="1:7" x14ac:dyDescent="0.25">
      <c r="A628" s="4" t="s">
        <v>163</v>
      </c>
      <c r="B628" s="4" t="s">
        <v>387</v>
      </c>
      <c r="C628" s="4" t="s">
        <v>414</v>
      </c>
      <c r="D628" s="4" t="s">
        <v>754</v>
      </c>
      <c r="E628" s="4" t="s">
        <v>1573</v>
      </c>
      <c r="F628" s="4" t="s">
        <v>77</v>
      </c>
      <c r="G628" s="4" t="s">
        <v>865</v>
      </c>
    </row>
    <row r="629" spans="1:7" x14ac:dyDescent="0.25">
      <c r="A629" s="4" t="s">
        <v>163</v>
      </c>
      <c r="B629" s="4" t="s">
        <v>387</v>
      </c>
      <c r="C629" s="4" t="s">
        <v>414</v>
      </c>
      <c r="D629" s="4" t="s">
        <v>755</v>
      </c>
      <c r="E629" s="4" t="s">
        <v>1574</v>
      </c>
      <c r="F629" s="4" t="s">
        <v>179</v>
      </c>
      <c r="G629" s="4" t="s">
        <v>865</v>
      </c>
    </row>
    <row r="630" spans="1:7" x14ac:dyDescent="0.25">
      <c r="A630" s="4" t="s">
        <v>163</v>
      </c>
      <c r="B630" s="4" t="s">
        <v>394</v>
      </c>
      <c r="C630" s="4" t="s">
        <v>415</v>
      </c>
      <c r="D630" s="4" t="s">
        <v>547</v>
      </c>
      <c r="E630" s="4" t="s">
        <v>1575</v>
      </c>
      <c r="F630" s="4" t="s">
        <v>186</v>
      </c>
      <c r="G630" s="4" t="s">
        <v>865</v>
      </c>
    </row>
    <row r="631" spans="1:7" x14ac:dyDescent="0.25">
      <c r="A631" s="4" t="s">
        <v>163</v>
      </c>
      <c r="B631" s="4" t="s">
        <v>387</v>
      </c>
      <c r="C631" s="4" t="s">
        <v>415</v>
      </c>
      <c r="D631" s="4" t="s">
        <v>546</v>
      </c>
      <c r="E631" s="4" t="s">
        <v>1576</v>
      </c>
      <c r="F631" s="4" t="s">
        <v>179</v>
      </c>
      <c r="G631" s="4" t="s">
        <v>865</v>
      </c>
    </row>
    <row r="632" spans="1:7" x14ac:dyDescent="0.25">
      <c r="A632" s="4" t="s">
        <v>163</v>
      </c>
      <c r="B632" s="4" t="s">
        <v>387</v>
      </c>
      <c r="C632" s="4" t="s">
        <v>416</v>
      </c>
      <c r="D632" s="4" t="s">
        <v>762</v>
      </c>
      <c r="E632" s="4" t="s">
        <v>770</v>
      </c>
      <c r="F632" s="4" t="s">
        <v>187</v>
      </c>
      <c r="G632" s="4" t="s">
        <v>865</v>
      </c>
    </row>
    <row r="633" spans="1:7" x14ac:dyDescent="0.25">
      <c r="A633" s="4" t="s">
        <v>163</v>
      </c>
      <c r="B633" s="4" t="s">
        <v>387</v>
      </c>
      <c r="C633" s="4" t="s">
        <v>416</v>
      </c>
      <c r="D633" s="4" t="s">
        <v>763</v>
      </c>
      <c r="E633" s="4" t="s">
        <v>771</v>
      </c>
      <c r="F633" s="4" t="s">
        <v>321</v>
      </c>
      <c r="G633" s="4" t="s">
        <v>865</v>
      </c>
    </row>
    <row r="634" spans="1:7" x14ac:dyDescent="0.25">
      <c r="A634" s="4" t="s">
        <v>163</v>
      </c>
      <c r="B634" s="4" t="s">
        <v>387</v>
      </c>
      <c r="C634" s="4" t="s">
        <v>416</v>
      </c>
      <c r="D634" s="4" t="s">
        <v>764</v>
      </c>
      <c r="E634" s="4" t="s">
        <v>772</v>
      </c>
      <c r="F634" s="4" t="s">
        <v>25</v>
      </c>
      <c r="G634" s="4" t="s">
        <v>865</v>
      </c>
    </row>
    <row r="635" spans="1:7" x14ac:dyDescent="0.25">
      <c r="A635" s="4" t="s">
        <v>163</v>
      </c>
      <c r="B635" s="4" t="s">
        <v>387</v>
      </c>
      <c r="C635" s="4" t="s">
        <v>416</v>
      </c>
      <c r="D635" s="4" t="s">
        <v>765</v>
      </c>
      <c r="E635" s="4" t="s">
        <v>773</v>
      </c>
      <c r="F635" s="4" t="s">
        <v>51</v>
      </c>
      <c r="G635" s="4" t="s">
        <v>865</v>
      </c>
    </row>
    <row r="636" spans="1:7" x14ac:dyDescent="0.25">
      <c r="A636" s="4" t="s">
        <v>163</v>
      </c>
      <c r="B636" s="4" t="s">
        <v>394</v>
      </c>
      <c r="C636" s="4" t="s">
        <v>416</v>
      </c>
      <c r="D636" s="4" t="s">
        <v>766</v>
      </c>
      <c r="E636" s="4" t="s">
        <v>774</v>
      </c>
      <c r="F636" s="4" t="s">
        <v>343</v>
      </c>
      <c r="G636" s="4" t="s">
        <v>865</v>
      </c>
    </row>
    <row r="637" spans="1:7" x14ac:dyDescent="0.25">
      <c r="A637" s="4" t="s">
        <v>163</v>
      </c>
      <c r="B637" s="4" t="s">
        <v>394</v>
      </c>
      <c r="C637" s="4" t="s">
        <v>416</v>
      </c>
      <c r="D637" s="4" t="s">
        <v>767</v>
      </c>
      <c r="E637" s="4" t="s">
        <v>775</v>
      </c>
      <c r="F637" s="4" t="s">
        <v>112</v>
      </c>
      <c r="G637" s="4" t="s">
        <v>865</v>
      </c>
    </row>
    <row r="638" spans="1:7" x14ac:dyDescent="0.25">
      <c r="A638" s="4" t="s">
        <v>163</v>
      </c>
      <c r="B638" s="4" t="s">
        <v>394</v>
      </c>
      <c r="C638" s="4" t="s">
        <v>416</v>
      </c>
      <c r="D638" s="4" t="s">
        <v>768</v>
      </c>
      <c r="E638" s="4" t="s">
        <v>776</v>
      </c>
      <c r="F638" s="4" t="s">
        <v>352</v>
      </c>
      <c r="G638" s="4" t="s">
        <v>865</v>
      </c>
    </row>
    <row r="639" spans="1:7" x14ac:dyDescent="0.25">
      <c r="A639" s="4" t="s">
        <v>163</v>
      </c>
      <c r="B639" s="4" t="s">
        <v>394</v>
      </c>
      <c r="C639" s="4" t="s">
        <v>416</v>
      </c>
      <c r="D639" s="4" t="s">
        <v>769</v>
      </c>
      <c r="E639" s="4" t="s">
        <v>777</v>
      </c>
      <c r="F639" s="4" t="s">
        <v>361</v>
      </c>
      <c r="G639" s="4" t="s">
        <v>865</v>
      </c>
    </row>
    <row r="640" spans="1:7" x14ac:dyDescent="0.25">
      <c r="A640" s="4" t="s">
        <v>163</v>
      </c>
      <c r="B640" s="4" t="s">
        <v>387</v>
      </c>
      <c r="C640" s="4" t="s">
        <v>417</v>
      </c>
      <c r="D640" s="4" t="s">
        <v>546</v>
      </c>
      <c r="E640" s="4" t="s">
        <v>1577</v>
      </c>
      <c r="F640" s="4" t="s">
        <v>179</v>
      </c>
      <c r="G640" s="4" t="s">
        <v>865</v>
      </c>
    </row>
    <row r="641" spans="1:7" x14ac:dyDescent="0.25">
      <c r="A641" s="4" t="s">
        <v>163</v>
      </c>
      <c r="B641" s="4" t="s">
        <v>394</v>
      </c>
      <c r="C641" s="4" t="s">
        <v>417</v>
      </c>
      <c r="D641" s="4" t="s">
        <v>547</v>
      </c>
      <c r="E641" s="4" t="s">
        <v>1578</v>
      </c>
      <c r="F641" s="4" t="s">
        <v>98</v>
      </c>
      <c r="G641" s="4" t="s">
        <v>865</v>
      </c>
    </row>
    <row r="642" spans="1:7" x14ac:dyDescent="0.25">
      <c r="A642" s="4" t="s">
        <v>163</v>
      </c>
      <c r="B642" s="4" t="s">
        <v>387</v>
      </c>
      <c r="C642" s="4" t="s">
        <v>474</v>
      </c>
      <c r="D642" s="4" t="s">
        <v>387</v>
      </c>
      <c r="E642" s="4" t="s">
        <v>1579</v>
      </c>
      <c r="F642" s="4" t="s">
        <v>77</v>
      </c>
      <c r="G642" s="4" t="s">
        <v>865</v>
      </c>
    </row>
    <row r="643" spans="1:7" x14ac:dyDescent="0.25">
      <c r="A643" s="4" t="s">
        <v>163</v>
      </c>
      <c r="B643" s="4" t="s">
        <v>394</v>
      </c>
      <c r="C643" s="4" t="s">
        <v>474</v>
      </c>
      <c r="D643" s="4" t="s">
        <v>394</v>
      </c>
      <c r="E643" s="4" t="s">
        <v>1580</v>
      </c>
      <c r="F643" s="4" t="s">
        <v>77</v>
      </c>
      <c r="G643" s="4" t="s">
        <v>865</v>
      </c>
    </row>
    <row r="644" spans="1:7" x14ac:dyDescent="0.25">
      <c r="A644" s="4" t="s">
        <v>163</v>
      </c>
      <c r="B644" s="4" t="s">
        <v>387</v>
      </c>
      <c r="C644" s="4" t="s">
        <v>418</v>
      </c>
      <c r="D644" s="4" t="s">
        <v>387</v>
      </c>
      <c r="E644" s="4" t="s">
        <v>1581</v>
      </c>
      <c r="F644" s="4" t="s">
        <v>319</v>
      </c>
      <c r="G644" s="4" t="s">
        <v>865</v>
      </c>
    </row>
    <row r="645" spans="1:7" x14ac:dyDescent="0.25">
      <c r="A645" s="4" t="s">
        <v>163</v>
      </c>
      <c r="B645" s="4" t="s">
        <v>394</v>
      </c>
      <c r="C645" s="4" t="s">
        <v>418</v>
      </c>
      <c r="D645" s="4" t="s">
        <v>394</v>
      </c>
      <c r="E645" s="4" t="s">
        <v>1582</v>
      </c>
      <c r="F645" s="4" t="s">
        <v>361</v>
      </c>
      <c r="G645" s="4" t="s">
        <v>865</v>
      </c>
    </row>
    <row r="646" spans="1:7" x14ac:dyDescent="0.25">
      <c r="A646" s="4" t="s">
        <v>163</v>
      </c>
      <c r="B646" s="4" t="s">
        <v>387</v>
      </c>
      <c r="C646" s="4" t="s">
        <v>421</v>
      </c>
      <c r="D646" s="4" t="s">
        <v>778</v>
      </c>
      <c r="E646" s="4" t="s">
        <v>1583</v>
      </c>
      <c r="F646" s="4" t="s">
        <v>343</v>
      </c>
      <c r="G646" s="4" t="s">
        <v>865</v>
      </c>
    </row>
    <row r="647" spans="1:7" x14ac:dyDescent="0.25">
      <c r="A647" s="4" t="s">
        <v>163</v>
      </c>
      <c r="B647" s="4" t="s">
        <v>387</v>
      </c>
      <c r="C647" s="4" t="s">
        <v>421</v>
      </c>
      <c r="D647" s="4" t="s">
        <v>779</v>
      </c>
      <c r="E647" s="4" t="s">
        <v>1584</v>
      </c>
      <c r="F647" s="4" t="s">
        <v>183</v>
      </c>
      <c r="G647" s="4" t="s">
        <v>865</v>
      </c>
    </row>
    <row r="648" spans="1:7" x14ac:dyDescent="0.25">
      <c r="A648" s="4" t="s">
        <v>163</v>
      </c>
      <c r="B648" s="4" t="s">
        <v>387</v>
      </c>
      <c r="C648" s="4" t="s">
        <v>421</v>
      </c>
      <c r="D648" s="4" t="s">
        <v>780</v>
      </c>
      <c r="E648" s="4" t="s">
        <v>1585</v>
      </c>
      <c r="F648" s="4" t="s">
        <v>79</v>
      </c>
      <c r="G648" s="4" t="s">
        <v>865</v>
      </c>
    </row>
    <row r="649" spans="1:7" x14ac:dyDescent="0.25">
      <c r="A649" s="4" t="s">
        <v>163</v>
      </c>
      <c r="B649" s="4" t="s">
        <v>387</v>
      </c>
      <c r="C649" s="4" t="s">
        <v>421</v>
      </c>
      <c r="D649" s="4" t="s">
        <v>781</v>
      </c>
      <c r="E649" s="4" t="s">
        <v>1586</v>
      </c>
      <c r="F649" s="4" t="s">
        <v>112</v>
      </c>
      <c r="G649" s="4" t="s">
        <v>865</v>
      </c>
    </row>
    <row r="650" spans="1:7" x14ac:dyDescent="0.25">
      <c r="A650" s="4" t="s">
        <v>163</v>
      </c>
      <c r="B650" s="4" t="s">
        <v>387</v>
      </c>
      <c r="C650" s="4" t="s">
        <v>421</v>
      </c>
      <c r="D650" s="4" t="s">
        <v>782</v>
      </c>
      <c r="E650" s="4" t="s">
        <v>1587</v>
      </c>
      <c r="F650" s="4" t="s">
        <v>641</v>
      </c>
      <c r="G650" s="4" t="s">
        <v>865</v>
      </c>
    </row>
    <row r="651" spans="1:7" x14ac:dyDescent="0.25">
      <c r="A651" s="4" t="s">
        <v>163</v>
      </c>
      <c r="B651" s="4" t="s">
        <v>387</v>
      </c>
      <c r="C651" s="4" t="s">
        <v>421</v>
      </c>
      <c r="D651" s="4" t="s">
        <v>783</v>
      </c>
      <c r="E651" s="4" t="s">
        <v>1588</v>
      </c>
      <c r="F651" s="4" t="s">
        <v>207</v>
      </c>
      <c r="G651" s="4" t="s">
        <v>865</v>
      </c>
    </row>
    <row r="652" spans="1:7" x14ac:dyDescent="0.25">
      <c r="A652" s="4" t="s">
        <v>163</v>
      </c>
      <c r="B652" s="4" t="s">
        <v>387</v>
      </c>
      <c r="C652" s="4" t="s">
        <v>421</v>
      </c>
      <c r="D652" s="4" t="s">
        <v>784</v>
      </c>
      <c r="E652" s="4" t="s">
        <v>1589</v>
      </c>
      <c r="F652" s="4" t="s">
        <v>183</v>
      </c>
      <c r="G652" s="4" t="s">
        <v>865</v>
      </c>
    </row>
    <row r="653" spans="1:7" x14ac:dyDescent="0.25">
      <c r="A653" s="4" t="s">
        <v>163</v>
      </c>
      <c r="B653" s="4" t="s">
        <v>387</v>
      </c>
      <c r="C653" s="4" t="s">
        <v>421</v>
      </c>
      <c r="D653" s="4" t="s">
        <v>785</v>
      </c>
      <c r="E653" s="4" t="s">
        <v>1590</v>
      </c>
      <c r="F653" s="4" t="s">
        <v>134</v>
      </c>
      <c r="G653" s="4" t="s">
        <v>865</v>
      </c>
    </row>
    <row r="654" spans="1:7" x14ac:dyDescent="0.25">
      <c r="A654" s="4" t="s">
        <v>163</v>
      </c>
      <c r="B654" s="4" t="s">
        <v>394</v>
      </c>
      <c r="C654" s="4" t="s">
        <v>421</v>
      </c>
      <c r="D654" s="4" t="s">
        <v>786</v>
      </c>
      <c r="E654" s="4" t="s">
        <v>1591</v>
      </c>
      <c r="F654" s="4" t="s">
        <v>179</v>
      </c>
      <c r="G654" s="4" t="s">
        <v>865</v>
      </c>
    </row>
    <row r="655" spans="1:7" x14ac:dyDescent="0.25">
      <c r="A655" s="4" t="s">
        <v>163</v>
      </c>
      <c r="B655" s="4" t="s">
        <v>394</v>
      </c>
      <c r="C655" s="4" t="s">
        <v>421</v>
      </c>
      <c r="D655" s="4" t="s">
        <v>787</v>
      </c>
      <c r="E655" s="4" t="s">
        <v>1592</v>
      </c>
      <c r="F655" s="4" t="s">
        <v>187</v>
      </c>
      <c r="G655" s="4" t="s">
        <v>865</v>
      </c>
    </row>
    <row r="656" spans="1:7" x14ac:dyDescent="0.25">
      <c r="A656" s="4" t="s">
        <v>163</v>
      </c>
      <c r="B656" s="4" t="s">
        <v>394</v>
      </c>
      <c r="C656" s="4" t="s">
        <v>421</v>
      </c>
      <c r="D656" s="4" t="s">
        <v>788</v>
      </c>
      <c r="E656" s="4" t="s">
        <v>1593</v>
      </c>
      <c r="F656" s="4" t="s">
        <v>337</v>
      </c>
      <c r="G656" s="4" t="s">
        <v>865</v>
      </c>
    </row>
    <row r="657" spans="1:7" x14ac:dyDescent="0.25">
      <c r="A657" s="4" t="s">
        <v>163</v>
      </c>
      <c r="B657" s="4" t="s">
        <v>394</v>
      </c>
      <c r="C657" s="4" t="s">
        <v>421</v>
      </c>
      <c r="D657" s="4" t="s">
        <v>789</v>
      </c>
      <c r="E657" s="4" t="s">
        <v>1594</v>
      </c>
      <c r="F657" s="4" t="s">
        <v>183</v>
      </c>
      <c r="G657" s="4" t="s">
        <v>865</v>
      </c>
    </row>
    <row r="658" spans="1:7" x14ac:dyDescent="0.25">
      <c r="A658" s="4" t="s">
        <v>163</v>
      </c>
      <c r="B658" s="4" t="s">
        <v>394</v>
      </c>
      <c r="C658" s="4" t="s">
        <v>421</v>
      </c>
      <c r="D658" s="4" t="s">
        <v>790</v>
      </c>
      <c r="E658" s="4" t="s">
        <v>1595</v>
      </c>
      <c r="F658" s="4" t="s">
        <v>112</v>
      </c>
      <c r="G658" s="4" t="s">
        <v>865</v>
      </c>
    </row>
    <row r="659" spans="1:7" x14ac:dyDescent="0.25">
      <c r="A659" s="4" t="s">
        <v>163</v>
      </c>
      <c r="B659" s="4" t="s">
        <v>394</v>
      </c>
      <c r="C659" s="4" t="s">
        <v>421</v>
      </c>
      <c r="D659" s="4" t="s">
        <v>791</v>
      </c>
      <c r="E659" s="4" t="s">
        <v>1596</v>
      </c>
      <c r="F659" s="4" t="s">
        <v>321</v>
      </c>
      <c r="G659" s="4" t="s">
        <v>865</v>
      </c>
    </row>
    <row r="660" spans="1:7" x14ac:dyDescent="0.25">
      <c r="A660" s="4" t="s">
        <v>163</v>
      </c>
      <c r="B660" s="4" t="s">
        <v>394</v>
      </c>
      <c r="C660" s="4" t="s">
        <v>421</v>
      </c>
      <c r="D660" s="4" t="s">
        <v>792</v>
      </c>
      <c r="E660" s="4" t="s">
        <v>1597</v>
      </c>
      <c r="F660" s="4" t="s">
        <v>363</v>
      </c>
      <c r="G660" s="4" t="s">
        <v>865</v>
      </c>
    </row>
    <row r="661" spans="1:7" x14ac:dyDescent="0.25">
      <c r="A661" s="4" t="s">
        <v>163</v>
      </c>
      <c r="B661" s="4" t="s">
        <v>387</v>
      </c>
      <c r="C661" s="4" t="s">
        <v>422</v>
      </c>
      <c r="D661" s="4" t="s">
        <v>793</v>
      </c>
      <c r="E661" s="4" t="s">
        <v>823</v>
      </c>
      <c r="F661" s="4" t="s">
        <v>261</v>
      </c>
      <c r="G661" s="4" t="s">
        <v>865</v>
      </c>
    </row>
    <row r="662" spans="1:7" x14ac:dyDescent="0.25">
      <c r="A662" s="4" t="s">
        <v>163</v>
      </c>
      <c r="B662" s="4" t="s">
        <v>387</v>
      </c>
      <c r="C662" s="4" t="s">
        <v>422</v>
      </c>
      <c r="D662" s="4" t="s">
        <v>794</v>
      </c>
      <c r="E662" s="4" t="s">
        <v>825</v>
      </c>
      <c r="F662" s="4" t="s">
        <v>134</v>
      </c>
      <c r="G662" s="4" t="s">
        <v>865</v>
      </c>
    </row>
    <row r="663" spans="1:7" x14ac:dyDescent="0.25">
      <c r="A663" s="4" t="s">
        <v>163</v>
      </c>
      <c r="B663" s="4" t="s">
        <v>387</v>
      </c>
      <c r="C663" s="4" t="s">
        <v>422</v>
      </c>
      <c r="D663" s="4" t="s">
        <v>795</v>
      </c>
      <c r="E663" s="4" t="s">
        <v>827</v>
      </c>
      <c r="F663" s="4" t="s">
        <v>167</v>
      </c>
      <c r="G663" s="4" t="s">
        <v>865</v>
      </c>
    </row>
    <row r="664" spans="1:7" x14ac:dyDescent="0.25">
      <c r="A664" s="4" t="s">
        <v>163</v>
      </c>
      <c r="B664" s="4" t="s">
        <v>387</v>
      </c>
      <c r="C664" s="4" t="s">
        <v>422</v>
      </c>
      <c r="D664" s="4" t="s">
        <v>796</v>
      </c>
      <c r="E664" s="4" t="s">
        <v>829</v>
      </c>
      <c r="F664" s="4" t="s">
        <v>136</v>
      </c>
      <c r="G664" s="4" t="s">
        <v>865</v>
      </c>
    </row>
    <row r="665" spans="1:7" x14ac:dyDescent="0.25">
      <c r="A665" s="4" t="s">
        <v>163</v>
      </c>
      <c r="B665" s="4" t="s">
        <v>387</v>
      </c>
      <c r="C665" s="4" t="s">
        <v>422</v>
      </c>
      <c r="D665" s="4" t="s">
        <v>797</v>
      </c>
      <c r="E665" s="4" t="s">
        <v>831</v>
      </c>
      <c r="F665" s="4" t="s">
        <v>352</v>
      </c>
      <c r="G665" s="4" t="s">
        <v>865</v>
      </c>
    </row>
    <row r="666" spans="1:7" x14ac:dyDescent="0.25">
      <c r="A666" s="4" t="s">
        <v>163</v>
      </c>
      <c r="B666" s="4" t="s">
        <v>387</v>
      </c>
      <c r="C666" s="4" t="s">
        <v>422</v>
      </c>
      <c r="D666" s="4" t="s">
        <v>798</v>
      </c>
      <c r="E666" s="4" t="s">
        <v>813</v>
      </c>
      <c r="F666" s="4" t="s">
        <v>25</v>
      </c>
      <c r="G666" s="4" t="s">
        <v>865</v>
      </c>
    </row>
    <row r="667" spans="1:7" x14ac:dyDescent="0.25">
      <c r="A667" s="4" t="s">
        <v>163</v>
      </c>
      <c r="B667" s="4" t="s">
        <v>387</v>
      </c>
      <c r="C667" s="4" t="s">
        <v>422</v>
      </c>
      <c r="D667" s="4" t="s">
        <v>799</v>
      </c>
      <c r="E667" s="4" t="s">
        <v>816</v>
      </c>
      <c r="F667" s="4" t="s">
        <v>25</v>
      </c>
      <c r="G667" s="4" t="s">
        <v>865</v>
      </c>
    </row>
    <row r="668" spans="1:7" x14ac:dyDescent="0.25">
      <c r="A668" s="4" t="s">
        <v>163</v>
      </c>
      <c r="B668" s="4" t="s">
        <v>387</v>
      </c>
      <c r="C668" s="4" t="s">
        <v>422</v>
      </c>
      <c r="D668" s="4" t="s">
        <v>800</v>
      </c>
      <c r="E668" s="4" t="s">
        <v>961</v>
      </c>
      <c r="F668" s="4" t="s">
        <v>175</v>
      </c>
      <c r="G668" s="4" t="s">
        <v>865</v>
      </c>
    </row>
    <row r="669" spans="1:7" x14ac:dyDescent="0.25">
      <c r="A669" s="4" t="s">
        <v>163</v>
      </c>
      <c r="B669" s="4" t="s">
        <v>387</v>
      </c>
      <c r="C669" s="4" t="s">
        <v>422</v>
      </c>
      <c r="D669" s="4" t="s">
        <v>801</v>
      </c>
      <c r="E669" s="4" t="s">
        <v>821</v>
      </c>
      <c r="F669" s="4" t="s">
        <v>25</v>
      </c>
      <c r="G669" s="4" t="s">
        <v>865</v>
      </c>
    </row>
    <row r="670" spans="1:7" x14ac:dyDescent="0.25">
      <c r="A670" s="4" t="s">
        <v>163</v>
      </c>
      <c r="B670" s="4" t="s">
        <v>387</v>
      </c>
      <c r="C670" s="4" t="s">
        <v>422</v>
      </c>
      <c r="D670" s="4" t="s">
        <v>802</v>
      </c>
      <c r="E670" s="4" t="s">
        <v>835</v>
      </c>
      <c r="F670" s="4" t="s">
        <v>25</v>
      </c>
      <c r="G670" s="4" t="s">
        <v>865</v>
      </c>
    </row>
    <row r="671" spans="1:7" x14ac:dyDescent="0.25">
      <c r="A671" s="4" t="s">
        <v>163</v>
      </c>
      <c r="B671" s="4" t="s">
        <v>387</v>
      </c>
      <c r="C671" s="4" t="s">
        <v>422</v>
      </c>
      <c r="D671" s="4" t="s">
        <v>803</v>
      </c>
      <c r="E671" s="4" t="s">
        <v>965</v>
      </c>
      <c r="F671" s="4" t="s">
        <v>641</v>
      </c>
      <c r="G671" s="4" t="s">
        <v>865</v>
      </c>
    </row>
    <row r="672" spans="1:7" x14ac:dyDescent="0.25">
      <c r="A672" s="4" t="s">
        <v>163</v>
      </c>
      <c r="B672" s="4" t="s">
        <v>387</v>
      </c>
      <c r="C672" s="4" t="s">
        <v>422</v>
      </c>
      <c r="D672" s="4" t="s">
        <v>804</v>
      </c>
      <c r="E672" s="4" t="s">
        <v>837</v>
      </c>
      <c r="F672" s="4" t="s">
        <v>35</v>
      </c>
      <c r="G672" s="4" t="s">
        <v>865</v>
      </c>
    </row>
    <row r="673" spans="1:7" x14ac:dyDescent="0.25">
      <c r="A673" s="4" t="s">
        <v>163</v>
      </c>
      <c r="B673" s="4" t="s">
        <v>394</v>
      </c>
      <c r="C673" s="4" t="s">
        <v>422</v>
      </c>
      <c r="D673" s="4" t="s">
        <v>805</v>
      </c>
      <c r="E673" s="4" t="s">
        <v>841</v>
      </c>
      <c r="F673" s="4" t="s">
        <v>77</v>
      </c>
      <c r="G673" s="4" t="s">
        <v>865</v>
      </c>
    </row>
    <row r="674" spans="1:7" x14ac:dyDescent="0.25">
      <c r="A674" s="4" t="s">
        <v>163</v>
      </c>
      <c r="B674" s="4" t="s">
        <v>394</v>
      </c>
      <c r="C674" s="4" t="s">
        <v>422</v>
      </c>
      <c r="D674" s="4" t="s">
        <v>806</v>
      </c>
      <c r="E674" s="4" t="s">
        <v>845</v>
      </c>
      <c r="F674" s="4" t="s">
        <v>25</v>
      </c>
      <c r="G674" s="4" t="s">
        <v>865</v>
      </c>
    </row>
    <row r="675" spans="1:7" x14ac:dyDescent="0.25">
      <c r="A675" s="4" t="s">
        <v>163</v>
      </c>
      <c r="B675" s="4" t="s">
        <v>394</v>
      </c>
      <c r="C675" s="4" t="s">
        <v>422</v>
      </c>
      <c r="D675" s="4" t="s">
        <v>807</v>
      </c>
      <c r="E675" s="4" t="s">
        <v>849</v>
      </c>
      <c r="F675" s="4" t="s">
        <v>350</v>
      </c>
      <c r="G675" s="4" t="s">
        <v>865</v>
      </c>
    </row>
    <row r="676" spans="1:7" x14ac:dyDescent="0.25">
      <c r="A676" s="4" t="s">
        <v>163</v>
      </c>
      <c r="B676" s="4" t="s">
        <v>394</v>
      </c>
      <c r="C676" s="4" t="s">
        <v>422</v>
      </c>
      <c r="D676" s="4" t="s">
        <v>808</v>
      </c>
      <c r="E676" s="4" t="s">
        <v>853</v>
      </c>
      <c r="F676" s="4" t="s">
        <v>183</v>
      </c>
      <c r="G676" s="4" t="s">
        <v>865</v>
      </c>
    </row>
    <row r="677" spans="1:7" x14ac:dyDescent="0.25">
      <c r="A677" s="4" t="s">
        <v>163</v>
      </c>
      <c r="B677" s="4" t="s">
        <v>394</v>
      </c>
      <c r="C677" s="4" t="s">
        <v>422</v>
      </c>
      <c r="D677" s="4" t="s">
        <v>809</v>
      </c>
      <c r="E677" s="4" t="s">
        <v>857</v>
      </c>
      <c r="F677" s="4" t="s">
        <v>183</v>
      </c>
      <c r="G677" s="4" t="s">
        <v>865</v>
      </c>
    </row>
    <row r="678" spans="1:7" x14ac:dyDescent="0.25">
      <c r="A678" s="4" t="s">
        <v>163</v>
      </c>
      <c r="B678" s="4" t="s">
        <v>394</v>
      </c>
      <c r="C678" s="4" t="s">
        <v>422</v>
      </c>
      <c r="D678" s="4" t="s">
        <v>810</v>
      </c>
      <c r="E678" s="4" t="s">
        <v>861</v>
      </c>
      <c r="F678" s="4" t="s">
        <v>77</v>
      </c>
      <c r="G678" s="4" t="s">
        <v>865</v>
      </c>
    </row>
    <row r="679" spans="1:7" x14ac:dyDescent="0.25">
      <c r="A679" s="4" t="s">
        <v>163</v>
      </c>
      <c r="B679" s="4" t="s">
        <v>387</v>
      </c>
      <c r="C679" s="4" t="s">
        <v>401</v>
      </c>
      <c r="D679" s="4" t="s">
        <v>557</v>
      </c>
      <c r="E679" s="4" t="s">
        <v>1598</v>
      </c>
      <c r="F679" s="4" t="s">
        <v>363</v>
      </c>
      <c r="G679" s="4" t="s">
        <v>865</v>
      </c>
    </row>
    <row r="680" spans="1:7" x14ac:dyDescent="0.25">
      <c r="A680" s="4" t="s">
        <v>163</v>
      </c>
      <c r="B680" s="4" t="s">
        <v>387</v>
      </c>
      <c r="C680" s="4" t="s">
        <v>401</v>
      </c>
      <c r="D680" s="4" t="s">
        <v>558</v>
      </c>
      <c r="E680" s="4" t="s">
        <v>1599</v>
      </c>
      <c r="F680" s="4" t="s">
        <v>77</v>
      </c>
      <c r="G680" s="4" t="s">
        <v>865</v>
      </c>
    </row>
    <row r="681" spans="1:7" x14ac:dyDescent="0.25">
      <c r="A681" s="4" t="s">
        <v>163</v>
      </c>
      <c r="B681" s="4" t="s">
        <v>387</v>
      </c>
      <c r="C681" s="4" t="s">
        <v>401</v>
      </c>
      <c r="D681" s="4" t="s">
        <v>559</v>
      </c>
      <c r="E681" s="4" t="s">
        <v>1600</v>
      </c>
      <c r="F681" s="4" t="s">
        <v>367</v>
      </c>
      <c r="G681" s="4" t="s">
        <v>865</v>
      </c>
    </row>
    <row r="682" spans="1:7" x14ac:dyDescent="0.25">
      <c r="A682" s="4" t="s">
        <v>163</v>
      </c>
      <c r="B682" s="4" t="s">
        <v>387</v>
      </c>
      <c r="C682" s="4" t="s">
        <v>401</v>
      </c>
      <c r="D682" s="4" t="s">
        <v>560</v>
      </c>
      <c r="E682" s="4" t="s">
        <v>1601</v>
      </c>
      <c r="F682" s="4" t="s">
        <v>237</v>
      </c>
      <c r="G682" s="4" t="s">
        <v>865</v>
      </c>
    </row>
    <row r="683" spans="1:7" x14ac:dyDescent="0.25">
      <c r="A683" s="4" t="s">
        <v>163</v>
      </c>
      <c r="B683" s="4" t="s">
        <v>387</v>
      </c>
      <c r="C683" s="4" t="s">
        <v>401</v>
      </c>
      <c r="D683" s="4" t="s">
        <v>561</v>
      </c>
      <c r="E683" s="4" t="s">
        <v>1602</v>
      </c>
      <c r="F683" s="4" t="s">
        <v>136</v>
      </c>
      <c r="G683" s="4" t="s">
        <v>865</v>
      </c>
    </row>
    <row r="684" spans="1:7" x14ac:dyDescent="0.25">
      <c r="A684" s="4" t="s">
        <v>163</v>
      </c>
      <c r="B684" s="4" t="s">
        <v>387</v>
      </c>
      <c r="C684" s="4" t="s">
        <v>401</v>
      </c>
      <c r="D684" s="4" t="s">
        <v>562</v>
      </c>
      <c r="E684" s="4" t="s">
        <v>1603</v>
      </c>
      <c r="F684" s="4" t="s">
        <v>239</v>
      </c>
      <c r="G684" s="4" t="s">
        <v>865</v>
      </c>
    </row>
    <row r="685" spans="1:7" x14ac:dyDescent="0.25">
      <c r="A685" s="4" t="s">
        <v>163</v>
      </c>
      <c r="B685" s="4" t="s">
        <v>387</v>
      </c>
      <c r="C685" s="4" t="s">
        <v>401</v>
      </c>
      <c r="D685" s="4" t="s">
        <v>563</v>
      </c>
      <c r="E685" s="4" t="s">
        <v>1604</v>
      </c>
      <c r="F685" s="4" t="s">
        <v>25</v>
      </c>
      <c r="G685" s="4" t="s">
        <v>865</v>
      </c>
    </row>
    <row r="686" spans="1:7" x14ac:dyDescent="0.25">
      <c r="A686" s="4" t="s">
        <v>163</v>
      </c>
      <c r="B686" s="4" t="s">
        <v>387</v>
      </c>
      <c r="C686" s="4" t="s">
        <v>401</v>
      </c>
      <c r="D686" s="4" t="s">
        <v>564</v>
      </c>
      <c r="E686" s="4" t="s">
        <v>1605</v>
      </c>
      <c r="F686" s="4" t="s">
        <v>128</v>
      </c>
      <c r="G686" s="4" t="s">
        <v>865</v>
      </c>
    </row>
    <row r="687" spans="1:7" x14ac:dyDescent="0.25">
      <c r="A687" s="4" t="s">
        <v>163</v>
      </c>
      <c r="B687" s="4" t="s">
        <v>387</v>
      </c>
      <c r="C687" s="4" t="s">
        <v>401</v>
      </c>
      <c r="D687" s="4" t="s">
        <v>565</v>
      </c>
      <c r="E687" s="4" t="s">
        <v>1606</v>
      </c>
      <c r="F687" s="4" t="s">
        <v>367</v>
      </c>
      <c r="G687" s="4" t="s">
        <v>865</v>
      </c>
    </row>
    <row r="688" spans="1:7" x14ac:dyDescent="0.25">
      <c r="A688" s="4" t="s">
        <v>163</v>
      </c>
      <c r="B688" s="4" t="s">
        <v>387</v>
      </c>
      <c r="C688" s="4" t="s">
        <v>401</v>
      </c>
      <c r="D688" s="4" t="s">
        <v>566</v>
      </c>
      <c r="E688" s="4" t="s">
        <v>1607</v>
      </c>
      <c r="F688" s="4" t="s">
        <v>183</v>
      </c>
      <c r="G688" s="4" t="s">
        <v>865</v>
      </c>
    </row>
    <row r="689" spans="1:7" x14ac:dyDescent="0.25">
      <c r="A689" s="4" t="s">
        <v>163</v>
      </c>
      <c r="B689" s="4" t="s">
        <v>394</v>
      </c>
      <c r="C689" s="4" t="s">
        <v>401</v>
      </c>
      <c r="D689" s="4" t="s">
        <v>567</v>
      </c>
      <c r="E689" s="4" t="s">
        <v>1608</v>
      </c>
      <c r="F689" s="4" t="s">
        <v>79</v>
      </c>
      <c r="G689" s="4" t="s">
        <v>865</v>
      </c>
    </row>
    <row r="690" spans="1:7" x14ac:dyDescent="0.25">
      <c r="A690" s="4" t="s">
        <v>163</v>
      </c>
      <c r="B690" s="4" t="s">
        <v>394</v>
      </c>
      <c r="C690" s="4" t="s">
        <v>401</v>
      </c>
      <c r="D690" s="4" t="s">
        <v>568</v>
      </c>
      <c r="E690" s="4" t="s">
        <v>1609</v>
      </c>
      <c r="F690" s="4" t="s">
        <v>287</v>
      </c>
      <c r="G690" s="4" t="s">
        <v>865</v>
      </c>
    </row>
    <row r="691" spans="1:7" x14ac:dyDescent="0.25">
      <c r="A691" s="4" t="s">
        <v>163</v>
      </c>
      <c r="B691" s="4" t="s">
        <v>394</v>
      </c>
      <c r="C691" s="4" t="s">
        <v>401</v>
      </c>
      <c r="D691" s="4" t="s">
        <v>569</v>
      </c>
      <c r="E691" s="4" t="s">
        <v>1610</v>
      </c>
      <c r="F691" s="4" t="s">
        <v>183</v>
      </c>
      <c r="G691" s="4" t="s">
        <v>865</v>
      </c>
    </row>
    <row r="692" spans="1:7" x14ac:dyDescent="0.25">
      <c r="A692" s="4" t="s">
        <v>163</v>
      </c>
      <c r="B692" s="4" t="s">
        <v>387</v>
      </c>
      <c r="C692" s="4" t="s">
        <v>466</v>
      </c>
      <c r="D692" s="4" t="s">
        <v>586</v>
      </c>
      <c r="E692" s="4" t="s">
        <v>617</v>
      </c>
      <c r="F692" s="4" t="s">
        <v>321</v>
      </c>
      <c r="G692" s="4" t="s">
        <v>865</v>
      </c>
    </row>
    <row r="693" spans="1:7" x14ac:dyDescent="0.25">
      <c r="A693" s="4" t="s">
        <v>163</v>
      </c>
      <c r="B693" s="4" t="s">
        <v>394</v>
      </c>
      <c r="C693" s="4" t="s">
        <v>409</v>
      </c>
      <c r="D693" s="4" t="s">
        <v>646</v>
      </c>
      <c r="E693" s="4" t="s">
        <v>1611</v>
      </c>
      <c r="F693" s="4" t="s">
        <v>183</v>
      </c>
      <c r="G693" s="4" t="s">
        <v>865</v>
      </c>
    </row>
    <row r="694" spans="1:7" x14ac:dyDescent="0.25">
      <c r="A694" s="4" t="s">
        <v>163</v>
      </c>
      <c r="B694" s="4" t="s">
        <v>394</v>
      </c>
      <c r="C694" s="4" t="s">
        <v>409</v>
      </c>
      <c r="D694" s="4" t="s">
        <v>647</v>
      </c>
      <c r="E694" s="4" t="s">
        <v>1612</v>
      </c>
      <c r="F694" s="4" t="s">
        <v>179</v>
      </c>
      <c r="G694" s="4" t="s">
        <v>865</v>
      </c>
    </row>
    <row r="695" spans="1:7" x14ac:dyDescent="0.25">
      <c r="A695" s="4" t="s">
        <v>163</v>
      </c>
      <c r="B695" s="4" t="s">
        <v>394</v>
      </c>
      <c r="C695" s="4" t="s">
        <v>409</v>
      </c>
      <c r="D695" s="4" t="s">
        <v>649</v>
      </c>
      <c r="E695" s="4" t="s">
        <v>1613</v>
      </c>
      <c r="F695" s="4" t="s">
        <v>179</v>
      </c>
      <c r="G695" s="4" t="s">
        <v>865</v>
      </c>
    </row>
    <row r="696" spans="1:7" x14ac:dyDescent="0.25">
      <c r="A696" s="4" t="s">
        <v>163</v>
      </c>
      <c r="B696" s="4" t="s">
        <v>394</v>
      </c>
      <c r="C696" s="4" t="s">
        <v>409</v>
      </c>
      <c r="D696" s="4" t="s">
        <v>650</v>
      </c>
      <c r="E696" s="4" t="s">
        <v>1614</v>
      </c>
      <c r="F696" s="4" t="s">
        <v>173</v>
      </c>
      <c r="G696" s="4" t="s">
        <v>865</v>
      </c>
    </row>
    <row r="697" spans="1:7" x14ac:dyDescent="0.25">
      <c r="A697" s="4" t="s">
        <v>163</v>
      </c>
      <c r="B697" s="4" t="s">
        <v>394</v>
      </c>
      <c r="C697" s="4" t="s">
        <v>409</v>
      </c>
      <c r="D697" s="4" t="s">
        <v>651</v>
      </c>
      <c r="E697" s="4" t="s">
        <v>1615</v>
      </c>
      <c r="F697" s="4" t="s">
        <v>361</v>
      </c>
      <c r="G697" s="4" t="s">
        <v>865</v>
      </c>
    </row>
    <row r="698" spans="1:7" x14ac:dyDescent="0.25">
      <c r="A698" s="4" t="s">
        <v>163</v>
      </c>
      <c r="B698" s="4" t="s">
        <v>394</v>
      </c>
      <c r="C698" s="4" t="s">
        <v>409</v>
      </c>
      <c r="D698" s="4" t="s">
        <v>652</v>
      </c>
      <c r="E698" s="4" t="s">
        <v>1616</v>
      </c>
      <c r="F698" s="4" t="s">
        <v>51</v>
      </c>
      <c r="G698" s="4" t="s">
        <v>865</v>
      </c>
    </row>
    <row r="699" spans="1:7" x14ac:dyDescent="0.25">
      <c r="A699" s="4" t="s">
        <v>163</v>
      </c>
      <c r="B699" s="4" t="s">
        <v>394</v>
      </c>
      <c r="C699" s="4" t="s">
        <v>409</v>
      </c>
      <c r="D699" s="4" t="s">
        <v>653</v>
      </c>
      <c r="E699" s="4" t="s">
        <v>1617</v>
      </c>
      <c r="F699" s="4" t="s">
        <v>77</v>
      </c>
      <c r="G699" s="4" t="s">
        <v>865</v>
      </c>
    </row>
    <row r="700" spans="1:7" x14ac:dyDescent="0.25">
      <c r="A700" s="4" t="s">
        <v>163</v>
      </c>
      <c r="B700" s="4" t="s">
        <v>387</v>
      </c>
      <c r="C700" s="4" t="s">
        <v>409</v>
      </c>
      <c r="D700" s="4" t="s">
        <v>654</v>
      </c>
      <c r="E700" s="4" t="s">
        <v>1618</v>
      </c>
      <c r="F700" s="4" t="s">
        <v>179</v>
      </c>
      <c r="G700" s="4" t="s">
        <v>865</v>
      </c>
    </row>
    <row r="701" spans="1:7" x14ac:dyDescent="0.25">
      <c r="A701" s="4" t="s">
        <v>163</v>
      </c>
      <c r="B701" s="4" t="s">
        <v>387</v>
      </c>
      <c r="C701" s="4" t="s">
        <v>409</v>
      </c>
      <c r="D701" s="4" t="s">
        <v>655</v>
      </c>
      <c r="E701" s="4" t="s">
        <v>1619</v>
      </c>
      <c r="F701" s="4" t="s">
        <v>367</v>
      </c>
      <c r="G701" s="4" t="s">
        <v>865</v>
      </c>
    </row>
    <row r="702" spans="1:7" x14ac:dyDescent="0.25">
      <c r="A702" s="4" t="s">
        <v>163</v>
      </c>
      <c r="B702" s="4" t="s">
        <v>387</v>
      </c>
      <c r="C702" s="4" t="s">
        <v>409</v>
      </c>
      <c r="D702" s="4" t="s">
        <v>656</v>
      </c>
      <c r="E702" s="4" t="s">
        <v>1620</v>
      </c>
      <c r="F702" s="4" t="s">
        <v>37</v>
      </c>
      <c r="G702" s="4" t="s">
        <v>865</v>
      </c>
    </row>
    <row r="703" spans="1:7" x14ac:dyDescent="0.25">
      <c r="A703" s="4" t="s">
        <v>163</v>
      </c>
      <c r="B703" s="4" t="s">
        <v>387</v>
      </c>
      <c r="C703" s="4" t="s">
        <v>409</v>
      </c>
      <c r="D703" s="4" t="s">
        <v>657</v>
      </c>
      <c r="E703" s="4" t="s">
        <v>1621</v>
      </c>
      <c r="F703" s="4" t="s">
        <v>179</v>
      </c>
      <c r="G703" s="4" t="s">
        <v>865</v>
      </c>
    </row>
    <row r="704" spans="1:7" x14ac:dyDescent="0.25">
      <c r="A704" s="4" t="s">
        <v>163</v>
      </c>
      <c r="B704" s="4" t="s">
        <v>387</v>
      </c>
      <c r="C704" s="4" t="s">
        <v>409</v>
      </c>
      <c r="D704" s="4" t="s">
        <v>658</v>
      </c>
      <c r="E704" s="4" t="s">
        <v>1622</v>
      </c>
      <c r="F704" s="4" t="s">
        <v>187</v>
      </c>
      <c r="G704" s="4" t="s">
        <v>865</v>
      </c>
    </row>
    <row r="705" spans="1:7" x14ac:dyDescent="0.25">
      <c r="A705" s="4" t="s">
        <v>163</v>
      </c>
      <c r="B705" s="4" t="s">
        <v>387</v>
      </c>
      <c r="C705" s="4" t="s">
        <v>409</v>
      </c>
      <c r="D705" s="4" t="s">
        <v>659</v>
      </c>
      <c r="E705" s="4" t="s">
        <v>1623</v>
      </c>
      <c r="F705" s="4" t="s">
        <v>179</v>
      </c>
      <c r="G705" s="4" t="s">
        <v>865</v>
      </c>
    </row>
    <row r="706" spans="1:7" x14ac:dyDescent="0.25">
      <c r="A706" s="4" t="s">
        <v>163</v>
      </c>
      <c r="B706" s="4" t="s">
        <v>387</v>
      </c>
      <c r="C706" s="4" t="s">
        <v>409</v>
      </c>
      <c r="D706" s="4" t="s">
        <v>660</v>
      </c>
      <c r="E706" s="4" t="s">
        <v>664</v>
      </c>
      <c r="F706" s="4" t="s">
        <v>173</v>
      </c>
      <c r="G706" s="4" t="s">
        <v>865</v>
      </c>
    </row>
    <row r="707" spans="1:7" x14ac:dyDescent="0.25">
      <c r="A707" s="4" t="s">
        <v>163</v>
      </c>
      <c r="B707" s="4" t="s">
        <v>394</v>
      </c>
      <c r="C707" s="4" t="s">
        <v>414</v>
      </c>
      <c r="D707" s="4" t="s">
        <v>730</v>
      </c>
      <c r="E707" s="4" t="s">
        <v>883</v>
      </c>
      <c r="F707" s="4" t="s">
        <v>77</v>
      </c>
      <c r="G707" s="4" t="s">
        <v>865</v>
      </c>
    </row>
    <row r="708" spans="1:7" x14ac:dyDescent="0.25">
      <c r="A708" s="4" t="s">
        <v>163</v>
      </c>
      <c r="B708" s="4" t="s">
        <v>387</v>
      </c>
      <c r="C708" s="4" t="s">
        <v>416</v>
      </c>
      <c r="D708" s="4" t="s">
        <v>762</v>
      </c>
      <c r="E708" s="4" t="s">
        <v>1624</v>
      </c>
      <c r="F708" s="4" t="s">
        <v>106</v>
      </c>
      <c r="G708" s="4" t="s">
        <v>865</v>
      </c>
    </row>
    <row r="709" spans="1:7" x14ac:dyDescent="0.25">
      <c r="A709" s="4" t="s">
        <v>163</v>
      </c>
      <c r="B709" s="4" t="s">
        <v>387</v>
      </c>
      <c r="C709" s="4" t="s">
        <v>416</v>
      </c>
      <c r="D709" s="4" t="s">
        <v>763</v>
      </c>
      <c r="E709" s="4" t="s">
        <v>1625</v>
      </c>
      <c r="F709" s="4" t="s">
        <v>187</v>
      </c>
      <c r="G709" s="4" t="s">
        <v>865</v>
      </c>
    </row>
    <row r="710" spans="1:7" x14ac:dyDescent="0.25">
      <c r="A710" s="4" t="s">
        <v>163</v>
      </c>
      <c r="B710" s="4" t="s">
        <v>387</v>
      </c>
      <c r="C710" s="4" t="s">
        <v>416</v>
      </c>
      <c r="D710" s="4" t="s">
        <v>764</v>
      </c>
      <c r="E710" s="4" t="s">
        <v>1626</v>
      </c>
      <c r="F710" s="4" t="s">
        <v>350</v>
      </c>
      <c r="G710" s="4" t="s">
        <v>865</v>
      </c>
    </row>
    <row r="711" spans="1:7" x14ac:dyDescent="0.25">
      <c r="A711" s="4" t="s">
        <v>163</v>
      </c>
      <c r="B711" s="4" t="s">
        <v>387</v>
      </c>
      <c r="C711" s="4" t="s">
        <v>416</v>
      </c>
      <c r="D711" s="4" t="s">
        <v>765</v>
      </c>
      <c r="E711" s="4" t="s">
        <v>1627</v>
      </c>
      <c r="F711" s="4" t="s">
        <v>187</v>
      </c>
      <c r="G711" s="4" t="s">
        <v>865</v>
      </c>
    </row>
    <row r="712" spans="1:7" x14ac:dyDescent="0.25">
      <c r="A712" s="4" t="s">
        <v>163</v>
      </c>
      <c r="B712" s="4" t="s">
        <v>394</v>
      </c>
      <c r="C712" s="4" t="s">
        <v>416</v>
      </c>
      <c r="D712" s="4" t="s">
        <v>766</v>
      </c>
      <c r="E712" s="4" t="s">
        <v>1628</v>
      </c>
      <c r="F712" s="4" t="s">
        <v>25</v>
      </c>
      <c r="G712" s="4" t="s">
        <v>865</v>
      </c>
    </row>
    <row r="713" spans="1:7" x14ac:dyDescent="0.25">
      <c r="A713" s="4" t="s">
        <v>163</v>
      </c>
      <c r="B713" s="4" t="s">
        <v>394</v>
      </c>
      <c r="C713" s="4" t="s">
        <v>416</v>
      </c>
      <c r="D713" s="4" t="s">
        <v>767</v>
      </c>
      <c r="E713" s="4" t="s">
        <v>1629</v>
      </c>
      <c r="F713" s="4" t="s">
        <v>167</v>
      </c>
      <c r="G713" s="4" t="s">
        <v>865</v>
      </c>
    </row>
    <row r="714" spans="1:7" x14ac:dyDescent="0.25">
      <c r="A714" s="4" t="s">
        <v>163</v>
      </c>
      <c r="B714" s="4" t="s">
        <v>394</v>
      </c>
      <c r="C714" s="4" t="s">
        <v>416</v>
      </c>
      <c r="D714" s="4" t="s">
        <v>768</v>
      </c>
      <c r="E714" s="4" t="s">
        <v>1630</v>
      </c>
      <c r="F714" s="4" t="s">
        <v>90</v>
      </c>
      <c r="G714" s="4" t="s">
        <v>865</v>
      </c>
    </row>
    <row r="715" spans="1:7" x14ac:dyDescent="0.25">
      <c r="A715" s="4" t="s">
        <v>163</v>
      </c>
      <c r="B715" s="4" t="s">
        <v>394</v>
      </c>
      <c r="C715" s="4" t="s">
        <v>416</v>
      </c>
      <c r="D715" s="4" t="s">
        <v>769</v>
      </c>
      <c r="E715" s="4" t="s">
        <v>1631</v>
      </c>
      <c r="F715" s="4" t="s">
        <v>363</v>
      </c>
      <c r="G715" s="4" t="s">
        <v>865</v>
      </c>
    </row>
    <row r="716" spans="1:7" x14ac:dyDescent="0.25">
      <c r="A716" s="4" t="s">
        <v>163</v>
      </c>
      <c r="B716" s="4" t="s">
        <v>387</v>
      </c>
      <c r="C716" s="4" t="s">
        <v>422</v>
      </c>
      <c r="D716" s="4" t="s">
        <v>793</v>
      </c>
      <c r="E716" s="4" t="s">
        <v>824</v>
      </c>
      <c r="F716" s="4" t="s">
        <v>367</v>
      </c>
      <c r="G716" s="4" t="s">
        <v>865</v>
      </c>
    </row>
    <row r="717" spans="1:7" x14ac:dyDescent="0.25">
      <c r="A717" s="4" t="s">
        <v>163</v>
      </c>
      <c r="B717" s="4" t="s">
        <v>387</v>
      </c>
      <c r="C717" s="4" t="s">
        <v>422</v>
      </c>
      <c r="D717" s="4" t="s">
        <v>794</v>
      </c>
      <c r="E717" s="4" t="s">
        <v>826</v>
      </c>
      <c r="F717" s="4" t="s">
        <v>25</v>
      </c>
      <c r="G717" s="4" t="s">
        <v>865</v>
      </c>
    </row>
    <row r="718" spans="1:7" x14ac:dyDescent="0.25">
      <c r="A718" s="4" t="s">
        <v>163</v>
      </c>
      <c r="B718" s="4" t="s">
        <v>387</v>
      </c>
      <c r="C718" s="4" t="s">
        <v>422</v>
      </c>
      <c r="D718" s="4" t="s">
        <v>795</v>
      </c>
      <c r="E718" s="4" t="s">
        <v>828</v>
      </c>
      <c r="F718" s="4" t="s">
        <v>187</v>
      </c>
      <c r="G718" s="4" t="s">
        <v>865</v>
      </c>
    </row>
    <row r="719" spans="1:7" x14ac:dyDescent="0.25">
      <c r="A719" s="4" t="s">
        <v>163</v>
      </c>
      <c r="B719" s="4" t="s">
        <v>387</v>
      </c>
      <c r="C719" s="4" t="s">
        <v>422</v>
      </c>
      <c r="D719" s="4" t="s">
        <v>796</v>
      </c>
      <c r="E719" s="4" t="s">
        <v>830</v>
      </c>
      <c r="F719" s="4" t="s">
        <v>35</v>
      </c>
      <c r="G719" s="4" t="s">
        <v>865</v>
      </c>
    </row>
    <row r="720" spans="1:7" x14ac:dyDescent="0.25">
      <c r="A720" s="4" t="s">
        <v>163</v>
      </c>
      <c r="B720" s="4" t="s">
        <v>387</v>
      </c>
      <c r="C720" s="4" t="s">
        <v>422</v>
      </c>
      <c r="D720" s="4" t="s">
        <v>797</v>
      </c>
      <c r="E720" s="4" t="s">
        <v>832</v>
      </c>
      <c r="F720" s="4" t="s">
        <v>167</v>
      </c>
      <c r="G720" s="4" t="s">
        <v>865</v>
      </c>
    </row>
    <row r="721" spans="1:7" x14ac:dyDescent="0.25">
      <c r="A721" s="4" t="s">
        <v>163</v>
      </c>
      <c r="B721" s="4" t="s">
        <v>387</v>
      </c>
      <c r="C721" s="4" t="s">
        <v>422</v>
      </c>
      <c r="D721" s="4" t="s">
        <v>798</v>
      </c>
      <c r="E721" s="4" t="s">
        <v>814</v>
      </c>
      <c r="F721" s="4" t="s">
        <v>287</v>
      </c>
      <c r="G721" s="4" t="s">
        <v>865</v>
      </c>
    </row>
    <row r="722" spans="1:7" x14ac:dyDescent="0.25">
      <c r="A722" s="4" t="s">
        <v>163</v>
      </c>
      <c r="B722" s="4" t="s">
        <v>387</v>
      </c>
      <c r="C722" s="4" t="s">
        <v>422</v>
      </c>
      <c r="D722" s="4" t="s">
        <v>799</v>
      </c>
      <c r="E722" s="4" t="s">
        <v>817</v>
      </c>
      <c r="F722" s="4" t="s">
        <v>167</v>
      </c>
      <c r="G722" s="4" t="s">
        <v>865</v>
      </c>
    </row>
    <row r="723" spans="1:7" x14ac:dyDescent="0.25">
      <c r="A723" s="4" t="s">
        <v>163</v>
      </c>
      <c r="B723" s="4" t="s">
        <v>387</v>
      </c>
      <c r="C723" s="4" t="s">
        <v>422</v>
      </c>
      <c r="D723" s="4" t="s">
        <v>800</v>
      </c>
      <c r="E723" s="4" t="s">
        <v>962</v>
      </c>
      <c r="F723" s="4" t="s">
        <v>367</v>
      </c>
      <c r="G723" s="4" t="s">
        <v>865</v>
      </c>
    </row>
    <row r="724" spans="1:7" x14ac:dyDescent="0.25">
      <c r="A724" s="4" t="s">
        <v>163</v>
      </c>
      <c r="B724" s="4" t="s">
        <v>387</v>
      </c>
      <c r="C724" s="4" t="s">
        <v>422</v>
      </c>
      <c r="D724" s="4" t="s">
        <v>801</v>
      </c>
      <c r="E724" s="4" t="s">
        <v>822</v>
      </c>
      <c r="F724" s="4" t="s">
        <v>352</v>
      </c>
      <c r="G724" s="4" t="s">
        <v>865</v>
      </c>
    </row>
    <row r="725" spans="1:7" x14ac:dyDescent="0.25">
      <c r="A725" s="4" t="s">
        <v>163</v>
      </c>
      <c r="B725" s="4" t="s">
        <v>387</v>
      </c>
      <c r="C725" s="4" t="s">
        <v>422</v>
      </c>
      <c r="D725" s="4" t="s">
        <v>802</v>
      </c>
      <c r="E725" s="4" t="s">
        <v>836</v>
      </c>
      <c r="F725" s="4" t="s">
        <v>363</v>
      </c>
      <c r="G725" s="4" t="s">
        <v>865</v>
      </c>
    </row>
    <row r="726" spans="1:7" x14ac:dyDescent="0.25">
      <c r="A726" s="4" t="s">
        <v>163</v>
      </c>
      <c r="B726" s="4" t="s">
        <v>387</v>
      </c>
      <c r="C726" s="4" t="s">
        <v>422</v>
      </c>
      <c r="D726" s="4" t="s">
        <v>803</v>
      </c>
      <c r="E726" s="4" t="s">
        <v>966</v>
      </c>
      <c r="F726" s="4" t="s">
        <v>367</v>
      </c>
      <c r="G726" s="4" t="s">
        <v>865</v>
      </c>
    </row>
    <row r="727" spans="1:7" x14ac:dyDescent="0.25">
      <c r="A727" s="4" t="s">
        <v>163</v>
      </c>
      <c r="B727" s="4" t="s">
        <v>387</v>
      </c>
      <c r="C727" s="4" t="s">
        <v>422</v>
      </c>
      <c r="D727" s="4" t="s">
        <v>804</v>
      </c>
      <c r="E727" s="4" t="s">
        <v>838</v>
      </c>
      <c r="F727" s="4" t="s">
        <v>134</v>
      </c>
      <c r="G727" s="4" t="s">
        <v>865</v>
      </c>
    </row>
    <row r="728" spans="1:7" x14ac:dyDescent="0.25">
      <c r="A728" s="4" t="s">
        <v>163</v>
      </c>
      <c r="B728" s="4" t="s">
        <v>394</v>
      </c>
      <c r="C728" s="4" t="s">
        <v>422</v>
      </c>
      <c r="D728" s="4" t="s">
        <v>805</v>
      </c>
      <c r="E728" s="4" t="s">
        <v>842</v>
      </c>
      <c r="F728" s="4" t="s">
        <v>56</v>
      </c>
      <c r="G728" s="4" t="s">
        <v>865</v>
      </c>
    </row>
    <row r="729" spans="1:7" x14ac:dyDescent="0.25">
      <c r="A729" s="4" t="s">
        <v>163</v>
      </c>
      <c r="B729" s="4" t="s">
        <v>394</v>
      </c>
      <c r="C729" s="4" t="s">
        <v>422</v>
      </c>
      <c r="D729" s="4" t="s">
        <v>806</v>
      </c>
      <c r="E729" s="4" t="s">
        <v>846</v>
      </c>
      <c r="F729" s="4" t="s">
        <v>331</v>
      </c>
      <c r="G729" s="4" t="s">
        <v>865</v>
      </c>
    </row>
    <row r="730" spans="1:7" x14ac:dyDescent="0.25">
      <c r="A730" s="4" t="s">
        <v>163</v>
      </c>
      <c r="B730" s="4" t="s">
        <v>394</v>
      </c>
      <c r="C730" s="4" t="s">
        <v>422</v>
      </c>
      <c r="D730" s="4" t="s">
        <v>807</v>
      </c>
      <c r="E730" s="4" t="s">
        <v>850</v>
      </c>
      <c r="F730" s="4" t="s">
        <v>163</v>
      </c>
      <c r="G730" s="4" t="s">
        <v>865</v>
      </c>
    </row>
    <row r="731" spans="1:7" x14ac:dyDescent="0.25">
      <c r="A731" s="4" t="s">
        <v>163</v>
      </c>
      <c r="B731" s="4" t="s">
        <v>394</v>
      </c>
      <c r="C731" s="4" t="s">
        <v>422</v>
      </c>
      <c r="D731" s="4" t="s">
        <v>808</v>
      </c>
      <c r="E731" s="4" t="s">
        <v>854</v>
      </c>
      <c r="F731" s="4" t="s">
        <v>280</v>
      </c>
      <c r="G731" s="4" t="s">
        <v>865</v>
      </c>
    </row>
    <row r="732" spans="1:7" x14ac:dyDescent="0.25">
      <c r="A732" s="4" t="s">
        <v>163</v>
      </c>
      <c r="B732" s="4" t="s">
        <v>394</v>
      </c>
      <c r="C732" s="4" t="s">
        <v>422</v>
      </c>
      <c r="D732" s="4" t="s">
        <v>809</v>
      </c>
      <c r="E732" s="4" t="s">
        <v>858</v>
      </c>
      <c r="F732" s="4" t="s">
        <v>331</v>
      </c>
      <c r="G732" s="4" t="s">
        <v>865</v>
      </c>
    </row>
    <row r="733" spans="1:7" x14ac:dyDescent="0.25">
      <c r="A733" s="4" t="s">
        <v>163</v>
      </c>
      <c r="B733" s="4" t="s">
        <v>394</v>
      </c>
      <c r="C733" s="4" t="s">
        <v>422</v>
      </c>
      <c r="D733" s="4" t="s">
        <v>810</v>
      </c>
      <c r="E733" s="4" t="s">
        <v>862</v>
      </c>
      <c r="F733" s="4" t="s">
        <v>287</v>
      </c>
      <c r="G733" s="4" t="s">
        <v>865</v>
      </c>
    </row>
    <row r="734" spans="1:7" x14ac:dyDescent="0.25">
      <c r="A734" s="4" t="s">
        <v>163</v>
      </c>
      <c r="B734" s="4" t="s">
        <v>394</v>
      </c>
      <c r="C734" s="4" t="s">
        <v>414</v>
      </c>
      <c r="D734" s="4" t="s">
        <v>725</v>
      </c>
      <c r="E734" s="4" t="s">
        <v>875</v>
      </c>
      <c r="F734" s="4" t="s">
        <v>363</v>
      </c>
      <c r="G734" s="4" t="s">
        <v>390</v>
      </c>
    </row>
    <row r="735" spans="1:7" x14ac:dyDescent="0.25">
      <c r="A735" s="4" t="s">
        <v>163</v>
      </c>
      <c r="B735" s="4" t="s">
        <v>387</v>
      </c>
      <c r="C735" s="4" t="s">
        <v>414</v>
      </c>
      <c r="D735" s="4" t="s">
        <v>751</v>
      </c>
      <c r="E735" s="4" t="s">
        <v>1406</v>
      </c>
      <c r="F735" s="4" t="s">
        <v>319</v>
      </c>
      <c r="G735" s="4" t="s">
        <v>864</v>
      </c>
    </row>
    <row r="736" spans="1:7" x14ac:dyDescent="0.25">
      <c r="A736" s="4" t="s">
        <v>163</v>
      </c>
      <c r="B736" s="4" t="s">
        <v>387</v>
      </c>
      <c r="C736" s="4" t="s">
        <v>414</v>
      </c>
      <c r="D736" s="4" t="s">
        <v>751</v>
      </c>
      <c r="E736" s="4" t="s">
        <v>882</v>
      </c>
      <c r="F736" s="4" t="s">
        <v>159</v>
      </c>
      <c r="G736" s="4" t="s">
        <v>864</v>
      </c>
    </row>
    <row r="737" spans="1:7" x14ac:dyDescent="0.25">
      <c r="A737" s="4" t="s">
        <v>389</v>
      </c>
      <c r="B737" s="4" t="s">
        <v>387</v>
      </c>
      <c r="C737" s="4" t="s">
        <v>395</v>
      </c>
      <c r="D737" s="4" t="s">
        <v>477</v>
      </c>
      <c r="E737" s="4" t="s">
        <v>1011</v>
      </c>
      <c r="F737" s="4" t="s">
        <v>187</v>
      </c>
      <c r="G737" s="4" t="s">
        <v>390</v>
      </c>
    </row>
    <row r="738" spans="1:7" x14ac:dyDescent="0.25">
      <c r="A738" s="4" t="s">
        <v>389</v>
      </c>
      <c r="B738" s="4" t="s">
        <v>387</v>
      </c>
      <c r="C738" s="4" t="s">
        <v>395</v>
      </c>
      <c r="D738" s="4" t="s">
        <v>477</v>
      </c>
      <c r="E738" s="4" t="s">
        <v>1012</v>
      </c>
      <c r="F738" s="4" t="s">
        <v>187</v>
      </c>
      <c r="G738" s="4" t="s">
        <v>390</v>
      </c>
    </row>
    <row r="739" spans="1:7" x14ac:dyDescent="0.25">
      <c r="A739" s="4" t="s">
        <v>389</v>
      </c>
      <c r="B739" s="4" t="s">
        <v>387</v>
      </c>
      <c r="C739" s="4" t="s">
        <v>395</v>
      </c>
      <c r="D739" s="4" t="s">
        <v>477</v>
      </c>
      <c r="E739" s="4" t="s">
        <v>1013</v>
      </c>
      <c r="F739" s="4" t="s">
        <v>187</v>
      </c>
      <c r="G739" s="4" t="s">
        <v>390</v>
      </c>
    </row>
    <row r="740" spans="1:7" x14ac:dyDescent="0.25">
      <c r="A740" s="4" t="s">
        <v>389</v>
      </c>
      <c r="B740" s="4" t="s">
        <v>387</v>
      </c>
      <c r="C740" s="4" t="s">
        <v>395</v>
      </c>
      <c r="D740" s="4" t="s">
        <v>477</v>
      </c>
      <c r="E740" s="4" t="s">
        <v>1452</v>
      </c>
      <c r="F740" s="4" t="s">
        <v>363</v>
      </c>
      <c r="G740" s="4" t="s">
        <v>864</v>
      </c>
    </row>
    <row r="741" spans="1:7" x14ac:dyDescent="0.25">
      <c r="A741" s="4" t="s">
        <v>389</v>
      </c>
      <c r="B741" s="4" t="s">
        <v>387</v>
      </c>
      <c r="C741" s="4" t="s">
        <v>395</v>
      </c>
      <c r="D741" s="4" t="s">
        <v>477</v>
      </c>
      <c r="E741" s="4" t="s">
        <v>1014</v>
      </c>
      <c r="F741" s="4" t="s">
        <v>363</v>
      </c>
      <c r="G741" s="4" t="s">
        <v>864</v>
      </c>
    </row>
    <row r="742" spans="1:7" x14ac:dyDescent="0.25">
      <c r="A742" s="4" t="s">
        <v>389</v>
      </c>
      <c r="B742" s="4" t="s">
        <v>387</v>
      </c>
      <c r="C742" s="4" t="s">
        <v>395</v>
      </c>
      <c r="D742" s="4" t="s">
        <v>477</v>
      </c>
      <c r="E742" s="4" t="s">
        <v>1015</v>
      </c>
      <c r="F742" s="4" t="s">
        <v>363</v>
      </c>
      <c r="G742" s="4" t="s">
        <v>864</v>
      </c>
    </row>
    <row r="743" spans="1:7" x14ac:dyDescent="0.25">
      <c r="A743" s="4" t="s">
        <v>389</v>
      </c>
      <c r="B743" s="4" t="s">
        <v>387</v>
      </c>
      <c r="C743" s="4" t="s">
        <v>395</v>
      </c>
      <c r="D743" s="4" t="s">
        <v>477</v>
      </c>
      <c r="E743" s="4" t="s">
        <v>1016</v>
      </c>
      <c r="F743" s="4" t="s">
        <v>21</v>
      </c>
      <c r="G743" s="4" t="s">
        <v>865</v>
      </c>
    </row>
    <row r="744" spans="1:7" x14ac:dyDescent="0.25">
      <c r="A744" s="4" t="s">
        <v>389</v>
      </c>
      <c r="B744" s="4" t="s">
        <v>387</v>
      </c>
      <c r="C744" s="4" t="s">
        <v>395</v>
      </c>
      <c r="D744" s="4" t="s">
        <v>477</v>
      </c>
      <c r="E744" s="4" t="s">
        <v>1017</v>
      </c>
      <c r="F744" s="4" t="s">
        <v>21</v>
      </c>
      <c r="G744" s="4" t="s">
        <v>865</v>
      </c>
    </row>
    <row r="745" spans="1:7" x14ac:dyDescent="0.25">
      <c r="A745" s="4" t="s">
        <v>389</v>
      </c>
      <c r="B745" s="4" t="s">
        <v>387</v>
      </c>
      <c r="C745" s="4" t="s">
        <v>395</v>
      </c>
      <c r="D745" s="4" t="s">
        <v>477</v>
      </c>
      <c r="E745" s="4" t="s">
        <v>1018</v>
      </c>
      <c r="F745" s="4" t="s">
        <v>21</v>
      </c>
      <c r="G745" s="4" t="s">
        <v>865</v>
      </c>
    </row>
    <row r="746" spans="1:7" x14ac:dyDescent="0.25">
      <c r="A746" s="4" t="s">
        <v>389</v>
      </c>
      <c r="B746" s="4" t="s">
        <v>394</v>
      </c>
      <c r="C746" s="4" t="s">
        <v>395</v>
      </c>
      <c r="D746" s="4" t="s">
        <v>478</v>
      </c>
      <c r="E746" s="4" t="s">
        <v>1019</v>
      </c>
      <c r="F746" s="4" t="s">
        <v>187</v>
      </c>
      <c r="G746" s="4" t="s">
        <v>390</v>
      </c>
    </row>
    <row r="747" spans="1:7" x14ac:dyDescent="0.25">
      <c r="A747" s="4" t="s">
        <v>389</v>
      </c>
      <c r="B747" s="4" t="s">
        <v>394</v>
      </c>
      <c r="C747" s="4" t="s">
        <v>395</v>
      </c>
      <c r="D747" s="4" t="s">
        <v>478</v>
      </c>
      <c r="E747" s="4" t="s">
        <v>1020</v>
      </c>
      <c r="F747" s="4" t="s">
        <v>187</v>
      </c>
      <c r="G747" s="4" t="s">
        <v>390</v>
      </c>
    </row>
    <row r="748" spans="1:7" x14ac:dyDescent="0.25">
      <c r="A748" s="4" t="s">
        <v>389</v>
      </c>
      <c r="B748" s="4" t="s">
        <v>394</v>
      </c>
      <c r="C748" s="4" t="s">
        <v>395</v>
      </c>
      <c r="D748" s="4" t="s">
        <v>478</v>
      </c>
      <c r="E748" s="4" t="s">
        <v>1453</v>
      </c>
      <c r="F748" s="4" t="s">
        <v>187</v>
      </c>
      <c r="G748" s="4" t="s">
        <v>390</v>
      </c>
    </row>
    <row r="749" spans="1:7" x14ac:dyDescent="0.25">
      <c r="A749" s="4" t="s">
        <v>389</v>
      </c>
      <c r="B749" s="4" t="s">
        <v>394</v>
      </c>
      <c r="C749" s="4" t="s">
        <v>395</v>
      </c>
      <c r="D749" s="4" t="s">
        <v>478</v>
      </c>
      <c r="E749" s="4" t="s">
        <v>1021</v>
      </c>
      <c r="F749" s="4" t="s">
        <v>287</v>
      </c>
      <c r="G749" s="4" t="s">
        <v>864</v>
      </c>
    </row>
    <row r="750" spans="1:7" x14ac:dyDescent="0.25">
      <c r="A750" s="4" t="s">
        <v>389</v>
      </c>
      <c r="B750" s="4" t="s">
        <v>394</v>
      </c>
      <c r="C750" s="4" t="s">
        <v>395</v>
      </c>
      <c r="D750" s="4" t="s">
        <v>478</v>
      </c>
      <c r="E750" s="4" t="s">
        <v>1022</v>
      </c>
      <c r="F750" s="4" t="s">
        <v>287</v>
      </c>
      <c r="G750" s="4" t="s">
        <v>864</v>
      </c>
    </row>
    <row r="751" spans="1:7" x14ac:dyDescent="0.25">
      <c r="A751" s="4" t="s">
        <v>389</v>
      </c>
      <c r="B751" s="4" t="s">
        <v>394</v>
      </c>
      <c r="C751" s="4" t="s">
        <v>395</v>
      </c>
      <c r="D751" s="4" t="s">
        <v>478</v>
      </c>
      <c r="E751" s="4" t="s">
        <v>1023</v>
      </c>
      <c r="F751" s="4" t="s">
        <v>287</v>
      </c>
      <c r="G751" s="4" t="s">
        <v>864</v>
      </c>
    </row>
    <row r="752" spans="1:7" x14ac:dyDescent="0.25">
      <c r="A752" s="4" t="s">
        <v>389</v>
      </c>
      <c r="B752" s="4" t="s">
        <v>394</v>
      </c>
      <c r="C752" s="4" t="s">
        <v>395</v>
      </c>
      <c r="D752" s="4" t="s">
        <v>478</v>
      </c>
      <c r="E752" s="4" t="s">
        <v>1024</v>
      </c>
      <c r="F752" s="4" t="s">
        <v>337</v>
      </c>
      <c r="G752" s="4" t="s">
        <v>865</v>
      </c>
    </row>
    <row r="753" spans="1:7" x14ac:dyDescent="0.25">
      <c r="A753" s="4" t="s">
        <v>389</v>
      </c>
      <c r="B753" s="4" t="s">
        <v>394</v>
      </c>
      <c r="C753" s="4" t="s">
        <v>395</v>
      </c>
      <c r="D753" s="4" t="s">
        <v>478</v>
      </c>
      <c r="E753" s="4" t="s">
        <v>1025</v>
      </c>
      <c r="F753" s="4" t="s">
        <v>337</v>
      </c>
      <c r="G753" s="4" t="s">
        <v>865</v>
      </c>
    </row>
    <row r="754" spans="1:7" x14ac:dyDescent="0.25">
      <c r="A754" s="4" t="s">
        <v>389</v>
      </c>
      <c r="B754" s="4" t="s">
        <v>394</v>
      </c>
      <c r="C754" s="4" t="s">
        <v>395</v>
      </c>
      <c r="D754" s="4" t="s">
        <v>478</v>
      </c>
      <c r="E754" s="4" t="s">
        <v>1026</v>
      </c>
      <c r="F754" s="4" t="s">
        <v>337</v>
      </c>
      <c r="G754" s="4" t="s">
        <v>865</v>
      </c>
    </row>
    <row r="755" spans="1:7" x14ac:dyDescent="0.25">
      <c r="A755" s="4" t="s">
        <v>389</v>
      </c>
      <c r="B755" s="4" t="s">
        <v>387</v>
      </c>
      <c r="C755" s="4" t="s">
        <v>463</v>
      </c>
      <c r="D755" s="4" t="s">
        <v>477</v>
      </c>
      <c r="E755" s="4" t="s">
        <v>1456</v>
      </c>
      <c r="F755" s="4" t="s">
        <v>179</v>
      </c>
      <c r="G755" s="4" t="s">
        <v>390</v>
      </c>
    </row>
    <row r="756" spans="1:7" x14ac:dyDescent="0.25">
      <c r="A756" s="4" t="s">
        <v>389</v>
      </c>
      <c r="B756" s="4" t="s">
        <v>387</v>
      </c>
      <c r="C756" s="4" t="s">
        <v>463</v>
      </c>
      <c r="D756" s="4" t="s">
        <v>477</v>
      </c>
      <c r="E756" s="4" t="s">
        <v>1660</v>
      </c>
      <c r="F756" s="4" t="s">
        <v>179</v>
      </c>
      <c r="G756" s="4" t="s">
        <v>390</v>
      </c>
    </row>
    <row r="757" spans="1:7" x14ac:dyDescent="0.25">
      <c r="A757" s="4" t="s">
        <v>389</v>
      </c>
      <c r="B757" s="4" t="s">
        <v>387</v>
      </c>
      <c r="C757" s="4" t="s">
        <v>463</v>
      </c>
      <c r="D757" s="4" t="s">
        <v>477</v>
      </c>
      <c r="E757" s="4" t="s">
        <v>1085</v>
      </c>
      <c r="F757" s="4" t="s">
        <v>179</v>
      </c>
      <c r="G757" s="4" t="s">
        <v>390</v>
      </c>
    </row>
    <row r="758" spans="1:7" x14ac:dyDescent="0.25">
      <c r="A758" s="4" t="s">
        <v>389</v>
      </c>
      <c r="B758" s="4" t="s">
        <v>387</v>
      </c>
      <c r="C758" s="4" t="s">
        <v>463</v>
      </c>
      <c r="D758" s="4" t="s">
        <v>477</v>
      </c>
      <c r="E758" s="4" t="s">
        <v>1661</v>
      </c>
      <c r="F758" s="4" t="s">
        <v>179</v>
      </c>
      <c r="G758" s="4" t="s">
        <v>390</v>
      </c>
    </row>
    <row r="759" spans="1:7" x14ac:dyDescent="0.25">
      <c r="A759" s="4" t="s">
        <v>389</v>
      </c>
      <c r="B759" s="4" t="s">
        <v>387</v>
      </c>
      <c r="C759" s="4" t="s">
        <v>463</v>
      </c>
      <c r="D759" s="4" t="s">
        <v>477</v>
      </c>
      <c r="E759" s="4" t="s">
        <v>1659</v>
      </c>
      <c r="F759" s="4" t="s">
        <v>179</v>
      </c>
      <c r="G759" s="4" t="s">
        <v>390</v>
      </c>
    </row>
    <row r="760" spans="1:7" x14ac:dyDescent="0.25">
      <c r="A760" s="4" t="s">
        <v>389</v>
      </c>
      <c r="B760" s="4" t="s">
        <v>387</v>
      </c>
      <c r="C760" s="4" t="s">
        <v>463</v>
      </c>
      <c r="D760" s="4" t="s">
        <v>477</v>
      </c>
      <c r="E760" s="4" t="s">
        <v>1274</v>
      </c>
      <c r="F760" s="4" t="s">
        <v>287</v>
      </c>
      <c r="G760" s="4" t="s">
        <v>864</v>
      </c>
    </row>
    <row r="761" spans="1:7" x14ac:dyDescent="0.25">
      <c r="A761" s="4" t="s">
        <v>389</v>
      </c>
      <c r="B761" s="4" t="s">
        <v>387</v>
      </c>
      <c r="C761" s="4" t="s">
        <v>463</v>
      </c>
      <c r="D761" s="4" t="s">
        <v>477</v>
      </c>
      <c r="E761" s="4" t="s">
        <v>1457</v>
      </c>
      <c r="F761" s="4" t="s">
        <v>287</v>
      </c>
      <c r="G761" s="4" t="s">
        <v>864</v>
      </c>
    </row>
    <row r="762" spans="1:7" x14ac:dyDescent="0.25">
      <c r="A762" s="4" t="s">
        <v>389</v>
      </c>
      <c r="B762" s="4" t="s">
        <v>387</v>
      </c>
      <c r="C762" s="4" t="s">
        <v>463</v>
      </c>
      <c r="D762" s="4" t="s">
        <v>477</v>
      </c>
      <c r="E762" s="4" t="s">
        <v>1662</v>
      </c>
      <c r="F762" s="4" t="s">
        <v>287</v>
      </c>
      <c r="G762" s="4" t="s">
        <v>864</v>
      </c>
    </row>
    <row r="763" spans="1:7" x14ac:dyDescent="0.25">
      <c r="A763" s="4" t="s">
        <v>389</v>
      </c>
      <c r="B763" s="4" t="s">
        <v>387</v>
      </c>
      <c r="C763" s="4" t="s">
        <v>463</v>
      </c>
      <c r="D763" s="4" t="s">
        <v>477</v>
      </c>
      <c r="E763" s="4" t="s">
        <v>1663</v>
      </c>
      <c r="F763" s="4" t="s">
        <v>287</v>
      </c>
      <c r="G763" s="4" t="s">
        <v>864</v>
      </c>
    </row>
    <row r="764" spans="1:7" x14ac:dyDescent="0.25">
      <c r="A764" s="4" t="s">
        <v>389</v>
      </c>
      <c r="B764" s="4" t="s">
        <v>387</v>
      </c>
      <c r="C764" s="4" t="s">
        <v>463</v>
      </c>
      <c r="D764" s="4" t="s">
        <v>477</v>
      </c>
      <c r="E764" s="4" t="s">
        <v>1664</v>
      </c>
      <c r="F764" s="4" t="s">
        <v>287</v>
      </c>
      <c r="G764" s="4" t="s">
        <v>864</v>
      </c>
    </row>
    <row r="765" spans="1:7" x14ac:dyDescent="0.25">
      <c r="A765" s="4" t="s">
        <v>389</v>
      </c>
      <c r="B765" s="4" t="s">
        <v>387</v>
      </c>
      <c r="C765" s="4" t="s">
        <v>463</v>
      </c>
      <c r="D765" s="4" t="s">
        <v>477</v>
      </c>
      <c r="E765" s="4" t="s">
        <v>1665</v>
      </c>
      <c r="F765" s="4" t="s">
        <v>77</v>
      </c>
      <c r="G765" s="4" t="s">
        <v>865</v>
      </c>
    </row>
    <row r="766" spans="1:7" x14ac:dyDescent="0.25">
      <c r="A766" s="4" t="s">
        <v>389</v>
      </c>
      <c r="B766" s="4" t="s">
        <v>387</v>
      </c>
      <c r="C766" s="4" t="s">
        <v>463</v>
      </c>
      <c r="D766" s="4" t="s">
        <v>477</v>
      </c>
      <c r="E766" s="4" t="s">
        <v>1666</v>
      </c>
      <c r="F766" s="4" t="s">
        <v>77</v>
      </c>
      <c r="G766" s="4" t="s">
        <v>865</v>
      </c>
    </row>
    <row r="767" spans="1:7" x14ac:dyDescent="0.25">
      <c r="A767" s="4" t="s">
        <v>389</v>
      </c>
      <c r="B767" s="4" t="s">
        <v>387</v>
      </c>
      <c r="C767" s="4" t="s">
        <v>463</v>
      </c>
      <c r="D767" s="4" t="s">
        <v>477</v>
      </c>
      <c r="E767" s="4" t="s">
        <v>1667</v>
      </c>
      <c r="F767" s="4" t="s">
        <v>77</v>
      </c>
      <c r="G767" s="4" t="s">
        <v>865</v>
      </c>
    </row>
    <row r="768" spans="1:7" x14ac:dyDescent="0.25">
      <c r="A768" s="4" t="s">
        <v>389</v>
      </c>
      <c r="B768" s="4" t="s">
        <v>387</v>
      </c>
      <c r="C768" s="4" t="s">
        <v>463</v>
      </c>
      <c r="D768" s="4" t="s">
        <v>477</v>
      </c>
      <c r="E768" s="4" t="s">
        <v>1668</v>
      </c>
      <c r="F768" s="4" t="s">
        <v>77</v>
      </c>
      <c r="G768" s="4" t="s">
        <v>865</v>
      </c>
    </row>
    <row r="769" spans="1:7" x14ac:dyDescent="0.25">
      <c r="A769" s="4" t="s">
        <v>389</v>
      </c>
      <c r="B769" s="4" t="s">
        <v>387</v>
      </c>
      <c r="C769" s="4" t="s">
        <v>463</v>
      </c>
      <c r="D769" s="4" t="s">
        <v>477</v>
      </c>
      <c r="E769" s="4" t="s">
        <v>1669</v>
      </c>
      <c r="F769" s="4" t="s">
        <v>77</v>
      </c>
      <c r="G769" s="4" t="s">
        <v>865</v>
      </c>
    </row>
    <row r="770" spans="1:7" x14ac:dyDescent="0.25">
      <c r="A770" s="4" t="s">
        <v>389</v>
      </c>
      <c r="B770" s="4" t="s">
        <v>394</v>
      </c>
      <c r="C770" s="4" t="s">
        <v>463</v>
      </c>
      <c r="D770" s="4" t="s">
        <v>478</v>
      </c>
      <c r="E770" s="4" t="s">
        <v>1091</v>
      </c>
      <c r="F770" s="4" t="s">
        <v>363</v>
      </c>
      <c r="G770" s="4" t="s">
        <v>390</v>
      </c>
    </row>
    <row r="771" spans="1:7" x14ac:dyDescent="0.25">
      <c r="A771" s="4" t="s">
        <v>389</v>
      </c>
      <c r="B771" s="4" t="s">
        <v>394</v>
      </c>
      <c r="C771" s="4" t="s">
        <v>463</v>
      </c>
      <c r="D771" s="4" t="s">
        <v>478</v>
      </c>
      <c r="E771" s="4" t="s">
        <v>1670</v>
      </c>
      <c r="F771" s="4" t="s">
        <v>363</v>
      </c>
      <c r="G771" s="4" t="s">
        <v>390</v>
      </c>
    </row>
    <row r="772" spans="1:7" x14ac:dyDescent="0.25">
      <c r="A772" s="4" t="s">
        <v>389</v>
      </c>
      <c r="B772" s="4" t="s">
        <v>394</v>
      </c>
      <c r="C772" s="4" t="s">
        <v>463</v>
      </c>
      <c r="D772" s="4" t="s">
        <v>478</v>
      </c>
      <c r="E772" s="4" t="s">
        <v>1279</v>
      </c>
      <c r="F772" s="4" t="s">
        <v>363</v>
      </c>
      <c r="G772" s="4" t="s">
        <v>390</v>
      </c>
    </row>
    <row r="773" spans="1:7" x14ac:dyDescent="0.25">
      <c r="A773" s="4" t="s">
        <v>389</v>
      </c>
      <c r="B773" s="4" t="s">
        <v>394</v>
      </c>
      <c r="C773" s="4" t="s">
        <v>463</v>
      </c>
      <c r="D773" s="4" t="s">
        <v>478</v>
      </c>
      <c r="E773" s="4" t="s">
        <v>1278</v>
      </c>
      <c r="F773" s="4" t="s">
        <v>363</v>
      </c>
      <c r="G773" s="4" t="s">
        <v>390</v>
      </c>
    </row>
    <row r="774" spans="1:7" x14ac:dyDescent="0.25">
      <c r="A774" s="4" t="s">
        <v>389</v>
      </c>
      <c r="B774" s="4" t="s">
        <v>394</v>
      </c>
      <c r="C774" s="4" t="s">
        <v>463</v>
      </c>
      <c r="D774" s="4" t="s">
        <v>478</v>
      </c>
      <c r="E774" s="4" t="s">
        <v>1276</v>
      </c>
      <c r="F774" s="4" t="s">
        <v>363</v>
      </c>
      <c r="G774" s="4" t="s">
        <v>390</v>
      </c>
    </row>
    <row r="775" spans="1:7" x14ac:dyDescent="0.25">
      <c r="A775" s="4" t="s">
        <v>389</v>
      </c>
      <c r="B775" s="4" t="s">
        <v>394</v>
      </c>
      <c r="C775" s="4" t="s">
        <v>463</v>
      </c>
      <c r="D775" s="4" t="s">
        <v>478</v>
      </c>
      <c r="E775" s="4" t="s">
        <v>1671</v>
      </c>
      <c r="F775" s="4" t="s">
        <v>287</v>
      </c>
      <c r="G775" s="4" t="s">
        <v>864</v>
      </c>
    </row>
    <row r="776" spans="1:7" x14ac:dyDescent="0.25">
      <c r="A776" s="4" t="s">
        <v>389</v>
      </c>
      <c r="B776" s="4" t="s">
        <v>394</v>
      </c>
      <c r="C776" s="4" t="s">
        <v>463</v>
      </c>
      <c r="D776" s="4" t="s">
        <v>478</v>
      </c>
      <c r="E776" s="4" t="s">
        <v>1092</v>
      </c>
      <c r="F776" s="4" t="s">
        <v>287</v>
      </c>
      <c r="G776" s="4" t="s">
        <v>864</v>
      </c>
    </row>
    <row r="777" spans="1:7" x14ac:dyDescent="0.25">
      <c r="A777" s="4" t="s">
        <v>389</v>
      </c>
      <c r="B777" s="4" t="s">
        <v>394</v>
      </c>
      <c r="C777" s="4" t="s">
        <v>463</v>
      </c>
      <c r="D777" s="4" t="s">
        <v>478</v>
      </c>
      <c r="E777" s="4" t="s">
        <v>1277</v>
      </c>
      <c r="F777" s="4" t="s">
        <v>287</v>
      </c>
      <c r="G777" s="4" t="s">
        <v>864</v>
      </c>
    </row>
    <row r="778" spans="1:7" x14ac:dyDescent="0.25">
      <c r="A778" s="4" t="s">
        <v>389</v>
      </c>
      <c r="B778" s="4" t="s">
        <v>394</v>
      </c>
      <c r="C778" s="4" t="s">
        <v>463</v>
      </c>
      <c r="D778" s="4" t="s">
        <v>478</v>
      </c>
      <c r="E778" s="4" t="s">
        <v>1672</v>
      </c>
      <c r="F778" s="4" t="s">
        <v>287</v>
      </c>
      <c r="G778" s="4" t="s">
        <v>864</v>
      </c>
    </row>
    <row r="779" spans="1:7" x14ac:dyDescent="0.25">
      <c r="A779" s="4" t="s">
        <v>389</v>
      </c>
      <c r="B779" s="4" t="s">
        <v>394</v>
      </c>
      <c r="C779" s="4" t="s">
        <v>463</v>
      </c>
      <c r="D779" s="4" t="s">
        <v>478</v>
      </c>
      <c r="E779" s="4" t="s">
        <v>1673</v>
      </c>
      <c r="F779" s="4" t="s">
        <v>287</v>
      </c>
      <c r="G779" s="4" t="s">
        <v>864</v>
      </c>
    </row>
    <row r="780" spans="1:7" x14ac:dyDescent="0.25">
      <c r="A780" s="4" t="s">
        <v>389</v>
      </c>
      <c r="B780" s="4" t="s">
        <v>394</v>
      </c>
      <c r="C780" s="4" t="s">
        <v>463</v>
      </c>
      <c r="D780" s="4" t="s">
        <v>478</v>
      </c>
      <c r="E780" s="4" t="s">
        <v>1674</v>
      </c>
      <c r="F780" s="4" t="s">
        <v>77</v>
      </c>
      <c r="G780" s="4" t="s">
        <v>865</v>
      </c>
    </row>
    <row r="781" spans="1:7" x14ac:dyDescent="0.25">
      <c r="A781" s="4" t="s">
        <v>389</v>
      </c>
      <c r="B781" s="4" t="s">
        <v>394</v>
      </c>
      <c r="C781" s="4" t="s">
        <v>463</v>
      </c>
      <c r="D781" s="4" t="s">
        <v>478</v>
      </c>
      <c r="E781" s="4" t="s">
        <v>1675</v>
      </c>
      <c r="F781" s="4" t="s">
        <v>77</v>
      </c>
      <c r="G781" s="4" t="s">
        <v>865</v>
      </c>
    </row>
    <row r="782" spans="1:7" x14ac:dyDescent="0.25">
      <c r="A782" s="4" t="s">
        <v>389</v>
      </c>
      <c r="B782" s="4" t="s">
        <v>394</v>
      </c>
      <c r="C782" s="4" t="s">
        <v>463</v>
      </c>
      <c r="D782" s="4" t="s">
        <v>478</v>
      </c>
      <c r="E782" s="4" t="s">
        <v>1676</v>
      </c>
      <c r="F782" s="4" t="s">
        <v>77</v>
      </c>
      <c r="G782" s="4" t="s">
        <v>865</v>
      </c>
    </row>
    <row r="783" spans="1:7" x14ac:dyDescent="0.25">
      <c r="A783" s="4" t="s">
        <v>389</v>
      </c>
      <c r="B783" s="4" t="s">
        <v>394</v>
      </c>
      <c r="C783" s="4" t="s">
        <v>463</v>
      </c>
      <c r="D783" s="4" t="s">
        <v>478</v>
      </c>
      <c r="E783" s="4" t="s">
        <v>1677</v>
      </c>
      <c r="F783" s="4" t="s">
        <v>77</v>
      </c>
      <c r="G783" s="4" t="s">
        <v>865</v>
      </c>
    </row>
    <row r="784" spans="1:7" x14ac:dyDescent="0.25">
      <c r="A784" s="4" t="s">
        <v>389</v>
      </c>
      <c r="B784" s="4" t="s">
        <v>394</v>
      </c>
      <c r="C784" s="4" t="s">
        <v>463</v>
      </c>
      <c r="D784" s="4" t="s">
        <v>478</v>
      </c>
      <c r="E784" s="4" t="s">
        <v>1678</v>
      </c>
      <c r="F784" s="4" t="s">
        <v>77</v>
      </c>
      <c r="G784" s="4" t="s">
        <v>865</v>
      </c>
    </row>
    <row r="785" spans="1:12" x14ac:dyDescent="0.25">
      <c r="A785" s="4" t="s">
        <v>389</v>
      </c>
      <c r="B785" s="4" t="s">
        <v>387</v>
      </c>
      <c r="C785" s="4" t="s">
        <v>393</v>
      </c>
      <c r="D785" s="4" t="s">
        <v>520</v>
      </c>
      <c r="E785" s="4" t="s">
        <v>1055</v>
      </c>
      <c r="F785" s="4" t="s">
        <v>177</v>
      </c>
      <c r="G785" s="4" t="s">
        <v>390</v>
      </c>
    </row>
    <row r="786" spans="1:12" x14ac:dyDescent="0.25">
      <c r="A786" s="4" t="s">
        <v>389</v>
      </c>
      <c r="B786" s="4" t="s">
        <v>387</v>
      </c>
      <c r="C786" s="4" t="s">
        <v>393</v>
      </c>
      <c r="D786" s="4" t="s">
        <v>520</v>
      </c>
      <c r="E786" s="4" t="s">
        <v>1056</v>
      </c>
      <c r="F786" s="4" t="s">
        <v>177</v>
      </c>
      <c r="G786" s="4" t="s">
        <v>390</v>
      </c>
      <c r="L786" s="52"/>
    </row>
    <row r="787" spans="1:12" x14ac:dyDescent="0.25">
      <c r="A787" s="4" t="s">
        <v>389</v>
      </c>
      <c r="B787" s="4" t="s">
        <v>387</v>
      </c>
      <c r="C787" s="4" t="s">
        <v>393</v>
      </c>
      <c r="D787" s="4" t="s">
        <v>520</v>
      </c>
      <c r="E787" s="4" t="s">
        <v>1057</v>
      </c>
      <c r="F787" s="4" t="s">
        <v>177</v>
      </c>
      <c r="G787" s="4" t="s">
        <v>390</v>
      </c>
      <c r="L787" s="52"/>
    </row>
    <row r="788" spans="1:12" x14ac:dyDescent="0.25">
      <c r="A788" s="4" t="s">
        <v>389</v>
      </c>
      <c r="B788" s="4" t="s">
        <v>387</v>
      </c>
      <c r="C788" s="4" t="s">
        <v>393</v>
      </c>
      <c r="D788" s="4" t="s">
        <v>520</v>
      </c>
      <c r="E788" s="4" t="s">
        <v>1058</v>
      </c>
      <c r="F788" s="4" t="s">
        <v>177</v>
      </c>
      <c r="G788" s="4" t="s">
        <v>390</v>
      </c>
    </row>
    <row r="789" spans="1:12" x14ac:dyDescent="0.25">
      <c r="A789" s="4" t="s">
        <v>389</v>
      </c>
      <c r="B789" s="4" t="s">
        <v>387</v>
      </c>
      <c r="C789" s="4" t="s">
        <v>393</v>
      </c>
      <c r="D789" s="4" t="s">
        <v>520</v>
      </c>
      <c r="E789" t="s">
        <v>1079</v>
      </c>
      <c r="F789" s="4" t="s">
        <v>177</v>
      </c>
      <c r="G789" s="4" t="s">
        <v>390</v>
      </c>
    </row>
    <row r="790" spans="1:12" x14ac:dyDescent="0.25">
      <c r="A790" s="4" t="s">
        <v>389</v>
      </c>
      <c r="B790" s="4" t="s">
        <v>387</v>
      </c>
      <c r="C790" s="4" t="s">
        <v>393</v>
      </c>
      <c r="D790" s="4" t="s">
        <v>520</v>
      </c>
      <c r="E790" t="s">
        <v>1633</v>
      </c>
      <c r="F790" s="4" t="s">
        <v>177</v>
      </c>
      <c r="G790" s="4" t="s">
        <v>390</v>
      </c>
    </row>
    <row r="791" spans="1:12" x14ac:dyDescent="0.25">
      <c r="A791" s="4" t="s">
        <v>389</v>
      </c>
      <c r="B791" s="4" t="s">
        <v>387</v>
      </c>
      <c r="C791" s="4" t="s">
        <v>393</v>
      </c>
      <c r="D791" s="4" t="s">
        <v>520</v>
      </c>
      <c r="E791" s="4" t="s">
        <v>1059</v>
      </c>
      <c r="F791" s="4" t="s">
        <v>179</v>
      </c>
      <c r="G791" s="4" t="s">
        <v>864</v>
      </c>
      <c r="L791" s="52"/>
    </row>
    <row r="792" spans="1:12" x14ac:dyDescent="0.25">
      <c r="A792" s="4" t="s">
        <v>389</v>
      </c>
      <c r="B792" s="4" t="s">
        <v>387</v>
      </c>
      <c r="C792" s="4" t="s">
        <v>393</v>
      </c>
      <c r="D792" s="4" t="s">
        <v>520</v>
      </c>
      <c r="E792" s="4" t="s">
        <v>1060</v>
      </c>
      <c r="F792" s="4" t="s">
        <v>179</v>
      </c>
      <c r="G792" s="4" t="s">
        <v>864</v>
      </c>
      <c r="L792" s="52"/>
    </row>
    <row r="793" spans="1:12" x14ac:dyDescent="0.25">
      <c r="A793" s="4" t="s">
        <v>389</v>
      </c>
      <c r="B793" s="4" t="s">
        <v>387</v>
      </c>
      <c r="C793" s="4" t="s">
        <v>393</v>
      </c>
      <c r="D793" s="4" t="s">
        <v>520</v>
      </c>
      <c r="E793" s="4" t="s">
        <v>1061</v>
      </c>
      <c r="F793" s="4" t="s">
        <v>179</v>
      </c>
      <c r="G793" s="4" t="s">
        <v>864</v>
      </c>
    </row>
    <row r="794" spans="1:12" x14ac:dyDescent="0.25">
      <c r="A794" s="4" t="s">
        <v>389</v>
      </c>
      <c r="B794" s="4" t="s">
        <v>387</v>
      </c>
      <c r="C794" s="4" t="s">
        <v>393</v>
      </c>
      <c r="D794" s="4" t="s">
        <v>520</v>
      </c>
      <c r="E794" s="4" t="s">
        <v>1062</v>
      </c>
      <c r="F794" s="4" t="s">
        <v>179</v>
      </c>
      <c r="G794" s="4" t="s">
        <v>864</v>
      </c>
    </row>
    <row r="795" spans="1:12" x14ac:dyDescent="0.25">
      <c r="A795" s="4" t="s">
        <v>389</v>
      </c>
      <c r="B795" s="4" t="s">
        <v>387</v>
      </c>
      <c r="C795" s="4" t="s">
        <v>393</v>
      </c>
      <c r="D795" s="4" t="s">
        <v>520</v>
      </c>
      <c r="E795" s="4" t="s">
        <v>1063</v>
      </c>
      <c r="F795" s="4" t="s">
        <v>66</v>
      </c>
      <c r="G795" s="4" t="s">
        <v>865</v>
      </c>
    </row>
    <row r="796" spans="1:12" x14ac:dyDescent="0.25">
      <c r="A796" s="4" t="s">
        <v>389</v>
      </c>
      <c r="B796" s="4" t="s">
        <v>387</v>
      </c>
      <c r="C796" s="4" t="s">
        <v>393</v>
      </c>
      <c r="D796" s="4" t="s">
        <v>520</v>
      </c>
      <c r="E796" s="4" t="s">
        <v>1064</v>
      </c>
      <c r="F796" s="4" t="s">
        <v>66</v>
      </c>
      <c r="G796" s="4" t="s">
        <v>865</v>
      </c>
    </row>
    <row r="797" spans="1:12" x14ac:dyDescent="0.25">
      <c r="A797" s="4" t="s">
        <v>389</v>
      </c>
      <c r="B797" s="4" t="s">
        <v>387</v>
      </c>
      <c r="C797" s="4" t="s">
        <v>393</v>
      </c>
      <c r="D797" s="4" t="s">
        <v>520</v>
      </c>
      <c r="E797" s="4" t="s">
        <v>1065</v>
      </c>
      <c r="F797" s="4" t="s">
        <v>66</v>
      </c>
      <c r="G797" s="4" t="s">
        <v>865</v>
      </c>
      <c r="L797" s="52"/>
    </row>
    <row r="798" spans="1:12" x14ac:dyDescent="0.25">
      <c r="A798" s="4" t="s">
        <v>389</v>
      </c>
      <c r="B798" s="4" t="s">
        <v>387</v>
      </c>
      <c r="C798" s="4" t="s">
        <v>393</v>
      </c>
      <c r="D798" s="4" t="s">
        <v>520</v>
      </c>
      <c r="E798" s="4" t="s">
        <v>1066</v>
      </c>
      <c r="F798" s="4" t="s">
        <v>66</v>
      </c>
      <c r="G798" s="4" t="s">
        <v>865</v>
      </c>
      <c r="L798" s="52"/>
    </row>
    <row r="799" spans="1:12" x14ac:dyDescent="0.25">
      <c r="A799" s="4" t="s">
        <v>389</v>
      </c>
      <c r="B799" s="4" t="s">
        <v>387</v>
      </c>
      <c r="C799" s="4" t="s">
        <v>393</v>
      </c>
      <c r="D799" s="4" t="s">
        <v>520</v>
      </c>
      <c r="E799" t="s">
        <v>1080</v>
      </c>
      <c r="F799" s="4" t="s">
        <v>66</v>
      </c>
      <c r="G799" s="4" t="s">
        <v>865</v>
      </c>
    </row>
    <row r="800" spans="1:12" x14ac:dyDescent="0.25">
      <c r="A800" s="4" t="s">
        <v>389</v>
      </c>
      <c r="B800" s="4" t="s">
        <v>387</v>
      </c>
      <c r="C800" s="4" t="s">
        <v>393</v>
      </c>
      <c r="D800" s="4" t="s">
        <v>521</v>
      </c>
      <c r="E800" s="4" t="s">
        <v>1067</v>
      </c>
      <c r="F800" s="4" t="s">
        <v>363</v>
      </c>
      <c r="G800" s="4" t="s">
        <v>390</v>
      </c>
    </row>
    <row r="801" spans="1:9" x14ac:dyDescent="0.25">
      <c r="A801" s="4" t="s">
        <v>389</v>
      </c>
      <c r="B801" s="4" t="s">
        <v>387</v>
      </c>
      <c r="C801" s="4" t="s">
        <v>393</v>
      </c>
      <c r="D801" s="4" t="s">
        <v>521</v>
      </c>
      <c r="E801" s="4" t="s">
        <v>1068</v>
      </c>
      <c r="F801" s="4" t="s">
        <v>363</v>
      </c>
      <c r="G801" s="4" t="s">
        <v>390</v>
      </c>
    </row>
    <row r="802" spans="1:9" x14ac:dyDescent="0.25">
      <c r="A802" s="4" t="s">
        <v>389</v>
      </c>
      <c r="B802" s="4" t="s">
        <v>387</v>
      </c>
      <c r="C802" s="4" t="s">
        <v>393</v>
      </c>
      <c r="D802" s="4" t="s">
        <v>521</v>
      </c>
      <c r="E802" s="4" t="s">
        <v>1069</v>
      </c>
      <c r="F802" s="4" t="s">
        <v>363</v>
      </c>
      <c r="G802" s="4" t="s">
        <v>390</v>
      </c>
    </row>
    <row r="803" spans="1:9" x14ac:dyDescent="0.25">
      <c r="A803" s="4" t="s">
        <v>389</v>
      </c>
      <c r="B803" s="4" t="s">
        <v>387</v>
      </c>
      <c r="C803" s="4" t="s">
        <v>393</v>
      </c>
      <c r="D803" s="4" t="s">
        <v>521</v>
      </c>
      <c r="E803" s="4" t="s">
        <v>1070</v>
      </c>
      <c r="F803" s="4" t="s">
        <v>363</v>
      </c>
      <c r="G803" s="4" t="s">
        <v>390</v>
      </c>
    </row>
    <row r="804" spans="1:9" x14ac:dyDescent="0.25">
      <c r="A804" s="4" t="s">
        <v>389</v>
      </c>
      <c r="B804" s="4" t="s">
        <v>387</v>
      </c>
      <c r="C804" s="4" t="s">
        <v>393</v>
      </c>
      <c r="D804" s="4" t="s">
        <v>521</v>
      </c>
      <c r="E804" t="s">
        <v>1081</v>
      </c>
      <c r="F804" s="4" t="s">
        <v>363</v>
      </c>
      <c r="G804" s="4" t="s">
        <v>390</v>
      </c>
    </row>
    <row r="805" spans="1:9" x14ac:dyDescent="0.25">
      <c r="A805" s="4" t="s">
        <v>389</v>
      </c>
      <c r="B805" s="4" t="s">
        <v>387</v>
      </c>
      <c r="C805" s="4" t="s">
        <v>393</v>
      </c>
      <c r="D805" s="4" t="s">
        <v>521</v>
      </c>
      <c r="E805" s="4" t="s">
        <v>1082</v>
      </c>
      <c r="F805" s="4" t="s">
        <v>363</v>
      </c>
      <c r="G805" s="4" t="s">
        <v>390</v>
      </c>
      <c r="I805" s="53"/>
    </row>
    <row r="806" spans="1:9" x14ac:dyDescent="0.25">
      <c r="A806" s="4" t="s">
        <v>389</v>
      </c>
      <c r="B806" s="4" t="s">
        <v>387</v>
      </c>
      <c r="C806" s="4" t="s">
        <v>393</v>
      </c>
      <c r="D806" s="4" t="s">
        <v>521</v>
      </c>
      <c r="E806" s="4" t="s">
        <v>1071</v>
      </c>
      <c r="F806" s="4" t="s">
        <v>177</v>
      </c>
      <c r="G806" s="4" t="s">
        <v>864</v>
      </c>
    </row>
    <row r="807" spans="1:9" x14ac:dyDescent="0.25">
      <c r="A807" s="4" t="s">
        <v>389</v>
      </c>
      <c r="B807" s="4" t="s">
        <v>387</v>
      </c>
      <c r="C807" s="4" t="s">
        <v>393</v>
      </c>
      <c r="D807" s="4" t="s">
        <v>521</v>
      </c>
      <c r="E807" s="4" t="s">
        <v>1072</v>
      </c>
      <c r="F807" s="4" t="s">
        <v>177</v>
      </c>
      <c r="G807" s="4" t="s">
        <v>864</v>
      </c>
    </row>
    <row r="808" spans="1:9" x14ac:dyDescent="0.25">
      <c r="A808" s="4" t="s">
        <v>389</v>
      </c>
      <c r="B808" s="4" t="s">
        <v>387</v>
      </c>
      <c r="C808" s="4" t="s">
        <v>393</v>
      </c>
      <c r="D808" s="4" t="s">
        <v>521</v>
      </c>
      <c r="E808" s="4" t="s">
        <v>1073</v>
      </c>
      <c r="F808" s="4" t="s">
        <v>177</v>
      </c>
      <c r="G808" s="4" t="s">
        <v>864</v>
      </c>
    </row>
    <row r="809" spans="1:9" x14ac:dyDescent="0.25">
      <c r="A809" s="4" t="s">
        <v>389</v>
      </c>
      <c r="B809" s="4" t="s">
        <v>387</v>
      </c>
      <c r="C809" s="4" t="s">
        <v>393</v>
      </c>
      <c r="D809" s="4" t="s">
        <v>521</v>
      </c>
      <c r="E809" s="4" t="s">
        <v>1074</v>
      </c>
      <c r="F809" s="4" t="s">
        <v>177</v>
      </c>
      <c r="G809" s="4" t="s">
        <v>864</v>
      </c>
    </row>
    <row r="810" spans="1:9" x14ac:dyDescent="0.25">
      <c r="A810" s="4" t="s">
        <v>389</v>
      </c>
      <c r="B810" s="4" t="s">
        <v>387</v>
      </c>
      <c r="C810" s="4" t="s">
        <v>393</v>
      </c>
      <c r="D810" s="4" t="s">
        <v>521</v>
      </c>
      <c r="E810" s="4" t="s">
        <v>1083</v>
      </c>
      <c r="F810" s="4" t="s">
        <v>177</v>
      </c>
      <c r="G810" s="4" t="s">
        <v>864</v>
      </c>
    </row>
    <row r="811" spans="1:9" x14ac:dyDescent="0.25">
      <c r="A811" s="4" t="s">
        <v>389</v>
      </c>
      <c r="B811" s="4" t="s">
        <v>387</v>
      </c>
      <c r="C811" s="4" t="s">
        <v>393</v>
      </c>
      <c r="D811" s="4" t="s">
        <v>521</v>
      </c>
      <c r="E811" s="4" t="s">
        <v>1075</v>
      </c>
      <c r="F811" s="4" t="s">
        <v>27</v>
      </c>
      <c r="G811" s="4" t="s">
        <v>865</v>
      </c>
    </row>
    <row r="812" spans="1:9" x14ac:dyDescent="0.25">
      <c r="A812" s="4" t="s">
        <v>389</v>
      </c>
      <c r="B812" s="4" t="s">
        <v>387</v>
      </c>
      <c r="C812" s="4" t="s">
        <v>393</v>
      </c>
      <c r="D812" s="4" t="s">
        <v>521</v>
      </c>
      <c r="E812" s="4" t="s">
        <v>1076</v>
      </c>
      <c r="F812" s="4" t="s">
        <v>27</v>
      </c>
      <c r="G812" s="4" t="s">
        <v>865</v>
      </c>
    </row>
    <row r="813" spans="1:9" x14ac:dyDescent="0.25">
      <c r="A813" s="4" t="s">
        <v>389</v>
      </c>
      <c r="B813" s="4" t="s">
        <v>387</v>
      </c>
      <c r="C813" s="4" t="s">
        <v>393</v>
      </c>
      <c r="D813" s="4" t="s">
        <v>521</v>
      </c>
      <c r="E813" s="4" t="s">
        <v>1077</v>
      </c>
      <c r="F813" s="4" t="s">
        <v>27</v>
      </c>
      <c r="G813" s="4" t="s">
        <v>865</v>
      </c>
    </row>
    <row r="814" spans="1:9" x14ac:dyDescent="0.25">
      <c r="A814" s="4" t="s">
        <v>389</v>
      </c>
      <c r="B814" s="4" t="s">
        <v>387</v>
      </c>
      <c r="C814" s="4" t="s">
        <v>393</v>
      </c>
      <c r="D814" s="4" t="s">
        <v>521</v>
      </c>
      <c r="E814" s="4" t="s">
        <v>1078</v>
      </c>
      <c r="F814" s="4" t="s">
        <v>27</v>
      </c>
      <c r="G814" s="4" t="s">
        <v>865</v>
      </c>
    </row>
    <row r="815" spans="1:9" x14ac:dyDescent="0.25">
      <c r="A815" s="4" t="s">
        <v>389</v>
      </c>
      <c r="B815" s="4" t="s">
        <v>387</v>
      </c>
      <c r="C815" s="4" t="s">
        <v>393</v>
      </c>
      <c r="D815" s="4" t="s">
        <v>521</v>
      </c>
      <c r="E815" t="s">
        <v>1084</v>
      </c>
      <c r="F815" s="4" t="s">
        <v>27</v>
      </c>
      <c r="G815" s="4" t="s">
        <v>865</v>
      </c>
    </row>
    <row r="816" spans="1:9" x14ac:dyDescent="0.25">
      <c r="A816" s="4" t="s">
        <v>389</v>
      </c>
      <c r="B816" s="4" t="s">
        <v>394</v>
      </c>
      <c r="C816" s="4" t="s">
        <v>393</v>
      </c>
      <c r="D816" s="4" t="s">
        <v>544</v>
      </c>
      <c r="E816" s="4" t="s">
        <v>1123</v>
      </c>
      <c r="F816" s="4" t="s">
        <v>363</v>
      </c>
      <c r="G816" s="4" t="s">
        <v>390</v>
      </c>
    </row>
    <row r="817" spans="1:12" x14ac:dyDescent="0.25">
      <c r="A817" s="4" t="s">
        <v>389</v>
      </c>
      <c r="B817" s="4" t="s">
        <v>394</v>
      </c>
      <c r="C817" s="4" t="s">
        <v>393</v>
      </c>
      <c r="D817" s="4" t="s">
        <v>544</v>
      </c>
      <c r="E817" s="4" t="s">
        <v>1300</v>
      </c>
      <c r="F817" s="4" t="s">
        <v>363</v>
      </c>
      <c r="G817" s="4" t="s">
        <v>390</v>
      </c>
    </row>
    <row r="818" spans="1:12" x14ac:dyDescent="0.25">
      <c r="A818" s="4" t="s">
        <v>389</v>
      </c>
      <c r="B818" s="4" t="s">
        <v>394</v>
      </c>
      <c r="C818" s="4" t="s">
        <v>393</v>
      </c>
      <c r="D818" s="4" t="s">
        <v>544</v>
      </c>
      <c r="E818" s="4" t="s">
        <v>1634</v>
      </c>
      <c r="F818" s="4" t="s">
        <v>363</v>
      </c>
      <c r="G818" s="4" t="s">
        <v>390</v>
      </c>
    </row>
    <row r="819" spans="1:12" x14ac:dyDescent="0.25">
      <c r="A819" s="4" t="s">
        <v>389</v>
      </c>
      <c r="B819" s="4" t="s">
        <v>394</v>
      </c>
      <c r="C819" s="4" t="s">
        <v>393</v>
      </c>
      <c r="D819" s="4" t="s">
        <v>544</v>
      </c>
      <c r="E819" s="4" t="s">
        <v>1298</v>
      </c>
      <c r="F819" s="4" t="s">
        <v>363</v>
      </c>
      <c r="G819" s="4" t="s">
        <v>390</v>
      </c>
    </row>
    <row r="820" spans="1:12" x14ac:dyDescent="0.25">
      <c r="A820" s="4" t="s">
        <v>389</v>
      </c>
      <c r="B820" s="4" t="s">
        <v>394</v>
      </c>
      <c r="C820" s="4" t="s">
        <v>393</v>
      </c>
      <c r="D820" s="4" t="s">
        <v>544</v>
      </c>
      <c r="E820" s="4" t="s">
        <v>1635</v>
      </c>
      <c r="F820" s="4" t="s">
        <v>363</v>
      </c>
      <c r="G820" s="4" t="s">
        <v>390</v>
      </c>
    </row>
    <row r="821" spans="1:12" x14ac:dyDescent="0.25">
      <c r="A821" s="4" t="s">
        <v>389</v>
      </c>
      <c r="B821" s="4" t="s">
        <v>394</v>
      </c>
      <c r="C821" s="4" t="s">
        <v>393</v>
      </c>
      <c r="D821" s="4" t="s">
        <v>544</v>
      </c>
      <c r="E821" s="4" t="s">
        <v>1636</v>
      </c>
      <c r="F821" s="4" t="s">
        <v>177</v>
      </c>
      <c r="G821" s="4" t="s">
        <v>864</v>
      </c>
    </row>
    <row r="822" spans="1:12" x14ac:dyDescent="0.25">
      <c r="A822" s="4" t="s">
        <v>389</v>
      </c>
      <c r="B822" s="4" t="s">
        <v>394</v>
      </c>
      <c r="C822" s="4" t="s">
        <v>393</v>
      </c>
      <c r="D822" s="4" t="s">
        <v>544</v>
      </c>
      <c r="E822" s="4" t="s">
        <v>1637</v>
      </c>
      <c r="F822" s="4" t="s">
        <v>177</v>
      </c>
      <c r="G822" s="4" t="s">
        <v>864</v>
      </c>
    </row>
    <row r="823" spans="1:12" x14ac:dyDescent="0.25">
      <c r="A823" s="4" t="s">
        <v>389</v>
      </c>
      <c r="B823" s="4" t="s">
        <v>394</v>
      </c>
      <c r="C823" s="4" t="s">
        <v>393</v>
      </c>
      <c r="D823" s="4" t="s">
        <v>544</v>
      </c>
      <c r="E823" t="s">
        <v>1638</v>
      </c>
      <c r="F823" s="4" t="s">
        <v>177</v>
      </c>
      <c r="G823" s="4" t="s">
        <v>864</v>
      </c>
    </row>
    <row r="824" spans="1:12" x14ac:dyDescent="0.25">
      <c r="A824" s="4" t="s">
        <v>389</v>
      </c>
      <c r="B824" s="4" t="s">
        <v>394</v>
      </c>
      <c r="C824" s="4" t="s">
        <v>393</v>
      </c>
      <c r="D824" s="4" t="s">
        <v>544</v>
      </c>
      <c r="E824" t="s">
        <v>1111</v>
      </c>
      <c r="F824" s="4" t="s">
        <v>177</v>
      </c>
      <c r="G824" s="4" t="s">
        <v>864</v>
      </c>
    </row>
    <row r="825" spans="1:12" x14ac:dyDescent="0.25">
      <c r="A825" s="4" t="s">
        <v>389</v>
      </c>
      <c r="B825" s="4" t="s">
        <v>394</v>
      </c>
      <c r="C825" s="4" t="s">
        <v>393</v>
      </c>
      <c r="D825" s="4" t="s">
        <v>544</v>
      </c>
      <c r="E825" t="s">
        <v>1639</v>
      </c>
      <c r="F825" s="4" t="s">
        <v>177</v>
      </c>
      <c r="G825" s="4" t="s">
        <v>864</v>
      </c>
    </row>
    <row r="826" spans="1:12" x14ac:dyDescent="0.25">
      <c r="A826" s="4" t="s">
        <v>389</v>
      </c>
      <c r="B826" s="4" t="s">
        <v>394</v>
      </c>
      <c r="C826" s="4" t="s">
        <v>393</v>
      </c>
      <c r="D826" s="4" t="s">
        <v>544</v>
      </c>
      <c r="E826" t="s">
        <v>1480</v>
      </c>
      <c r="F826" s="4" t="s">
        <v>177</v>
      </c>
      <c r="G826" s="4" t="s">
        <v>864</v>
      </c>
    </row>
    <row r="827" spans="1:12" x14ac:dyDescent="0.25">
      <c r="A827" s="4" t="s">
        <v>389</v>
      </c>
      <c r="B827" s="4" t="s">
        <v>394</v>
      </c>
      <c r="C827" s="4" t="s">
        <v>393</v>
      </c>
      <c r="D827" s="4" t="s">
        <v>544</v>
      </c>
      <c r="E827" s="4" t="s">
        <v>1640</v>
      </c>
      <c r="F827" s="4" t="s">
        <v>361</v>
      </c>
      <c r="G827" s="4" t="s">
        <v>865</v>
      </c>
    </row>
    <row r="828" spans="1:12" x14ac:dyDescent="0.25">
      <c r="A828" s="4" t="s">
        <v>389</v>
      </c>
      <c r="B828" s="4" t="s">
        <v>394</v>
      </c>
      <c r="C828" s="4" t="s">
        <v>393</v>
      </c>
      <c r="D828" s="4" t="s">
        <v>544</v>
      </c>
      <c r="E828" s="4" t="s">
        <v>1641</v>
      </c>
      <c r="F828" s="4" t="s">
        <v>361</v>
      </c>
      <c r="G828" s="4" t="s">
        <v>865</v>
      </c>
    </row>
    <row r="829" spans="1:12" x14ac:dyDescent="0.25">
      <c r="A829" s="4" t="s">
        <v>389</v>
      </c>
      <c r="B829" s="4" t="s">
        <v>394</v>
      </c>
      <c r="C829" s="4" t="s">
        <v>393</v>
      </c>
      <c r="D829" s="4" t="s">
        <v>544</v>
      </c>
      <c r="E829" s="4" t="s">
        <v>1642</v>
      </c>
      <c r="F829" s="4" t="s">
        <v>361</v>
      </c>
      <c r="G829" s="4" t="s">
        <v>865</v>
      </c>
    </row>
    <row r="830" spans="1:12" x14ac:dyDescent="0.25">
      <c r="A830" s="4" t="s">
        <v>389</v>
      </c>
      <c r="B830" s="4" t="s">
        <v>394</v>
      </c>
      <c r="C830" s="4" t="s">
        <v>393</v>
      </c>
      <c r="D830" s="4" t="s">
        <v>544</v>
      </c>
      <c r="E830" s="4" t="s">
        <v>1643</v>
      </c>
      <c r="F830" s="4" t="s">
        <v>361</v>
      </c>
      <c r="G830" s="4" t="s">
        <v>865</v>
      </c>
    </row>
    <row r="831" spans="1:12" x14ac:dyDescent="0.25">
      <c r="A831" s="4" t="s">
        <v>389</v>
      </c>
      <c r="B831" s="4" t="s">
        <v>394</v>
      </c>
      <c r="C831" s="4" t="s">
        <v>393</v>
      </c>
      <c r="D831" s="4" t="s">
        <v>545</v>
      </c>
      <c r="E831" t="s">
        <v>1644</v>
      </c>
      <c r="F831" s="4" t="s">
        <v>363</v>
      </c>
      <c r="G831" s="4" t="s">
        <v>390</v>
      </c>
    </row>
    <row r="832" spans="1:12" x14ac:dyDescent="0.25">
      <c r="A832" s="4" t="s">
        <v>389</v>
      </c>
      <c r="B832" s="4" t="s">
        <v>394</v>
      </c>
      <c r="C832" s="4" t="s">
        <v>393</v>
      </c>
      <c r="D832" s="4" t="s">
        <v>545</v>
      </c>
      <c r="E832" t="s">
        <v>1645</v>
      </c>
      <c r="F832" s="4" t="s">
        <v>363</v>
      </c>
      <c r="G832" s="4" t="s">
        <v>390</v>
      </c>
      <c r="L832" s="52"/>
    </row>
    <row r="833" spans="1:13" x14ac:dyDescent="0.25">
      <c r="A833" s="4" t="s">
        <v>389</v>
      </c>
      <c r="B833" s="4" t="s">
        <v>394</v>
      </c>
      <c r="C833" s="4" t="s">
        <v>393</v>
      </c>
      <c r="D833" s="4" t="s">
        <v>545</v>
      </c>
      <c r="E833" t="s">
        <v>1646</v>
      </c>
      <c r="F833" s="4" t="s">
        <v>363</v>
      </c>
      <c r="G833" s="4" t="s">
        <v>390</v>
      </c>
      <c r="L833" s="52"/>
    </row>
    <row r="834" spans="1:13" x14ac:dyDescent="0.25">
      <c r="A834" s="4" t="s">
        <v>389</v>
      </c>
      <c r="B834" s="4" t="s">
        <v>394</v>
      </c>
      <c r="C834" s="4" t="s">
        <v>393</v>
      </c>
      <c r="D834" s="4" t="s">
        <v>545</v>
      </c>
      <c r="E834" t="s">
        <v>1300</v>
      </c>
      <c r="F834" s="4" t="s">
        <v>363</v>
      </c>
      <c r="G834" s="4" t="s">
        <v>390</v>
      </c>
    </row>
    <row r="835" spans="1:13" x14ac:dyDescent="0.25">
      <c r="A835" s="4" t="s">
        <v>389</v>
      </c>
      <c r="B835" s="4" t="s">
        <v>394</v>
      </c>
      <c r="C835" s="4" t="s">
        <v>393</v>
      </c>
      <c r="D835" s="4" t="s">
        <v>545</v>
      </c>
      <c r="E835" s="4" t="s">
        <v>1647</v>
      </c>
      <c r="F835" s="4" t="s">
        <v>363</v>
      </c>
      <c r="G835" s="4" t="s">
        <v>390</v>
      </c>
    </row>
    <row r="836" spans="1:13" x14ac:dyDescent="0.25">
      <c r="A836" s="4" t="s">
        <v>389</v>
      </c>
      <c r="B836" s="4" t="s">
        <v>394</v>
      </c>
      <c r="C836" s="4" t="s">
        <v>393</v>
      </c>
      <c r="D836" s="4" t="s">
        <v>545</v>
      </c>
      <c r="E836" s="4" t="s">
        <v>1648</v>
      </c>
      <c r="F836" s="4" t="s">
        <v>363</v>
      </c>
      <c r="G836" s="4" t="s">
        <v>390</v>
      </c>
    </row>
    <row r="837" spans="1:13" x14ac:dyDescent="0.25">
      <c r="A837" s="4" t="s">
        <v>389</v>
      </c>
      <c r="B837" s="4" t="s">
        <v>394</v>
      </c>
      <c r="C837" s="4" t="s">
        <v>393</v>
      </c>
      <c r="D837" s="4" t="s">
        <v>545</v>
      </c>
      <c r="E837" s="4" t="s">
        <v>1649</v>
      </c>
      <c r="F837" s="4" t="s">
        <v>177</v>
      </c>
      <c r="G837" s="4" t="s">
        <v>864</v>
      </c>
    </row>
    <row r="838" spans="1:13" x14ac:dyDescent="0.25">
      <c r="A838" s="4" t="s">
        <v>389</v>
      </c>
      <c r="B838" s="4" t="s">
        <v>394</v>
      </c>
      <c r="C838" s="4" t="s">
        <v>393</v>
      </c>
      <c r="D838" s="4" t="s">
        <v>545</v>
      </c>
      <c r="E838" s="4" t="s">
        <v>1650</v>
      </c>
      <c r="F838" s="4" t="s">
        <v>177</v>
      </c>
      <c r="G838" s="4" t="s">
        <v>864</v>
      </c>
      <c r="M838" s="52"/>
    </row>
    <row r="839" spans="1:13" x14ac:dyDescent="0.25">
      <c r="A839" s="4" t="s">
        <v>389</v>
      </c>
      <c r="B839" s="4" t="s">
        <v>394</v>
      </c>
      <c r="C839" s="4" t="s">
        <v>393</v>
      </c>
      <c r="D839" s="4" t="s">
        <v>545</v>
      </c>
      <c r="E839" s="4" t="s">
        <v>1651</v>
      </c>
      <c r="F839" s="4" t="s">
        <v>177</v>
      </c>
      <c r="G839" s="4" t="s">
        <v>864</v>
      </c>
      <c r="M839" s="52"/>
    </row>
    <row r="840" spans="1:13" x14ac:dyDescent="0.25">
      <c r="A840" s="4" t="s">
        <v>389</v>
      </c>
      <c r="B840" s="4" t="s">
        <v>394</v>
      </c>
      <c r="C840" s="4" t="s">
        <v>393</v>
      </c>
      <c r="D840" s="4" t="s">
        <v>545</v>
      </c>
      <c r="E840" s="4" t="s">
        <v>1652</v>
      </c>
      <c r="F840" s="4" t="s">
        <v>177</v>
      </c>
      <c r="G840" s="4" t="s">
        <v>864</v>
      </c>
    </row>
    <row r="841" spans="1:13" x14ac:dyDescent="0.25">
      <c r="A841" s="4" t="s">
        <v>389</v>
      </c>
      <c r="B841" s="4" t="s">
        <v>394</v>
      </c>
      <c r="C841" s="4" t="s">
        <v>393</v>
      </c>
      <c r="D841" s="4" t="s">
        <v>545</v>
      </c>
      <c r="E841" s="4" t="s">
        <v>1481</v>
      </c>
      <c r="F841" s="4" t="s">
        <v>177</v>
      </c>
      <c r="G841" s="4" t="s">
        <v>864</v>
      </c>
    </row>
    <row r="842" spans="1:13" x14ac:dyDescent="0.25">
      <c r="A842" s="4" t="s">
        <v>389</v>
      </c>
      <c r="B842" s="4" t="s">
        <v>394</v>
      </c>
      <c r="C842" s="4" t="s">
        <v>393</v>
      </c>
      <c r="D842" s="4" t="s">
        <v>545</v>
      </c>
      <c r="E842" s="4" t="s">
        <v>1653</v>
      </c>
      <c r="F842" s="4" t="s">
        <v>177</v>
      </c>
      <c r="G842" s="4" t="s">
        <v>864</v>
      </c>
    </row>
    <row r="843" spans="1:13" x14ac:dyDescent="0.25">
      <c r="A843" s="4" t="s">
        <v>389</v>
      </c>
      <c r="B843" s="4" t="s">
        <v>394</v>
      </c>
      <c r="C843" s="4" t="s">
        <v>393</v>
      </c>
      <c r="D843" s="4" t="s">
        <v>545</v>
      </c>
      <c r="E843" s="4" t="s">
        <v>1654</v>
      </c>
      <c r="F843" s="4" t="s">
        <v>361</v>
      </c>
      <c r="G843" s="4" t="s">
        <v>865</v>
      </c>
    </row>
    <row r="844" spans="1:13" x14ac:dyDescent="0.25">
      <c r="A844" s="4" t="s">
        <v>389</v>
      </c>
      <c r="B844" s="4" t="s">
        <v>394</v>
      </c>
      <c r="C844" s="4" t="s">
        <v>393</v>
      </c>
      <c r="D844" s="4" t="s">
        <v>545</v>
      </c>
      <c r="E844" s="4" t="s">
        <v>1655</v>
      </c>
      <c r="F844" s="4" t="s">
        <v>361</v>
      </c>
      <c r="G844" s="4" t="s">
        <v>865</v>
      </c>
      <c r="L844" s="52"/>
    </row>
    <row r="845" spans="1:13" x14ac:dyDescent="0.25">
      <c r="A845" s="4" t="s">
        <v>389</v>
      </c>
      <c r="B845" s="4" t="s">
        <v>394</v>
      </c>
      <c r="C845" s="4" t="s">
        <v>393</v>
      </c>
      <c r="D845" s="4" t="s">
        <v>545</v>
      </c>
      <c r="E845" s="4" t="s">
        <v>1656</v>
      </c>
      <c r="F845" s="4" t="s">
        <v>361</v>
      </c>
      <c r="G845" s="4" t="s">
        <v>865</v>
      </c>
      <c r="L845" s="52"/>
    </row>
    <row r="846" spans="1:13" x14ac:dyDescent="0.25">
      <c r="A846" s="4" t="s">
        <v>389</v>
      </c>
      <c r="B846" s="4" t="s">
        <v>394</v>
      </c>
      <c r="C846" s="4" t="s">
        <v>393</v>
      </c>
      <c r="D846" s="4" t="s">
        <v>545</v>
      </c>
      <c r="E846" s="4" t="s">
        <v>1657</v>
      </c>
      <c r="F846" s="4" t="s">
        <v>361</v>
      </c>
      <c r="G846" s="4" t="s">
        <v>865</v>
      </c>
    </row>
    <row r="847" spans="1:13" x14ac:dyDescent="0.25">
      <c r="A847" s="4" t="s">
        <v>389</v>
      </c>
      <c r="B847" s="4" t="s">
        <v>394</v>
      </c>
      <c r="C847" s="4" t="s">
        <v>393</v>
      </c>
      <c r="D847" s="4" t="s">
        <v>545</v>
      </c>
      <c r="E847" s="4" t="s">
        <v>1658</v>
      </c>
      <c r="F847" s="4" t="s">
        <v>361</v>
      </c>
      <c r="G847" s="4" t="s">
        <v>865</v>
      </c>
    </row>
    <row r="848" spans="1:13" x14ac:dyDescent="0.25">
      <c r="A848" s="4" t="s">
        <v>389</v>
      </c>
      <c r="B848" s="4" t="s">
        <v>387</v>
      </c>
      <c r="C848" s="4" t="s">
        <v>398</v>
      </c>
      <c r="D848" s="4" t="s">
        <v>548</v>
      </c>
      <c r="E848" s="4" t="s">
        <v>1679</v>
      </c>
      <c r="F848" s="4" t="s">
        <v>217</v>
      </c>
      <c r="G848" s="4" t="s">
        <v>864</v>
      </c>
    </row>
    <row r="849" spans="1:7" x14ac:dyDescent="0.25">
      <c r="A849" s="4" t="s">
        <v>389</v>
      </c>
      <c r="B849" s="4" t="s">
        <v>387</v>
      </c>
      <c r="C849" s="4" t="s">
        <v>398</v>
      </c>
      <c r="D849" s="4" t="s">
        <v>548</v>
      </c>
      <c r="E849" s="4" t="s">
        <v>1680</v>
      </c>
      <c r="F849" s="4" t="s">
        <v>217</v>
      </c>
      <c r="G849" s="4" t="s">
        <v>864</v>
      </c>
    </row>
    <row r="850" spans="1:7" x14ac:dyDescent="0.25">
      <c r="A850" s="4" t="s">
        <v>389</v>
      </c>
      <c r="B850" s="4" t="s">
        <v>387</v>
      </c>
      <c r="C850" s="4" t="s">
        <v>398</v>
      </c>
      <c r="D850" s="4" t="s">
        <v>548</v>
      </c>
      <c r="E850" s="4" t="s">
        <v>1681</v>
      </c>
      <c r="F850" s="4" t="s">
        <v>77</v>
      </c>
      <c r="G850" s="4" t="s">
        <v>390</v>
      </c>
    </row>
    <row r="851" spans="1:7" x14ac:dyDescent="0.25">
      <c r="A851" s="4" t="s">
        <v>389</v>
      </c>
      <c r="B851" s="4" t="s">
        <v>387</v>
      </c>
      <c r="C851" s="4" t="s">
        <v>398</v>
      </c>
      <c r="D851" s="4" t="s">
        <v>548</v>
      </c>
      <c r="E851" s="4" t="s">
        <v>1682</v>
      </c>
      <c r="F851" s="4" t="s">
        <v>77</v>
      </c>
      <c r="G851" s="4" t="s">
        <v>390</v>
      </c>
    </row>
    <row r="852" spans="1:7" x14ac:dyDescent="0.25">
      <c r="A852" s="4" t="s">
        <v>389</v>
      </c>
      <c r="B852" s="4" t="s">
        <v>387</v>
      </c>
      <c r="C852" s="4" t="s">
        <v>398</v>
      </c>
      <c r="D852" s="4" t="s">
        <v>548</v>
      </c>
      <c r="E852" s="4" t="s">
        <v>1683</v>
      </c>
      <c r="F852" s="4" t="s">
        <v>361</v>
      </c>
      <c r="G852" s="4" t="s">
        <v>865</v>
      </c>
    </row>
    <row r="853" spans="1:7" x14ac:dyDescent="0.25">
      <c r="A853" s="4" t="s">
        <v>389</v>
      </c>
      <c r="B853" s="4" t="s">
        <v>387</v>
      </c>
      <c r="C853" s="4" t="s">
        <v>398</v>
      </c>
      <c r="D853" s="4" t="s">
        <v>548</v>
      </c>
      <c r="E853" s="4" t="s">
        <v>1684</v>
      </c>
      <c r="F853" s="4" t="s">
        <v>361</v>
      </c>
      <c r="G853" s="4" t="s">
        <v>865</v>
      </c>
    </row>
    <row r="854" spans="1:7" x14ac:dyDescent="0.25">
      <c r="A854" s="4" t="s">
        <v>389</v>
      </c>
      <c r="B854" s="4" t="s">
        <v>394</v>
      </c>
      <c r="C854" s="4" t="s">
        <v>398</v>
      </c>
      <c r="D854" s="4" t="s">
        <v>549</v>
      </c>
      <c r="E854" s="4" t="s">
        <v>1685</v>
      </c>
      <c r="F854" s="4" t="s">
        <v>179</v>
      </c>
      <c r="G854" s="4" t="s">
        <v>390</v>
      </c>
    </row>
    <row r="855" spans="1:7" x14ac:dyDescent="0.25">
      <c r="A855" s="4" t="s">
        <v>389</v>
      </c>
      <c r="B855" s="4" t="s">
        <v>394</v>
      </c>
      <c r="C855" s="4" t="s">
        <v>398</v>
      </c>
      <c r="D855" s="4" t="s">
        <v>549</v>
      </c>
      <c r="E855" s="4" t="s">
        <v>1686</v>
      </c>
      <c r="F855" s="4" t="s">
        <v>179</v>
      </c>
      <c r="G855" s="4" t="s">
        <v>390</v>
      </c>
    </row>
    <row r="856" spans="1:7" x14ac:dyDescent="0.25">
      <c r="A856" s="4" t="s">
        <v>389</v>
      </c>
      <c r="B856" s="4" t="s">
        <v>394</v>
      </c>
      <c r="C856" s="4" t="s">
        <v>398</v>
      </c>
      <c r="D856" s="4" t="s">
        <v>549</v>
      </c>
      <c r="E856" s="4" t="s">
        <v>1687</v>
      </c>
      <c r="F856" s="4" t="s">
        <v>100</v>
      </c>
      <c r="G856" s="4" t="s">
        <v>864</v>
      </c>
    </row>
    <row r="857" spans="1:7" x14ac:dyDescent="0.25">
      <c r="A857" s="4" t="s">
        <v>389</v>
      </c>
      <c r="B857" s="4" t="s">
        <v>394</v>
      </c>
      <c r="C857" s="4" t="s">
        <v>398</v>
      </c>
      <c r="D857" s="4" t="s">
        <v>549</v>
      </c>
      <c r="E857" s="4" t="s">
        <v>1688</v>
      </c>
      <c r="F857" s="4" t="s">
        <v>100</v>
      </c>
      <c r="G857" s="4" t="s">
        <v>864</v>
      </c>
    </row>
    <row r="858" spans="1:7" x14ac:dyDescent="0.25">
      <c r="A858" s="4" t="s">
        <v>389</v>
      </c>
      <c r="B858" s="4" t="s">
        <v>394</v>
      </c>
      <c r="C858" s="4" t="s">
        <v>398</v>
      </c>
      <c r="D858" s="4" t="s">
        <v>549</v>
      </c>
      <c r="E858" s="4" t="s">
        <v>1689</v>
      </c>
      <c r="F858" s="4" t="s">
        <v>187</v>
      </c>
      <c r="G858" s="4" t="s">
        <v>865</v>
      </c>
    </row>
    <row r="859" spans="1:7" x14ac:dyDescent="0.25">
      <c r="A859" s="4" t="s">
        <v>389</v>
      </c>
      <c r="B859" s="4" t="s">
        <v>394</v>
      </c>
      <c r="C859" s="4" t="s">
        <v>398</v>
      </c>
      <c r="D859" s="4" t="s">
        <v>549</v>
      </c>
      <c r="E859" s="4" t="s">
        <v>1690</v>
      </c>
      <c r="F859" s="4" t="s">
        <v>187</v>
      </c>
      <c r="G859" s="4" t="s">
        <v>865</v>
      </c>
    </row>
    <row r="860" spans="1:7" x14ac:dyDescent="0.25">
      <c r="A860" s="4" t="s">
        <v>389</v>
      </c>
      <c r="B860" s="4" t="s">
        <v>399</v>
      </c>
      <c r="C860" s="4" t="s">
        <v>398</v>
      </c>
      <c r="D860" s="4" t="s">
        <v>550</v>
      </c>
      <c r="E860" s="4" t="s">
        <v>1691</v>
      </c>
      <c r="F860" s="4" t="s">
        <v>165</v>
      </c>
      <c r="G860" s="4" t="s">
        <v>390</v>
      </c>
    </row>
    <row r="861" spans="1:7" x14ac:dyDescent="0.25">
      <c r="A861" s="4" t="s">
        <v>389</v>
      </c>
      <c r="B861" s="4" t="s">
        <v>399</v>
      </c>
      <c r="C861" s="4" t="s">
        <v>398</v>
      </c>
      <c r="D861" s="4" t="s">
        <v>550</v>
      </c>
      <c r="E861" s="4" t="s">
        <v>1692</v>
      </c>
      <c r="F861" s="4" t="s">
        <v>165</v>
      </c>
      <c r="G861" s="4" t="s">
        <v>390</v>
      </c>
    </row>
    <row r="862" spans="1:7" x14ac:dyDescent="0.25">
      <c r="A862" s="4" t="s">
        <v>389</v>
      </c>
      <c r="B862" s="4" t="s">
        <v>399</v>
      </c>
      <c r="C862" s="4" t="s">
        <v>398</v>
      </c>
      <c r="D862" s="4" t="s">
        <v>550</v>
      </c>
      <c r="E862" s="4" t="s">
        <v>1693</v>
      </c>
      <c r="F862" s="4" t="s">
        <v>217</v>
      </c>
      <c r="G862" s="4" t="s">
        <v>864</v>
      </c>
    </row>
    <row r="863" spans="1:7" x14ac:dyDescent="0.25">
      <c r="A863" s="4" t="s">
        <v>389</v>
      </c>
      <c r="B863" s="4" t="s">
        <v>399</v>
      </c>
      <c r="C863" s="4" t="s">
        <v>398</v>
      </c>
      <c r="D863" s="4" t="s">
        <v>550</v>
      </c>
      <c r="E863" s="4" t="s">
        <v>1694</v>
      </c>
      <c r="F863" s="4" t="s">
        <v>217</v>
      </c>
      <c r="G863" s="4" t="s">
        <v>864</v>
      </c>
    </row>
    <row r="864" spans="1:7" x14ac:dyDescent="0.25">
      <c r="A864" s="4" t="s">
        <v>389</v>
      </c>
      <c r="B864" s="4" t="s">
        <v>399</v>
      </c>
      <c r="C864" s="4" t="s">
        <v>398</v>
      </c>
      <c r="D864" s="4" t="s">
        <v>550</v>
      </c>
      <c r="E864" s="4" t="s">
        <v>1682</v>
      </c>
      <c r="F864" s="4" t="s">
        <v>77</v>
      </c>
      <c r="G864" s="4" t="s">
        <v>865</v>
      </c>
    </row>
    <row r="865" spans="1:7" x14ac:dyDescent="0.25">
      <c r="A865" s="4" t="s">
        <v>389</v>
      </c>
      <c r="B865" s="4" t="s">
        <v>399</v>
      </c>
      <c r="C865" s="4" t="s">
        <v>398</v>
      </c>
      <c r="D865" s="4" t="s">
        <v>550</v>
      </c>
      <c r="E865" s="4" t="s">
        <v>1695</v>
      </c>
      <c r="F865" s="4" t="s">
        <v>77</v>
      </c>
      <c r="G865" s="4" t="s">
        <v>865</v>
      </c>
    </row>
    <row r="866" spans="1:7" x14ac:dyDescent="0.25">
      <c r="A866" s="4" t="s">
        <v>389</v>
      </c>
      <c r="B866" s="4" t="s">
        <v>387</v>
      </c>
      <c r="C866" s="4" t="s">
        <v>400</v>
      </c>
      <c r="D866" s="4" t="s">
        <v>387</v>
      </c>
      <c r="E866" s="4" t="s">
        <v>1696</v>
      </c>
      <c r="F866" s="4" t="s">
        <v>363</v>
      </c>
      <c r="G866" s="4" t="s">
        <v>390</v>
      </c>
    </row>
    <row r="867" spans="1:7" x14ac:dyDescent="0.25">
      <c r="A867" s="4" t="s">
        <v>389</v>
      </c>
      <c r="B867" s="4" t="s">
        <v>387</v>
      </c>
      <c r="C867" s="4" t="s">
        <v>400</v>
      </c>
      <c r="D867" s="4" t="s">
        <v>387</v>
      </c>
      <c r="E867" s="4" t="s">
        <v>1697</v>
      </c>
      <c r="F867" s="4" t="s">
        <v>363</v>
      </c>
      <c r="G867" s="4" t="s">
        <v>390</v>
      </c>
    </row>
    <row r="868" spans="1:7" x14ac:dyDescent="0.25">
      <c r="A868" s="4" t="s">
        <v>389</v>
      </c>
      <c r="B868" s="4" t="s">
        <v>387</v>
      </c>
      <c r="C868" s="4" t="s">
        <v>400</v>
      </c>
      <c r="D868" s="4" t="s">
        <v>387</v>
      </c>
      <c r="E868" s="4" t="s">
        <v>1698</v>
      </c>
      <c r="F868" s="4" t="s">
        <v>363</v>
      </c>
      <c r="G868" s="4" t="s">
        <v>390</v>
      </c>
    </row>
    <row r="869" spans="1:7" x14ac:dyDescent="0.25">
      <c r="A869" s="4" t="s">
        <v>389</v>
      </c>
      <c r="B869" s="4" t="s">
        <v>387</v>
      </c>
      <c r="C869" s="4" t="s">
        <v>400</v>
      </c>
      <c r="D869" s="4" t="s">
        <v>387</v>
      </c>
      <c r="E869" s="4" t="s">
        <v>1699</v>
      </c>
      <c r="F869" s="4" t="s">
        <v>363</v>
      </c>
      <c r="G869" s="4" t="s">
        <v>390</v>
      </c>
    </row>
    <row r="870" spans="1:7" x14ac:dyDescent="0.25">
      <c r="A870" s="4" t="s">
        <v>389</v>
      </c>
      <c r="B870" s="4" t="s">
        <v>387</v>
      </c>
      <c r="C870" s="4" t="s">
        <v>400</v>
      </c>
      <c r="D870" s="4" t="s">
        <v>387</v>
      </c>
      <c r="E870" s="4" t="s">
        <v>1700</v>
      </c>
      <c r="F870" s="4" t="s">
        <v>363</v>
      </c>
      <c r="G870" s="4" t="s">
        <v>390</v>
      </c>
    </row>
    <row r="871" spans="1:7" x14ac:dyDescent="0.25">
      <c r="A871" s="4" t="s">
        <v>389</v>
      </c>
      <c r="B871" s="4" t="s">
        <v>387</v>
      </c>
      <c r="C871" s="4" t="s">
        <v>400</v>
      </c>
      <c r="D871" s="4" t="s">
        <v>387</v>
      </c>
      <c r="E871" s="4" t="s">
        <v>1701</v>
      </c>
      <c r="F871" s="4" t="s">
        <v>363</v>
      </c>
      <c r="G871" s="4" t="s">
        <v>390</v>
      </c>
    </row>
    <row r="872" spans="1:7" x14ac:dyDescent="0.25">
      <c r="A872" s="4" t="s">
        <v>389</v>
      </c>
      <c r="B872" s="4" t="s">
        <v>387</v>
      </c>
      <c r="C872" s="4" t="s">
        <v>400</v>
      </c>
      <c r="D872" s="4" t="s">
        <v>387</v>
      </c>
      <c r="E872" s="4" t="s">
        <v>1702</v>
      </c>
      <c r="F872" s="4" t="s">
        <v>363</v>
      </c>
      <c r="G872" s="4" t="s">
        <v>390</v>
      </c>
    </row>
    <row r="873" spans="1:7" x14ac:dyDescent="0.25">
      <c r="A873" s="4" t="s">
        <v>389</v>
      </c>
      <c r="B873" s="4" t="s">
        <v>387</v>
      </c>
      <c r="C873" s="4" t="s">
        <v>400</v>
      </c>
      <c r="D873" s="4" t="s">
        <v>387</v>
      </c>
      <c r="E873" s="4" t="s">
        <v>1703</v>
      </c>
      <c r="F873" s="4" t="s">
        <v>363</v>
      </c>
      <c r="G873" s="4" t="s">
        <v>390</v>
      </c>
    </row>
    <row r="874" spans="1:7" x14ac:dyDescent="0.25">
      <c r="A874" s="4" t="s">
        <v>389</v>
      </c>
      <c r="B874" s="4" t="s">
        <v>387</v>
      </c>
      <c r="C874" s="4" t="s">
        <v>400</v>
      </c>
      <c r="D874" s="4" t="s">
        <v>387</v>
      </c>
      <c r="E874" s="4" t="s">
        <v>1704</v>
      </c>
      <c r="F874" s="4" t="s">
        <v>363</v>
      </c>
      <c r="G874" s="4" t="s">
        <v>390</v>
      </c>
    </row>
    <row r="875" spans="1:7" x14ac:dyDescent="0.25">
      <c r="A875" s="4" t="s">
        <v>389</v>
      </c>
      <c r="B875" s="4" t="s">
        <v>387</v>
      </c>
      <c r="C875" s="4" t="s">
        <v>400</v>
      </c>
      <c r="D875" s="4" t="s">
        <v>387</v>
      </c>
      <c r="E875" s="4" t="s">
        <v>1705</v>
      </c>
      <c r="F875" s="4" t="s">
        <v>363</v>
      </c>
      <c r="G875" s="4" t="s">
        <v>390</v>
      </c>
    </row>
    <row r="876" spans="1:7" x14ac:dyDescent="0.25">
      <c r="A876" s="4" t="s">
        <v>389</v>
      </c>
      <c r="B876" s="4" t="s">
        <v>387</v>
      </c>
      <c r="C876" s="4" t="s">
        <v>400</v>
      </c>
      <c r="D876" s="4" t="s">
        <v>387</v>
      </c>
      <c r="E876" s="4" t="s">
        <v>1706</v>
      </c>
      <c r="F876" s="4" t="s">
        <v>363</v>
      </c>
      <c r="G876" s="4" t="s">
        <v>390</v>
      </c>
    </row>
    <row r="877" spans="1:7" x14ac:dyDescent="0.25">
      <c r="A877" s="4" t="s">
        <v>389</v>
      </c>
      <c r="B877" s="4" t="s">
        <v>387</v>
      </c>
      <c r="C877" s="4" t="s">
        <v>400</v>
      </c>
      <c r="D877" s="4" t="s">
        <v>387</v>
      </c>
      <c r="E877" s="4" t="s">
        <v>1707</v>
      </c>
      <c r="F877" s="4" t="s">
        <v>363</v>
      </c>
      <c r="G877" s="4" t="s">
        <v>390</v>
      </c>
    </row>
    <row r="878" spans="1:7" x14ac:dyDescent="0.25">
      <c r="A878" s="4" t="s">
        <v>389</v>
      </c>
      <c r="B878" s="4" t="s">
        <v>387</v>
      </c>
      <c r="C878" s="4" t="s">
        <v>400</v>
      </c>
      <c r="D878" s="4" t="s">
        <v>387</v>
      </c>
      <c r="E878" s="4" t="s">
        <v>1708</v>
      </c>
      <c r="F878" s="4" t="s">
        <v>536</v>
      </c>
      <c r="G878" s="4" t="s">
        <v>864</v>
      </c>
    </row>
    <row r="879" spans="1:7" x14ac:dyDescent="0.25">
      <c r="A879" s="4" t="s">
        <v>389</v>
      </c>
      <c r="B879" s="4" t="s">
        <v>387</v>
      </c>
      <c r="C879" s="4" t="s">
        <v>400</v>
      </c>
      <c r="D879" s="4" t="s">
        <v>387</v>
      </c>
      <c r="E879" s="4" t="s">
        <v>1709</v>
      </c>
      <c r="F879" s="4" t="s">
        <v>536</v>
      </c>
      <c r="G879" s="4" t="s">
        <v>864</v>
      </c>
    </row>
    <row r="880" spans="1:7" x14ac:dyDescent="0.25">
      <c r="A880" s="4" t="s">
        <v>389</v>
      </c>
      <c r="B880" s="4" t="s">
        <v>387</v>
      </c>
      <c r="C880" s="4" t="s">
        <v>400</v>
      </c>
      <c r="D880" s="4" t="s">
        <v>387</v>
      </c>
      <c r="E880" s="4" t="s">
        <v>1710</v>
      </c>
      <c r="F880" s="4" t="s">
        <v>536</v>
      </c>
      <c r="G880" s="4" t="s">
        <v>864</v>
      </c>
    </row>
    <row r="881" spans="1:7" x14ac:dyDescent="0.25">
      <c r="A881" s="4" t="s">
        <v>389</v>
      </c>
      <c r="B881" s="4" t="s">
        <v>387</v>
      </c>
      <c r="C881" s="4" t="s">
        <v>400</v>
      </c>
      <c r="D881" s="4" t="s">
        <v>387</v>
      </c>
      <c r="E881" s="4" t="s">
        <v>1711</v>
      </c>
      <c r="F881" s="4" t="s">
        <v>536</v>
      </c>
      <c r="G881" s="4" t="s">
        <v>864</v>
      </c>
    </row>
    <row r="882" spans="1:7" x14ac:dyDescent="0.25">
      <c r="A882" s="4" t="s">
        <v>389</v>
      </c>
      <c r="B882" s="4" t="s">
        <v>387</v>
      </c>
      <c r="C882" s="4" t="s">
        <v>400</v>
      </c>
      <c r="D882" s="4" t="s">
        <v>387</v>
      </c>
      <c r="E882" s="4" t="s">
        <v>1712</v>
      </c>
      <c r="F882" s="4" t="s">
        <v>536</v>
      </c>
      <c r="G882" s="4" t="s">
        <v>864</v>
      </c>
    </row>
    <row r="883" spans="1:7" x14ac:dyDescent="0.25">
      <c r="A883" s="4" t="s">
        <v>389</v>
      </c>
      <c r="B883" s="4" t="s">
        <v>387</v>
      </c>
      <c r="C883" s="4" t="s">
        <v>400</v>
      </c>
      <c r="D883" s="4" t="s">
        <v>387</v>
      </c>
      <c r="E883" s="4" t="s">
        <v>1713</v>
      </c>
      <c r="F883" s="4" t="s">
        <v>536</v>
      </c>
      <c r="G883" s="4" t="s">
        <v>864</v>
      </c>
    </row>
    <row r="884" spans="1:7" x14ac:dyDescent="0.25">
      <c r="A884" s="4" t="s">
        <v>389</v>
      </c>
      <c r="B884" s="4" t="s">
        <v>387</v>
      </c>
      <c r="C884" s="4" t="s">
        <v>400</v>
      </c>
      <c r="D884" s="4" t="s">
        <v>387</v>
      </c>
      <c r="E884" s="4" t="s">
        <v>1714</v>
      </c>
      <c r="F884" s="4" t="s">
        <v>536</v>
      </c>
      <c r="G884" s="4" t="s">
        <v>864</v>
      </c>
    </row>
    <row r="885" spans="1:7" x14ac:dyDescent="0.25">
      <c r="A885" s="4" t="s">
        <v>389</v>
      </c>
      <c r="B885" s="4" t="s">
        <v>387</v>
      </c>
      <c r="C885" s="4" t="s">
        <v>400</v>
      </c>
      <c r="D885" s="4" t="s">
        <v>387</v>
      </c>
      <c r="E885" s="4" t="s">
        <v>1715</v>
      </c>
      <c r="F885" s="4" t="s">
        <v>536</v>
      </c>
      <c r="G885" s="4" t="s">
        <v>864</v>
      </c>
    </row>
    <row r="886" spans="1:7" x14ac:dyDescent="0.25">
      <c r="A886" s="4" t="s">
        <v>389</v>
      </c>
      <c r="B886" s="4" t="s">
        <v>387</v>
      </c>
      <c r="C886" s="4" t="s">
        <v>400</v>
      </c>
      <c r="D886" s="4" t="s">
        <v>387</v>
      </c>
      <c r="E886" s="4" t="s">
        <v>1716</v>
      </c>
      <c r="F886" s="4" t="s">
        <v>536</v>
      </c>
      <c r="G886" s="4" t="s">
        <v>864</v>
      </c>
    </row>
    <row r="887" spans="1:7" x14ac:dyDescent="0.25">
      <c r="A887" s="4" t="s">
        <v>389</v>
      </c>
      <c r="B887" s="4" t="s">
        <v>387</v>
      </c>
      <c r="C887" s="4" t="s">
        <v>400</v>
      </c>
      <c r="D887" s="4" t="s">
        <v>387</v>
      </c>
      <c r="E887" s="4" t="s">
        <v>1717</v>
      </c>
      <c r="F887" s="4" t="s">
        <v>536</v>
      </c>
      <c r="G887" s="4" t="s">
        <v>864</v>
      </c>
    </row>
    <row r="888" spans="1:7" x14ac:dyDescent="0.25">
      <c r="A888" s="4" t="s">
        <v>389</v>
      </c>
      <c r="B888" s="4" t="s">
        <v>387</v>
      </c>
      <c r="C888" s="4" t="s">
        <v>400</v>
      </c>
      <c r="D888" s="4" t="s">
        <v>387</v>
      </c>
      <c r="E888" s="4" t="s">
        <v>1718</v>
      </c>
      <c r="F888" s="4" t="s">
        <v>536</v>
      </c>
      <c r="G888" s="4" t="s">
        <v>864</v>
      </c>
    </row>
    <row r="889" spans="1:7" x14ac:dyDescent="0.25">
      <c r="A889" s="4" t="s">
        <v>389</v>
      </c>
      <c r="B889" s="4" t="s">
        <v>387</v>
      </c>
      <c r="C889" s="4" t="s">
        <v>400</v>
      </c>
      <c r="D889" s="4" t="s">
        <v>387</v>
      </c>
      <c r="E889" s="4" t="s">
        <v>1719</v>
      </c>
      <c r="F889" s="4" t="s">
        <v>536</v>
      </c>
      <c r="G889" s="4" t="s">
        <v>864</v>
      </c>
    </row>
    <row r="890" spans="1:7" x14ac:dyDescent="0.25">
      <c r="A890" s="4" t="s">
        <v>389</v>
      </c>
      <c r="B890" s="4" t="s">
        <v>387</v>
      </c>
      <c r="C890" s="4" t="s">
        <v>400</v>
      </c>
      <c r="D890" s="4" t="s">
        <v>387</v>
      </c>
      <c r="E890" s="4" t="s">
        <v>1720</v>
      </c>
      <c r="F890" s="4" t="s">
        <v>321</v>
      </c>
      <c r="G890" s="4" t="s">
        <v>865</v>
      </c>
    </row>
    <row r="891" spans="1:7" x14ac:dyDescent="0.25">
      <c r="A891" s="4" t="s">
        <v>389</v>
      </c>
      <c r="B891" s="4" t="s">
        <v>387</v>
      </c>
      <c r="C891" s="4" t="s">
        <v>400</v>
      </c>
      <c r="D891" s="4" t="s">
        <v>387</v>
      </c>
      <c r="E891" s="4" t="s">
        <v>1721</v>
      </c>
      <c r="F891" s="4" t="s">
        <v>321</v>
      </c>
      <c r="G891" s="4" t="s">
        <v>865</v>
      </c>
    </row>
    <row r="892" spans="1:7" x14ac:dyDescent="0.25">
      <c r="A892" s="4" t="s">
        <v>389</v>
      </c>
      <c r="B892" s="4" t="s">
        <v>387</v>
      </c>
      <c r="C892" s="4" t="s">
        <v>400</v>
      </c>
      <c r="D892" s="4" t="s">
        <v>387</v>
      </c>
      <c r="E892" s="4" t="s">
        <v>1722</v>
      </c>
      <c r="F892" s="4" t="s">
        <v>321</v>
      </c>
      <c r="G892" s="4" t="s">
        <v>865</v>
      </c>
    </row>
    <row r="893" spans="1:7" x14ac:dyDescent="0.25">
      <c r="A893" s="4" t="s">
        <v>389</v>
      </c>
      <c r="B893" s="4" t="s">
        <v>387</v>
      </c>
      <c r="C893" s="4" t="s">
        <v>400</v>
      </c>
      <c r="D893" s="4" t="s">
        <v>387</v>
      </c>
      <c r="E893" s="4" t="s">
        <v>1723</v>
      </c>
      <c r="F893" s="4" t="s">
        <v>321</v>
      </c>
      <c r="G893" s="4" t="s">
        <v>865</v>
      </c>
    </row>
    <row r="894" spans="1:7" x14ac:dyDescent="0.25">
      <c r="A894" s="4" t="s">
        <v>389</v>
      </c>
      <c r="B894" s="4" t="s">
        <v>387</v>
      </c>
      <c r="C894" s="4" t="s">
        <v>400</v>
      </c>
      <c r="D894" s="4" t="s">
        <v>387</v>
      </c>
      <c r="E894" s="4" t="s">
        <v>1724</v>
      </c>
      <c r="F894" s="4" t="s">
        <v>321</v>
      </c>
      <c r="G894" s="4" t="s">
        <v>865</v>
      </c>
    </row>
    <row r="895" spans="1:7" x14ac:dyDescent="0.25">
      <c r="A895" s="4" t="s">
        <v>389</v>
      </c>
      <c r="B895" s="4" t="s">
        <v>387</v>
      </c>
      <c r="C895" s="4" t="s">
        <v>400</v>
      </c>
      <c r="D895" s="4" t="s">
        <v>387</v>
      </c>
      <c r="E895" s="4" t="s">
        <v>1725</v>
      </c>
      <c r="F895" s="4" t="s">
        <v>321</v>
      </c>
      <c r="G895" s="4" t="s">
        <v>865</v>
      </c>
    </row>
    <row r="896" spans="1:7" x14ac:dyDescent="0.25">
      <c r="A896" s="4" t="s">
        <v>389</v>
      </c>
      <c r="B896" s="4" t="s">
        <v>387</v>
      </c>
      <c r="C896" s="4" t="s">
        <v>400</v>
      </c>
      <c r="D896" s="4" t="s">
        <v>387</v>
      </c>
      <c r="E896" s="4" t="s">
        <v>1726</v>
      </c>
      <c r="F896" s="4" t="s">
        <v>321</v>
      </c>
      <c r="G896" s="4" t="s">
        <v>865</v>
      </c>
    </row>
    <row r="897" spans="1:7" x14ac:dyDescent="0.25">
      <c r="A897" s="4" t="s">
        <v>389</v>
      </c>
      <c r="B897" s="4" t="s">
        <v>387</v>
      </c>
      <c r="C897" s="4" t="s">
        <v>400</v>
      </c>
      <c r="D897" s="4" t="s">
        <v>387</v>
      </c>
      <c r="E897" s="4" t="s">
        <v>1727</v>
      </c>
      <c r="F897" s="4" t="s">
        <v>321</v>
      </c>
      <c r="G897" s="4" t="s">
        <v>865</v>
      </c>
    </row>
    <row r="898" spans="1:7" x14ac:dyDescent="0.25">
      <c r="A898" s="4" t="s">
        <v>389</v>
      </c>
      <c r="B898" s="4" t="s">
        <v>387</v>
      </c>
      <c r="C898" s="4" t="s">
        <v>400</v>
      </c>
      <c r="D898" s="4" t="s">
        <v>387</v>
      </c>
      <c r="E898" s="4" t="s">
        <v>1728</v>
      </c>
      <c r="F898" s="4" t="s">
        <v>321</v>
      </c>
      <c r="G898" s="4" t="s">
        <v>865</v>
      </c>
    </row>
    <row r="899" spans="1:7" x14ac:dyDescent="0.25">
      <c r="A899" s="4" t="s">
        <v>389</v>
      </c>
      <c r="B899" s="4" t="s">
        <v>387</v>
      </c>
      <c r="C899" s="4" t="s">
        <v>400</v>
      </c>
      <c r="D899" s="4" t="s">
        <v>387</v>
      </c>
      <c r="E899" s="4" t="s">
        <v>1729</v>
      </c>
      <c r="F899" s="4" t="s">
        <v>321</v>
      </c>
      <c r="G899" s="4" t="s">
        <v>865</v>
      </c>
    </row>
    <row r="900" spans="1:7" x14ac:dyDescent="0.25">
      <c r="A900" s="4" t="s">
        <v>389</v>
      </c>
      <c r="B900" s="4" t="s">
        <v>387</v>
      </c>
      <c r="C900" s="4" t="s">
        <v>400</v>
      </c>
      <c r="D900" s="4" t="s">
        <v>387</v>
      </c>
      <c r="E900" s="4" t="s">
        <v>1730</v>
      </c>
      <c r="F900" s="4" t="s">
        <v>321</v>
      </c>
      <c r="G900" s="4" t="s">
        <v>865</v>
      </c>
    </row>
    <row r="901" spans="1:7" x14ac:dyDescent="0.25">
      <c r="A901" s="4" t="s">
        <v>389</v>
      </c>
      <c r="B901" s="4" t="s">
        <v>387</v>
      </c>
      <c r="C901" s="4" t="s">
        <v>400</v>
      </c>
      <c r="D901" s="4" t="s">
        <v>387</v>
      </c>
      <c r="E901" s="4" t="s">
        <v>1731</v>
      </c>
      <c r="F901" s="4" t="s">
        <v>321</v>
      </c>
      <c r="G901" s="4" t="s">
        <v>865</v>
      </c>
    </row>
    <row r="902" spans="1:7" x14ac:dyDescent="0.25">
      <c r="A902" s="4" t="s">
        <v>389</v>
      </c>
      <c r="B902" s="4" t="s">
        <v>394</v>
      </c>
      <c r="C902" s="4" t="s">
        <v>400</v>
      </c>
      <c r="D902" s="4" t="s">
        <v>394</v>
      </c>
      <c r="E902" t="s">
        <v>1732</v>
      </c>
      <c r="F902" s="4" t="s">
        <v>363</v>
      </c>
      <c r="G902" s="4" t="s">
        <v>390</v>
      </c>
    </row>
    <row r="903" spans="1:7" x14ac:dyDescent="0.25">
      <c r="A903" s="4" t="s">
        <v>389</v>
      </c>
      <c r="B903" s="4" t="s">
        <v>394</v>
      </c>
      <c r="C903" s="4" t="s">
        <v>400</v>
      </c>
      <c r="D903" s="4" t="s">
        <v>394</v>
      </c>
      <c r="E903" t="s">
        <v>1733</v>
      </c>
      <c r="F903" s="4" t="s">
        <v>363</v>
      </c>
      <c r="G903" s="4" t="s">
        <v>390</v>
      </c>
    </row>
    <row r="904" spans="1:7" x14ac:dyDescent="0.25">
      <c r="A904" s="4" t="s">
        <v>389</v>
      </c>
      <c r="B904" s="4" t="s">
        <v>394</v>
      </c>
      <c r="C904" s="4" t="s">
        <v>400</v>
      </c>
      <c r="D904" s="4" t="s">
        <v>394</v>
      </c>
      <c r="E904" t="s">
        <v>1734</v>
      </c>
      <c r="F904" s="4" t="s">
        <v>363</v>
      </c>
      <c r="G904" s="4" t="s">
        <v>390</v>
      </c>
    </row>
    <row r="905" spans="1:7" x14ac:dyDescent="0.25">
      <c r="A905" s="4" t="s">
        <v>389</v>
      </c>
      <c r="B905" s="4" t="s">
        <v>394</v>
      </c>
      <c r="C905" s="4" t="s">
        <v>400</v>
      </c>
      <c r="D905" s="4" t="s">
        <v>394</v>
      </c>
      <c r="E905" t="s">
        <v>1735</v>
      </c>
      <c r="F905" s="4" t="s">
        <v>363</v>
      </c>
      <c r="G905" s="4" t="s">
        <v>390</v>
      </c>
    </row>
    <row r="906" spans="1:7" x14ac:dyDescent="0.25">
      <c r="A906" s="4" t="s">
        <v>389</v>
      </c>
      <c r="B906" s="4" t="s">
        <v>394</v>
      </c>
      <c r="C906" s="4" t="s">
        <v>400</v>
      </c>
      <c r="D906" s="4" t="s">
        <v>394</v>
      </c>
      <c r="E906" t="s">
        <v>1736</v>
      </c>
      <c r="F906" s="4" t="s">
        <v>363</v>
      </c>
      <c r="G906" s="4" t="s">
        <v>390</v>
      </c>
    </row>
    <row r="907" spans="1:7" x14ac:dyDescent="0.25">
      <c r="A907" s="4" t="s">
        <v>389</v>
      </c>
      <c r="B907" s="4" t="s">
        <v>394</v>
      </c>
      <c r="C907" s="4" t="s">
        <v>400</v>
      </c>
      <c r="D907" s="4" t="s">
        <v>394</v>
      </c>
      <c r="E907" t="s">
        <v>1737</v>
      </c>
      <c r="F907" s="4" t="s">
        <v>363</v>
      </c>
      <c r="G907" s="4" t="s">
        <v>390</v>
      </c>
    </row>
    <row r="908" spans="1:7" x14ac:dyDescent="0.25">
      <c r="A908" s="4" t="s">
        <v>389</v>
      </c>
      <c r="B908" s="4" t="s">
        <v>394</v>
      </c>
      <c r="C908" s="4" t="s">
        <v>400</v>
      </c>
      <c r="D908" s="4" t="s">
        <v>394</v>
      </c>
      <c r="E908" t="s">
        <v>1738</v>
      </c>
      <c r="F908" s="4" t="s">
        <v>363</v>
      </c>
      <c r="G908" s="4" t="s">
        <v>390</v>
      </c>
    </row>
    <row r="909" spans="1:7" x14ac:dyDescent="0.25">
      <c r="A909" s="4" t="s">
        <v>389</v>
      </c>
      <c r="B909" s="4" t="s">
        <v>394</v>
      </c>
      <c r="C909" s="4" t="s">
        <v>400</v>
      </c>
      <c r="D909" s="4" t="s">
        <v>394</v>
      </c>
      <c r="E909" t="s">
        <v>1739</v>
      </c>
      <c r="F909" s="4" t="s">
        <v>363</v>
      </c>
      <c r="G909" s="4" t="s">
        <v>390</v>
      </c>
    </row>
    <row r="910" spans="1:7" x14ac:dyDescent="0.25">
      <c r="A910" s="4" t="s">
        <v>389</v>
      </c>
      <c r="B910" s="4" t="s">
        <v>394</v>
      </c>
      <c r="C910" s="4" t="s">
        <v>400</v>
      </c>
      <c r="D910" s="4" t="s">
        <v>394</v>
      </c>
      <c r="E910" t="s">
        <v>1740</v>
      </c>
      <c r="F910" s="4" t="s">
        <v>363</v>
      </c>
      <c r="G910" s="4" t="s">
        <v>390</v>
      </c>
    </row>
    <row r="911" spans="1:7" x14ac:dyDescent="0.25">
      <c r="A911" s="4" t="s">
        <v>389</v>
      </c>
      <c r="B911" s="4" t="s">
        <v>394</v>
      </c>
      <c r="C911" s="4" t="s">
        <v>400</v>
      </c>
      <c r="D911" s="4" t="s">
        <v>394</v>
      </c>
      <c r="E911" t="s">
        <v>1741</v>
      </c>
      <c r="F911" s="4" t="s">
        <v>363</v>
      </c>
      <c r="G911" s="4" t="s">
        <v>390</v>
      </c>
    </row>
    <row r="912" spans="1:7" x14ac:dyDescent="0.25">
      <c r="A912" s="4" t="s">
        <v>389</v>
      </c>
      <c r="B912" s="4" t="s">
        <v>394</v>
      </c>
      <c r="C912" s="4" t="s">
        <v>400</v>
      </c>
      <c r="D912" s="4" t="s">
        <v>394</v>
      </c>
      <c r="E912" t="s">
        <v>1742</v>
      </c>
      <c r="F912" s="4" t="s">
        <v>363</v>
      </c>
      <c r="G912" s="4" t="s">
        <v>390</v>
      </c>
    </row>
    <row r="913" spans="1:7" x14ac:dyDescent="0.25">
      <c r="A913" s="4" t="s">
        <v>389</v>
      </c>
      <c r="B913" s="4" t="s">
        <v>394</v>
      </c>
      <c r="C913" s="4" t="s">
        <v>400</v>
      </c>
      <c r="D913" s="4" t="s">
        <v>394</v>
      </c>
      <c r="E913" t="s">
        <v>1743</v>
      </c>
      <c r="F913" s="4" t="s">
        <v>363</v>
      </c>
      <c r="G913" s="4" t="s">
        <v>390</v>
      </c>
    </row>
    <row r="914" spans="1:7" x14ac:dyDescent="0.25">
      <c r="A914" s="4" t="s">
        <v>389</v>
      </c>
      <c r="B914" s="4" t="s">
        <v>394</v>
      </c>
      <c r="C914" s="4" t="s">
        <v>400</v>
      </c>
      <c r="D914" s="4" t="s">
        <v>394</v>
      </c>
      <c r="E914" s="4" t="s">
        <v>1744</v>
      </c>
      <c r="F914" s="4" t="s">
        <v>321</v>
      </c>
      <c r="G914" s="4" t="s">
        <v>864</v>
      </c>
    </row>
    <row r="915" spans="1:7" x14ac:dyDescent="0.25">
      <c r="A915" s="4" t="s">
        <v>389</v>
      </c>
      <c r="B915" s="4" t="s">
        <v>394</v>
      </c>
      <c r="C915" s="4" t="s">
        <v>400</v>
      </c>
      <c r="D915" s="4" t="s">
        <v>394</v>
      </c>
      <c r="E915" s="4" t="s">
        <v>1745</v>
      </c>
      <c r="F915" s="4" t="s">
        <v>321</v>
      </c>
      <c r="G915" s="4" t="s">
        <v>864</v>
      </c>
    </row>
    <row r="916" spans="1:7" x14ac:dyDescent="0.25">
      <c r="A916" s="4" t="s">
        <v>389</v>
      </c>
      <c r="B916" s="4" t="s">
        <v>394</v>
      </c>
      <c r="C916" s="4" t="s">
        <v>400</v>
      </c>
      <c r="D916" s="4" t="s">
        <v>394</v>
      </c>
      <c r="E916" s="4" t="s">
        <v>1746</v>
      </c>
      <c r="F916" s="4" t="s">
        <v>321</v>
      </c>
      <c r="G916" s="4" t="s">
        <v>864</v>
      </c>
    </row>
    <row r="917" spans="1:7" x14ac:dyDescent="0.25">
      <c r="A917" s="4" t="s">
        <v>389</v>
      </c>
      <c r="B917" s="4" t="s">
        <v>394</v>
      </c>
      <c r="C917" s="4" t="s">
        <v>400</v>
      </c>
      <c r="D917" s="4" t="s">
        <v>394</v>
      </c>
      <c r="E917" s="4" t="s">
        <v>1747</v>
      </c>
      <c r="F917" s="4" t="s">
        <v>321</v>
      </c>
      <c r="G917" s="4" t="s">
        <v>864</v>
      </c>
    </row>
    <row r="918" spans="1:7" x14ac:dyDescent="0.25">
      <c r="A918" s="4" t="s">
        <v>389</v>
      </c>
      <c r="B918" s="4" t="s">
        <v>394</v>
      </c>
      <c r="C918" s="4" t="s">
        <v>400</v>
      </c>
      <c r="D918" s="4" t="s">
        <v>394</v>
      </c>
      <c r="E918" s="4" t="s">
        <v>1748</v>
      </c>
      <c r="F918" s="4" t="s">
        <v>321</v>
      </c>
      <c r="G918" s="4" t="s">
        <v>864</v>
      </c>
    </row>
    <row r="919" spans="1:7" x14ac:dyDescent="0.25">
      <c r="A919" s="4" t="s">
        <v>389</v>
      </c>
      <c r="B919" s="4" t="s">
        <v>394</v>
      </c>
      <c r="C919" s="4" t="s">
        <v>400</v>
      </c>
      <c r="D919" s="4" t="s">
        <v>394</v>
      </c>
      <c r="E919" s="4" t="s">
        <v>1749</v>
      </c>
      <c r="F919" s="4" t="s">
        <v>321</v>
      </c>
      <c r="G919" s="4" t="s">
        <v>864</v>
      </c>
    </row>
    <row r="920" spans="1:7" x14ac:dyDescent="0.25">
      <c r="A920" s="4" t="s">
        <v>389</v>
      </c>
      <c r="B920" s="4" t="s">
        <v>394</v>
      </c>
      <c r="C920" s="4" t="s">
        <v>400</v>
      </c>
      <c r="D920" s="4" t="s">
        <v>394</v>
      </c>
      <c r="E920" s="4" t="s">
        <v>1750</v>
      </c>
      <c r="F920" s="4" t="s">
        <v>321</v>
      </c>
      <c r="G920" s="4" t="s">
        <v>864</v>
      </c>
    </row>
    <row r="921" spans="1:7" x14ac:dyDescent="0.25">
      <c r="A921" s="4" t="s">
        <v>389</v>
      </c>
      <c r="B921" s="4" t="s">
        <v>394</v>
      </c>
      <c r="C921" s="4" t="s">
        <v>400</v>
      </c>
      <c r="D921" s="4" t="s">
        <v>394</v>
      </c>
      <c r="E921" s="4" t="s">
        <v>1751</v>
      </c>
      <c r="F921" s="4" t="s">
        <v>321</v>
      </c>
      <c r="G921" s="4" t="s">
        <v>864</v>
      </c>
    </row>
    <row r="922" spans="1:7" x14ac:dyDescent="0.25">
      <c r="A922" s="4" t="s">
        <v>389</v>
      </c>
      <c r="B922" s="4" t="s">
        <v>394</v>
      </c>
      <c r="C922" s="4" t="s">
        <v>400</v>
      </c>
      <c r="D922" s="4" t="s">
        <v>394</v>
      </c>
      <c r="E922" s="4" t="s">
        <v>1752</v>
      </c>
      <c r="F922" s="4" t="s">
        <v>321</v>
      </c>
      <c r="G922" s="4" t="s">
        <v>864</v>
      </c>
    </row>
    <row r="923" spans="1:7" x14ac:dyDescent="0.25">
      <c r="A923" s="4" t="s">
        <v>389</v>
      </c>
      <c r="B923" s="4" t="s">
        <v>394</v>
      </c>
      <c r="C923" s="4" t="s">
        <v>400</v>
      </c>
      <c r="D923" s="4" t="s">
        <v>394</v>
      </c>
      <c r="E923" s="4" t="s">
        <v>1753</v>
      </c>
      <c r="F923" s="4" t="s">
        <v>321</v>
      </c>
      <c r="G923" s="4" t="s">
        <v>864</v>
      </c>
    </row>
    <row r="924" spans="1:7" x14ac:dyDescent="0.25">
      <c r="A924" s="4" t="s">
        <v>389</v>
      </c>
      <c r="B924" s="4" t="s">
        <v>394</v>
      </c>
      <c r="C924" s="4" t="s">
        <v>400</v>
      </c>
      <c r="D924" s="4" t="s">
        <v>394</v>
      </c>
      <c r="E924" s="4" t="s">
        <v>1754</v>
      </c>
      <c r="F924" s="4" t="s">
        <v>321</v>
      </c>
      <c r="G924" s="4" t="s">
        <v>864</v>
      </c>
    </row>
    <row r="925" spans="1:7" x14ac:dyDescent="0.25">
      <c r="A925" s="4" t="s">
        <v>389</v>
      </c>
      <c r="B925" s="4" t="s">
        <v>394</v>
      </c>
      <c r="C925" s="4" t="s">
        <v>400</v>
      </c>
      <c r="D925" s="4" t="s">
        <v>394</v>
      </c>
      <c r="E925" s="4" t="s">
        <v>1755</v>
      </c>
      <c r="F925" s="4" t="s">
        <v>321</v>
      </c>
      <c r="G925" s="4" t="s">
        <v>864</v>
      </c>
    </row>
    <row r="926" spans="1:7" x14ac:dyDescent="0.25">
      <c r="A926" s="4" t="s">
        <v>389</v>
      </c>
      <c r="B926" s="4" t="s">
        <v>394</v>
      </c>
      <c r="C926" s="4" t="s">
        <v>400</v>
      </c>
      <c r="D926" s="4" t="s">
        <v>394</v>
      </c>
      <c r="E926" s="4" t="s">
        <v>1756</v>
      </c>
      <c r="F926" s="4" t="s">
        <v>536</v>
      </c>
      <c r="G926" s="4" t="s">
        <v>865</v>
      </c>
    </row>
    <row r="927" spans="1:7" x14ac:dyDescent="0.25">
      <c r="A927" s="4" t="s">
        <v>389</v>
      </c>
      <c r="B927" s="4" t="s">
        <v>394</v>
      </c>
      <c r="C927" s="4" t="s">
        <v>400</v>
      </c>
      <c r="D927" s="4" t="s">
        <v>394</v>
      </c>
      <c r="E927" s="4" t="s">
        <v>1757</v>
      </c>
      <c r="F927" s="4" t="s">
        <v>536</v>
      </c>
      <c r="G927" s="4" t="s">
        <v>865</v>
      </c>
    </row>
    <row r="928" spans="1:7" x14ac:dyDescent="0.25">
      <c r="A928" s="4" t="s">
        <v>389</v>
      </c>
      <c r="B928" s="4" t="s">
        <v>394</v>
      </c>
      <c r="C928" s="4" t="s">
        <v>400</v>
      </c>
      <c r="D928" s="4" t="s">
        <v>394</v>
      </c>
      <c r="E928" s="4" t="s">
        <v>1758</v>
      </c>
      <c r="F928" s="4" t="s">
        <v>536</v>
      </c>
      <c r="G928" s="4" t="s">
        <v>865</v>
      </c>
    </row>
    <row r="929" spans="1:7" x14ac:dyDescent="0.25">
      <c r="A929" s="4" t="s">
        <v>389</v>
      </c>
      <c r="B929" s="4" t="s">
        <v>394</v>
      </c>
      <c r="C929" s="4" t="s">
        <v>400</v>
      </c>
      <c r="D929" s="4" t="s">
        <v>394</v>
      </c>
      <c r="E929" s="4" t="s">
        <v>1759</v>
      </c>
      <c r="F929" s="4" t="s">
        <v>536</v>
      </c>
      <c r="G929" s="4" t="s">
        <v>865</v>
      </c>
    </row>
    <row r="930" spans="1:7" x14ac:dyDescent="0.25">
      <c r="A930" s="4" t="s">
        <v>389</v>
      </c>
      <c r="B930" s="4" t="s">
        <v>394</v>
      </c>
      <c r="C930" s="4" t="s">
        <v>400</v>
      </c>
      <c r="D930" s="4" t="s">
        <v>394</v>
      </c>
      <c r="E930" s="4" t="s">
        <v>1760</v>
      </c>
      <c r="F930" s="4" t="s">
        <v>536</v>
      </c>
      <c r="G930" s="4" t="s">
        <v>865</v>
      </c>
    </row>
    <row r="931" spans="1:7" x14ac:dyDescent="0.25">
      <c r="A931" s="4" t="s">
        <v>389</v>
      </c>
      <c r="B931" s="4" t="s">
        <v>394</v>
      </c>
      <c r="C931" s="4" t="s">
        <v>400</v>
      </c>
      <c r="D931" s="4" t="s">
        <v>394</v>
      </c>
      <c r="E931" s="4" t="s">
        <v>1761</v>
      </c>
      <c r="F931" s="4" t="s">
        <v>536</v>
      </c>
      <c r="G931" s="4" t="s">
        <v>865</v>
      </c>
    </row>
    <row r="932" spans="1:7" x14ac:dyDescent="0.25">
      <c r="A932" s="4" t="s">
        <v>389</v>
      </c>
      <c r="B932" s="4" t="s">
        <v>394</v>
      </c>
      <c r="C932" s="4" t="s">
        <v>400</v>
      </c>
      <c r="D932" s="4" t="s">
        <v>394</v>
      </c>
      <c r="E932" s="4" t="s">
        <v>1762</v>
      </c>
      <c r="F932" s="4" t="s">
        <v>536</v>
      </c>
      <c r="G932" s="4" t="s">
        <v>865</v>
      </c>
    </row>
    <row r="933" spans="1:7" x14ac:dyDescent="0.25">
      <c r="A933" s="4" t="s">
        <v>389</v>
      </c>
      <c r="B933" s="4" t="s">
        <v>394</v>
      </c>
      <c r="C933" s="4" t="s">
        <v>400</v>
      </c>
      <c r="D933" s="4" t="s">
        <v>394</v>
      </c>
      <c r="E933" s="4" t="s">
        <v>1763</v>
      </c>
      <c r="F933" s="4" t="s">
        <v>536</v>
      </c>
      <c r="G933" s="4" t="s">
        <v>865</v>
      </c>
    </row>
    <row r="934" spans="1:7" x14ac:dyDescent="0.25">
      <c r="A934" s="4" t="s">
        <v>389</v>
      </c>
      <c r="B934" s="4" t="s">
        <v>394</v>
      </c>
      <c r="C934" s="4" t="s">
        <v>400</v>
      </c>
      <c r="D934" s="4" t="s">
        <v>394</v>
      </c>
      <c r="E934" s="4" t="s">
        <v>1764</v>
      </c>
      <c r="F934" s="4" t="s">
        <v>536</v>
      </c>
      <c r="G934" s="4" t="s">
        <v>865</v>
      </c>
    </row>
    <row r="935" spans="1:7" x14ac:dyDescent="0.25">
      <c r="A935" s="4" t="s">
        <v>389</v>
      </c>
      <c r="B935" s="4" t="s">
        <v>394</v>
      </c>
      <c r="C935" s="4" t="s">
        <v>400</v>
      </c>
      <c r="D935" s="4" t="s">
        <v>394</v>
      </c>
      <c r="E935" s="4" t="s">
        <v>1765</v>
      </c>
      <c r="F935" s="4" t="s">
        <v>536</v>
      </c>
      <c r="G935" s="4" t="s">
        <v>865</v>
      </c>
    </row>
    <row r="936" spans="1:7" x14ac:dyDescent="0.25">
      <c r="A936" s="4" t="s">
        <v>389</v>
      </c>
      <c r="B936" s="4" t="s">
        <v>394</v>
      </c>
      <c r="C936" s="4" t="s">
        <v>400</v>
      </c>
      <c r="D936" s="4" t="s">
        <v>394</v>
      </c>
      <c r="E936" s="4" t="s">
        <v>1766</v>
      </c>
      <c r="F936" s="4" t="s">
        <v>536</v>
      </c>
      <c r="G936" s="4" t="s">
        <v>865</v>
      </c>
    </row>
    <row r="937" spans="1:7" x14ac:dyDescent="0.25">
      <c r="A937" s="4" t="s">
        <v>389</v>
      </c>
      <c r="B937" s="4" t="s">
        <v>394</v>
      </c>
      <c r="C937" s="4" t="s">
        <v>400</v>
      </c>
      <c r="D937" s="4" t="s">
        <v>394</v>
      </c>
      <c r="E937" s="4" t="s">
        <v>1767</v>
      </c>
      <c r="F937" s="4" t="s">
        <v>536</v>
      </c>
      <c r="G937" s="4" t="s">
        <v>865</v>
      </c>
    </row>
    <row r="938" spans="1:7" x14ac:dyDescent="0.25">
      <c r="A938" s="4" t="s">
        <v>389</v>
      </c>
      <c r="B938" s="4" t="s">
        <v>387</v>
      </c>
      <c r="C938" s="4" t="s">
        <v>464</v>
      </c>
      <c r="D938" s="4" t="s">
        <v>387</v>
      </c>
      <c r="E938" s="4" t="s">
        <v>1768</v>
      </c>
      <c r="F938" s="4" t="s">
        <v>51</v>
      </c>
      <c r="G938" s="4" t="s">
        <v>390</v>
      </c>
    </row>
    <row r="939" spans="1:7" x14ac:dyDescent="0.25">
      <c r="A939" s="4" t="s">
        <v>389</v>
      </c>
      <c r="B939" s="4" t="s">
        <v>387</v>
      </c>
      <c r="C939" s="4" t="s">
        <v>464</v>
      </c>
      <c r="D939" s="4" t="s">
        <v>387</v>
      </c>
      <c r="E939" s="4" t="s">
        <v>1769</v>
      </c>
      <c r="F939" s="4" t="s">
        <v>51</v>
      </c>
      <c r="G939" s="4" t="s">
        <v>390</v>
      </c>
    </row>
    <row r="940" spans="1:7" x14ac:dyDescent="0.25">
      <c r="A940" s="4" t="s">
        <v>389</v>
      </c>
      <c r="B940" s="4" t="s">
        <v>387</v>
      </c>
      <c r="C940" s="4" t="s">
        <v>464</v>
      </c>
      <c r="D940" s="4" t="s">
        <v>387</v>
      </c>
      <c r="E940" s="4" t="s">
        <v>1770</v>
      </c>
      <c r="F940" s="4" t="s">
        <v>175</v>
      </c>
      <c r="G940" s="4" t="s">
        <v>864</v>
      </c>
    </row>
    <row r="941" spans="1:7" x14ac:dyDescent="0.25">
      <c r="A941" s="4" t="s">
        <v>389</v>
      </c>
      <c r="B941" s="4" t="s">
        <v>387</v>
      </c>
      <c r="C941" s="4" t="s">
        <v>464</v>
      </c>
      <c r="D941" s="4" t="s">
        <v>387</v>
      </c>
      <c r="E941" s="4" t="s">
        <v>1771</v>
      </c>
      <c r="F941" s="4" t="s">
        <v>175</v>
      </c>
      <c r="G941" s="4" t="s">
        <v>864</v>
      </c>
    </row>
    <row r="942" spans="1:7" x14ac:dyDescent="0.25">
      <c r="A942" s="4" t="s">
        <v>389</v>
      </c>
      <c r="B942" s="4" t="s">
        <v>387</v>
      </c>
      <c r="C942" s="4" t="s">
        <v>464</v>
      </c>
      <c r="D942" s="4" t="s">
        <v>387</v>
      </c>
      <c r="E942" s="4" t="s">
        <v>1772</v>
      </c>
      <c r="F942" s="4" t="s">
        <v>250</v>
      </c>
      <c r="G942" s="4" t="s">
        <v>865</v>
      </c>
    </row>
    <row r="943" spans="1:7" x14ac:dyDescent="0.25">
      <c r="A943" s="4" t="s">
        <v>389</v>
      </c>
      <c r="B943" s="4" t="s">
        <v>387</v>
      </c>
      <c r="C943" s="4" t="s">
        <v>464</v>
      </c>
      <c r="D943" s="4" t="s">
        <v>387</v>
      </c>
      <c r="E943" s="4" t="s">
        <v>1773</v>
      </c>
      <c r="F943" s="4" t="s">
        <v>250</v>
      </c>
      <c r="G943" s="4" t="s">
        <v>865</v>
      </c>
    </row>
    <row r="944" spans="1:7" x14ac:dyDescent="0.25">
      <c r="A944" s="4" t="s">
        <v>389</v>
      </c>
      <c r="B944" s="4" t="s">
        <v>394</v>
      </c>
      <c r="C944" s="4" t="s">
        <v>464</v>
      </c>
      <c r="D944" s="4" t="s">
        <v>394</v>
      </c>
      <c r="E944" s="4" t="s">
        <v>1774</v>
      </c>
      <c r="F944" s="4" t="s">
        <v>136</v>
      </c>
      <c r="G944" s="4" t="s">
        <v>390</v>
      </c>
    </row>
    <row r="945" spans="1:7" x14ac:dyDescent="0.25">
      <c r="A945" s="4" t="s">
        <v>389</v>
      </c>
      <c r="B945" s="4" t="s">
        <v>394</v>
      </c>
      <c r="C945" s="4" t="s">
        <v>464</v>
      </c>
      <c r="D945" s="4" t="s">
        <v>394</v>
      </c>
      <c r="E945" s="4" t="s">
        <v>2861</v>
      </c>
      <c r="F945" s="4" t="s">
        <v>136</v>
      </c>
      <c r="G945" s="4" t="s">
        <v>390</v>
      </c>
    </row>
    <row r="946" spans="1:7" x14ac:dyDescent="0.25">
      <c r="A946" s="4" t="s">
        <v>389</v>
      </c>
      <c r="B946" s="4" t="s">
        <v>394</v>
      </c>
      <c r="C946" s="4" t="s">
        <v>464</v>
      </c>
      <c r="D946" s="4" t="s">
        <v>394</v>
      </c>
      <c r="E946" s="4" t="s">
        <v>1775</v>
      </c>
      <c r="F946" s="4" t="s">
        <v>51</v>
      </c>
      <c r="G946" s="4" t="s">
        <v>864</v>
      </c>
    </row>
    <row r="947" spans="1:7" x14ac:dyDescent="0.25">
      <c r="A947" s="4" t="s">
        <v>389</v>
      </c>
      <c r="B947" s="4" t="s">
        <v>394</v>
      </c>
      <c r="C947" s="4" t="s">
        <v>464</v>
      </c>
      <c r="D947" s="4" t="s">
        <v>394</v>
      </c>
      <c r="E947" s="4" t="s">
        <v>1776</v>
      </c>
      <c r="F947" s="4" t="s">
        <v>51</v>
      </c>
      <c r="G947" s="4" t="s">
        <v>864</v>
      </c>
    </row>
    <row r="948" spans="1:7" x14ac:dyDescent="0.25">
      <c r="A948" s="4" t="s">
        <v>389</v>
      </c>
      <c r="B948" s="4" t="s">
        <v>394</v>
      </c>
      <c r="C948" s="4" t="s">
        <v>464</v>
      </c>
      <c r="D948" s="4" t="s">
        <v>394</v>
      </c>
      <c r="E948" s="4" t="s">
        <v>1777</v>
      </c>
      <c r="F948" s="4" t="s">
        <v>363</v>
      </c>
      <c r="G948" s="4" t="s">
        <v>865</v>
      </c>
    </row>
    <row r="949" spans="1:7" x14ac:dyDescent="0.25">
      <c r="A949" s="4" t="s">
        <v>389</v>
      </c>
      <c r="B949" s="4" t="s">
        <v>394</v>
      </c>
      <c r="C949" s="4" t="s">
        <v>464</v>
      </c>
      <c r="D949" s="4" t="s">
        <v>394</v>
      </c>
      <c r="E949" s="4" t="s">
        <v>1778</v>
      </c>
      <c r="F949" s="4" t="s">
        <v>363</v>
      </c>
      <c r="G949" s="4" t="s">
        <v>865</v>
      </c>
    </row>
    <row r="950" spans="1:7" x14ac:dyDescent="0.25">
      <c r="A950" s="4" t="s">
        <v>389</v>
      </c>
      <c r="B950" s="4" t="s">
        <v>387</v>
      </c>
      <c r="C950" s="4" t="s">
        <v>465</v>
      </c>
      <c r="D950" s="4" t="s">
        <v>584</v>
      </c>
      <c r="E950" s="4" t="s">
        <v>1779</v>
      </c>
      <c r="F950" s="4" t="s">
        <v>311</v>
      </c>
      <c r="G950" s="4" t="s">
        <v>390</v>
      </c>
    </row>
    <row r="951" spans="1:7" x14ac:dyDescent="0.25">
      <c r="A951" s="4" t="s">
        <v>389</v>
      </c>
      <c r="B951" s="4" t="s">
        <v>387</v>
      </c>
      <c r="C951" s="4" t="s">
        <v>465</v>
      </c>
      <c r="D951" s="4" t="s">
        <v>584</v>
      </c>
      <c r="E951" s="4" t="s">
        <v>1780</v>
      </c>
      <c r="F951" s="4" t="s">
        <v>311</v>
      </c>
      <c r="G951" s="4" t="s">
        <v>390</v>
      </c>
    </row>
    <row r="952" spans="1:7" x14ac:dyDescent="0.25">
      <c r="A952" s="4" t="s">
        <v>389</v>
      </c>
      <c r="B952" s="4" t="s">
        <v>387</v>
      </c>
      <c r="C952" s="4" t="s">
        <v>465</v>
      </c>
      <c r="D952" s="4" t="s">
        <v>584</v>
      </c>
      <c r="E952" t="s">
        <v>1781</v>
      </c>
      <c r="F952" s="4" t="s">
        <v>361</v>
      </c>
      <c r="G952" s="4" t="s">
        <v>864</v>
      </c>
    </row>
    <row r="953" spans="1:7" x14ac:dyDescent="0.25">
      <c r="A953" s="4" t="s">
        <v>389</v>
      </c>
      <c r="B953" s="4" t="s">
        <v>387</v>
      </c>
      <c r="C953" s="4" t="s">
        <v>465</v>
      </c>
      <c r="D953" s="4" t="s">
        <v>584</v>
      </c>
      <c r="E953" t="s">
        <v>1782</v>
      </c>
      <c r="F953" s="4" t="s">
        <v>361</v>
      </c>
      <c r="G953" s="4" t="s">
        <v>864</v>
      </c>
    </row>
    <row r="954" spans="1:7" x14ac:dyDescent="0.25">
      <c r="A954" s="4" t="s">
        <v>389</v>
      </c>
      <c r="B954" s="4" t="s">
        <v>387</v>
      </c>
      <c r="C954" s="4" t="s">
        <v>465</v>
      </c>
      <c r="D954" s="4" t="s">
        <v>584</v>
      </c>
      <c r="E954" s="4" t="s">
        <v>1783</v>
      </c>
      <c r="F954" s="4" t="s">
        <v>128</v>
      </c>
      <c r="G954" s="4" t="s">
        <v>865</v>
      </c>
    </row>
    <row r="955" spans="1:7" x14ac:dyDescent="0.25">
      <c r="A955" s="4" t="s">
        <v>389</v>
      </c>
      <c r="B955" s="4" t="s">
        <v>387</v>
      </c>
      <c r="C955" s="4" t="s">
        <v>465</v>
      </c>
      <c r="D955" s="4" t="s">
        <v>584</v>
      </c>
      <c r="E955" s="4" t="s">
        <v>1784</v>
      </c>
      <c r="F955" s="4" t="s">
        <v>128</v>
      </c>
      <c r="G955" s="4" t="s">
        <v>865</v>
      </c>
    </row>
    <row r="956" spans="1:7" x14ac:dyDescent="0.25">
      <c r="A956" s="4" t="s">
        <v>389</v>
      </c>
      <c r="B956" s="4" t="s">
        <v>387</v>
      </c>
      <c r="C956" s="4" t="s">
        <v>466</v>
      </c>
      <c r="D956" s="4" t="s">
        <v>588</v>
      </c>
      <c r="E956" s="4" t="s">
        <v>617</v>
      </c>
      <c r="F956" s="4" t="s">
        <v>321</v>
      </c>
      <c r="G956" s="4" t="s">
        <v>390</v>
      </c>
    </row>
    <row r="957" spans="1:7" x14ac:dyDescent="0.25">
      <c r="A957" s="4" t="s">
        <v>389</v>
      </c>
      <c r="B957" s="4" t="s">
        <v>387</v>
      </c>
      <c r="C957" s="4" t="s">
        <v>466</v>
      </c>
      <c r="D957" s="4" t="s">
        <v>588</v>
      </c>
      <c r="E957" s="4" t="s">
        <v>1785</v>
      </c>
      <c r="F957" s="4" t="s">
        <v>321</v>
      </c>
      <c r="G957" s="4" t="s">
        <v>390</v>
      </c>
    </row>
    <row r="958" spans="1:7" x14ac:dyDescent="0.25">
      <c r="A958" s="4" t="s">
        <v>389</v>
      </c>
      <c r="B958" s="4" t="s">
        <v>387</v>
      </c>
      <c r="C958" s="4" t="s">
        <v>466</v>
      </c>
      <c r="D958" s="4" t="s">
        <v>588</v>
      </c>
      <c r="E958" s="4" t="s">
        <v>1143</v>
      </c>
      <c r="F958" s="4" t="s">
        <v>361</v>
      </c>
      <c r="G958" s="4" t="s">
        <v>864</v>
      </c>
    </row>
    <row r="959" spans="1:7" x14ac:dyDescent="0.25">
      <c r="A959" s="4" t="s">
        <v>389</v>
      </c>
      <c r="B959" s="4" t="s">
        <v>387</v>
      </c>
      <c r="C959" s="4" t="s">
        <v>466</v>
      </c>
      <c r="D959" s="4" t="s">
        <v>588</v>
      </c>
      <c r="E959" s="4" t="s">
        <v>1786</v>
      </c>
      <c r="F959" s="4" t="s">
        <v>361</v>
      </c>
      <c r="G959" s="4" t="s">
        <v>864</v>
      </c>
    </row>
    <row r="960" spans="1:7" x14ac:dyDescent="0.25">
      <c r="A960" s="4" t="s">
        <v>389</v>
      </c>
      <c r="B960" s="4" t="s">
        <v>387</v>
      </c>
      <c r="C960" s="4" t="s">
        <v>466</v>
      </c>
      <c r="D960" s="4" t="s">
        <v>588</v>
      </c>
      <c r="E960" s="4" t="s">
        <v>1787</v>
      </c>
      <c r="F960" s="4" t="s">
        <v>207</v>
      </c>
      <c r="G960" s="4" t="s">
        <v>865</v>
      </c>
    </row>
    <row r="961" spans="1:7" x14ac:dyDescent="0.25">
      <c r="A961" s="4" t="s">
        <v>389</v>
      </c>
      <c r="B961" s="4" t="s">
        <v>387</v>
      </c>
      <c r="C961" s="4" t="s">
        <v>466</v>
      </c>
      <c r="D961" s="4" t="s">
        <v>588</v>
      </c>
      <c r="E961" s="4" t="s">
        <v>1788</v>
      </c>
      <c r="F961" s="4" t="s">
        <v>207</v>
      </c>
      <c r="G961" s="4" t="s">
        <v>865</v>
      </c>
    </row>
    <row r="962" spans="1:7" x14ac:dyDescent="0.25">
      <c r="A962" s="4" t="s">
        <v>389</v>
      </c>
      <c r="B962" s="4" t="s">
        <v>387</v>
      </c>
      <c r="C962" s="4" t="s">
        <v>466</v>
      </c>
      <c r="D962" s="4" t="s">
        <v>589</v>
      </c>
      <c r="E962" s="4" t="s">
        <v>1789</v>
      </c>
      <c r="F962" s="4" t="s">
        <v>136</v>
      </c>
      <c r="G962" s="4" t="s">
        <v>390</v>
      </c>
    </row>
    <row r="963" spans="1:7" x14ac:dyDescent="0.25">
      <c r="A963" s="4" t="s">
        <v>389</v>
      </c>
      <c r="B963" s="4" t="s">
        <v>387</v>
      </c>
      <c r="C963" s="4" t="s">
        <v>466</v>
      </c>
      <c r="D963" s="4" t="s">
        <v>589</v>
      </c>
      <c r="E963" s="4" t="s">
        <v>1790</v>
      </c>
      <c r="F963" s="4" t="s">
        <v>136</v>
      </c>
      <c r="G963" s="4" t="s">
        <v>390</v>
      </c>
    </row>
    <row r="964" spans="1:7" x14ac:dyDescent="0.25">
      <c r="A964" s="4" t="s">
        <v>389</v>
      </c>
      <c r="B964" s="4" t="s">
        <v>387</v>
      </c>
      <c r="C964" s="4" t="s">
        <v>466</v>
      </c>
      <c r="D964" s="4" t="s">
        <v>589</v>
      </c>
      <c r="E964" s="4" t="s">
        <v>1791</v>
      </c>
      <c r="F964" s="4" t="s">
        <v>536</v>
      </c>
      <c r="G964" s="4" t="s">
        <v>864</v>
      </c>
    </row>
    <row r="965" spans="1:7" x14ac:dyDescent="0.25">
      <c r="A965" s="4" t="s">
        <v>389</v>
      </c>
      <c r="B965" s="4" t="s">
        <v>387</v>
      </c>
      <c r="C965" s="4" t="s">
        <v>466</v>
      </c>
      <c r="D965" s="4" t="s">
        <v>589</v>
      </c>
      <c r="E965" s="4" t="s">
        <v>1792</v>
      </c>
      <c r="F965" s="4" t="s">
        <v>536</v>
      </c>
      <c r="G965" s="4" t="s">
        <v>864</v>
      </c>
    </row>
    <row r="966" spans="1:7" x14ac:dyDescent="0.25">
      <c r="A966" s="4" t="s">
        <v>389</v>
      </c>
      <c r="B966" s="4" t="s">
        <v>387</v>
      </c>
      <c r="C966" s="4" t="s">
        <v>466</v>
      </c>
      <c r="D966" s="4" t="s">
        <v>589</v>
      </c>
      <c r="E966" s="4" t="s">
        <v>1793</v>
      </c>
      <c r="F966" s="4" t="s">
        <v>21</v>
      </c>
      <c r="G966" s="4" t="s">
        <v>865</v>
      </c>
    </row>
    <row r="967" spans="1:7" x14ac:dyDescent="0.25">
      <c r="A967" s="4" t="s">
        <v>389</v>
      </c>
      <c r="B967" s="4" t="s">
        <v>387</v>
      </c>
      <c r="C967" s="4" t="s">
        <v>466</v>
      </c>
      <c r="D967" s="4" t="s">
        <v>589</v>
      </c>
      <c r="E967" s="4" t="s">
        <v>1794</v>
      </c>
      <c r="F967" s="4" t="s">
        <v>21</v>
      </c>
      <c r="G967" s="4" t="s">
        <v>865</v>
      </c>
    </row>
    <row r="968" spans="1:7" x14ac:dyDescent="0.25">
      <c r="A968" s="4" t="s">
        <v>389</v>
      </c>
      <c r="B968" s="4" t="s">
        <v>387</v>
      </c>
      <c r="C968" s="4" t="s">
        <v>466</v>
      </c>
      <c r="D968" s="4" t="s">
        <v>590</v>
      </c>
      <c r="E968" s="4" t="s">
        <v>1789</v>
      </c>
      <c r="F968" s="4" t="s">
        <v>136</v>
      </c>
      <c r="G968" s="4" t="s">
        <v>390</v>
      </c>
    </row>
    <row r="969" spans="1:7" x14ac:dyDescent="0.25">
      <c r="A969" s="4" t="s">
        <v>389</v>
      </c>
      <c r="B969" s="4" t="s">
        <v>387</v>
      </c>
      <c r="C969" s="4" t="s">
        <v>466</v>
      </c>
      <c r="D969" s="4" t="s">
        <v>590</v>
      </c>
      <c r="E969" s="4" t="s">
        <v>1795</v>
      </c>
      <c r="F969" s="4" t="s">
        <v>136</v>
      </c>
      <c r="G969" s="4" t="s">
        <v>390</v>
      </c>
    </row>
    <row r="970" spans="1:7" x14ac:dyDescent="0.25">
      <c r="A970" s="4" t="s">
        <v>389</v>
      </c>
      <c r="B970" s="4" t="s">
        <v>387</v>
      </c>
      <c r="C970" s="4" t="s">
        <v>466</v>
      </c>
      <c r="D970" s="4" t="s">
        <v>590</v>
      </c>
      <c r="E970" s="4" t="s">
        <v>1796</v>
      </c>
      <c r="F970" s="4" t="s">
        <v>136</v>
      </c>
      <c r="G970" s="4" t="s">
        <v>390</v>
      </c>
    </row>
    <row r="971" spans="1:7" x14ac:dyDescent="0.25">
      <c r="A971" s="4" t="s">
        <v>389</v>
      </c>
      <c r="B971" s="4" t="s">
        <v>387</v>
      </c>
      <c r="C971" s="4" t="s">
        <v>466</v>
      </c>
      <c r="D971" s="4" t="s">
        <v>590</v>
      </c>
      <c r="E971" s="4" t="s">
        <v>1790</v>
      </c>
      <c r="F971" s="4" t="s">
        <v>136</v>
      </c>
      <c r="G971" s="4" t="s">
        <v>390</v>
      </c>
    </row>
    <row r="972" spans="1:7" x14ac:dyDescent="0.25">
      <c r="A972" s="4" t="s">
        <v>389</v>
      </c>
      <c r="B972" s="4" t="s">
        <v>387</v>
      </c>
      <c r="C972" s="4" t="s">
        <v>466</v>
      </c>
      <c r="D972" s="4" t="s">
        <v>590</v>
      </c>
      <c r="E972" s="4" t="s">
        <v>1797</v>
      </c>
      <c r="F972" s="4" t="s">
        <v>311</v>
      </c>
      <c r="G972" s="4" t="s">
        <v>864</v>
      </c>
    </row>
    <row r="973" spans="1:7" x14ac:dyDescent="0.25">
      <c r="A973" s="4" t="s">
        <v>389</v>
      </c>
      <c r="B973" s="4" t="s">
        <v>387</v>
      </c>
      <c r="C973" s="4" t="s">
        <v>466</v>
      </c>
      <c r="D973" s="4" t="s">
        <v>590</v>
      </c>
      <c r="E973" s="4" t="s">
        <v>1798</v>
      </c>
      <c r="F973" s="4" t="s">
        <v>311</v>
      </c>
      <c r="G973" s="4" t="s">
        <v>864</v>
      </c>
    </row>
    <row r="974" spans="1:7" x14ac:dyDescent="0.25">
      <c r="A974" s="4" t="s">
        <v>389</v>
      </c>
      <c r="B974" s="4" t="s">
        <v>387</v>
      </c>
      <c r="C974" s="4" t="s">
        <v>466</v>
      </c>
      <c r="D974" s="4" t="s">
        <v>590</v>
      </c>
      <c r="E974" s="4" t="s">
        <v>1799</v>
      </c>
      <c r="F974" s="4" t="s">
        <v>311</v>
      </c>
      <c r="G974" s="4" t="s">
        <v>864</v>
      </c>
    </row>
    <row r="975" spans="1:7" x14ac:dyDescent="0.25">
      <c r="A975" s="4" t="s">
        <v>389</v>
      </c>
      <c r="B975" s="4" t="s">
        <v>387</v>
      </c>
      <c r="C975" s="4" t="s">
        <v>466</v>
      </c>
      <c r="D975" s="4" t="s">
        <v>590</v>
      </c>
      <c r="E975" s="4" t="s">
        <v>1800</v>
      </c>
      <c r="F975" s="4" t="s">
        <v>311</v>
      </c>
      <c r="G975" s="4" t="s">
        <v>864</v>
      </c>
    </row>
    <row r="976" spans="1:7" x14ac:dyDescent="0.25">
      <c r="A976" s="4" t="s">
        <v>389</v>
      </c>
      <c r="B976" s="4" t="s">
        <v>387</v>
      </c>
      <c r="C976" s="4" t="s">
        <v>466</v>
      </c>
      <c r="D976" s="4" t="s">
        <v>590</v>
      </c>
      <c r="E976" s="4" t="s">
        <v>1801</v>
      </c>
      <c r="F976" s="4" t="s">
        <v>98</v>
      </c>
      <c r="G976" s="4" t="s">
        <v>865</v>
      </c>
    </row>
    <row r="977" spans="1:7" x14ac:dyDescent="0.25">
      <c r="A977" s="4" t="s">
        <v>389</v>
      </c>
      <c r="B977" s="4" t="s">
        <v>387</v>
      </c>
      <c r="C977" s="4" t="s">
        <v>466</v>
      </c>
      <c r="D977" s="4" t="s">
        <v>590</v>
      </c>
      <c r="E977" s="4" t="s">
        <v>1802</v>
      </c>
      <c r="F977" s="4" t="s">
        <v>98</v>
      </c>
      <c r="G977" s="4" t="s">
        <v>865</v>
      </c>
    </row>
    <row r="978" spans="1:7" x14ac:dyDescent="0.25">
      <c r="A978" s="4" t="s">
        <v>389</v>
      </c>
      <c r="B978" s="4" t="s">
        <v>387</v>
      </c>
      <c r="C978" s="4" t="s">
        <v>466</v>
      </c>
      <c r="D978" s="4" t="s">
        <v>590</v>
      </c>
      <c r="E978" s="4" t="s">
        <v>1331</v>
      </c>
      <c r="F978" s="4" t="s">
        <v>98</v>
      </c>
      <c r="G978" s="4" t="s">
        <v>865</v>
      </c>
    </row>
    <row r="979" spans="1:7" x14ac:dyDescent="0.25">
      <c r="A979" s="4" t="s">
        <v>389</v>
      </c>
      <c r="B979" s="4" t="s">
        <v>387</v>
      </c>
      <c r="C979" s="4" t="s">
        <v>466</v>
      </c>
      <c r="D979" s="4" t="s">
        <v>590</v>
      </c>
      <c r="E979" s="4" t="s">
        <v>1803</v>
      </c>
      <c r="F979" s="4" t="s">
        <v>98</v>
      </c>
      <c r="G979" s="4" t="s">
        <v>865</v>
      </c>
    </row>
    <row r="980" spans="1:7" x14ac:dyDescent="0.25">
      <c r="A980" s="4" t="s">
        <v>389</v>
      </c>
      <c r="B980" s="4" t="s">
        <v>387</v>
      </c>
      <c r="C980" s="4" t="s">
        <v>466</v>
      </c>
      <c r="D980" s="4" t="s">
        <v>593</v>
      </c>
      <c r="E980" s="4" t="s">
        <v>1146</v>
      </c>
      <c r="F980" s="4" t="s">
        <v>136</v>
      </c>
      <c r="G980" s="4" t="s">
        <v>390</v>
      </c>
    </row>
    <row r="981" spans="1:7" x14ac:dyDescent="0.25">
      <c r="A981" s="4" t="s">
        <v>389</v>
      </c>
      <c r="B981" s="4" t="s">
        <v>387</v>
      </c>
      <c r="C981" s="4" t="s">
        <v>466</v>
      </c>
      <c r="D981" s="4" t="s">
        <v>593</v>
      </c>
      <c r="E981" s="4" t="s">
        <v>1804</v>
      </c>
      <c r="F981" s="4" t="s">
        <v>136</v>
      </c>
      <c r="G981" s="4" t="s">
        <v>390</v>
      </c>
    </row>
    <row r="982" spans="1:7" x14ac:dyDescent="0.25">
      <c r="A982" s="4" t="s">
        <v>389</v>
      </c>
      <c r="B982" s="4" t="s">
        <v>387</v>
      </c>
      <c r="C982" s="4" t="s">
        <v>466</v>
      </c>
      <c r="D982" s="4" t="s">
        <v>593</v>
      </c>
      <c r="E982" s="4" t="s">
        <v>1805</v>
      </c>
      <c r="F982" s="4" t="s">
        <v>51</v>
      </c>
      <c r="G982" s="4" t="s">
        <v>864</v>
      </c>
    </row>
    <row r="983" spans="1:7" x14ac:dyDescent="0.25">
      <c r="A983" s="4" t="s">
        <v>389</v>
      </c>
      <c r="B983" s="4" t="s">
        <v>387</v>
      </c>
      <c r="C983" s="4" t="s">
        <v>466</v>
      </c>
      <c r="D983" s="4" t="s">
        <v>593</v>
      </c>
      <c r="E983" s="4" t="s">
        <v>1333</v>
      </c>
      <c r="F983" s="4" t="s">
        <v>51</v>
      </c>
      <c r="G983" s="4" t="s">
        <v>864</v>
      </c>
    </row>
    <row r="984" spans="1:7" x14ac:dyDescent="0.25">
      <c r="A984" s="4" t="s">
        <v>389</v>
      </c>
      <c r="B984" s="4" t="s">
        <v>387</v>
      </c>
      <c r="C984" s="4" t="s">
        <v>466</v>
      </c>
      <c r="D984" s="4" t="s">
        <v>593</v>
      </c>
      <c r="E984" s="4" t="s">
        <v>1806</v>
      </c>
      <c r="F984" s="4" t="s">
        <v>358</v>
      </c>
      <c r="G984" s="4" t="s">
        <v>865</v>
      </c>
    </row>
    <row r="985" spans="1:7" x14ac:dyDescent="0.25">
      <c r="A985" s="4" t="s">
        <v>389</v>
      </c>
      <c r="B985" s="4" t="s">
        <v>387</v>
      </c>
      <c r="C985" s="4" t="s">
        <v>466</v>
      </c>
      <c r="D985" s="4" t="s">
        <v>593</v>
      </c>
      <c r="E985" s="4" t="s">
        <v>1807</v>
      </c>
      <c r="F985" s="4" t="s">
        <v>358</v>
      </c>
      <c r="G985" s="4" t="s">
        <v>865</v>
      </c>
    </row>
    <row r="986" spans="1:7" x14ac:dyDescent="0.25">
      <c r="A986" s="4" t="s">
        <v>389</v>
      </c>
      <c r="B986" s="4" t="s">
        <v>394</v>
      </c>
      <c r="C986" s="4" t="s">
        <v>466</v>
      </c>
      <c r="D986" s="4" t="s">
        <v>596</v>
      </c>
      <c r="E986" s="4" t="s">
        <v>1808</v>
      </c>
      <c r="F986" s="4" t="s">
        <v>159</v>
      </c>
      <c r="G986" s="4" t="s">
        <v>390</v>
      </c>
    </row>
    <row r="987" spans="1:7" x14ac:dyDescent="0.25">
      <c r="A987" s="4" t="s">
        <v>389</v>
      </c>
      <c r="B987" s="4" t="s">
        <v>394</v>
      </c>
      <c r="C987" s="4" t="s">
        <v>466</v>
      </c>
      <c r="D987" s="4" t="s">
        <v>596</v>
      </c>
      <c r="E987" s="4" t="s">
        <v>1148</v>
      </c>
      <c r="F987" s="4" t="s">
        <v>159</v>
      </c>
      <c r="G987" s="4" t="s">
        <v>390</v>
      </c>
    </row>
    <row r="988" spans="1:7" x14ac:dyDescent="0.25">
      <c r="A988" s="4" t="s">
        <v>389</v>
      </c>
      <c r="B988" s="4" t="s">
        <v>394</v>
      </c>
      <c r="C988" s="4" t="s">
        <v>466</v>
      </c>
      <c r="D988" s="4" t="s">
        <v>596</v>
      </c>
      <c r="E988" s="4" t="s">
        <v>1809</v>
      </c>
      <c r="F988" s="4" t="s">
        <v>136</v>
      </c>
      <c r="G988" s="4" t="s">
        <v>864</v>
      </c>
    </row>
    <row r="989" spans="1:7" x14ac:dyDescent="0.25">
      <c r="A989" s="4" t="s">
        <v>389</v>
      </c>
      <c r="B989" s="4" t="s">
        <v>394</v>
      </c>
      <c r="C989" s="4" t="s">
        <v>466</v>
      </c>
      <c r="D989" s="4" t="s">
        <v>596</v>
      </c>
      <c r="E989" s="4" t="s">
        <v>1810</v>
      </c>
      <c r="F989" s="4" t="s">
        <v>136</v>
      </c>
      <c r="G989" s="4" t="s">
        <v>864</v>
      </c>
    </row>
    <row r="990" spans="1:7" x14ac:dyDescent="0.25">
      <c r="A990" s="4" t="s">
        <v>389</v>
      </c>
      <c r="B990" s="4" t="s">
        <v>394</v>
      </c>
      <c r="C990" s="4" t="s">
        <v>466</v>
      </c>
      <c r="D990" s="4" t="s">
        <v>596</v>
      </c>
      <c r="E990" s="4" t="s">
        <v>1811</v>
      </c>
      <c r="F990" s="4" t="s">
        <v>280</v>
      </c>
      <c r="G990" s="4" t="s">
        <v>865</v>
      </c>
    </row>
    <row r="991" spans="1:7" x14ac:dyDescent="0.25">
      <c r="A991" s="4" t="s">
        <v>389</v>
      </c>
      <c r="B991" s="4" t="s">
        <v>394</v>
      </c>
      <c r="C991" s="4" t="s">
        <v>466</v>
      </c>
      <c r="D991" s="4" t="s">
        <v>596</v>
      </c>
      <c r="E991" s="4" t="s">
        <v>1812</v>
      </c>
      <c r="F991" s="4" t="s">
        <v>280</v>
      </c>
      <c r="G991" s="4" t="s">
        <v>865</v>
      </c>
    </row>
    <row r="992" spans="1:7" x14ac:dyDescent="0.25">
      <c r="A992" s="4" t="s">
        <v>389</v>
      </c>
      <c r="B992" s="4" t="s">
        <v>394</v>
      </c>
      <c r="C992" s="4" t="s">
        <v>466</v>
      </c>
      <c r="D992" s="4" t="s">
        <v>597</v>
      </c>
      <c r="E992" s="4" t="s">
        <v>1808</v>
      </c>
      <c r="F992" s="4" t="s">
        <v>159</v>
      </c>
      <c r="G992" s="4" t="s">
        <v>390</v>
      </c>
    </row>
    <row r="993" spans="1:7" x14ac:dyDescent="0.25">
      <c r="A993" s="4" t="s">
        <v>389</v>
      </c>
      <c r="B993" s="4" t="s">
        <v>394</v>
      </c>
      <c r="C993" s="4" t="s">
        <v>466</v>
      </c>
      <c r="D993" s="4" t="s">
        <v>597</v>
      </c>
      <c r="E993" s="4" t="s">
        <v>1148</v>
      </c>
      <c r="F993" s="4" t="s">
        <v>159</v>
      </c>
      <c r="G993" s="4" t="s">
        <v>390</v>
      </c>
    </row>
    <row r="994" spans="1:7" x14ac:dyDescent="0.25">
      <c r="A994" s="4" t="s">
        <v>389</v>
      </c>
      <c r="B994" s="4" t="s">
        <v>394</v>
      </c>
      <c r="C994" s="4" t="s">
        <v>466</v>
      </c>
      <c r="D994" s="4" t="s">
        <v>597</v>
      </c>
      <c r="E994" s="4" t="s">
        <v>1813</v>
      </c>
      <c r="F994" s="4" t="s">
        <v>159</v>
      </c>
      <c r="G994" s="4" t="s">
        <v>390</v>
      </c>
    </row>
    <row r="995" spans="1:7" x14ac:dyDescent="0.25">
      <c r="A995" s="4" t="s">
        <v>389</v>
      </c>
      <c r="B995" s="4" t="s">
        <v>394</v>
      </c>
      <c r="C995" s="4" t="s">
        <v>466</v>
      </c>
      <c r="D995" s="4" t="s">
        <v>597</v>
      </c>
      <c r="E995" s="4" t="s">
        <v>1814</v>
      </c>
      <c r="F995" s="4" t="s">
        <v>159</v>
      </c>
      <c r="G995" s="4" t="s">
        <v>390</v>
      </c>
    </row>
    <row r="996" spans="1:7" x14ac:dyDescent="0.25">
      <c r="A996" s="4" t="s">
        <v>389</v>
      </c>
      <c r="B996" s="4" t="s">
        <v>394</v>
      </c>
      <c r="C996" s="4" t="s">
        <v>466</v>
      </c>
      <c r="D996" s="4" t="s">
        <v>597</v>
      </c>
      <c r="E996" s="4" t="s">
        <v>1815</v>
      </c>
      <c r="F996" s="4" t="s">
        <v>136</v>
      </c>
      <c r="G996" s="4" t="s">
        <v>864</v>
      </c>
    </row>
    <row r="997" spans="1:7" x14ac:dyDescent="0.25">
      <c r="A997" s="4" t="s">
        <v>389</v>
      </c>
      <c r="B997" s="4" t="s">
        <v>394</v>
      </c>
      <c r="C997" s="4" t="s">
        <v>466</v>
      </c>
      <c r="D997" s="4" t="s">
        <v>597</v>
      </c>
      <c r="E997" s="4" t="s">
        <v>1809</v>
      </c>
      <c r="F997" s="4" t="s">
        <v>136</v>
      </c>
      <c r="G997" s="4" t="s">
        <v>864</v>
      </c>
    </row>
    <row r="998" spans="1:7" x14ac:dyDescent="0.25">
      <c r="A998" s="4" t="s">
        <v>389</v>
      </c>
      <c r="B998" s="4" t="s">
        <v>394</v>
      </c>
      <c r="C998" s="4" t="s">
        <v>466</v>
      </c>
      <c r="D998" s="4" t="s">
        <v>597</v>
      </c>
      <c r="E998" s="4" t="s">
        <v>1816</v>
      </c>
      <c r="F998" s="4" t="s">
        <v>136</v>
      </c>
      <c r="G998" s="4" t="s">
        <v>864</v>
      </c>
    </row>
    <row r="999" spans="1:7" x14ac:dyDescent="0.25">
      <c r="A999" s="4" t="s">
        <v>389</v>
      </c>
      <c r="B999" s="4" t="s">
        <v>394</v>
      </c>
      <c r="C999" s="4" t="s">
        <v>466</v>
      </c>
      <c r="D999" s="4" t="s">
        <v>597</v>
      </c>
      <c r="E999" s="4" t="s">
        <v>1810</v>
      </c>
      <c r="F999" s="4" t="s">
        <v>136</v>
      </c>
      <c r="G999" s="4" t="s">
        <v>864</v>
      </c>
    </row>
    <row r="1000" spans="1:7" x14ac:dyDescent="0.25">
      <c r="A1000" s="4" t="s">
        <v>389</v>
      </c>
      <c r="B1000" s="4" t="s">
        <v>394</v>
      </c>
      <c r="C1000" s="4" t="s">
        <v>466</v>
      </c>
      <c r="D1000" s="4" t="s">
        <v>597</v>
      </c>
      <c r="E1000" s="4" t="s">
        <v>1817</v>
      </c>
      <c r="F1000" s="4" t="s">
        <v>35</v>
      </c>
      <c r="G1000" s="4" t="s">
        <v>865</v>
      </c>
    </row>
    <row r="1001" spans="1:7" x14ac:dyDescent="0.25">
      <c r="A1001" s="4" t="s">
        <v>389</v>
      </c>
      <c r="B1001" s="4" t="s">
        <v>394</v>
      </c>
      <c r="C1001" s="4" t="s">
        <v>466</v>
      </c>
      <c r="D1001" s="4" t="s">
        <v>597</v>
      </c>
      <c r="E1001" s="4" t="s">
        <v>1818</v>
      </c>
      <c r="F1001" s="4" t="s">
        <v>35</v>
      </c>
      <c r="G1001" s="4" t="s">
        <v>865</v>
      </c>
    </row>
    <row r="1002" spans="1:7" x14ac:dyDescent="0.25">
      <c r="A1002" s="4" t="s">
        <v>389</v>
      </c>
      <c r="B1002" s="4" t="s">
        <v>394</v>
      </c>
      <c r="C1002" s="4" t="s">
        <v>466</v>
      </c>
      <c r="D1002" s="4" t="s">
        <v>597</v>
      </c>
      <c r="E1002" s="4" t="s">
        <v>1819</v>
      </c>
      <c r="F1002" s="4" t="s">
        <v>35</v>
      </c>
      <c r="G1002" s="4" t="s">
        <v>865</v>
      </c>
    </row>
    <row r="1003" spans="1:7" x14ac:dyDescent="0.25">
      <c r="A1003" s="4" t="s">
        <v>389</v>
      </c>
      <c r="B1003" s="4" t="s">
        <v>394</v>
      </c>
      <c r="C1003" s="4" t="s">
        <v>466</v>
      </c>
      <c r="D1003" s="4" t="s">
        <v>597</v>
      </c>
      <c r="E1003" s="4" t="s">
        <v>1820</v>
      </c>
      <c r="F1003" s="4" t="s">
        <v>35</v>
      </c>
      <c r="G1003" s="4" t="s">
        <v>865</v>
      </c>
    </row>
    <row r="1004" spans="1:7" x14ac:dyDescent="0.25">
      <c r="A1004" s="4" t="s">
        <v>389</v>
      </c>
      <c r="B1004" s="4" t="s">
        <v>387</v>
      </c>
      <c r="C1004" s="4" t="s">
        <v>470</v>
      </c>
      <c r="D1004" s="4" t="s">
        <v>612</v>
      </c>
      <c r="E1004" s="4" t="s">
        <v>1821</v>
      </c>
      <c r="F1004" s="4" t="s">
        <v>361</v>
      </c>
      <c r="G1004" s="4" t="s">
        <v>390</v>
      </c>
    </row>
    <row r="1005" spans="1:7" x14ac:dyDescent="0.25">
      <c r="A1005" s="4" t="s">
        <v>389</v>
      </c>
      <c r="B1005" s="4" t="s">
        <v>387</v>
      </c>
      <c r="C1005" s="4" t="s">
        <v>470</v>
      </c>
      <c r="D1005" s="4" t="s">
        <v>612</v>
      </c>
      <c r="E1005" s="4" t="s">
        <v>1156</v>
      </c>
      <c r="F1005" s="4" t="s">
        <v>361</v>
      </c>
      <c r="G1005" s="4" t="s">
        <v>390</v>
      </c>
    </row>
    <row r="1006" spans="1:7" x14ac:dyDescent="0.25">
      <c r="A1006" s="4" t="s">
        <v>389</v>
      </c>
      <c r="B1006" s="4" t="s">
        <v>387</v>
      </c>
      <c r="C1006" s="4" t="s">
        <v>470</v>
      </c>
      <c r="D1006" s="4" t="s">
        <v>612</v>
      </c>
      <c r="E1006" s="4" t="s">
        <v>1343</v>
      </c>
      <c r="F1006" s="4" t="s">
        <v>361</v>
      </c>
      <c r="G1006" s="4" t="s">
        <v>390</v>
      </c>
    </row>
    <row r="1007" spans="1:7" x14ac:dyDescent="0.25">
      <c r="A1007" s="4" t="s">
        <v>389</v>
      </c>
      <c r="B1007" s="4" t="s">
        <v>387</v>
      </c>
      <c r="C1007" s="4" t="s">
        <v>470</v>
      </c>
      <c r="D1007" s="4" t="s">
        <v>612</v>
      </c>
      <c r="E1007" s="4" t="s">
        <v>1822</v>
      </c>
      <c r="F1007" s="4" t="s">
        <v>253</v>
      </c>
      <c r="G1007" s="4" t="s">
        <v>864</v>
      </c>
    </row>
    <row r="1008" spans="1:7" x14ac:dyDescent="0.25">
      <c r="A1008" s="4" t="s">
        <v>389</v>
      </c>
      <c r="B1008" s="4" t="s">
        <v>387</v>
      </c>
      <c r="C1008" s="4" t="s">
        <v>470</v>
      </c>
      <c r="D1008" s="4" t="s">
        <v>612</v>
      </c>
      <c r="E1008" s="4" t="s">
        <v>1823</v>
      </c>
      <c r="F1008" s="4" t="s">
        <v>253</v>
      </c>
      <c r="G1008" s="4" t="s">
        <v>864</v>
      </c>
    </row>
    <row r="1009" spans="1:7" x14ac:dyDescent="0.25">
      <c r="A1009" s="4" t="s">
        <v>389</v>
      </c>
      <c r="B1009" s="4" t="s">
        <v>387</v>
      </c>
      <c r="C1009" s="4" t="s">
        <v>470</v>
      </c>
      <c r="D1009" s="4" t="s">
        <v>612</v>
      </c>
      <c r="E1009" s="4" t="s">
        <v>1824</v>
      </c>
      <c r="F1009" s="4" t="s">
        <v>253</v>
      </c>
      <c r="G1009" s="4" t="s">
        <v>864</v>
      </c>
    </row>
    <row r="1010" spans="1:7" x14ac:dyDescent="0.25">
      <c r="A1010" s="4" t="s">
        <v>389</v>
      </c>
      <c r="B1010" s="4" t="s">
        <v>387</v>
      </c>
      <c r="C1010" s="4" t="s">
        <v>470</v>
      </c>
      <c r="D1010" s="4" t="s">
        <v>612</v>
      </c>
      <c r="E1010" s="4" t="s">
        <v>1825</v>
      </c>
      <c r="F1010" s="4" t="s">
        <v>128</v>
      </c>
      <c r="G1010" s="4" t="s">
        <v>865</v>
      </c>
    </row>
    <row r="1011" spans="1:7" x14ac:dyDescent="0.25">
      <c r="A1011" s="4" t="s">
        <v>389</v>
      </c>
      <c r="B1011" s="4" t="s">
        <v>387</v>
      </c>
      <c r="C1011" s="4" t="s">
        <v>470</v>
      </c>
      <c r="D1011" s="4" t="s">
        <v>612</v>
      </c>
      <c r="E1011" s="4" t="s">
        <v>1826</v>
      </c>
      <c r="F1011" s="4" t="s">
        <v>128</v>
      </c>
      <c r="G1011" s="4" t="s">
        <v>865</v>
      </c>
    </row>
    <row r="1012" spans="1:7" x14ac:dyDescent="0.25">
      <c r="A1012" s="4" t="s">
        <v>389</v>
      </c>
      <c r="B1012" s="4" t="s">
        <v>387</v>
      </c>
      <c r="C1012" s="4" t="s">
        <v>470</v>
      </c>
      <c r="D1012" s="4" t="s">
        <v>612</v>
      </c>
      <c r="E1012" s="4" t="s">
        <v>1827</v>
      </c>
      <c r="F1012" s="4" t="s">
        <v>128</v>
      </c>
      <c r="G1012" s="4" t="s">
        <v>865</v>
      </c>
    </row>
    <row r="1013" spans="1:7" x14ac:dyDescent="0.25">
      <c r="A1013" s="4" t="s">
        <v>389</v>
      </c>
      <c r="B1013" s="4" t="s">
        <v>394</v>
      </c>
      <c r="C1013" s="4" t="s">
        <v>470</v>
      </c>
      <c r="D1013" s="4" t="s">
        <v>613</v>
      </c>
      <c r="E1013" s="4" t="s">
        <v>1828</v>
      </c>
      <c r="F1013" s="4" t="s">
        <v>77</v>
      </c>
      <c r="G1013" s="4" t="s">
        <v>390</v>
      </c>
    </row>
    <row r="1014" spans="1:7" x14ac:dyDescent="0.25">
      <c r="A1014" s="4" t="s">
        <v>389</v>
      </c>
      <c r="B1014" s="4" t="s">
        <v>394</v>
      </c>
      <c r="C1014" s="4" t="s">
        <v>470</v>
      </c>
      <c r="D1014" s="4" t="s">
        <v>613</v>
      </c>
      <c r="E1014" s="4" t="s">
        <v>1829</v>
      </c>
      <c r="F1014" s="4" t="s">
        <v>77</v>
      </c>
      <c r="G1014" s="4" t="s">
        <v>390</v>
      </c>
    </row>
    <row r="1015" spans="1:7" x14ac:dyDescent="0.25">
      <c r="A1015" s="4" t="s">
        <v>389</v>
      </c>
      <c r="B1015" s="4" t="s">
        <v>394</v>
      </c>
      <c r="C1015" s="4" t="s">
        <v>470</v>
      </c>
      <c r="D1015" s="4" t="s">
        <v>613</v>
      </c>
      <c r="E1015" s="4" t="s">
        <v>1830</v>
      </c>
      <c r="F1015" s="4" t="s">
        <v>287</v>
      </c>
      <c r="G1015" s="4" t="s">
        <v>864</v>
      </c>
    </row>
    <row r="1016" spans="1:7" x14ac:dyDescent="0.25">
      <c r="A1016" s="4" t="s">
        <v>389</v>
      </c>
      <c r="B1016" s="4" t="s">
        <v>394</v>
      </c>
      <c r="C1016" s="4" t="s">
        <v>470</v>
      </c>
      <c r="D1016" s="4" t="s">
        <v>613</v>
      </c>
      <c r="E1016" s="4" t="s">
        <v>1831</v>
      </c>
      <c r="F1016" s="4" t="s">
        <v>287</v>
      </c>
      <c r="G1016" s="4" t="s">
        <v>864</v>
      </c>
    </row>
    <row r="1017" spans="1:7" x14ac:dyDescent="0.25">
      <c r="A1017" s="4" t="s">
        <v>389</v>
      </c>
      <c r="B1017" s="4" t="s">
        <v>394</v>
      </c>
      <c r="C1017" s="4" t="s">
        <v>470</v>
      </c>
      <c r="D1017" s="4" t="s">
        <v>613</v>
      </c>
      <c r="E1017" s="4" t="s">
        <v>1157</v>
      </c>
      <c r="F1017" s="4" t="s">
        <v>136</v>
      </c>
      <c r="G1017" s="4" t="s">
        <v>865</v>
      </c>
    </row>
    <row r="1018" spans="1:7" x14ac:dyDescent="0.25">
      <c r="A1018" s="4" t="s">
        <v>389</v>
      </c>
      <c r="B1018" s="4" t="s">
        <v>394</v>
      </c>
      <c r="C1018" s="4" t="s">
        <v>470</v>
      </c>
      <c r="D1018" s="4" t="s">
        <v>613</v>
      </c>
      <c r="E1018" s="4" t="s">
        <v>1832</v>
      </c>
      <c r="F1018" s="4" t="s">
        <v>136</v>
      </c>
      <c r="G1018" s="4" t="s">
        <v>865</v>
      </c>
    </row>
    <row r="1019" spans="1:7" x14ac:dyDescent="0.25">
      <c r="A1019" s="4" t="s">
        <v>389</v>
      </c>
      <c r="B1019" s="4" t="s">
        <v>387</v>
      </c>
      <c r="C1019" s="4" t="s">
        <v>470</v>
      </c>
      <c r="D1019" s="4" t="s">
        <v>614</v>
      </c>
      <c r="E1019" s="4" t="s">
        <v>1833</v>
      </c>
      <c r="F1019" s="4" t="s">
        <v>361</v>
      </c>
      <c r="G1019" s="4" t="s">
        <v>390</v>
      </c>
    </row>
    <row r="1020" spans="1:7" x14ac:dyDescent="0.25">
      <c r="A1020" s="4" t="s">
        <v>389</v>
      </c>
      <c r="B1020" s="4" t="s">
        <v>387</v>
      </c>
      <c r="C1020" s="4" t="s">
        <v>470</v>
      </c>
      <c r="D1020" s="4" t="s">
        <v>614</v>
      </c>
      <c r="E1020" s="4" t="s">
        <v>1834</v>
      </c>
      <c r="F1020" s="4" t="s">
        <v>361</v>
      </c>
      <c r="G1020" s="4" t="s">
        <v>390</v>
      </c>
    </row>
    <row r="1021" spans="1:7" x14ac:dyDescent="0.25">
      <c r="A1021" s="4" t="s">
        <v>389</v>
      </c>
      <c r="B1021" s="4" t="s">
        <v>387</v>
      </c>
      <c r="C1021" s="4" t="s">
        <v>470</v>
      </c>
      <c r="D1021" s="4" t="s">
        <v>614</v>
      </c>
      <c r="E1021" s="4" t="s">
        <v>1835</v>
      </c>
      <c r="F1021" s="4" t="s">
        <v>361</v>
      </c>
      <c r="G1021" s="4" t="s">
        <v>390</v>
      </c>
    </row>
    <row r="1022" spans="1:7" x14ac:dyDescent="0.25">
      <c r="A1022" s="4" t="s">
        <v>389</v>
      </c>
      <c r="B1022" s="4" t="s">
        <v>387</v>
      </c>
      <c r="C1022" s="4" t="s">
        <v>470</v>
      </c>
      <c r="D1022" s="4" t="s">
        <v>614</v>
      </c>
      <c r="E1022" s="4" t="s">
        <v>1836</v>
      </c>
      <c r="F1022" s="4" t="s">
        <v>361</v>
      </c>
      <c r="G1022" s="4" t="s">
        <v>390</v>
      </c>
    </row>
    <row r="1023" spans="1:7" x14ac:dyDescent="0.25">
      <c r="A1023" s="4" t="s">
        <v>389</v>
      </c>
      <c r="B1023" s="4" t="s">
        <v>387</v>
      </c>
      <c r="C1023" s="4" t="s">
        <v>470</v>
      </c>
      <c r="D1023" s="4" t="s">
        <v>614</v>
      </c>
      <c r="E1023" s="4" t="s">
        <v>1837</v>
      </c>
      <c r="F1023" s="4" t="s">
        <v>21</v>
      </c>
      <c r="G1023" s="4" t="s">
        <v>864</v>
      </c>
    </row>
    <row r="1024" spans="1:7" x14ac:dyDescent="0.25">
      <c r="A1024" s="4" t="s">
        <v>389</v>
      </c>
      <c r="B1024" s="4" t="s">
        <v>387</v>
      </c>
      <c r="C1024" s="4" t="s">
        <v>470</v>
      </c>
      <c r="D1024" s="4" t="s">
        <v>614</v>
      </c>
      <c r="E1024" s="4" t="s">
        <v>1838</v>
      </c>
      <c r="F1024" s="4" t="s">
        <v>21</v>
      </c>
      <c r="G1024" s="4" t="s">
        <v>864</v>
      </c>
    </row>
    <row r="1025" spans="1:7" x14ac:dyDescent="0.25">
      <c r="A1025" s="4" t="s">
        <v>389</v>
      </c>
      <c r="B1025" s="4" t="s">
        <v>387</v>
      </c>
      <c r="C1025" s="4" t="s">
        <v>470</v>
      </c>
      <c r="D1025" s="4" t="s">
        <v>614</v>
      </c>
      <c r="E1025" s="4" t="s">
        <v>1839</v>
      </c>
      <c r="F1025" s="4" t="s">
        <v>21</v>
      </c>
      <c r="G1025" s="4" t="s">
        <v>864</v>
      </c>
    </row>
    <row r="1026" spans="1:7" x14ac:dyDescent="0.25">
      <c r="A1026" s="4" t="s">
        <v>389</v>
      </c>
      <c r="B1026" s="4" t="s">
        <v>387</v>
      </c>
      <c r="C1026" s="4" t="s">
        <v>470</v>
      </c>
      <c r="D1026" s="4" t="s">
        <v>614</v>
      </c>
      <c r="E1026" s="4" t="s">
        <v>1840</v>
      </c>
      <c r="F1026" s="4" t="s">
        <v>21</v>
      </c>
      <c r="G1026" s="4" t="s">
        <v>864</v>
      </c>
    </row>
    <row r="1027" spans="1:7" x14ac:dyDescent="0.25">
      <c r="A1027" s="4" t="s">
        <v>389</v>
      </c>
      <c r="B1027" s="4" t="s">
        <v>387</v>
      </c>
      <c r="C1027" s="4" t="s">
        <v>470</v>
      </c>
      <c r="D1027" s="4" t="s">
        <v>614</v>
      </c>
      <c r="E1027" s="4" t="s">
        <v>1841</v>
      </c>
      <c r="F1027" s="4" t="s">
        <v>21</v>
      </c>
      <c r="G1027" s="4" t="s">
        <v>864</v>
      </c>
    </row>
    <row r="1028" spans="1:7" x14ac:dyDescent="0.25">
      <c r="A1028" s="4" t="s">
        <v>389</v>
      </c>
      <c r="B1028" s="4" t="s">
        <v>387</v>
      </c>
      <c r="C1028" s="4" t="s">
        <v>470</v>
      </c>
      <c r="D1028" s="4" t="s">
        <v>614</v>
      </c>
      <c r="E1028" s="4" t="s">
        <v>1516</v>
      </c>
      <c r="F1028" s="4" t="s">
        <v>100</v>
      </c>
      <c r="G1028" s="4" t="s">
        <v>865</v>
      </c>
    </row>
    <row r="1029" spans="1:7" x14ac:dyDescent="0.25">
      <c r="A1029" s="4" t="s">
        <v>389</v>
      </c>
      <c r="B1029" s="4" t="s">
        <v>387</v>
      </c>
      <c r="C1029" s="4" t="s">
        <v>470</v>
      </c>
      <c r="D1029" s="4" t="s">
        <v>614</v>
      </c>
      <c r="E1029" s="4" t="s">
        <v>1842</v>
      </c>
      <c r="F1029" s="4" t="s">
        <v>100</v>
      </c>
      <c r="G1029" s="4" t="s">
        <v>865</v>
      </c>
    </row>
    <row r="1030" spans="1:7" x14ac:dyDescent="0.25">
      <c r="A1030" s="4" t="s">
        <v>389</v>
      </c>
      <c r="B1030" s="4" t="s">
        <v>387</v>
      </c>
      <c r="C1030" s="4" t="s">
        <v>470</v>
      </c>
      <c r="D1030" s="4" t="s">
        <v>614</v>
      </c>
      <c r="E1030" s="4" t="s">
        <v>1843</v>
      </c>
      <c r="F1030" s="4" t="s">
        <v>100</v>
      </c>
      <c r="G1030" s="4" t="s">
        <v>865</v>
      </c>
    </row>
    <row r="1031" spans="1:7" x14ac:dyDescent="0.25">
      <c r="A1031" s="4" t="s">
        <v>389</v>
      </c>
      <c r="B1031" s="4" t="s">
        <v>387</v>
      </c>
      <c r="C1031" s="4" t="s">
        <v>470</v>
      </c>
      <c r="D1031" s="4" t="s">
        <v>614</v>
      </c>
      <c r="E1031" s="4" t="s">
        <v>1844</v>
      </c>
      <c r="F1031" s="4" t="s">
        <v>100</v>
      </c>
      <c r="G1031" s="4" t="s">
        <v>865</v>
      </c>
    </row>
    <row r="1032" spans="1:7" x14ac:dyDescent="0.25">
      <c r="A1032" s="4" t="s">
        <v>389</v>
      </c>
      <c r="B1032" s="4" t="s">
        <v>387</v>
      </c>
      <c r="C1032" s="4" t="s">
        <v>470</v>
      </c>
      <c r="D1032" s="4" t="s">
        <v>614</v>
      </c>
      <c r="E1032" s="4" t="s">
        <v>1845</v>
      </c>
      <c r="F1032" s="4" t="s">
        <v>100</v>
      </c>
      <c r="G1032" s="4" t="s">
        <v>865</v>
      </c>
    </row>
    <row r="1033" spans="1:7" x14ac:dyDescent="0.25">
      <c r="A1033" s="4" t="s">
        <v>389</v>
      </c>
      <c r="B1033" s="4" t="s">
        <v>394</v>
      </c>
      <c r="C1033" s="4" t="s">
        <v>470</v>
      </c>
      <c r="D1033" s="4" t="s">
        <v>615</v>
      </c>
      <c r="E1033" s="4" t="s">
        <v>1846</v>
      </c>
      <c r="F1033" s="4" t="s">
        <v>361</v>
      </c>
      <c r="G1033" s="4" t="s">
        <v>390</v>
      </c>
    </row>
    <row r="1034" spans="1:7" x14ac:dyDescent="0.25">
      <c r="A1034" s="4" t="s">
        <v>389</v>
      </c>
      <c r="B1034" s="4" t="s">
        <v>394</v>
      </c>
      <c r="C1034" s="4" t="s">
        <v>470</v>
      </c>
      <c r="D1034" s="4" t="s">
        <v>615</v>
      </c>
      <c r="E1034" s="4" t="s">
        <v>1847</v>
      </c>
      <c r="F1034" s="4" t="s">
        <v>361</v>
      </c>
      <c r="G1034" s="4" t="s">
        <v>390</v>
      </c>
    </row>
    <row r="1035" spans="1:7" x14ac:dyDescent="0.25">
      <c r="A1035" s="4" t="s">
        <v>389</v>
      </c>
      <c r="B1035" s="4" t="s">
        <v>394</v>
      </c>
      <c r="C1035" s="4" t="s">
        <v>470</v>
      </c>
      <c r="D1035" s="4" t="s">
        <v>615</v>
      </c>
      <c r="E1035" s="4" t="s">
        <v>1848</v>
      </c>
      <c r="F1035" s="4" t="s">
        <v>361</v>
      </c>
      <c r="G1035" s="4" t="s">
        <v>390</v>
      </c>
    </row>
    <row r="1036" spans="1:7" x14ac:dyDescent="0.25">
      <c r="A1036" s="4" t="s">
        <v>389</v>
      </c>
      <c r="B1036" s="4" t="s">
        <v>394</v>
      </c>
      <c r="C1036" s="4" t="s">
        <v>470</v>
      </c>
      <c r="D1036" s="4" t="s">
        <v>615</v>
      </c>
      <c r="E1036" s="4" t="s">
        <v>1160</v>
      </c>
      <c r="F1036" s="4" t="s">
        <v>361</v>
      </c>
      <c r="G1036" s="4" t="s">
        <v>390</v>
      </c>
    </row>
    <row r="1037" spans="1:7" x14ac:dyDescent="0.25">
      <c r="A1037" s="4" t="s">
        <v>389</v>
      </c>
      <c r="B1037" s="4" t="s">
        <v>394</v>
      </c>
      <c r="C1037" s="4" t="s">
        <v>470</v>
      </c>
      <c r="D1037" s="4" t="s">
        <v>615</v>
      </c>
      <c r="E1037" s="4" t="s">
        <v>1849</v>
      </c>
      <c r="F1037" s="4" t="s">
        <v>363</v>
      </c>
      <c r="G1037" s="4" t="s">
        <v>864</v>
      </c>
    </row>
    <row r="1038" spans="1:7" x14ac:dyDescent="0.25">
      <c r="A1038" s="4" t="s">
        <v>389</v>
      </c>
      <c r="B1038" s="4" t="s">
        <v>394</v>
      </c>
      <c r="C1038" s="4" t="s">
        <v>470</v>
      </c>
      <c r="D1038" s="4" t="s">
        <v>615</v>
      </c>
      <c r="E1038" s="4" t="s">
        <v>1850</v>
      </c>
      <c r="F1038" s="4" t="s">
        <v>363</v>
      </c>
      <c r="G1038" s="4" t="s">
        <v>864</v>
      </c>
    </row>
    <row r="1039" spans="1:7" x14ac:dyDescent="0.25">
      <c r="A1039" s="4" t="s">
        <v>389</v>
      </c>
      <c r="B1039" s="4" t="s">
        <v>394</v>
      </c>
      <c r="C1039" s="4" t="s">
        <v>470</v>
      </c>
      <c r="D1039" s="4" t="s">
        <v>615</v>
      </c>
      <c r="E1039" s="4" t="s">
        <v>1347</v>
      </c>
      <c r="F1039" s="4" t="s">
        <v>363</v>
      </c>
      <c r="G1039" s="4" t="s">
        <v>864</v>
      </c>
    </row>
    <row r="1040" spans="1:7" x14ac:dyDescent="0.25">
      <c r="A1040" s="4" t="s">
        <v>389</v>
      </c>
      <c r="B1040" s="4" t="s">
        <v>394</v>
      </c>
      <c r="C1040" s="4" t="s">
        <v>470</v>
      </c>
      <c r="D1040" s="4" t="s">
        <v>615</v>
      </c>
      <c r="E1040" s="4" t="s">
        <v>1851</v>
      </c>
      <c r="F1040" s="4" t="s">
        <v>363</v>
      </c>
      <c r="G1040" s="4" t="s">
        <v>864</v>
      </c>
    </row>
    <row r="1041" spans="1:7" x14ac:dyDescent="0.25">
      <c r="A1041" s="4" t="s">
        <v>389</v>
      </c>
      <c r="B1041" s="4" t="s">
        <v>394</v>
      </c>
      <c r="C1041" s="4" t="s">
        <v>470</v>
      </c>
      <c r="D1041" s="4" t="s">
        <v>615</v>
      </c>
      <c r="E1041" s="4" t="s">
        <v>1852</v>
      </c>
      <c r="F1041" s="4" t="s">
        <v>66</v>
      </c>
      <c r="G1041" s="4" t="s">
        <v>865</v>
      </c>
    </row>
    <row r="1042" spans="1:7" x14ac:dyDescent="0.25">
      <c r="A1042" s="4" t="s">
        <v>389</v>
      </c>
      <c r="B1042" s="4" t="s">
        <v>394</v>
      </c>
      <c r="C1042" s="4" t="s">
        <v>470</v>
      </c>
      <c r="D1042" s="4" t="s">
        <v>615</v>
      </c>
      <c r="E1042" s="4" t="s">
        <v>1853</v>
      </c>
      <c r="F1042" s="4" t="s">
        <v>66</v>
      </c>
      <c r="G1042" s="4" t="s">
        <v>865</v>
      </c>
    </row>
    <row r="1043" spans="1:7" x14ac:dyDescent="0.25">
      <c r="A1043" s="4" t="s">
        <v>389</v>
      </c>
      <c r="B1043" s="4" t="s">
        <v>394</v>
      </c>
      <c r="C1043" s="4" t="s">
        <v>470</v>
      </c>
      <c r="D1043" s="4" t="s">
        <v>615</v>
      </c>
      <c r="E1043" s="4" t="s">
        <v>1854</v>
      </c>
      <c r="F1043" s="4" t="s">
        <v>66</v>
      </c>
      <c r="G1043" s="4" t="s">
        <v>865</v>
      </c>
    </row>
    <row r="1044" spans="1:7" x14ac:dyDescent="0.25">
      <c r="A1044" s="4" t="s">
        <v>389</v>
      </c>
      <c r="B1044" s="4" t="s">
        <v>394</v>
      </c>
      <c r="C1044" s="4" t="s">
        <v>470</v>
      </c>
      <c r="D1044" s="4" t="s">
        <v>615</v>
      </c>
      <c r="E1044" s="4" t="s">
        <v>1855</v>
      </c>
      <c r="F1044" s="4" t="s">
        <v>66</v>
      </c>
      <c r="G1044" s="4" t="s">
        <v>865</v>
      </c>
    </row>
    <row r="1045" spans="1:7" x14ac:dyDescent="0.25">
      <c r="A1045" s="4" t="s">
        <v>389</v>
      </c>
      <c r="B1045" s="4" t="s">
        <v>394</v>
      </c>
      <c r="C1045" s="4" t="s">
        <v>470</v>
      </c>
      <c r="D1045" s="4" t="s">
        <v>615</v>
      </c>
      <c r="E1045" s="4" t="s">
        <v>1856</v>
      </c>
      <c r="F1045" s="4" t="s">
        <v>66</v>
      </c>
      <c r="G1045" s="4" t="s">
        <v>865</v>
      </c>
    </row>
    <row r="1046" spans="1:7" x14ac:dyDescent="0.25">
      <c r="A1046" s="4" t="s">
        <v>389</v>
      </c>
      <c r="B1046" s="4" t="s">
        <v>387</v>
      </c>
      <c r="C1046" s="4" t="s">
        <v>404</v>
      </c>
      <c r="D1046" s="4" t="s">
        <v>622</v>
      </c>
      <c r="E1046" s="4" t="s">
        <v>1348</v>
      </c>
      <c r="F1046" s="4" t="s">
        <v>361</v>
      </c>
      <c r="G1046" s="4" t="s">
        <v>390</v>
      </c>
    </row>
    <row r="1047" spans="1:7" x14ac:dyDescent="0.25">
      <c r="A1047" s="4" t="s">
        <v>389</v>
      </c>
      <c r="B1047" s="4" t="s">
        <v>387</v>
      </c>
      <c r="C1047" s="4" t="s">
        <v>404</v>
      </c>
      <c r="D1047" s="4" t="s">
        <v>622</v>
      </c>
      <c r="E1047" s="4" t="s">
        <v>1857</v>
      </c>
      <c r="F1047" s="4" t="s">
        <v>361</v>
      </c>
      <c r="G1047" s="4" t="s">
        <v>390</v>
      </c>
    </row>
    <row r="1048" spans="1:7" x14ac:dyDescent="0.25">
      <c r="A1048" s="4" t="s">
        <v>389</v>
      </c>
      <c r="B1048" s="4" t="s">
        <v>387</v>
      </c>
      <c r="C1048" s="4" t="s">
        <v>404</v>
      </c>
      <c r="D1048" s="4" t="s">
        <v>622</v>
      </c>
      <c r="E1048" s="4" t="s">
        <v>1858</v>
      </c>
      <c r="F1048" s="4" t="s">
        <v>363</v>
      </c>
      <c r="G1048" s="4" t="s">
        <v>864</v>
      </c>
    </row>
    <row r="1049" spans="1:7" x14ac:dyDescent="0.25">
      <c r="A1049" s="4" t="s">
        <v>389</v>
      </c>
      <c r="B1049" s="4" t="s">
        <v>387</v>
      </c>
      <c r="C1049" s="4" t="s">
        <v>404</v>
      </c>
      <c r="D1049" s="4" t="s">
        <v>622</v>
      </c>
      <c r="E1049" s="4" t="s">
        <v>1859</v>
      </c>
      <c r="F1049" s="4" t="s">
        <v>363</v>
      </c>
      <c r="G1049" s="4" t="s">
        <v>864</v>
      </c>
    </row>
    <row r="1050" spans="1:7" x14ac:dyDescent="0.25">
      <c r="A1050" s="4" t="s">
        <v>389</v>
      </c>
      <c r="B1050" s="4" t="s">
        <v>387</v>
      </c>
      <c r="C1050" s="4" t="s">
        <v>404</v>
      </c>
      <c r="D1050" s="4" t="s">
        <v>622</v>
      </c>
      <c r="E1050" s="4" t="s">
        <v>1161</v>
      </c>
      <c r="F1050" s="4" t="s">
        <v>77</v>
      </c>
      <c r="G1050" s="4" t="s">
        <v>865</v>
      </c>
    </row>
    <row r="1051" spans="1:7" x14ac:dyDescent="0.25">
      <c r="A1051" s="4" t="s">
        <v>389</v>
      </c>
      <c r="B1051" s="4" t="s">
        <v>387</v>
      </c>
      <c r="C1051" s="4" t="s">
        <v>404</v>
      </c>
      <c r="D1051" s="4" t="s">
        <v>622</v>
      </c>
      <c r="E1051" s="4" t="s">
        <v>1860</v>
      </c>
      <c r="F1051" s="4" t="s">
        <v>77</v>
      </c>
      <c r="G1051" s="4" t="s">
        <v>865</v>
      </c>
    </row>
    <row r="1052" spans="1:7" x14ac:dyDescent="0.25">
      <c r="A1052" s="4" t="s">
        <v>389</v>
      </c>
      <c r="B1052" s="4" t="s">
        <v>394</v>
      </c>
      <c r="C1052" s="4" t="s">
        <v>404</v>
      </c>
      <c r="D1052" s="4" t="s">
        <v>623</v>
      </c>
      <c r="E1052" s="4" t="s">
        <v>1861</v>
      </c>
      <c r="F1052" s="4" t="s">
        <v>77</v>
      </c>
      <c r="G1052" s="4" t="s">
        <v>390</v>
      </c>
    </row>
    <row r="1053" spans="1:7" x14ac:dyDescent="0.25">
      <c r="A1053" s="4" t="s">
        <v>389</v>
      </c>
      <c r="B1053" s="4" t="s">
        <v>394</v>
      </c>
      <c r="C1053" s="4" t="s">
        <v>404</v>
      </c>
      <c r="D1053" s="4" t="s">
        <v>623</v>
      </c>
      <c r="E1053" s="4" t="s">
        <v>1162</v>
      </c>
      <c r="F1053" s="4" t="s">
        <v>77</v>
      </c>
      <c r="G1053" s="4" t="s">
        <v>390</v>
      </c>
    </row>
    <row r="1054" spans="1:7" x14ac:dyDescent="0.25">
      <c r="A1054" s="4" t="s">
        <v>389</v>
      </c>
      <c r="B1054" s="4" t="s">
        <v>394</v>
      </c>
      <c r="C1054" s="4" t="s">
        <v>404</v>
      </c>
      <c r="D1054" s="4" t="s">
        <v>623</v>
      </c>
      <c r="E1054" s="4" t="s">
        <v>1519</v>
      </c>
      <c r="F1054" s="4" t="s">
        <v>175</v>
      </c>
      <c r="G1054" s="4" t="s">
        <v>864</v>
      </c>
    </row>
    <row r="1055" spans="1:7" x14ac:dyDescent="0.25">
      <c r="A1055" s="4" t="s">
        <v>389</v>
      </c>
      <c r="B1055" s="4" t="s">
        <v>394</v>
      </c>
      <c r="C1055" s="4" t="s">
        <v>404</v>
      </c>
      <c r="D1055" s="4" t="s">
        <v>623</v>
      </c>
      <c r="E1055" s="4" t="s">
        <v>1862</v>
      </c>
      <c r="F1055" s="4" t="s">
        <v>175</v>
      </c>
      <c r="G1055" s="4" t="s">
        <v>864</v>
      </c>
    </row>
    <row r="1056" spans="1:7" x14ac:dyDescent="0.25">
      <c r="A1056" s="4" t="s">
        <v>389</v>
      </c>
      <c r="B1056" s="4" t="s">
        <v>394</v>
      </c>
      <c r="C1056" s="4" t="s">
        <v>404</v>
      </c>
      <c r="D1056" s="4" t="s">
        <v>623</v>
      </c>
      <c r="E1056" s="4" t="s">
        <v>1863</v>
      </c>
      <c r="F1056" s="4" t="s">
        <v>21</v>
      </c>
      <c r="G1056" s="4" t="s">
        <v>865</v>
      </c>
    </row>
    <row r="1057" spans="1:7" x14ac:dyDescent="0.25">
      <c r="A1057" s="4" t="s">
        <v>389</v>
      </c>
      <c r="B1057" s="4" t="s">
        <v>394</v>
      </c>
      <c r="C1057" s="4" t="s">
        <v>404</v>
      </c>
      <c r="D1057" s="4" t="s">
        <v>623</v>
      </c>
      <c r="E1057" s="4" t="s">
        <v>1864</v>
      </c>
      <c r="F1057" s="4" t="s">
        <v>21</v>
      </c>
      <c r="G1057" s="4" t="s">
        <v>865</v>
      </c>
    </row>
    <row r="1058" spans="1:7" x14ac:dyDescent="0.25">
      <c r="A1058" s="4" t="s">
        <v>389</v>
      </c>
      <c r="B1058" s="4" t="s">
        <v>387</v>
      </c>
      <c r="C1058" s="4" t="s">
        <v>404</v>
      </c>
      <c r="D1058" s="4" t="s">
        <v>624</v>
      </c>
      <c r="E1058" s="4" t="s">
        <v>1865</v>
      </c>
      <c r="F1058" s="4" t="s">
        <v>77</v>
      </c>
      <c r="G1058" s="4" t="s">
        <v>390</v>
      </c>
    </row>
    <row r="1059" spans="1:7" x14ac:dyDescent="0.25">
      <c r="A1059" s="4" t="s">
        <v>389</v>
      </c>
      <c r="B1059" s="4" t="s">
        <v>387</v>
      </c>
      <c r="C1059" s="4" t="s">
        <v>404</v>
      </c>
      <c r="D1059" s="4" t="s">
        <v>624</v>
      </c>
      <c r="E1059" s="4" t="s">
        <v>1163</v>
      </c>
      <c r="F1059" s="4" t="s">
        <v>77</v>
      </c>
      <c r="G1059" s="4" t="s">
        <v>390</v>
      </c>
    </row>
    <row r="1060" spans="1:7" x14ac:dyDescent="0.25">
      <c r="A1060" s="4" t="s">
        <v>389</v>
      </c>
      <c r="B1060" s="4" t="s">
        <v>387</v>
      </c>
      <c r="C1060" s="4" t="s">
        <v>404</v>
      </c>
      <c r="D1060" s="4" t="s">
        <v>624</v>
      </c>
      <c r="E1060" s="4" t="s">
        <v>1520</v>
      </c>
      <c r="F1060" s="4" t="s">
        <v>363</v>
      </c>
      <c r="G1060" s="4" t="s">
        <v>864</v>
      </c>
    </row>
    <row r="1061" spans="1:7" x14ac:dyDescent="0.25">
      <c r="A1061" s="4" t="s">
        <v>389</v>
      </c>
      <c r="B1061" s="4" t="s">
        <v>387</v>
      </c>
      <c r="C1061" s="4" t="s">
        <v>404</v>
      </c>
      <c r="D1061" s="4" t="s">
        <v>624</v>
      </c>
      <c r="E1061" s="4" t="s">
        <v>1866</v>
      </c>
      <c r="F1061" s="4" t="s">
        <v>363</v>
      </c>
      <c r="G1061" s="4" t="s">
        <v>864</v>
      </c>
    </row>
    <row r="1062" spans="1:7" x14ac:dyDescent="0.25">
      <c r="A1062" s="4" t="s">
        <v>389</v>
      </c>
      <c r="B1062" s="4" t="s">
        <v>387</v>
      </c>
      <c r="C1062" s="4" t="s">
        <v>404</v>
      </c>
      <c r="D1062" s="4" t="s">
        <v>624</v>
      </c>
      <c r="E1062" s="4" t="s">
        <v>1867</v>
      </c>
      <c r="F1062" s="4" t="s">
        <v>361</v>
      </c>
      <c r="G1062" s="4" t="s">
        <v>865</v>
      </c>
    </row>
    <row r="1063" spans="1:7" x14ac:dyDescent="0.25">
      <c r="A1063" s="4" t="s">
        <v>389</v>
      </c>
      <c r="B1063" s="4" t="s">
        <v>387</v>
      </c>
      <c r="C1063" s="4" t="s">
        <v>404</v>
      </c>
      <c r="D1063" s="4" t="s">
        <v>624</v>
      </c>
      <c r="E1063" s="4" t="s">
        <v>1868</v>
      </c>
      <c r="F1063" s="4" t="s">
        <v>361</v>
      </c>
      <c r="G1063" s="4" t="s">
        <v>865</v>
      </c>
    </row>
    <row r="1064" spans="1:7" x14ac:dyDescent="0.25">
      <c r="A1064" s="4" t="s">
        <v>389</v>
      </c>
      <c r="B1064" s="4" t="s">
        <v>394</v>
      </c>
      <c r="C1064" s="4" t="s">
        <v>404</v>
      </c>
      <c r="D1064" s="4" t="s">
        <v>625</v>
      </c>
      <c r="E1064" s="4" t="s">
        <v>1869</v>
      </c>
      <c r="F1064" s="4" t="s">
        <v>77</v>
      </c>
      <c r="G1064" s="4" t="s">
        <v>390</v>
      </c>
    </row>
    <row r="1065" spans="1:7" x14ac:dyDescent="0.25">
      <c r="A1065" s="4" t="s">
        <v>389</v>
      </c>
      <c r="B1065" s="4" t="s">
        <v>394</v>
      </c>
      <c r="C1065" s="4" t="s">
        <v>404</v>
      </c>
      <c r="D1065" s="4" t="s">
        <v>625</v>
      </c>
      <c r="E1065" s="4" t="s">
        <v>1870</v>
      </c>
      <c r="F1065" s="4" t="s">
        <v>77</v>
      </c>
      <c r="G1065" s="4" t="s">
        <v>390</v>
      </c>
    </row>
    <row r="1066" spans="1:7" x14ac:dyDescent="0.25">
      <c r="A1066" s="4" t="s">
        <v>389</v>
      </c>
      <c r="B1066" s="4" t="s">
        <v>394</v>
      </c>
      <c r="C1066" s="4" t="s">
        <v>404</v>
      </c>
      <c r="D1066" s="4" t="s">
        <v>625</v>
      </c>
      <c r="E1066" s="4" t="s">
        <v>1871</v>
      </c>
      <c r="F1066" s="4" t="s">
        <v>217</v>
      </c>
      <c r="G1066" s="4" t="s">
        <v>864</v>
      </c>
    </row>
    <row r="1067" spans="1:7" x14ac:dyDescent="0.25">
      <c r="A1067" s="4" t="s">
        <v>389</v>
      </c>
      <c r="B1067" s="4" t="s">
        <v>394</v>
      </c>
      <c r="C1067" s="4" t="s">
        <v>404</v>
      </c>
      <c r="D1067" s="4" t="s">
        <v>625</v>
      </c>
      <c r="E1067" s="4" t="s">
        <v>1872</v>
      </c>
      <c r="F1067" s="4" t="s">
        <v>217</v>
      </c>
      <c r="G1067" s="4" t="s">
        <v>864</v>
      </c>
    </row>
    <row r="1068" spans="1:7" x14ac:dyDescent="0.25">
      <c r="A1068" s="4" t="s">
        <v>389</v>
      </c>
      <c r="B1068" s="4" t="s">
        <v>394</v>
      </c>
      <c r="C1068" s="4" t="s">
        <v>404</v>
      </c>
      <c r="D1068" s="4" t="s">
        <v>625</v>
      </c>
      <c r="E1068" s="4" t="s">
        <v>1521</v>
      </c>
      <c r="F1068" s="4" t="s">
        <v>66</v>
      </c>
      <c r="G1068" s="4" t="s">
        <v>865</v>
      </c>
    </row>
    <row r="1069" spans="1:7" x14ac:dyDescent="0.25">
      <c r="A1069" s="4" t="s">
        <v>389</v>
      </c>
      <c r="B1069" s="4" t="s">
        <v>394</v>
      </c>
      <c r="C1069" s="4" t="s">
        <v>404</v>
      </c>
      <c r="D1069" s="4" t="s">
        <v>625</v>
      </c>
      <c r="E1069" s="4" t="s">
        <v>1873</v>
      </c>
      <c r="F1069" s="4" t="s">
        <v>66</v>
      </c>
      <c r="G1069" s="4" t="s">
        <v>865</v>
      </c>
    </row>
    <row r="1070" spans="1:7" x14ac:dyDescent="0.25">
      <c r="A1070" s="4" t="s">
        <v>389</v>
      </c>
      <c r="B1070" s="4" t="s">
        <v>399</v>
      </c>
      <c r="C1070" s="4" t="s">
        <v>405</v>
      </c>
      <c r="D1070" s="4" t="s">
        <v>627</v>
      </c>
      <c r="E1070" t="s">
        <v>1875</v>
      </c>
      <c r="F1070" s="4" t="s">
        <v>128</v>
      </c>
      <c r="G1070" s="4" t="s">
        <v>390</v>
      </c>
    </row>
    <row r="1071" spans="1:7" x14ac:dyDescent="0.25">
      <c r="A1071" s="4" t="s">
        <v>389</v>
      </c>
      <c r="B1071" s="4" t="s">
        <v>399</v>
      </c>
      <c r="C1071" s="4" t="s">
        <v>405</v>
      </c>
      <c r="D1071" s="4" t="s">
        <v>627</v>
      </c>
      <c r="E1071" t="s">
        <v>1874</v>
      </c>
      <c r="F1071" s="4" t="s">
        <v>128</v>
      </c>
      <c r="G1071" s="4" t="s">
        <v>390</v>
      </c>
    </row>
    <row r="1072" spans="1:7" x14ac:dyDescent="0.25">
      <c r="A1072" s="4" t="s">
        <v>389</v>
      </c>
      <c r="B1072" s="4" t="s">
        <v>399</v>
      </c>
      <c r="C1072" s="4" t="s">
        <v>405</v>
      </c>
      <c r="D1072" s="4" t="s">
        <v>627</v>
      </c>
      <c r="E1072" t="s">
        <v>1876</v>
      </c>
      <c r="F1072" s="4" t="s">
        <v>128</v>
      </c>
      <c r="G1072" s="4" t="s">
        <v>390</v>
      </c>
    </row>
    <row r="1073" spans="1:7" x14ac:dyDescent="0.25">
      <c r="A1073" s="4" t="s">
        <v>389</v>
      </c>
      <c r="B1073" s="4" t="s">
        <v>399</v>
      </c>
      <c r="C1073" s="4" t="s">
        <v>405</v>
      </c>
      <c r="D1073" s="4" t="s">
        <v>627</v>
      </c>
      <c r="E1073" t="s">
        <v>1352</v>
      </c>
      <c r="F1073" s="4" t="s">
        <v>128</v>
      </c>
      <c r="G1073" s="4" t="s">
        <v>390</v>
      </c>
    </row>
    <row r="1074" spans="1:7" x14ac:dyDescent="0.25">
      <c r="A1074" s="4" t="s">
        <v>389</v>
      </c>
      <c r="B1074" s="4" t="s">
        <v>399</v>
      </c>
      <c r="C1074" s="4" t="s">
        <v>405</v>
      </c>
      <c r="D1074" s="4" t="s">
        <v>627</v>
      </c>
      <c r="E1074" s="4" t="s">
        <v>1877</v>
      </c>
      <c r="F1074" s="4" t="s">
        <v>136</v>
      </c>
      <c r="G1074" s="4" t="s">
        <v>864</v>
      </c>
    </row>
    <row r="1075" spans="1:7" x14ac:dyDescent="0.25">
      <c r="A1075" s="4" t="s">
        <v>389</v>
      </c>
      <c r="B1075" s="4" t="s">
        <v>399</v>
      </c>
      <c r="C1075" s="4" t="s">
        <v>405</v>
      </c>
      <c r="D1075" s="4" t="s">
        <v>627</v>
      </c>
      <c r="E1075" s="4" t="s">
        <v>1165</v>
      </c>
      <c r="F1075" s="4" t="s">
        <v>136</v>
      </c>
      <c r="G1075" s="4" t="s">
        <v>864</v>
      </c>
    </row>
    <row r="1076" spans="1:7" x14ac:dyDescent="0.25">
      <c r="A1076" s="4" t="s">
        <v>389</v>
      </c>
      <c r="B1076" s="4" t="s">
        <v>399</v>
      </c>
      <c r="C1076" s="4" t="s">
        <v>405</v>
      </c>
      <c r="D1076" s="4" t="s">
        <v>627</v>
      </c>
      <c r="E1076" s="4" t="s">
        <v>1878</v>
      </c>
      <c r="F1076" s="4" t="s">
        <v>136</v>
      </c>
      <c r="G1076" s="4" t="s">
        <v>864</v>
      </c>
    </row>
    <row r="1077" spans="1:7" x14ac:dyDescent="0.25">
      <c r="A1077" s="4" t="s">
        <v>389</v>
      </c>
      <c r="B1077" s="4" t="s">
        <v>399</v>
      </c>
      <c r="C1077" s="4" t="s">
        <v>405</v>
      </c>
      <c r="D1077" s="4" t="s">
        <v>627</v>
      </c>
      <c r="E1077" s="4" t="s">
        <v>1879</v>
      </c>
      <c r="F1077" s="4" t="s">
        <v>136</v>
      </c>
      <c r="G1077" s="4" t="s">
        <v>864</v>
      </c>
    </row>
    <row r="1078" spans="1:7" x14ac:dyDescent="0.25">
      <c r="A1078" s="4" t="s">
        <v>389</v>
      </c>
      <c r="B1078" s="4" t="s">
        <v>399</v>
      </c>
      <c r="C1078" s="4" t="s">
        <v>405</v>
      </c>
      <c r="D1078" s="4" t="s">
        <v>627</v>
      </c>
      <c r="E1078" s="4" t="s">
        <v>1880</v>
      </c>
      <c r="F1078" s="4" t="s">
        <v>21</v>
      </c>
      <c r="G1078" s="4" t="s">
        <v>865</v>
      </c>
    </row>
    <row r="1079" spans="1:7" x14ac:dyDescent="0.25">
      <c r="A1079" s="4" t="s">
        <v>389</v>
      </c>
      <c r="B1079" s="4" t="s">
        <v>399</v>
      </c>
      <c r="C1079" s="4" t="s">
        <v>405</v>
      </c>
      <c r="D1079" s="4" t="s">
        <v>627</v>
      </c>
      <c r="E1079" s="4" t="s">
        <v>1881</v>
      </c>
      <c r="F1079" s="4" t="s">
        <v>21</v>
      </c>
      <c r="G1079" s="4" t="s">
        <v>865</v>
      </c>
    </row>
    <row r="1080" spans="1:7" x14ac:dyDescent="0.25">
      <c r="A1080" s="4" t="s">
        <v>389</v>
      </c>
      <c r="B1080" s="4" t="s">
        <v>399</v>
      </c>
      <c r="C1080" s="4" t="s">
        <v>405</v>
      </c>
      <c r="D1080" s="4" t="s">
        <v>627</v>
      </c>
      <c r="E1080" s="4" t="s">
        <v>1882</v>
      </c>
      <c r="F1080" s="4" t="s">
        <v>21</v>
      </c>
      <c r="G1080" s="4" t="s">
        <v>865</v>
      </c>
    </row>
    <row r="1081" spans="1:7" x14ac:dyDescent="0.25">
      <c r="A1081" s="4" t="s">
        <v>389</v>
      </c>
      <c r="B1081" s="4" t="s">
        <v>399</v>
      </c>
      <c r="C1081" s="4" t="s">
        <v>405</v>
      </c>
      <c r="D1081" s="4" t="s">
        <v>627</v>
      </c>
      <c r="E1081" s="4" t="s">
        <v>1883</v>
      </c>
      <c r="F1081" s="4" t="s">
        <v>21</v>
      </c>
      <c r="G1081" s="4" t="s">
        <v>865</v>
      </c>
    </row>
    <row r="1082" spans="1:7" x14ac:dyDescent="0.25">
      <c r="A1082" s="4" t="s">
        <v>389</v>
      </c>
      <c r="B1082" s="4" t="s">
        <v>399</v>
      </c>
      <c r="C1082" s="4" t="s">
        <v>405</v>
      </c>
      <c r="D1082" s="4" t="s">
        <v>629</v>
      </c>
      <c r="E1082" s="4" t="s">
        <v>1523</v>
      </c>
      <c r="F1082" s="4" t="s">
        <v>136</v>
      </c>
      <c r="G1082" s="4" t="s">
        <v>390</v>
      </c>
    </row>
    <row r="1083" spans="1:7" x14ac:dyDescent="0.25">
      <c r="A1083" s="4" t="s">
        <v>389</v>
      </c>
      <c r="B1083" s="4" t="s">
        <v>399</v>
      </c>
      <c r="C1083" s="4" t="s">
        <v>405</v>
      </c>
      <c r="D1083" s="4" t="s">
        <v>629</v>
      </c>
      <c r="E1083" s="4" t="s">
        <v>1884</v>
      </c>
      <c r="F1083" s="4" t="s">
        <v>136</v>
      </c>
      <c r="G1083" s="4" t="s">
        <v>390</v>
      </c>
    </row>
    <row r="1084" spans="1:7" x14ac:dyDescent="0.25">
      <c r="A1084" s="4" t="s">
        <v>389</v>
      </c>
      <c r="B1084" s="4" t="s">
        <v>399</v>
      </c>
      <c r="C1084" s="4" t="s">
        <v>405</v>
      </c>
      <c r="D1084" s="4" t="s">
        <v>629</v>
      </c>
      <c r="E1084" s="4" t="s">
        <v>1885</v>
      </c>
      <c r="F1084" s="4" t="s">
        <v>136</v>
      </c>
      <c r="G1084" s="4" t="s">
        <v>390</v>
      </c>
    </row>
    <row r="1085" spans="1:7" x14ac:dyDescent="0.25">
      <c r="A1085" s="4" t="s">
        <v>389</v>
      </c>
      <c r="B1085" s="4" t="s">
        <v>399</v>
      </c>
      <c r="C1085" s="4" t="s">
        <v>405</v>
      </c>
      <c r="D1085" s="4" t="s">
        <v>629</v>
      </c>
      <c r="E1085" s="4" t="s">
        <v>1353</v>
      </c>
      <c r="F1085" s="4" t="s">
        <v>136</v>
      </c>
      <c r="G1085" s="4" t="s">
        <v>390</v>
      </c>
    </row>
    <row r="1086" spans="1:7" x14ac:dyDescent="0.25">
      <c r="A1086" s="4" t="s">
        <v>389</v>
      </c>
      <c r="B1086" s="4" t="s">
        <v>399</v>
      </c>
      <c r="C1086" s="4" t="s">
        <v>405</v>
      </c>
      <c r="D1086" s="4" t="s">
        <v>629</v>
      </c>
      <c r="E1086" s="4" t="s">
        <v>1886</v>
      </c>
      <c r="F1086" s="4" t="s">
        <v>361</v>
      </c>
      <c r="G1086" s="4" t="s">
        <v>864</v>
      </c>
    </row>
    <row r="1087" spans="1:7" x14ac:dyDescent="0.25">
      <c r="A1087" s="4" t="s">
        <v>389</v>
      </c>
      <c r="B1087" s="4" t="s">
        <v>399</v>
      </c>
      <c r="C1087" s="4" t="s">
        <v>405</v>
      </c>
      <c r="D1087" s="4" t="s">
        <v>629</v>
      </c>
      <c r="E1087" s="4" t="s">
        <v>1166</v>
      </c>
      <c r="F1087" s="4" t="s">
        <v>361</v>
      </c>
      <c r="G1087" s="4" t="s">
        <v>864</v>
      </c>
    </row>
    <row r="1088" spans="1:7" x14ac:dyDescent="0.25">
      <c r="A1088" s="4" t="s">
        <v>389</v>
      </c>
      <c r="B1088" s="4" t="s">
        <v>399</v>
      </c>
      <c r="C1088" s="4" t="s">
        <v>405</v>
      </c>
      <c r="D1088" s="4" t="s">
        <v>629</v>
      </c>
      <c r="E1088" s="4" t="s">
        <v>1887</v>
      </c>
      <c r="F1088" s="4" t="s">
        <v>361</v>
      </c>
      <c r="G1088" s="4" t="s">
        <v>864</v>
      </c>
    </row>
    <row r="1089" spans="1:7" x14ac:dyDescent="0.25">
      <c r="A1089" s="4" t="s">
        <v>389</v>
      </c>
      <c r="B1089" s="4" t="s">
        <v>399</v>
      </c>
      <c r="C1089" s="4" t="s">
        <v>405</v>
      </c>
      <c r="D1089" s="4" t="s">
        <v>629</v>
      </c>
      <c r="E1089" s="4" t="s">
        <v>1888</v>
      </c>
      <c r="F1089" s="4" t="s">
        <v>361</v>
      </c>
      <c r="G1089" s="4" t="s">
        <v>864</v>
      </c>
    </row>
    <row r="1090" spans="1:7" x14ac:dyDescent="0.25">
      <c r="A1090" s="4" t="s">
        <v>389</v>
      </c>
      <c r="B1090" s="4" t="s">
        <v>399</v>
      </c>
      <c r="C1090" s="4" t="s">
        <v>405</v>
      </c>
      <c r="D1090" s="4" t="s">
        <v>629</v>
      </c>
      <c r="E1090" s="4" t="s">
        <v>1889</v>
      </c>
      <c r="F1090" s="4" t="s">
        <v>363</v>
      </c>
      <c r="G1090" s="4" t="s">
        <v>865</v>
      </c>
    </row>
    <row r="1091" spans="1:7" x14ac:dyDescent="0.25">
      <c r="A1091" s="4" t="s">
        <v>389</v>
      </c>
      <c r="B1091" s="4" t="s">
        <v>399</v>
      </c>
      <c r="C1091" s="4" t="s">
        <v>405</v>
      </c>
      <c r="D1091" s="4" t="s">
        <v>629</v>
      </c>
      <c r="E1091" s="4" t="s">
        <v>1890</v>
      </c>
      <c r="F1091" s="4" t="s">
        <v>363</v>
      </c>
      <c r="G1091" s="4" t="s">
        <v>865</v>
      </c>
    </row>
    <row r="1092" spans="1:7" x14ac:dyDescent="0.25">
      <c r="A1092" s="4" t="s">
        <v>389</v>
      </c>
      <c r="B1092" s="4" t="s">
        <v>399</v>
      </c>
      <c r="C1092" s="4" t="s">
        <v>405</v>
      </c>
      <c r="D1092" s="4" t="s">
        <v>629</v>
      </c>
      <c r="E1092" s="4" t="s">
        <v>1891</v>
      </c>
      <c r="F1092" s="4" t="s">
        <v>363</v>
      </c>
      <c r="G1092" s="4" t="s">
        <v>865</v>
      </c>
    </row>
    <row r="1093" spans="1:7" x14ac:dyDescent="0.25">
      <c r="A1093" s="4" t="s">
        <v>389</v>
      </c>
      <c r="B1093" s="4" t="s">
        <v>399</v>
      </c>
      <c r="C1093" s="4" t="s">
        <v>405</v>
      </c>
      <c r="D1093" s="4" t="s">
        <v>629</v>
      </c>
      <c r="E1093" s="4" t="s">
        <v>1892</v>
      </c>
      <c r="F1093" s="4" t="s">
        <v>363</v>
      </c>
      <c r="G1093" s="4" t="s">
        <v>865</v>
      </c>
    </row>
    <row r="1094" spans="1:7" x14ac:dyDescent="0.25">
      <c r="A1094" s="4" t="s">
        <v>389</v>
      </c>
      <c r="B1094" s="4" t="s">
        <v>399</v>
      </c>
      <c r="C1094" s="4" t="s">
        <v>405</v>
      </c>
      <c r="D1094" s="4" t="s">
        <v>631</v>
      </c>
      <c r="E1094" s="4" t="s">
        <v>1893</v>
      </c>
      <c r="F1094" s="4" t="s">
        <v>128</v>
      </c>
      <c r="G1094" s="4" t="s">
        <v>390</v>
      </c>
    </row>
    <row r="1095" spans="1:7" x14ac:dyDescent="0.25">
      <c r="A1095" s="4" t="s">
        <v>389</v>
      </c>
      <c r="B1095" s="4" t="s">
        <v>399</v>
      </c>
      <c r="C1095" s="4" t="s">
        <v>405</v>
      </c>
      <c r="D1095" s="4" t="s">
        <v>631</v>
      </c>
      <c r="E1095" s="4" t="s">
        <v>1894</v>
      </c>
      <c r="F1095" s="4" t="s">
        <v>128</v>
      </c>
      <c r="G1095" s="4" t="s">
        <v>390</v>
      </c>
    </row>
    <row r="1096" spans="1:7" x14ac:dyDescent="0.25">
      <c r="A1096" s="4" t="s">
        <v>389</v>
      </c>
      <c r="B1096" s="4" t="s">
        <v>399</v>
      </c>
      <c r="C1096" s="4" t="s">
        <v>405</v>
      </c>
      <c r="D1096" s="4" t="s">
        <v>631</v>
      </c>
      <c r="E1096" s="4" t="s">
        <v>1895</v>
      </c>
      <c r="F1096" s="4" t="s">
        <v>128</v>
      </c>
      <c r="G1096" s="4" t="s">
        <v>390</v>
      </c>
    </row>
    <row r="1097" spans="1:7" x14ac:dyDescent="0.25">
      <c r="A1097" s="4" t="s">
        <v>389</v>
      </c>
      <c r="B1097" s="4" t="s">
        <v>399</v>
      </c>
      <c r="C1097" s="4" t="s">
        <v>405</v>
      </c>
      <c r="D1097" s="4" t="s">
        <v>631</v>
      </c>
      <c r="E1097" s="4" t="s">
        <v>1896</v>
      </c>
      <c r="F1097" s="4" t="s">
        <v>128</v>
      </c>
      <c r="G1097" s="4" t="s">
        <v>390</v>
      </c>
    </row>
    <row r="1098" spans="1:7" x14ac:dyDescent="0.25">
      <c r="A1098" s="4" t="s">
        <v>389</v>
      </c>
      <c r="B1098" s="4" t="s">
        <v>399</v>
      </c>
      <c r="C1098" s="4" t="s">
        <v>405</v>
      </c>
      <c r="D1098" s="4" t="s">
        <v>631</v>
      </c>
      <c r="E1098" s="4" t="s">
        <v>1897</v>
      </c>
      <c r="F1098" s="4" t="s">
        <v>363</v>
      </c>
      <c r="G1098" s="4" t="s">
        <v>864</v>
      </c>
    </row>
    <row r="1099" spans="1:7" x14ac:dyDescent="0.25">
      <c r="A1099" s="4" t="s">
        <v>389</v>
      </c>
      <c r="B1099" s="4" t="s">
        <v>399</v>
      </c>
      <c r="C1099" s="4" t="s">
        <v>405</v>
      </c>
      <c r="D1099" s="4" t="s">
        <v>631</v>
      </c>
      <c r="E1099" s="4" t="s">
        <v>1898</v>
      </c>
      <c r="F1099" s="4" t="s">
        <v>363</v>
      </c>
      <c r="G1099" s="4" t="s">
        <v>864</v>
      </c>
    </row>
    <row r="1100" spans="1:7" x14ac:dyDescent="0.25">
      <c r="A1100" s="4" t="s">
        <v>389</v>
      </c>
      <c r="B1100" s="4" t="s">
        <v>399</v>
      </c>
      <c r="C1100" s="4" t="s">
        <v>405</v>
      </c>
      <c r="D1100" s="4" t="s">
        <v>631</v>
      </c>
      <c r="E1100" s="4" t="s">
        <v>1899</v>
      </c>
      <c r="F1100" s="4" t="s">
        <v>363</v>
      </c>
      <c r="G1100" s="4" t="s">
        <v>864</v>
      </c>
    </row>
    <row r="1101" spans="1:7" x14ac:dyDescent="0.25">
      <c r="A1101" s="4" t="s">
        <v>389</v>
      </c>
      <c r="B1101" s="4" t="s">
        <v>399</v>
      </c>
      <c r="C1101" s="4" t="s">
        <v>405</v>
      </c>
      <c r="D1101" s="4" t="s">
        <v>631</v>
      </c>
      <c r="E1101" s="4" t="s">
        <v>1900</v>
      </c>
      <c r="F1101" s="4" t="s">
        <v>363</v>
      </c>
      <c r="G1101" s="4" t="s">
        <v>864</v>
      </c>
    </row>
    <row r="1102" spans="1:7" x14ac:dyDescent="0.25">
      <c r="A1102" s="4" t="s">
        <v>389</v>
      </c>
      <c r="B1102" s="4" t="s">
        <v>399</v>
      </c>
      <c r="C1102" s="4" t="s">
        <v>405</v>
      </c>
      <c r="D1102" s="4" t="s">
        <v>631</v>
      </c>
      <c r="E1102" s="4" t="s">
        <v>1901</v>
      </c>
      <c r="F1102" s="4" t="s">
        <v>136</v>
      </c>
      <c r="G1102" s="4" t="s">
        <v>865</v>
      </c>
    </row>
    <row r="1103" spans="1:7" x14ac:dyDescent="0.25">
      <c r="A1103" s="4" t="s">
        <v>389</v>
      </c>
      <c r="B1103" s="4" t="s">
        <v>399</v>
      </c>
      <c r="C1103" s="4" t="s">
        <v>405</v>
      </c>
      <c r="D1103" s="4" t="s">
        <v>631</v>
      </c>
      <c r="E1103" s="4" t="s">
        <v>1902</v>
      </c>
      <c r="F1103" s="4" t="s">
        <v>136</v>
      </c>
      <c r="G1103" s="4" t="s">
        <v>865</v>
      </c>
    </row>
    <row r="1104" spans="1:7" x14ac:dyDescent="0.25">
      <c r="A1104" s="4" t="s">
        <v>389</v>
      </c>
      <c r="B1104" s="4" t="s">
        <v>399</v>
      </c>
      <c r="C1104" s="4" t="s">
        <v>405</v>
      </c>
      <c r="D1104" s="4" t="s">
        <v>631</v>
      </c>
      <c r="E1104" s="4" t="s">
        <v>1903</v>
      </c>
      <c r="F1104" s="4" t="s">
        <v>136</v>
      </c>
      <c r="G1104" s="4" t="s">
        <v>865</v>
      </c>
    </row>
    <row r="1105" spans="1:7" x14ac:dyDescent="0.25">
      <c r="A1105" s="4" t="s">
        <v>389</v>
      </c>
      <c r="B1105" s="4" t="s">
        <v>399</v>
      </c>
      <c r="C1105" s="4" t="s">
        <v>405</v>
      </c>
      <c r="D1105" s="4" t="s">
        <v>631</v>
      </c>
      <c r="E1105" s="4" t="s">
        <v>1904</v>
      </c>
      <c r="F1105" s="4" t="s">
        <v>136</v>
      </c>
      <c r="G1105" s="4" t="s">
        <v>865</v>
      </c>
    </row>
    <row r="1106" spans="1:7" x14ac:dyDescent="0.25">
      <c r="A1106" s="4" t="s">
        <v>389</v>
      </c>
      <c r="B1106" s="4" t="s">
        <v>387</v>
      </c>
      <c r="C1106" s="4" t="s">
        <v>406</v>
      </c>
      <c r="D1106" s="4" t="s">
        <v>638</v>
      </c>
      <c r="E1106" s="4" t="s">
        <v>1905</v>
      </c>
      <c r="F1106" s="4" t="s">
        <v>287</v>
      </c>
      <c r="G1106" s="4" t="s">
        <v>390</v>
      </c>
    </row>
    <row r="1107" spans="1:7" x14ac:dyDescent="0.25">
      <c r="A1107" s="4" t="s">
        <v>389</v>
      </c>
      <c r="B1107" s="4" t="s">
        <v>387</v>
      </c>
      <c r="C1107" s="4" t="s">
        <v>406</v>
      </c>
      <c r="D1107" s="4" t="s">
        <v>638</v>
      </c>
      <c r="E1107" s="4" t="s">
        <v>1906</v>
      </c>
      <c r="F1107" s="4" t="s">
        <v>287</v>
      </c>
      <c r="G1107" s="4" t="s">
        <v>390</v>
      </c>
    </row>
    <row r="1108" spans="1:7" x14ac:dyDescent="0.25">
      <c r="A1108" s="4" t="s">
        <v>389</v>
      </c>
      <c r="B1108" s="4" t="s">
        <v>387</v>
      </c>
      <c r="C1108" s="4" t="s">
        <v>406</v>
      </c>
      <c r="D1108" s="4" t="s">
        <v>638</v>
      </c>
      <c r="E1108" s="4" t="s">
        <v>1525</v>
      </c>
      <c r="F1108" s="4" t="s">
        <v>287</v>
      </c>
      <c r="G1108" s="4" t="s">
        <v>390</v>
      </c>
    </row>
    <row r="1109" spans="1:7" x14ac:dyDescent="0.25">
      <c r="A1109" s="4" t="s">
        <v>389</v>
      </c>
      <c r="B1109" s="4" t="s">
        <v>387</v>
      </c>
      <c r="C1109" s="4" t="s">
        <v>406</v>
      </c>
      <c r="D1109" s="4" t="s">
        <v>638</v>
      </c>
      <c r="E1109" s="4" t="s">
        <v>1907</v>
      </c>
      <c r="F1109" s="4" t="s">
        <v>128</v>
      </c>
      <c r="G1109" s="4" t="s">
        <v>864</v>
      </c>
    </row>
    <row r="1110" spans="1:7" x14ac:dyDescent="0.25">
      <c r="A1110" s="4" t="s">
        <v>389</v>
      </c>
      <c r="B1110" s="4" t="s">
        <v>387</v>
      </c>
      <c r="C1110" s="4" t="s">
        <v>406</v>
      </c>
      <c r="D1110" s="4" t="s">
        <v>638</v>
      </c>
      <c r="E1110" s="4" t="s">
        <v>1908</v>
      </c>
      <c r="F1110" s="4" t="s">
        <v>128</v>
      </c>
      <c r="G1110" s="4" t="s">
        <v>864</v>
      </c>
    </row>
    <row r="1111" spans="1:7" x14ac:dyDescent="0.25">
      <c r="A1111" s="4" t="s">
        <v>389</v>
      </c>
      <c r="B1111" s="4" t="s">
        <v>387</v>
      </c>
      <c r="C1111" s="4" t="s">
        <v>406</v>
      </c>
      <c r="D1111" s="4" t="s">
        <v>638</v>
      </c>
      <c r="E1111" s="4" t="s">
        <v>1909</v>
      </c>
      <c r="F1111" s="4" t="s">
        <v>128</v>
      </c>
      <c r="G1111" s="4" t="s">
        <v>864</v>
      </c>
    </row>
    <row r="1112" spans="1:7" x14ac:dyDescent="0.25">
      <c r="A1112" s="4" t="s">
        <v>389</v>
      </c>
      <c r="B1112" s="4" t="s">
        <v>387</v>
      </c>
      <c r="C1112" s="4" t="s">
        <v>406</v>
      </c>
      <c r="D1112" s="4" t="s">
        <v>638</v>
      </c>
      <c r="E1112" s="4" t="s">
        <v>1910</v>
      </c>
      <c r="F1112" s="4" t="s">
        <v>128</v>
      </c>
      <c r="G1112" s="4" t="s">
        <v>864</v>
      </c>
    </row>
    <row r="1113" spans="1:7" x14ac:dyDescent="0.25">
      <c r="A1113" s="4" t="s">
        <v>389</v>
      </c>
      <c r="B1113" s="4" t="s">
        <v>387</v>
      </c>
      <c r="C1113" s="4" t="s">
        <v>406</v>
      </c>
      <c r="D1113" s="4" t="s">
        <v>638</v>
      </c>
      <c r="E1113" s="4" t="s">
        <v>1911</v>
      </c>
      <c r="F1113" s="4" t="s">
        <v>363</v>
      </c>
      <c r="G1113" s="4" t="s">
        <v>865</v>
      </c>
    </row>
    <row r="1114" spans="1:7" x14ac:dyDescent="0.25">
      <c r="A1114" s="4" t="s">
        <v>389</v>
      </c>
      <c r="B1114" s="4" t="s">
        <v>387</v>
      </c>
      <c r="C1114" s="4" t="s">
        <v>406</v>
      </c>
      <c r="D1114" s="4" t="s">
        <v>638</v>
      </c>
      <c r="E1114" s="4" t="s">
        <v>1912</v>
      </c>
      <c r="F1114" s="4" t="s">
        <v>363</v>
      </c>
      <c r="G1114" s="4" t="s">
        <v>865</v>
      </c>
    </row>
    <row r="1115" spans="1:7" x14ac:dyDescent="0.25">
      <c r="A1115" s="4" t="s">
        <v>389</v>
      </c>
      <c r="B1115" s="4" t="s">
        <v>387</v>
      </c>
      <c r="C1115" s="4" t="s">
        <v>406</v>
      </c>
      <c r="D1115" s="4" t="s">
        <v>638</v>
      </c>
      <c r="E1115" s="4" t="s">
        <v>1355</v>
      </c>
      <c r="F1115" s="4" t="s">
        <v>363</v>
      </c>
      <c r="G1115" s="4" t="s">
        <v>865</v>
      </c>
    </row>
    <row r="1116" spans="1:7" x14ac:dyDescent="0.25">
      <c r="A1116" s="4" t="s">
        <v>389</v>
      </c>
      <c r="B1116" s="4" t="s">
        <v>387</v>
      </c>
      <c r="C1116" s="4" t="s">
        <v>406</v>
      </c>
      <c r="D1116" s="4" t="s">
        <v>638</v>
      </c>
      <c r="E1116" s="4" t="s">
        <v>1913</v>
      </c>
      <c r="F1116" s="4" t="s">
        <v>363</v>
      </c>
      <c r="G1116" s="4" t="s">
        <v>865</v>
      </c>
    </row>
    <row r="1117" spans="1:7" x14ac:dyDescent="0.25">
      <c r="A1117" s="4" t="s">
        <v>389</v>
      </c>
      <c r="B1117" s="4" t="s">
        <v>387</v>
      </c>
      <c r="C1117" s="4" t="s">
        <v>406</v>
      </c>
      <c r="D1117" s="4" t="s">
        <v>639</v>
      </c>
      <c r="E1117" s="4" t="s">
        <v>1914</v>
      </c>
      <c r="F1117" s="4" t="s">
        <v>128</v>
      </c>
      <c r="G1117" s="4" t="s">
        <v>390</v>
      </c>
    </row>
    <row r="1118" spans="1:7" x14ac:dyDescent="0.25">
      <c r="A1118" s="4" t="s">
        <v>389</v>
      </c>
      <c r="B1118" s="4" t="s">
        <v>387</v>
      </c>
      <c r="C1118" s="4" t="s">
        <v>406</v>
      </c>
      <c r="D1118" s="4" t="s">
        <v>639</v>
      </c>
      <c r="E1118" s="4" t="s">
        <v>1527</v>
      </c>
      <c r="F1118" s="4" t="s">
        <v>128</v>
      </c>
      <c r="G1118" s="4" t="s">
        <v>390</v>
      </c>
    </row>
    <row r="1119" spans="1:7" x14ac:dyDescent="0.25">
      <c r="A1119" s="4" t="s">
        <v>389</v>
      </c>
      <c r="B1119" s="4" t="s">
        <v>387</v>
      </c>
      <c r="C1119" s="4" t="s">
        <v>406</v>
      </c>
      <c r="D1119" s="4" t="s">
        <v>639</v>
      </c>
      <c r="E1119" s="4" t="s">
        <v>1915</v>
      </c>
      <c r="F1119" s="4" t="s">
        <v>128</v>
      </c>
      <c r="G1119" s="4" t="s">
        <v>390</v>
      </c>
    </row>
    <row r="1120" spans="1:7" x14ac:dyDescent="0.25">
      <c r="A1120" s="4" t="s">
        <v>389</v>
      </c>
      <c r="B1120" s="4" t="s">
        <v>387</v>
      </c>
      <c r="C1120" s="4" t="s">
        <v>406</v>
      </c>
      <c r="D1120" s="4" t="s">
        <v>639</v>
      </c>
      <c r="E1120" s="4" t="s">
        <v>1916</v>
      </c>
      <c r="F1120" s="4" t="s">
        <v>128</v>
      </c>
      <c r="G1120" s="4" t="s">
        <v>390</v>
      </c>
    </row>
    <row r="1121" spans="1:7" x14ac:dyDescent="0.25">
      <c r="A1121" s="4" t="s">
        <v>389</v>
      </c>
      <c r="B1121" s="4" t="s">
        <v>387</v>
      </c>
      <c r="C1121" s="4" t="s">
        <v>406</v>
      </c>
      <c r="D1121" s="4" t="s">
        <v>639</v>
      </c>
      <c r="E1121" s="4" t="s">
        <v>1917</v>
      </c>
      <c r="F1121" s="4" t="s">
        <v>175</v>
      </c>
      <c r="G1121" s="4" t="s">
        <v>864</v>
      </c>
    </row>
    <row r="1122" spans="1:7" x14ac:dyDescent="0.25">
      <c r="A1122" s="4" t="s">
        <v>389</v>
      </c>
      <c r="B1122" s="4" t="s">
        <v>387</v>
      </c>
      <c r="C1122" s="4" t="s">
        <v>406</v>
      </c>
      <c r="D1122" s="4" t="s">
        <v>639</v>
      </c>
      <c r="E1122" s="4" t="s">
        <v>1918</v>
      </c>
      <c r="F1122" s="4" t="s">
        <v>175</v>
      </c>
      <c r="G1122" s="4" t="s">
        <v>864</v>
      </c>
    </row>
    <row r="1123" spans="1:7" x14ac:dyDescent="0.25">
      <c r="A1123" s="4" t="s">
        <v>389</v>
      </c>
      <c r="B1123" s="4" t="s">
        <v>387</v>
      </c>
      <c r="C1123" s="4" t="s">
        <v>406</v>
      </c>
      <c r="D1123" s="4" t="s">
        <v>639</v>
      </c>
      <c r="E1123" s="4" t="s">
        <v>1919</v>
      </c>
      <c r="F1123" s="4" t="s">
        <v>175</v>
      </c>
      <c r="G1123" s="4" t="s">
        <v>864</v>
      </c>
    </row>
    <row r="1124" spans="1:7" x14ac:dyDescent="0.25">
      <c r="A1124" s="4" t="s">
        <v>389</v>
      </c>
      <c r="B1124" s="4" t="s">
        <v>387</v>
      </c>
      <c r="C1124" s="4" t="s">
        <v>406</v>
      </c>
      <c r="D1124" s="4" t="s">
        <v>639</v>
      </c>
      <c r="E1124" s="4" t="s">
        <v>1920</v>
      </c>
      <c r="F1124" s="4" t="s">
        <v>175</v>
      </c>
      <c r="G1124" s="4" t="s">
        <v>864</v>
      </c>
    </row>
    <row r="1125" spans="1:7" x14ac:dyDescent="0.25">
      <c r="A1125" s="4" t="s">
        <v>389</v>
      </c>
      <c r="B1125" s="4" t="s">
        <v>387</v>
      </c>
      <c r="C1125" s="4" t="s">
        <v>406</v>
      </c>
      <c r="D1125" s="4" t="s">
        <v>639</v>
      </c>
      <c r="E1125" s="4" t="s">
        <v>1921</v>
      </c>
      <c r="F1125" s="4" t="s">
        <v>159</v>
      </c>
      <c r="G1125" s="4" t="s">
        <v>865</v>
      </c>
    </row>
    <row r="1126" spans="1:7" x14ac:dyDescent="0.25">
      <c r="A1126" s="4" t="s">
        <v>389</v>
      </c>
      <c r="B1126" s="4" t="s">
        <v>387</v>
      </c>
      <c r="C1126" s="4" t="s">
        <v>406</v>
      </c>
      <c r="D1126" s="4" t="s">
        <v>639</v>
      </c>
      <c r="E1126" s="4" t="s">
        <v>1357</v>
      </c>
      <c r="F1126" s="4" t="s">
        <v>159</v>
      </c>
      <c r="G1126" s="4" t="s">
        <v>865</v>
      </c>
    </row>
    <row r="1127" spans="1:7" x14ac:dyDescent="0.25">
      <c r="A1127" s="4" t="s">
        <v>389</v>
      </c>
      <c r="B1127" s="4" t="s">
        <v>387</v>
      </c>
      <c r="C1127" s="4" t="s">
        <v>406</v>
      </c>
      <c r="D1127" s="4" t="s">
        <v>639</v>
      </c>
      <c r="E1127" s="4" t="s">
        <v>1922</v>
      </c>
      <c r="F1127" s="4" t="s">
        <v>159</v>
      </c>
      <c r="G1127" s="4" t="s">
        <v>865</v>
      </c>
    </row>
    <row r="1128" spans="1:7" x14ac:dyDescent="0.25">
      <c r="A1128" s="4" t="s">
        <v>389</v>
      </c>
      <c r="B1128" s="4" t="s">
        <v>387</v>
      </c>
      <c r="C1128" s="4" t="s">
        <v>406</v>
      </c>
      <c r="D1128" s="4" t="s">
        <v>639</v>
      </c>
      <c r="E1128" s="4" t="s">
        <v>1923</v>
      </c>
      <c r="F1128" s="4" t="s">
        <v>159</v>
      </c>
      <c r="G1128" s="4" t="s">
        <v>865</v>
      </c>
    </row>
    <row r="1129" spans="1:7" x14ac:dyDescent="0.25">
      <c r="A1129" s="4" t="s">
        <v>389</v>
      </c>
      <c r="B1129" s="4" t="s">
        <v>394</v>
      </c>
      <c r="C1129" s="4" t="s">
        <v>406</v>
      </c>
      <c r="D1129" s="4" t="s">
        <v>640</v>
      </c>
      <c r="E1129" s="4" t="s">
        <v>1924</v>
      </c>
      <c r="F1129" s="4" t="s">
        <v>641</v>
      </c>
      <c r="G1129" s="4" t="s">
        <v>390</v>
      </c>
    </row>
    <row r="1130" spans="1:7" x14ac:dyDescent="0.25">
      <c r="A1130" s="4" t="s">
        <v>389</v>
      </c>
      <c r="B1130" s="4" t="s">
        <v>394</v>
      </c>
      <c r="C1130" s="4" t="s">
        <v>406</v>
      </c>
      <c r="D1130" s="4" t="s">
        <v>640</v>
      </c>
      <c r="E1130" s="4" t="s">
        <v>1925</v>
      </c>
      <c r="F1130" s="4" t="s">
        <v>641</v>
      </c>
      <c r="G1130" s="4" t="s">
        <v>390</v>
      </c>
    </row>
    <row r="1131" spans="1:7" x14ac:dyDescent="0.25">
      <c r="A1131" s="4" t="s">
        <v>389</v>
      </c>
      <c r="B1131" s="4" t="s">
        <v>394</v>
      </c>
      <c r="C1131" s="4" t="s">
        <v>406</v>
      </c>
      <c r="D1131" s="4" t="s">
        <v>640</v>
      </c>
      <c r="E1131" s="4" t="s">
        <v>1926</v>
      </c>
      <c r="F1131" s="4" t="s">
        <v>641</v>
      </c>
      <c r="G1131" s="4" t="s">
        <v>390</v>
      </c>
    </row>
    <row r="1132" spans="1:7" x14ac:dyDescent="0.25">
      <c r="A1132" s="4" t="s">
        <v>389</v>
      </c>
      <c r="B1132" s="4" t="s">
        <v>394</v>
      </c>
      <c r="C1132" s="4" t="s">
        <v>406</v>
      </c>
      <c r="D1132" s="4" t="s">
        <v>640</v>
      </c>
      <c r="E1132" s="4" t="s">
        <v>1927</v>
      </c>
      <c r="F1132" s="4" t="s">
        <v>641</v>
      </c>
      <c r="G1132" s="4" t="s">
        <v>390</v>
      </c>
    </row>
    <row r="1133" spans="1:7" x14ac:dyDescent="0.25">
      <c r="A1133" s="4" t="s">
        <v>389</v>
      </c>
      <c r="B1133" s="4" t="s">
        <v>394</v>
      </c>
      <c r="C1133" s="4" t="s">
        <v>406</v>
      </c>
      <c r="D1133" s="4" t="s">
        <v>640</v>
      </c>
      <c r="E1133" s="4" t="s">
        <v>1928</v>
      </c>
      <c r="F1133" s="4" t="s">
        <v>77</v>
      </c>
      <c r="G1133" s="4" t="s">
        <v>864</v>
      </c>
    </row>
    <row r="1134" spans="1:7" x14ac:dyDescent="0.25">
      <c r="A1134" s="4" t="s">
        <v>389</v>
      </c>
      <c r="B1134" s="4" t="s">
        <v>394</v>
      </c>
      <c r="C1134" s="4" t="s">
        <v>406</v>
      </c>
      <c r="D1134" s="4" t="s">
        <v>640</v>
      </c>
      <c r="E1134" s="4" t="s">
        <v>1528</v>
      </c>
      <c r="F1134" s="4" t="s">
        <v>77</v>
      </c>
      <c r="G1134" s="4" t="s">
        <v>864</v>
      </c>
    </row>
    <row r="1135" spans="1:7" x14ac:dyDescent="0.25">
      <c r="A1135" s="4" t="s">
        <v>389</v>
      </c>
      <c r="B1135" s="4" t="s">
        <v>394</v>
      </c>
      <c r="C1135" s="4" t="s">
        <v>406</v>
      </c>
      <c r="D1135" s="4" t="s">
        <v>640</v>
      </c>
      <c r="E1135" s="4" t="s">
        <v>1929</v>
      </c>
      <c r="F1135" s="4" t="s">
        <v>77</v>
      </c>
      <c r="G1135" s="4" t="s">
        <v>864</v>
      </c>
    </row>
    <row r="1136" spans="1:7" x14ac:dyDescent="0.25">
      <c r="A1136" s="4" t="s">
        <v>389</v>
      </c>
      <c r="B1136" s="4" t="s">
        <v>394</v>
      </c>
      <c r="C1136" s="4" t="s">
        <v>406</v>
      </c>
      <c r="D1136" s="4" t="s">
        <v>640</v>
      </c>
      <c r="E1136" s="4" t="s">
        <v>1930</v>
      </c>
      <c r="F1136" s="4" t="s">
        <v>77</v>
      </c>
      <c r="G1136" s="4" t="s">
        <v>864</v>
      </c>
    </row>
    <row r="1137" spans="1:7" x14ac:dyDescent="0.25">
      <c r="A1137" s="4" t="s">
        <v>389</v>
      </c>
      <c r="B1137" s="4" t="s">
        <v>394</v>
      </c>
      <c r="C1137" s="4" t="s">
        <v>406</v>
      </c>
      <c r="D1137" s="4" t="s">
        <v>640</v>
      </c>
      <c r="E1137" s="4" t="s">
        <v>1931</v>
      </c>
      <c r="F1137" s="4" t="s">
        <v>287</v>
      </c>
      <c r="G1137" s="4" t="s">
        <v>865</v>
      </c>
    </row>
    <row r="1138" spans="1:7" x14ac:dyDescent="0.25">
      <c r="A1138" s="4" t="s">
        <v>389</v>
      </c>
      <c r="B1138" s="4" t="s">
        <v>394</v>
      </c>
      <c r="C1138" s="4" t="s">
        <v>406</v>
      </c>
      <c r="D1138" s="4" t="s">
        <v>640</v>
      </c>
      <c r="E1138" s="4" t="s">
        <v>1932</v>
      </c>
      <c r="F1138" s="4" t="s">
        <v>287</v>
      </c>
      <c r="G1138" s="4" t="s">
        <v>865</v>
      </c>
    </row>
    <row r="1139" spans="1:7" x14ac:dyDescent="0.25">
      <c r="A1139" s="4" t="s">
        <v>389</v>
      </c>
      <c r="B1139" s="4" t="s">
        <v>394</v>
      </c>
      <c r="C1139" s="4" t="s">
        <v>406</v>
      </c>
      <c r="D1139" s="4" t="s">
        <v>640</v>
      </c>
      <c r="E1139" s="4" t="s">
        <v>1933</v>
      </c>
      <c r="F1139" s="4" t="s">
        <v>287</v>
      </c>
      <c r="G1139" s="4" t="s">
        <v>865</v>
      </c>
    </row>
    <row r="1140" spans="1:7" x14ac:dyDescent="0.25">
      <c r="A1140" s="4" t="s">
        <v>389</v>
      </c>
      <c r="B1140" s="4" t="s">
        <v>394</v>
      </c>
      <c r="C1140" s="4" t="s">
        <v>406</v>
      </c>
      <c r="D1140" s="4" t="s">
        <v>640</v>
      </c>
      <c r="E1140" s="4" t="s">
        <v>1934</v>
      </c>
      <c r="F1140" s="4" t="s">
        <v>287</v>
      </c>
      <c r="G1140" s="4" t="s">
        <v>865</v>
      </c>
    </row>
    <row r="1141" spans="1:7" x14ac:dyDescent="0.25">
      <c r="A1141" s="4" t="s">
        <v>389</v>
      </c>
      <c r="B1141" s="4" t="s">
        <v>394</v>
      </c>
      <c r="C1141" s="4" t="s">
        <v>406</v>
      </c>
      <c r="D1141" s="4" t="s">
        <v>642</v>
      </c>
      <c r="E1141" s="4" t="s">
        <v>1935</v>
      </c>
      <c r="F1141" s="4" t="s">
        <v>287</v>
      </c>
      <c r="G1141" s="4" t="s">
        <v>390</v>
      </c>
    </row>
    <row r="1142" spans="1:7" x14ac:dyDescent="0.25">
      <c r="A1142" s="4" t="s">
        <v>389</v>
      </c>
      <c r="B1142" s="4" t="s">
        <v>394</v>
      </c>
      <c r="C1142" s="4" t="s">
        <v>406</v>
      </c>
      <c r="D1142" s="4" t="s">
        <v>642</v>
      </c>
      <c r="E1142" s="4" t="s">
        <v>1173</v>
      </c>
      <c r="F1142" s="4" t="s">
        <v>287</v>
      </c>
      <c r="G1142" s="4" t="s">
        <v>390</v>
      </c>
    </row>
    <row r="1143" spans="1:7" x14ac:dyDescent="0.25">
      <c r="A1143" s="4" t="s">
        <v>389</v>
      </c>
      <c r="B1143" s="4" t="s">
        <v>394</v>
      </c>
      <c r="C1143" s="4" t="s">
        <v>406</v>
      </c>
      <c r="D1143" s="4" t="s">
        <v>642</v>
      </c>
      <c r="E1143" s="4" t="s">
        <v>1936</v>
      </c>
      <c r="F1143" s="4" t="s">
        <v>287</v>
      </c>
      <c r="G1143" s="4" t="s">
        <v>390</v>
      </c>
    </row>
    <row r="1144" spans="1:7" x14ac:dyDescent="0.25">
      <c r="A1144" s="4" t="s">
        <v>389</v>
      </c>
      <c r="B1144" s="4" t="s">
        <v>394</v>
      </c>
      <c r="C1144" s="4" t="s">
        <v>406</v>
      </c>
      <c r="D1144" s="4" t="s">
        <v>642</v>
      </c>
      <c r="E1144" s="4" t="s">
        <v>1360</v>
      </c>
      <c r="F1144" s="4" t="s">
        <v>287</v>
      </c>
      <c r="G1144" s="4" t="s">
        <v>390</v>
      </c>
    </row>
    <row r="1145" spans="1:7" x14ac:dyDescent="0.25">
      <c r="A1145" s="4" t="s">
        <v>389</v>
      </c>
      <c r="B1145" s="4" t="s">
        <v>394</v>
      </c>
      <c r="C1145" s="4" t="s">
        <v>406</v>
      </c>
      <c r="D1145" s="4" t="s">
        <v>642</v>
      </c>
      <c r="E1145" s="4" t="s">
        <v>1530</v>
      </c>
      <c r="F1145" s="4" t="s">
        <v>358</v>
      </c>
      <c r="G1145" s="4" t="s">
        <v>864</v>
      </c>
    </row>
    <row r="1146" spans="1:7" x14ac:dyDescent="0.25">
      <c r="A1146" s="4" t="s">
        <v>389</v>
      </c>
      <c r="B1146" s="4" t="s">
        <v>394</v>
      </c>
      <c r="C1146" s="4" t="s">
        <v>406</v>
      </c>
      <c r="D1146" s="4" t="s">
        <v>642</v>
      </c>
      <c r="E1146" s="4" t="s">
        <v>1937</v>
      </c>
      <c r="F1146" s="4" t="s">
        <v>358</v>
      </c>
      <c r="G1146" s="4" t="s">
        <v>864</v>
      </c>
    </row>
    <row r="1147" spans="1:7" x14ac:dyDescent="0.25">
      <c r="A1147" s="4" t="s">
        <v>389</v>
      </c>
      <c r="B1147" s="4" t="s">
        <v>394</v>
      </c>
      <c r="C1147" s="4" t="s">
        <v>406</v>
      </c>
      <c r="D1147" s="4" t="s">
        <v>642</v>
      </c>
      <c r="E1147" s="4" t="s">
        <v>1938</v>
      </c>
      <c r="F1147" s="4" t="s">
        <v>358</v>
      </c>
      <c r="G1147" s="4" t="s">
        <v>864</v>
      </c>
    </row>
    <row r="1148" spans="1:7" x14ac:dyDescent="0.25">
      <c r="A1148" s="4" t="s">
        <v>389</v>
      </c>
      <c r="B1148" s="4" t="s">
        <v>394</v>
      </c>
      <c r="C1148" s="4" t="s">
        <v>406</v>
      </c>
      <c r="D1148" s="4" t="s">
        <v>642</v>
      </c>
      <c r="E1148" s="4" t="s">
        <v>1939</v>
      </c>
      <c r="F1148" s="4" t="s">
        <v>358</v>
      </c>
      <c r="G1148" s="4" t="s">
        <v>864</v>
      </c>
    </row>
    <row r="1149" spans="1:7" x14ac:dyDescent="0.25">
      <c r="A1149" s="4" t="s">
        <v>389</v>
      </c>
      <c r="B1149" s="4" t="s">
        <v>394</v>
      </c>
      <c r="C1149" s="4" t="s">
        <v>406</v>
      </c>
      <c r="D1149" s="4" t="s">
        <v>642</v>
      </c>
      <c r="E1149" s="4" t="s">
        <v>1940</v>
      </c>
      <c r="F1149" s="4" t="s">
        <v>363</v>
      </c>
      <c r="G1149" s="4" t="s">
        <v>865</v>
      </c>
    </row>
    <row r="1150" spans="1:7" x14ac:dyDescent="0.25">
      <c r="A1150" s="4" t="s">
        <v>389</v>
      </c>
      <c r="B1150" s="4" t="s">
        <v>394</v>
      </c>
      <c r="C1150" s="4" t="s">
        <v>406</v>
      </c>
      <c r="D1150" s="4" t="s">
        <v>642</v>
      </c>
      <c r="E1150" s="4" t="s">
        <v>1941</v>
      </c>
      <c r="F1150" s="4" t="s">
        <v>363</v>
      </c>
      <c r="G1150" s="4" t="s">
        <v>865</v>
      </c>
    </row>
    <row r="1151" spans="1:7" x14ac:dyDescent="0.25">
      <c r="A1151" s="4" t="s">
        <v>389</v>
      </c>
      <c r="B1151" s="4" t="s">
        <v>394</v>
      </c>
      <c r="C1151" s="4" t="s">
        <v>406</v>
      </c>
      <c r="D1151" s="4" t="s">
        <v>642</v>
      </c>
      <c r="E1151" s="4" t="s">
        <v>1942</v>
      </c>
      <c r="F1151" s="4" t="s">
        <v>363</v>
      </c>
      <c r="G1151" s="4" t="s">
        <v>865</v>
      </c>
    </row>
    <row r="1152" spans="1:7" x14ac:dyDescent="0.25">
      <c r="A1152" s="4" t="s">
        <v>389</v>
      </c>
      <c r="B1152" s="4" t="s">
        <v>394</v>
      </c>
      <c r="C1152" s="4" t="s">
        <v>406</v>
      </c>
      <c r="D1152" s="4" t="s">
        <v>642</v>
      </c>
      <c r="E1152" s="4" t="s">
        <v>1943</v>
      </c>
      <c r="F1152" s="4" t="s">
        <v>363</v>
      </c>
      <c r="G1152" s="4" t="s">
        <v>865</v>
      </c>
    </row>
    <row r="1153" spans="1:7" x14ac:dyDescent="0.25">
      <c r="A1153" s="4" t="s">
        <v>389</v>
      </c>
      <c r="B1153" s="4" t="s">
        <v>387</v>
      </c>
      <c r="C1153" s="4" t="s">
        <v>407</v>
      </c>
      <c r="D1153" s="4" t="s">
        <v>387</v>
      </c>
      <c r="E1153" s="4" t="s">
        <v>1944</v>
      </c>
      <c r="F1153" s="4" t="s">
        <v>51</v>
      </c>
      <c r="G1153" s="4" t="s">
        <v>390</v>
      </c>
    </row>
    <row r="1154" spans="1:7" x14ac:dyDescent="0.25">
      <c r="A1154" s="4" t="s">
        <v>389</v>
      </c>
      <c r="B1154" s="4" t="s">
        <v>387</v>
      </c>
      <c r="C1154" s="4" t="s">
        <v>407</v>
      </c>
      <c r="D1154" s="4" t="s">
        <v>387</v>
      </c>
      <c r="E1154" s="4" t="s">
        <v>1945</v>
      </c>
      <c r="F1154" s="4" t="s">
        <v>51</v>
      </c>
      <c r="G1154" s="4" t="s">
        <v>390</v>
      </c>
    </row>
    <row r="1155" spans="1:7" x14ac:dyDescent="0.25">
      <c r="A1155" s="4" t="s">
        <v>389</v>
      </c>
      <c r="B1155" s="4" t="s">
        <v>387</v>
      </c>
      <c r="C1155" s="4" t="s">
        <v>407</v>
      </c>
      <c r="D1155" s="4" t="s">
        <v>387</v>
      </c>
      <c r="E1155" s="4" t="s">
        <v>1946</v>
      </c>
      <c r="F1155" s="4" t="s">
        <v>51</v>
      </c>
      <c r="G1155" s="4" t="s">
        <v>390</v>
      </c>
    </row>
    <row r="1156" spans="1:7" x14ac:dyDescent="0.25">
      <c r="A1156" s="4" t="s">
        <v>389</v>
      </c>
      <c r="B1156" s="4" t="s">
        <v>387</v>
      </c>
      <c r="C1156" s="4" t="s">
        <v>407</v>
      </c>
      <c r="D1156" s="4" t="s">
        <v>387</v>
      </c>
      <c r="E1156" s="4" t="s">
        <v>1947</v>
      </c>
      <c r="F1156" s="4" t="s">
        <v>51</v>
      </c>
      <c r="G1156" s="4" t="s">
        <v>390</v>
      </c>
    </row>
    <row r="1157" spans="1:7" x14ac:dyDescent="0.25">
      <c r="A1157" s="4" t="s">
        <v>389</v>
      </c>
      <c r="B1157" s="4" t="s">
        <v>387</v>
      </c>
      <c r="C1157" s="4" t="s">
        <v>407</v>
      </c>
      <c r="D1157" s="4" t="s">
        <v>387</v>
      </c>
      <c r="E1157" s="4" t="s">
        <v>1948</v>
      </c>
      <c r="F1157" s="4" t="s">
        <v>51</v>
      </c>
      <c r="G1157" s="4" t="s">
        <v>390</v>
      </c>
    </row>
    <row r="1158" spans="1:7" x14ac:dyDescent="0.25">
      <c r="A1158" s="4" t="s">
        <v>389</v>
      </c>
      <c r="B1158" s="4" t="s">
        <v>387</v>
      </c>
      <c r="C1158" s="4" t="s">
        <v>407</v>
      </c>
      <c r="D1158" s="4" t="s">
        <v>387</v>
      </c>
      <c r="E1158" s="4" t="s">
        <v>1949</v>
      </c>
      <c r="F1158" s="4" t="s">
        <v>51</v>
      </c>
      <c r="G1158" s="4" t="s">
        <v>390</v>
      </c>
    </row>
    <row r="1159" spans="1:7" x14ac:dyDescent="0.25">
      <c r="A1159" s="4" t="s">
        <v>389</v>
      </c>
      <c r="B1159" s="4" t="s">
        <v>387</v>
      </c>
      <c r="C1159" s="4" t="s">
        <v>407</v>
      </c>
      <c r="D1159" s="4" t="s">
        <v>387</v>
      </c>
      <c r="E1159" s="4" t="s">
        <v>1950</v>
      </c>
      <c r="F1159" s="4" t="s">
        <v>51</v>
      </c>
      <c r="G1159" s="4" t="s">
        <v>390</v>
      </c>
    </row>
    <row r="1160" spans="1:7" x14ac:dyDescent="0.25">
      <c r="A1160" s="4" t="s">
        <v>389</v>
      </c>
      <c r="B1160" s="4" t="s">
        <v>387</v>
      </c>
      <c r="C1160" s="4" t="s">
        <v>407</v>
      </c>
      <c r="D1160" s="4" t="s">
        <v>387</v>
      </c>
      <c r="E1160" s="4" t="s">
        <v>1951</v>
      </c>
      <c r="F1160" s="4" t="s">
        <v>51</v>
      </c>
      <c r="G1160" s="4" t="s">
        <v>390</v>
      </c>
    </row>
    <row r="1161" spans="1:7" x14ac:dyDescent="0.25">
      <c r="A1161" s="4" t="s">
        <v>389</v>
      </c>
      <c r="B1161" s="4" t="s">
        <v>387</v>
      </c>
      <c r="C1161" s="4" t="s">
        <v>407</v>
      </c>
      <c r="D1161" s="4" t="s">
        <v>387</v>
      </c>
      <c r="E1161" s="4" t="s">
        <v>1952</v>
      </c>
      <c r="F1161" s="4" t="s">
        <v>51</v>
      </c>
      <c r="G1161" s="4" t="s">
        <v>390</v>
      </c>
    </row>
    <row r="1162" spans="1:7" x14ac:dyDescent="0.25">
      <c r="A1162" s="4" t="s">
        <v>389</v>
      </c>
      <c r="B1162" s="4" t="s">
        <v>387</v>
      </c>
      <c r="C1162" s="4" t="s">
        <v>407</v>
      </c>
      <c r="D1162" s="4" t="s">
        <v>387</v>
      </c>
      <c r="E1162" s="4" t="s">
        <v>1953</v>
      </c>
      <c r="F1162" s="4" t="s">
        <v>51</v>
      </c>
      <c r="G1162" s="4" t="s">
        <v>390</v>
      </c>
    </row>
    <row r="1163" spans="1:7" x14ac:dyDescent="0.25">
      <c r="A1163" s="4" t="s">
        <v>389</v>
      </c>
      <c r="B1163" s="4" t="s">
        <v>387</v>
      </c>
      <c r="C1163" s="4" t="s">
        <v>407</v>
      </c>
      <c r="D1163" s="4" t="s">
        <v>387</v>
      </c>
      <c r="E1163" s="4" t="s">
        <v>1954</v>
      </c>
      <c r="F1163" s="4" t="s">
        <v>51</v>
      </c>
      <c r="G1163" s="4" t="s">
        <v>390</v>
      </c>
    </row>
    <row r="1164" spans="1:7" x14ac:dyDescent="0.25">
      <c r="A1164" s="4" t="s">
        <v>389</v>
      </c>
      <c r="B1164" s="4" t="s">
        <v>387</v>
      </c>
      <c r="C1164" s="4" t="s">
        <v>407</v>
      </c>
      <c r="D1164" s="4" t="s">
        <v>387</v>
      </c>
      <c r="E1164" s="4" t="s">
        <v>1955</v>
      </c>
      <c r="F1164" s="4" t="s">
        <v>51</v>
      </c>
      <c r="G1164" s="4" t="s">
        <v>390</v>
      </c>
    </row>
    <row r="1165" spans="1:7" x14ac:dyDescent="0.25">
      <c r="A1165" s="4" t="s">
        <v>389</v>
      </c>
      <c r="B1165" s="4" t="s">
        <v>387</v>
      </c>
      <c r="C1165" s="4" t="s">
        <v>407</v>
      </c>
      <c r="D1165" s="4" t="s">
        <v>387</v>
      </c>
      <c r="E1165" s="4" t="s">
        <v>1956</v>
      </c>
      <c r="F1165" s="4" t="s">
        <v>51</v>
      </c>
      <c r="G1165" s="4" t="s">
        <v>390</v>
      </c>
    </row>
    <row r="1166" spans="1:7" x14ac:dyDescent="0.25">
      <c r="A1166" s="4" t="s">
        <v>389</v>
      </c>
      <c r="B1166" s="4" t="s">
        <v>387</v>
      </c>
      <c r="C1166" s="4" t="s">
        <v>407</v>
      </c>
      <c r="D1166" s="4" t="s">
        <v>387</v>
      </c>
      <c r="E1166" s="4" t="s">
        <v>1957</v>
      </c>
      <c r="F1166" s="4" t="s">
        <v>51</v>
      </c>
      <c r="G1166" s="4" t="s">
        <v>390</v>
      </c>
    </row>
    <row r="1167" spans="1:7" x14ac:dyDescent="0.25">
      <c r="A1167" s="4" t="s">
        <v>389</v>
      </c>
      <c r="B1167" s="4" t="s">
        <v>387</v>
      </c>
      <c r="C1167" s="4" t="s">
        <v>407</v>
      </c>
      <c r="D1167" s="4" t="s">
        <v>387</v>
      </c>
      <c r="E1167" s="4" t="s">
        <v>1958</v>
      </c>
      <c r="F1167" s="4" t="s">
        <v>51</v>
      </c>
      <c r="G1167" s="4" t="s">
        <v>390</v>
      </c>
    </row>
    <row r="1168" spans="1:7" x14ac:dyDescent="0.25">
      <c r="A1168" s="4" t="s">
        <v>389</v>
      </c>
      <c r="B1168" s="4" t="s">
        <v>387</v>
      </c>
      <c r="C1168" s="4" t="s">
        <v>407</v>
      </c>
      <c r="D1168" s="4" t="s">
        <v>387</v>
      </c>
      <c r="E1168" s="4" t="s">
        <v>1959</v>
      </c>
      <c r="F1168" s="4" t="s">
        <v>51</v>
      </c>
      <c r="G1168" s="4" t="s">
        <v>390</v>
      </c>
    </row>
    <row r="1169" spans="1:7" x14ac:dyDescent="0.25">
      <c r="A1169" s="4" t="s">
        <v>389</v>
      </c>
      <c r="B1169" s="4" t="s">
        <v>387</v>
      </c>
      <c r="C1169" s="4" t="s">
        <v>407</v>
      </c>
      <c r="D1169" s="4" t="s">
        <v>387</v>
      </c>
      <c r="E1169" s="4" t="s">
        <v>1960</v>
      </c>
      <c r="F1169" s="4" t="s">
        <v>51</v>
      </c>
      <c r="G1169" s="4" t="s">
        <v>390</v>
      </c>
    </row>
    <row r="1170" spans="1:7" x14ac:dyDescent="0.25">
      <c r="A1170" s="4" t="s">
        <v>389</v>
      </c>
      <c r="B1170" s="4" t="s">
        <v>387</v>
      </c>
      <c r="C1170" s="4" t="s">
        <v>407</v>
      </c>
      <c r="D1170" s="4" t="s">
        <v>387</v>
      </c>
      <c r="E1170" s="4" t="s">
        <v>1961</v>
      </c>
      <c r="F1170" s="4" t="s">
        <v>51</v>
      </c>
      <c r="G1170" s="4" t="s">
        <v>390</v>
      </c>
    </row>
    <row r="1171" spans="1:7" x14ac:dyDescent="0.25">
      <c r="A1171" s="4" t="s">
        <v>389</v>
      </c>
      <c r="B1171" s="4" t="s">
        <v>387</v>
      </c>
      <c r="C1171" s="4" t="s">
        <v>407</v>
      </c>
      <c r="D1171" s="4" t="s">
        <v>387</v>
      </c>
      <c r="E1171" s="4" t="s">
        <v>1962</v>
      </c>
      <c r="F1171" s="4" t="s">
        <v>136</v>
      </c>
      <c r="G1171" s="4" t="s">
        <v>864</v>
      </c>
    </row>
    <row r="1172" spans="1:7" x14ac:dyDescent="0.25">
      <c r="A1172" s="4" t="s">
        <v>389</v>
      </c>
      <c r="B1172" s="4" t="s">
        <v>387</v>
      </c>
      <c r="C1172" s="4" t="s">
        <v>407</v>
      </c>
      <c r="D1172" s="4" t="s">
        <v>387</v>
      </c>
      <c r="E1172" s="4" t="s">
        <v>1963</v>
      </c>
      <c r="F1172" s="4" t="s">
        <v>136</v>
      </c>
      <c r="G1172" s="4" t="s">
        <v>864</v>
      </c>
    </row>
    <row r="1173" spans="1:7" x14ac:dyDescent="0.25">
      <c r="A1173" s="4" t="s">
        <v>389</v>
      </c>
      <c r="B1173" s="4" t="s">
        <v>387</v>
      </c>
      <c r="C1173" s="4" t="s">
        <v>407</v>
      </c>
      <c r="D1173" s="4" t="s">
        <v>387</v>
      </c>
      <c r="E1173" s="4" t="s">
        <v>1964</v>
      </c>
      <c r="F1173" s="4" t="s">
        <v>136</v>
      </c>
      <c r="G1173" s="4" t="s">
        <v>864</v>
      </c>
    </row>
    <row r="1174" spans="1:7" x14ac:dyDescent="0.25">
      <c r="A1174" s="4" t="s">
        <v>389</v>
      </c>
      <c r="B1174" s="4" t="s">
        <v>387</v>
      </c>
      <c r="C1174" s="4" t="s">
        <v>407</v>
      </c>
      <c r="D1174" s="4" t="s">
        <v>387</v>
      </c>
      <c r="E1174" s="4" t="s">
        <v>1965</v>
      </c>
      <c r="F1174" s="4" t="s">
        <v>136</v>
      </c>
      <c r="G1174" s="4" t="s">
        <v>864</v>
      </c>
    </row>
    <row r="1175" spans="1:7" x14ac:dyDescent="0.25">
      <c r="A1175" s="4" t="s">
        <v>389</v>
      </c>
      <c r="B1175" s="4" t="s">
        <v>387</v>
      </c>
      <c r="C1175" s="4" t="s">
        <v>407</v>
      </c>
      <c r="D1175" s="4" t="s">
        <v>387</v>
      </c>
      <c r="E1175" s="4" t="s">
        <v>1966</v>
      </c>
      <c r="F1175" s="4" t="s">
        <v>136</v>
      </c>
      <c r="G1175" s="4" t="s">
        <v>864</v>
      </c>
    </row>
    <row r="1176" spans="1:7" x14ac:dyDescent="0.25">
      <c r="A1176" s="4" t="s">
        <v>389</v>
      </c>
      <c r="B1176" s="4" t="s">
        <v>387</v>
      </c>
      <c r="C1176" s="4" t="s">
        <v>407</v>
      </c>
      <c r="D1176" s="4" t="s">
        <v>387</v>
      </c>
      <c r="E1176" s="4" t="s">
        <v>1967</v>
      </c>
      <c r="F1176" s="4" t="s">
        <v>136</v>
      </c>
      <c r="G1176" s="4" t="s">
        <v>864</v>
      </c>
    </row>
    <row r="1177" spans="1:7" x14ac:dyDescent="0.25">
      <c r="A1177" s="4" t="s">
        <v>389</v>
      </c>
      <c r="B1177" s="4" t="s">
        <v>387</v>
      </c>
      <c r="C1177" s="4" t="s">
        <v>407</v>
      </c>
      <c r="D1177" s="4" t="s">
        <v>387</v>
      </c>
      <c r="E1177" s="4" t="s">
        <v>1968</v>
      </c>
      <c r="F1177" s="4" t="s">
        <v>136</v>
      </c>
      <c r="G1177" s="4" t="s">
        <v>864</v>
      </c>
    </row>
    <row r="1178" spans="1:7" x14ac:dyDescent="0.25">
      <c r="A1178" s="4" t="s">
        <v>389</v>
      </c>
      <c r="B1178" s="4" t="s">
        <v>387</v>
      </c>
      <c r="C1178" s="4" t="s">
        <v>407</v>
      </c>
      <c r="D1178" s="4" t="s">
        <v>387</v>
      </c>
      <c r="E1178" s="4" t="s">
        <v>1969</v>
      </c>
      <c r="F1178" s="4" t="s">
        <v>136</v>
      </c>
      <c r="G1178" s="4" t="s">
        <v>864</v>
      </c>
    </row>
    <row r="1179" spans="1:7" x14ac:dyDescent="0.25">
      <c r="A1179" s="4" t="s">
        <v>389</v>
      </c>
      <c r="B1179" s="4" t="s">
        <v>387</v>
      </c>
      <c r="C1179" s="4" t="s">
        <v>407</v>
      </c>
      <c r="D1179" s="4" t="s">
        <v>387</v>
      </c>
      <c r="E1179" s="4" t="s">
        <v>1970</v>
      </c>
      <c r="F1179" s="4" t="s">
        <v>136</v>
      </c>
      <c r="G1179" s="4" t="s">
        <v>864</v>
      </c>
    </row>
    <row r="1180" spans="1:7" x14ac:dyDescent="0.25">
      <c r="A1180" s="4" t="s">
        <v>389</v>
      </c>
      <c r="B1180" s="4" t="s">
        <v>387</v>
      </c>
      <c r="C1180" s="4" t="s">
        <v>407</v>
      </c>
      <c r="D1180" s="4" t="s">
        <v>387</v>
      </c>
      <c r="E1180" s="4" t="s">
        <v>1971</v>
      </c>
      <c r="F1180" s="4" t="s">
        <v>136</v>
      </c>
      <c r="G1180" s="4" t="s">
        <v>864</v>
      </c>
    </row>
    <row r="1181" spans="1:7" x14ac:dyDescent="0.25">
      <c r="A1181" s="4" t="s">
        <v>389</v>
      </c>
      <c r="B1181" s="4" t="s">
        <v>387</v>
      </c>
      <c r="C1181" s="4" t="s">
        <v>407</v>
      </c>
      <c r="D1181" s="4" t="s">
        <v>387</v>
      </c>
      <c r="E1181" s="4" t="s">
        <v>1972</v>
      </c>
      <c r="F1181" s="4" t="s">
        <v>136</v>
      </c>
      <c r="G1181" s="4" t="s">
        <v>864</v>
      </c>
    </row>
    <row r="1182" spans="1:7" x14ac:dyDescent="0.25">
      <c r="A1182" s="4" t="s">
        <v>389</v>
      </c>
      <c r="B1182" s="4" t="s">
        <v>387</v>
      </c>
      <c r="C1182" s="4" t="s">
        <v>407</v>
      </c>
      <c r="D1182" s="4" t="s">
        <v>387</v>
      </c>
      <c r="E1182" s="4" t="s">
        <v>1973</v>
      </c>
      <c r="F1182" s="4" t="s">
        <v>136</v>
      </c>
      <c r="G1182" s="4" t="s">
        <v>864</v>
      </c>
    </row>
    <row r="1183" spans="1:7" x14ac:dyDescent="0.25">
      <c r="A1183" s="4" t="s">
        <v>389</v>
      </c>
      <c r="B1183" s="4" t="s">
        <v>387</v>
      </c>
      <c r="C1183" s="4" t="s">
        <v>407</v>
      </c>
      <c r="D1183" s="4" t="s">
        <v>387</v>
      </c>
      <c r="E1183" s="4" t="s">
        <v>1974</v>
      </c>
      <c r="F1183" s="4" t="s">
        <v>136</v>
      </c>
      <c r="G1183" s="4" t="s">
        <v>864</v>
      </c>
    </row>
    <row r="1184" spans="1:7" x14ac:dyDescent="0.25">
      <c r="A1184" s="4" t="s">
        <v>389</v>
      </c>
      <c r="B1184" s="4" t="s">
        <v>387</v>
      </c>
      <c r="C1184" s="4" t="s">
        <v>407</v>
      </c>
      <c r="D1184" s="4" t="s">
        <v>387</v>
      </c>
      <c r="E1184" s="4" t="s">
        <v>1975</v>
      </c>
      <c r="F1184" s="4" t="s">
        <v>136</v>
      </c>
      <c r="G1184" s="4" t="s">
        <v>864</v>
      </c>
    </row>
    <row r="1185" spans="1:7" x14ac:dyDescent="0.25">
      <c r="A1185" s="4" t="s">
        <v>389</v>
      </c>
      <c r="B1185" s="4" t="s">
        <v>387</v>
      </c>
      <c r="C1185" s="4" t="s">
        <v>407</v>
      </c>
      <c r="D1185" s="4" t="s">
        <v>387</v>
      </c>
      <c r="E1185" s="4" t="s">
        <v>1976</v>
      </c>
      <c r="F1185" s="4" t="s">
        <v>136</v>
      </c>
      <c r="G1185" s="4" t="s">
        <v>864</v>
      </c>
    </row>
    <row r="1186" spans="1:7" x14ac:dyDescent="0.25">
      <c r="A1186" s="4" t="s">
        <v>389</v>
      </c>
      <c r="B1186" s="4" t="s">
        <v>387</v>
      </c>
      <c r="C1186" s="4" t="s">
        <v>407</v>
      </c>
      <c r="D1186" s="4" t="s">
        <v>387</v>
      </c>
      <c r="E1186" s="4" t="s">
        <v>1977</v>
      </c>
      <c r="F1186" s="4" t="s">
        <v>136</v>
      </c>
      <c r="G1186" s="4" t="s">
        <v>864</v>
      </c>
    </row>
    <row r="1187" spans="1:7" x14ac:dyDescent="0.25">
      <c r="A1187" s="4" t="s">
        <v>389</v>
      </c>
      <c r="B1187" s="4" t="s">
        <v>387</v>
      </c>
      <c r="C1187" s="4" t="s">
        <v>407</v>
      </c>
      <c r="D1187" s="4" t="s">
        <v>387</v>
      </c>
      <c r="E1187" s="4" t="s">
        <v>1978</v>
      </c>
      <c r="F1187" s="4" t="s">
        <v>136</v>
      </c>
      <c r="G1187" s="4" t="s">
        <v>864</v>
      </c>
    </row>
    <row r="1188" spans="1:7" x14ac:dyDescent="0.25">
      <c r="A1188" s="4" t="s">
        <v>389</v>
      </c>
      <c r="B1188" s="4" t="s">
        <v>387</v>
      </c>
      <c r="C1188" s="4" t="s">
        <v>407</v>
      </c>
      <c r="D1188" s="4" t="s">
        <v>387</v>
      </c>
      <c r="E1188" s="4" t="s">
        <v>1979</v>
      </c>
      <c r="F1188" s="4" t="s">
        <v>136</v>
      </c>
      <c r="G1188" s="4" t="s">
        <v>864</v>
      </c>
    </row>
    <row r="1189" spans="1:7" x14ac:dyDescent="0.25">
      <c r="A1189" s="4" t="s">
        <v>389</v>
      </c>
      <c r="B1189" s="4" t="s">
        <v>387</v>
      </c>
      <c r="C1189" s="4" t="s">
        <v>407</v>
      </c>
      <c r="D1189" s="4" t="s">
        <v>387</v>
      </c>
      <c r="E1189" s="4" t="s">
        <v>1980</v>
      </c>
      <c r="F1189" s="4" t="s">
        <v>259</v>
      </c>
      <c r="G1189" s="4" t="s">
        <v>865</v>
      </c>
    </row>
    <row r="1190" spans="1:7" x14ac:dyDescent="0.25">
      <c r="A1190" s="4" t="s">
        <v>389</v>
      </c>
      <c r="B1190" s="4" t="s">
        <v>387</v>
      </c>
      <c r="C1190" s="4" t="s">
        <v>407</v>
      </c>
      <c r="D1190" s="4" t="s">
        <v>387</v>
      </c>
      <c r="E1190" s="4" t="s">
        <v>1981</v>
      </c>
      <c r="F1190" s="4" t="s">
        <v>259</v>
      </c>
      <c r="G1190" s="4" t="s">
        <v>865</v>
      </c>
    </row>
    <row r="1191" spans="1:7" x14ac:dyDescent="0.25">
      <c r="A1191" s="4" t="s">
        <v>389</v>
      </c>
      <c r="B1191" s="4" t="s">
        <v>387</v>
      </c>
      <c r="C1191" s="4" t="s">
        <v>407</v>
      </c>
      <c r="D1191" s="4" t="s">
        <v>387</v>
      </c>
      <c r="E1191" s="4" t="s">
        <v>1982</v>
      </c>
      <c r="F1191" s="4" t="s">
        <v>259</v>
      </c>
      <c r="G1191" s="4" t="s">
        <v>865</v>
      </c>
    </row>
    <row r="1192" spans="1:7" x14ac:dyDescent="0.25">
      <c r="A1192" s="4" t="s">
        <v>389</v>
      </c>
      <c r="B1192" s="4" t="s">
        <v>387</v>
      </c>
      <c r="C1192" s="4" t="s">
        <v>407</v>
      </c>
      <c r="D1192" s="4" t="s">
        <v>387</v>
      </c>
      <c r="E1192" s="4" t="s">
        <v>1983</v>
      </c>
      <c r="F1192" s="4" t="s">
        <v>259</v>
      </c>
      <c r="G1192" s="4" t="s">
        <v>865</v>
      </c>
    </row>
    <row r="1193" spans="1:7" x14ac:dyDescent="0.25">
      <c r="A1193" s="4" t="s">
        <v>389</v>
      </c>
      <c r="B1193" s="4" t="s">
        <v>387</v>
      </c>
      <c r="C1193" s="4" t="s">
        <v>407</v>
      </c>
      <c r="D1193" s="4" t="s">
        <v>387</v>
      </c>
      <c r="E1193" s="4" t="s">
        <v>1984</v>
      </c>
      <c r="F1193" s="4" t="s">
        <v>259</v>
      </c>
      <c r="G1193" s="4" t="s">
        <v>865</v>
      </c>
    </row>
    <row r="1194" spans="1:7" x14ac:dyDescent="0.25">
      <c r="A1194" s="4" t="s">
        <v>389</v>
      </c>
      <c r="B1194" s="4" t="s">
        <v>387</v>
      </c>
      <c r="C1194" s="4" t="s">
        <v>407</v>
      </c>
      <c r="D1194" s="4" t="s">
        <v>387</v>
      </c>
      <c r="E1194" s="4" t="s">
        <v>1985</v>
      </c>
      <c r="F1194" s="4" t="s">
        <v>259</v>
      </c>
      <c r="G1194" s="4" t="s">
        <v>865</v>
      </c>
    </row>
    <row r="1195" spans="1:7" x14ac:dyDescent="0.25">
      <c r="A1195" s="4" t="s">
        <v>389</v>
      </c>
      <c r="B1195" s="4" t="s">
        <v>387</v>
      </c>
      <c r="C1195" s="4" t="s">
        <v>407</v>
      </c>
      <c r="D1195" s="4" t="s">
        <v>387</v>
      </c>
      <c r="E1195" s="4" t="s">
        <v>1986</v>
      </c>
      <c r="F1195" s="4" t="s">
        <v>259</v>
      </c>
      <c r="G1195" s="4" t="s">
        <v>865</v>
      </c>
    </row>
    <row r="1196" spans="1:7" x14ac:dyDescent="0.25">
      <c r="A1196" s="4" t="s">
        <v>389</v>
      </c>
      <c r="B1196" s="4" t="s">
        <v>387</v>
      </c>
      <c r="C1196" s="4" t="s">
        <v>407</v>
      </c>
      <c r="D1196" s="4" t="s">
        <v>387</v>
      </c>
      <c r="E1196" s="4" t="s">
        <v>1987</v>
      </c>
      <c r="F1196" s="4" t="s">
        <v>259</v>
      </c>
      <c r="G1196" s="4" t="s">
        <v>865</v>
      </c>
    </row>
    <row r="1197" spans="1:7" x14ac:dyDescent="0.25">
      <c r="A1197" s="4" t="s">
        <v>389</v>
      </c>
      <c r="B1197" s="4" t="s">
        <v>387</v>
      </c>
      <c r="C1197" s="4" t="s">
        <v>407</v>
      </c>
      <c r="D1197" s="4" t="s">
        <v>387</v>
      </c>
      <c r="E1197" s="4" t="s">
        <v>1988</v>
      </c>
      <c r="F1197" s="4" t="s">
        <v>259</v>
      </c>
      <c r="G1197" s="4" t="s">
        <v>865</v>
      </c>
    </row>
    <row r="1198" spans="1:7" x14ac:dyDescent="0.25">
      <c r="A1198" s="4" t="s">
        <v>389</v>
      </c>
      <c r="B1198" s="4" t="s">
        <v>387</v>
      </c>
      <c r="C1198" s="4" t="s">
        <v>407</v>
      </c>
      <c r="D1198" s="4" t="s">
        <v>387</v>
      </c>
      <c r="E1198" s="4" t="s">
        <v>1989</v>
      </c>
      <c r="F1198" s="4" t="s">
        <v>259</v>
      </c>
      <c r="G1198" s="4" t="s">
        <v>865</v>
      </c>
    </row>
    <row r="1199" spans="1:7" x14ac:dyDescent="0.25">
      <c r="A1199" s="4" t="s">
        <v>389</v>
      </c>
      <c r="B1199" s="4" t="s">
        <v>387</v>
      </c>
      <c r="C1199" s="4" t="s">
        <v>407</v>
      </c>
      <c r="D1199" s="4" t="s">
        <v>387</v>
      </c>
      <c r="E1199" s="4" t="s">
        <v>1990</v>
      </c>
      <c r="F1199" s="4" t="s">
        <v>259</v>
      </c>
      <c r="G1199" s="4" t="s">
        <v>865</v>
      </c>
    </row>
    <row r="1200" spans="1:7" x14ac:dyDescent="0.25">
      <c r="A1200" s="4" t="s">
        <v>389</v>
      </c>
      <c r="B1200" s="4" t="s">
        <v>387</v>
      </c>
      <c r="C1200" s="4" t="s">
        <v>407</v>
      </c>
      <c r="D1200" s="4" t="s">
        <v>387</v>
      </c>
      <c r="E1200" s="4" t="s">
        <v>1991</v>
      </c>
      <c r="F1200" s="4" t="s">
        <v>259</v>
      </c>
      <c r="G1200" s="4" t="s">
        <v>865</v>
      </c>
    </row>
    <row r="1201" spans="1:7" x14ac:dyDescent="0.25">
      <c r="A1201" s="4" t="s">
        <v>389</v>
      </c>
      <c r="B1201" s="4" t="s">
        <v>387</v>
      </c>
      <c r="C1201" s="4" t="s">
        <v>407</v>
      </c>
      <c r="D1201" s="4" t="s">
        <v>387</v>
      </c>
      <c r="E1201" s="4" t="s">
        <v>1992</v>
      </c>
      <c r="F1201" s="4" t="s">
        <v>259</v>
      </c>
      <c r="G1201" s="4" t="s">
        <v>865</v>
      </c>
    </row>
    <row r="1202" spans="1:7" x14ac:dyDescent="0.25">
      <c r="A1202" s="4" t="s">
        <v>389</v>
      </c>
      <c r="B1202" s="4" t="s">
        <v>387</v>
      </c>
      <c r="C1202" s="4" t="s">
        <v>407</v>
      </c>
      <c r="D1202" s="4" t="s">
        <v>387</v>
      </c>
      <c r="E1202" s="4" t="s">
        <v>1993</v>
      </c>
      <c r="F1202" s="4" t="s">
        <v>259</v>
      </c>
      <c r="G1202" s="4" t="s">
        <v>865</v>
      </c>
    </row>
    <row r="1203" spans="1:7" x14ac:dyDescent="0.25">
      <c r="A1203" s="4" t="s">
        <v>389</v>
      </c>
      <c r="B1203" s="4" t="s">
        <v>387</v>
      </c>
      <c r="C1203" s="4" t="s">
        <v>407</v>
      </c>
      <c r="D1203" s="4" t="s">
        <v>387</v>
      </c>
      <c r="E1203" s="4" t="s">
        <v>1994</v>
      </c>
      <c r="F1203" s="4" t="s">
        <v>259</v>
      </c>
      <c r="G1203" s="4" t="s">
        <v>865</v>
      </c>
    </row>
    <row r="1204" spans="1:7" x14ac:dyDescent="0.25">
      <c r="A1204" s="4" t="s">
        <v>389</v>
      </c>
      <c r="B1204" s="4" t="s">
        <v>387</v>
      </c>
      <c r="C1204" s="4" t="s">
        <v>407</v>
      </c>
      <c r="D1204" s="4" t="s">
        <v>387</v>
      </c>
      <c r="E1204" s="4" t="s">
        <v>1995</v>
      </c>
      <c r="F1204" s="4" t="s">
        <v>259</v>
      </c>
      <c r="G1204" s="4" t="s">
        <v>865</v>
      </c>
    </row>
    <row r="1205" spans="1:7" x14ac:dyDescent="0.25">
      <c r="A1205" s="4" t="s">
        <v>389</v>
      </c>
      <c r="B1205" s="4" t="s">
        <v>387</v>
      </c>
      <c r="C1205" s="4" t="s">
        <v>407</v>
      </c>
      <c r="D1205" s="4" t="s">
        <v>387</v>
      </c>
      <c r="E1205" s="4" t="s">
        <v>1996</v>
      </c>
      <c r="F1205" s="4" t="s">
        <v>259</v>
      </c>
      <c r="G1205" s="4" t="s">
        <v>865</v>
      </c>
    </row>
    <row r="1206" spans="1:7" x14ac:dyDescent="0.25">
      <c r="A1206" s="4" t="s">
        <v>389</v>
      </c>
      <c r="B1206" s="4" t="s">
        <v>387</v>
      </c>
      <c r="C1206" s="4" t="s">
        <v>407</v>
      </c>
      <c r="D1206" s="4" t="s">
        <v>387</v>
      </c>
      <c r="E1206" s="4" t="s">
        <v>1997</v>
      </c>
      <c r="F1206" s="4" t="s">
        <v>259</v>
      </c>
      <c r="G1206" s="4" t="s">
        <v>865</v>
      </c>
    </row>
    <row r="1207" spans="1:7" x14ac:dyDescent="0.25">
      <c r="A1207" s="4" t="s">
        <v>389</v>
      </c>
      <c r="B1207" s="4" t="s">
        <v>394</v>
      </c>
      <c r="C1207" s="4" t="s">
        <v>407</v>
      </c>
      <c r="D1207" s="4" t="s">
        <v>394</v>
      </c>
      <c r="E1207" s="4" t="s">
        <v>1998</v>
      </c>
      <c r="F1207" s="4" t="s">
        <v>136</v>
      </c>
      <c r="G1207" s="4" t="s">
        <v>390</v>
      </c>
    </row>
    <row r="1208" spans="1:7" x14ac:dyDescent="0.25">
      <c r="A1208" s="4" t="s">
        <v>389</v>
      </c>
      <c r="B1208" s="4" t="s">
        <v>394</v>
      </c>
      <c r="C1208" s="4" t="s">
        <v>407</v>
      </c>
      <c r="D1208" s="4" t="s">
        <v>394</v>
      </c>
      <c r="E1208" s="4" t="s">
        <v>1999</v>
      </c>
      <c r="F1208" s="4" t="s">
        <v>136</v>
      </c>
      <c r="G1208" s="4" t="s">
        <v>390</v>
      </c>
    </row>
    <row r="1209" spans="1:7" x14ac:dyDescent="0.25">
      <c r="A1209" s="4" t="s">
        <v>389</v>
      </c>
      <c r="B1209" s="4" t="s">
        <v>394</v>
      </c>
      <c r="C1209" s="4" t="s">
        <v>407</v>
      </c>
      <c r="D1209" s="4" t="s">
        <v>394</v>
      </c>
      <c r="E1209" s="4" t="s">
        <v>2000</v>
      </c>
      <c r="F1209" s="4" t="s">
        <v>136</v>
      </c>
      <c r="G1209" s="4" t="s">
        <v>390</v>
      </c>
    </row>
    <row r="1210" spans="1:7" x14ac:dyDescent="0.25">
      <c r="A1210" s="4" t="s">
        <v>389</v>
      </c>
      <c r="B1210" s="4" t="s">
        <v>394</v>
      </c>
      <c r="C1210" s="4" t="s">
        <v>407</v>
      </c>
      <c r="D1210" s="4" t="s">
        <v>394</v>
      </c>
      <c r="E1210" s="4" t="s">
        <v>2001</v>
      </c>
      <c r="F1210" s="4" t="s">
        <v>136</v>
      </c>
      <c r="G1210" s="4" t="s">
        <v>390</v>
      </c>
    </row>
    <row r="1211" spans="1:7" x14ac:dyDescent="0.25">
      <c r="A1211" s="4" t="s">
        <v>389</v>
      </c>
      <c r="B1211" s="4" t="s">
        <v>394</v>
      </c>
      <c r="C1211" s="4" t="s">
        <v>407</v>
      </c>
      <c r="D1211" s="4" t="s">
        <v>394</v>
      </c>
      <c r="E1211" s="4" t="s">
        <v>2002</v>
      </c>
      <c r="F1211" s="4" t="s">
        <v>136</v>
      </c>
      <c r="G1211" s="4" t="s">
        <v>390</v>
      </c>
    </row>
    <row r="1212" spans="1:7" x14ac:dyDescent="0.25">
      <c r="A1212" s="4" t="s">
        <v>389</v>
      </c>
      <c r="B1212" s="4" t="s">
        <v>394</v>
      </c>
      <c r="C1212" s="4" t="s">
        <v>407</v>
      </c>
      <c r="D1212" s="4" t="s">
        <v>394</v>
      </c>
      <c r="E1212" s="4" t="s">
        <v>2003</v>
      </c>
      <c r="F1212" s="4" t="s">
        <v>136</v>
      </c>
      <c r="G1212" s="4" t="s">
        <v>390</v>
      </c>
    </row>
    <row r="1213" spans="1:7" x14ac:dyDescent="0.25">
      <c r="A1213" s="4" t="s">
        <v>389</v>
      </c>
      <c r="B1213" s="4" t="s">
        <v>394</v>
      </c>
      <c r="C1213" s="4" t="s">
        <v>407</v>
      </c>
      <c r="D1213" s="4" t="s">
        <v>394</v>
      </c>
      <c r="E1213" s="4" t="s">
        <v>2004</v>
      </c>
      <c r="F1213" s="4" t="s">
        <v>136</v>
      </c>
      <c r="G1213" s="4" t="s">
        <v>390</v>
      </c>
    </row>
    <row r="1214" spans="1:7" x14ac:dyDescent="0.25">
      <c r="A1214" s="4" t="s">
        <v>389</v>
      </c>
      <c r="B1214" s="4" t="s">
        <v>394</v>
      </c>
      <c r="C1214" s="4" t="s">
        <v>407</v>
      </c>
      <c r="D1214" s="4" t="s">
        <v>394</v>
      </c>
      <c r="E1214" s="4" t="s">
        <v>2005</v>
      </c>
      <c r="F1214" s="4" t="s">
        <v>136</v>
      </c>
      <c r="G1214" s="4" t="s">
        <v>390</v>
      </c>
    </row>
    <row r="1215" spans="1:7" x14ac:dyDescent="0.25">
      <c r="A1215" s="4" t="s">
        <v>389</v>
      </c>
      <c r="B1215" s="4" t="s">
        <v>394</v>
      </c>
      <c r="C1215" s="4" t="s">
        <v>407</v>
      </c>
      <c r="D1215" s="4" t="s">
        <v>394</v>
      </c>
      <c r="E1215" s="4" t="s">
        <v>2006</v>
      </c>
      <c r="F1215" s="4" t="s">
        <v>136</v>
      </c>
      <c r="G1215" s="4" t="s">
        <v>390</v>
      </c>
    </row>
    <row r="1216" spans="1:7" x14ac:dyDescent="0.25">
      <c r="A1216" s="4" t="s">
        <v>389</v>
      </c>
      <c r="B1216" s="4" t="s">
        <v>394</v>
      </c>
      <c r="C1216" s="4" t="s">
        <v>407</v>
      </c>
      <c r="D1216" s="4" t="s">
        <v>394</v>
      </c>
      <c r="E1216" s="4" t="s">
        <v>2007</v>
      </c>
      <c r="F1216" s="4" t="s">
        <v>136</v>
      </c>
      <c r="G1216" s="4" t="s">
        <v>390</v>
      </c>
    </row>
    <row r="1217" spans="1:7" x14ac:dyDescent="0.25">
      <c r="A1217" s="4" t="s">
        <v>389</v>
      </c>
      <c r="B1217" s="4" t="s">
        <v>394</v>
      </c>
      <c r="C1217" s="4" t="s">
        <v>407</v>
      </c>
      <c r="D1217" s="4" t="s">
        <v>394</v>
      </c>
      <c r="E1217" s="4" t="s">
        <v>2008</v>
      </c>
      <c r="F1217" s="4" t="s">
        <v>136</v>
      </c>
      <c r="G1217" s="4" t="s">
        <v>390</v>
      </c>
    </row>
    <row r="1218" spans="1:7" x14ac:dyDescent="0.25">
      <c r="A1218" s="4" t="s">
        <v>389</v>
      </c>
      <c r="B1218" s="4" t="s">
        <v>394</v>
      </c>
      <c r="C1218" s="4" t="s">
        <v>407</v>
      </c>
      <c r="D1218" s="4" t="s">
        <v>394</v>
      </c>
      <c r="E1218" s="4" t="s">
        <v>2009</v>
      </c>
      <c r="F1218" s="4" t="s">
        <v>136</v>
      </c>
      <c r="G1218" s="4" t="s">
        <v>390</v>
      </c>
    </row>
    <row r="1219" spans="1:7" x14ac:dyDescent="0.25">
      <c r="A1219" s="4" t="s">
        <v>389</v>
      </c>
      <c r="B1219" s="4" t="s">
        <v>394</v>
      </c>
      <c r="C1219" s="4" t="s">
        <v>407</v>
      </c>
      <c r="D1219" s="4" t="s">
        <v>394</v>
      </c>
      <c r="E1219" s="4" t="s">
        <v>2010</v>
      </c>
      <c r="F1219" s="4" t="s">
        <v>136</v>
      </c>
      <c r="G1219" s="4" t="s">
        <v>390</v>
      </c>
    </row>
    <row r="1220" spans="1:7" x14ac:dyDescent="0.25">
      <c r="A1220" s="4" t="s">
        <v>389</v>
      </c>
      <c r="B1220" s="4" t="s">
        <v>394</v>
      </c>
      <c r="C1220" s="4" t="s">
        <v>407</v>
      </c>
      <c r="D1220" s="4" t="s">
        <v>394</v>
      </c>
      <c r="E1220" s="4" t="s">
        <v>2011</v>
      </c>
      <c r="F1220" s="4" t="s">
        <v>136</v>
      </c>
      <c r="G1220" s="4" t="s">
        <v>390</v>
      </c>
    </row>
    <row r="1221" spans="1:7" x14ac:dyDescent="0.25">
      <c r="A1221" s="4" t="s">
        <v>389</v>
      </c>
      <c r="B1221" s="4" t="s">
        <v>394</v>
      </c>
      <c r="C1221" s="4" t="s">
        <v>407</v>
      </c>
      <c r="D1221" s="4" t="s">
        <v>394</v>
      </c>
      <c r="E1221" s="4" t="s">
        <v>2012</v>
      </c>
      <c r="F1221" s="4" t="s">
        <v>136</v>
      </c>
      <c r="G1221" s="4" t="s">
        <v>390</v>
      </c>
    </row>
    <row r="1222" spans="1:7" x14ac:dyDescent="0.25">
      <c r="A1222" s="4" t="s">
        <v>389</v>
      </c>
      <c r="B1222" s="4" t="s">
        <v>394</v>
      </c>
      <c r="C1222" s="4" t="s">
        <v>407</v>
      </c>
      <c r="D1222" s="4" t="s">
        <v>394</v>
      </c>
      <c r="E1222" s="4" t="s">
        <v>2013</v>
      </c>
      <c r="F1222" s="4" t="s">
        <v>136</v>
      </c>
      <c r="G1222" s="4" t="s">
        <v>390</v>
      </c>
    </row>
    <row r="1223" spans="1:7" x14ac:dyDescent="0.25">
      <c r="A1223" s="4" t="s">
        <v>389</v>
      </c>
      <c r="B1223" s="4" t="s">
        <v>394</v>
      </c>
      <c r="C1223" s="4" t="s">
        <v>407</v>
      </c>
      <c r="D1223" s="4" t="s">
        <v>394</v>
      </c>
      <c r="E1223" s="4" t="s">
        <v>2014</v>
      </c>
      <c r="F1223" s="4" t="s">
        <v>136</v>
      </c>
      <c r="G1223" s="4" t="s">
        <v>390</v>
      </c>
    </row>
    <row r="1224" spans="1:7" x14ac:dyDescent="0.25">
      <c r="A1224" s="4" t="s">
        <v>389</v>
      </c>
      <c r="B1224" s="4" t="s">
        <v>394</v>
      </c>
      <c r="C1224" s="4" t="s">
        <v>407</v>
      </c>
      <c r="D1224" s="4" t="s">
        <v>394</v>
      </c>
      <c r="E1224" s="4" t="s">
        <v>2015</v>
      </c>
      <c r="F1224" s="4" t="s">
        <v>136</v>
      </c>
      <c r="G1224" s="4" t="s">
        <v>390</v>
      </c>
    </row>
    <row r="1225" spans="1:7" x14ac:dyDescent="0.25">
      <c r="A1225" s="4" t="s">
        <v>389</v>
      </c>
      <c r="B1225" s="4" t="s">
        <v>394</v>
      </c>
      <c r="C1225" s="4" t="s">
        <v>407</v>
      </c>
      <c r="D1225" s="4" t="s">
        <v>394</v>
      </c>
      <c r="E1225" s="4" t="s">
        <v>2016</v>
      </c>
      <c r="F1225" s="4" t="s">
        <v>331</v>
      </c>
      <c r="G1225" s="4" t="s">
        <v>864</v>
      </c>
    </row>
    <row r="1226" spans="1:7" x14ac:dyDescent="0.25">
      <c r="A1226" s="4" t="s">
        <v>389</v>
      </c>
      <c r="B1226" s="4" t="s">
        <v>394</v>
      </c>
      <c r="C1226" s="4" t="s">
        <v>407</v>
      </c>
      <c r="D1226" s="4" t="s">
        <v>394</v>
      </c>
      <c r="E1226" s="4" t="s">
        <v>2017</v>
      </c>
      <c r="F1226" s="4" t="s">
        <v>331</v>
      </c>
      <c r="G1226" s="4" t="s">
        <v>864</v>
      </c>
    </row>
    <row r="1227" spans="1:7" x14ac:dyDescent="0.25">
      <c r="A1227" s="4" t="s">
        <v>389</v>
      </c>
      <c r="B1227" s="4" t="s">
        <v>394</v>
      </c>
      <c r="C1227" s="4" t="s">
        <v>407</v>
      </c>
      <c r="D1227" s="4" t="s">
        <v>394</v>
      </c>
      <c r="E1227" s="4" t="s">
        <v>2018</v>
      </c>
      <c r="F1227" s="4" t="s">
        <v>331</v>
      </c>
      <c r="G1227" s="4" t="s">
        <v>864</v>
      </c>
    </row>
    <row r="1228" spans="1:7" x14ac:dyDescent="0.25">
      <c r="A1228" s="4" t="s">
        <v>389</v>
      </c>
      <c r="B1228" s="4" t="s">
        <v>394</v>
      </c>
      <c r="C1228" s="4" t="s">
        <v>407</v>
      </c>
      <c r="D1228" s="4" t="s">
        <v>394</v>
      </c>
      <c r="E1228" s="4" t="s">
        <v>2019</v>
      </c>
      <c r="F1228" s="4" t="s">
        <v>331</v>
      </c>
      <c r="G1228" s="4" t="s">
        <v>864</v>
      </c>
    </row>
    <row r="1229" spans="1:7" x14ac:dyDescent="0.25">
      <c r="A1229" s="4" t="s">
        <v>389</v>
      </c>
      <c r="B1229" s="4" t="s">
        <v>394</v>
      </c>
      <c r="C1229" s="4" t="s">
        <v>407</v>
      </c>
      <c r="D1229" s="4" t="s">
        <v>394</v>
      </c>
      <c r="E1229" s="4" t="s">
        <v>2020</v>
      </c>
      <c r="F1229" s="4" t="s">
        <v>331</v>
      </c>
      <c r="G1229" s="4" t="s">
        <v>864</v>
      </c>
    </row>
    <row r="1230" spans="1:7" x14ac:dyDescent="0.25">
      <c r="A1230" s="4" t="s">
        <v>389</v>
      </c>
      <c r="B1230" s="4" t="s">
        <v>394</v>
      </c>
      <c r="C1230" s="4" t="s">
        <v>407</v>
      </c>
      <c r="D1230" s="4" t="s">
        <v>394</v>
      </c>
      <c r="E1230" s="4" t="s">
        <v>2021</v>
      </c>
      <c r="F1230" s="4" t="s">
        <v>331</v>
      </c>
      <c r="G1230" s="4" t="s">
        <v>864</v>
      </c>
    </row>
    <row r="1231" spans="1:7" x14ac:dyDescent="0.25">
      <c r="A1231" s="4" t="s">
        <v>389</v>
      </c>
      <c r="B1231" s="4" t="s">
        <v>394</v>
      </c>
      <c r="C1231" s="4" t="s">
        <v>407</v>
      </c>
      <c r="D1231" s="4" t="s">
        <v>394</v>
      </c>
      <c r="E1231" s="4" t="s">
        <v>2022</v>
      </c>
      <c r="F1231" s="4" t="s">
        <v>331</v>
      </c>
      <c r="G1231" s="4" t="s">
        <v>864</v>
      </c>
    </row>
    <row r="1232" spans="1:7" x14ac:dyDescent="0.25">
      <c r="A1232" s="4" t="s">
        <v>389</v>
      </c>
      <c r="B1232" s="4" t="s">
        <v>394</v>
      </c>
      <c r="C1232" s="4" t="s">
        <v>407</v>
      </c>
      <c r="D1232" s="4" t="s">
        <v>394</v>
      </c>
      <c r="E1232" s="4" t="s">
        <v>2023</v>
      </c>
      <c r="F1232" s="4" t="s">
        <v>331</v>
      </c>
      <c r="G1232" s="4" t="s">
        <v>864</v>
      </c>
    </row>
    <row r="1233" spans="1:7" x14ac:dyDescent="0.25">
      <c r="A1233" s="4" t="s">
        <v>389</v>
      </c>
      <c r="B1233" s="4" t="s">
        <v>394</v>
      </c>
      <c r="C1233" s="4" t="s">
        <v>407</v>
      </c>
      <c r="D1233" s="4" t="s">
        <v>394</v>
      </c>
      <c r="E1233" s="4" t="s">
        <v>2024</v>
      </c>
      <c r="F1233" s="4" t="s">
        <v>331</v>
      </c>
      <c r="G1233" s="4" t="s">
        <v>864</v>
      </c>
    </row>
    <row r="1234" spans="1:7" x14ac:dyDescent="0.25">
      <c r="A1234" s="4" t="s">
        <v>389</v>
      </c>
      <c r="B1234" s="4" t="s">
        <v>394</v>
      </c>
      <c r="C1234" s="4" t="s">
        <v>407</v>
      </c>
      <c r="D1234" s="4" t="s">
        <v>394</v>
      </c>
      <c r="E1234" s="4" t="s">
        <v>2025</v>
      </c>
      <c r="F1234" s="4" t="s">
        <v>331</v>
      </c>
      <c r="G1234" s="4" t="s">
        <v>864</v>
      </c>
    </row>
    <row r="1235" spans="1:7" x14ac:dyDescent="0.25">
      <c r="A1235" s="4" t="s">
        <v>389</v>
      </c>
      <c r="B1235" s="4" t="s">
        <v>394</v>
      </c>
      <c r="C1235" s="4" t="s">
        <v>407</v>
      </c>
      <c r="D1235" s="4" t="s">
        <v>394</v>
      </c>
      <c r="E1235" s="4" t="s">
        <v>2026</v>
      </c>
      <c r="F1235" s="4" t="s">
        <v>331</v>
      </c>
      <c r="G1235" s="4" t="s">
        <v>864</v>
      </c>
    </row>
    <row r="1236" spans="1:7" x14ac:dyDescent="0.25">
      <c r="A1236" s="4" t="s">
        <v>389</v>
      </c>
      <c r="B1236" s="4" t="s">
        <v>394</v>
      </c>
      <c r="C1236" s="4" t="s">
        <v>407</v>
      </c>
      <c r="D1236" s="4" t="s">
        <v>394</v>
      </c>
      <c r="E1236" s="4" t="s">
        <v>2027</v>
      </c>
      <c r="F1236" s="4" t="s">
        <v>331</v>
      </c>
      <c r="G1236" s="4" t="s">
        <v>864</v>
      </c>
    </row>
    <row r="1237" spans="1:7" x14ac:dyDescent="0.25">
      <c r="A1237" s="4" t="s">
        <v>389</v>
      </c>
      <c r="B1237" s="4" t="s">
        <v>394</v>
      </c>
      <c r="C1237" s="4" t="s">
        <v>407</v>
      </c>
      <c r="D1237" s="4" t="s">
        <v>394</v>
      </c>
      <c r="E1237" s="4" t="s">
        <v>2028</v>
      </c>
      <c r="F1237" s="4" t="s">
        <v>331</v>
      </c>
      <c r="G1237" s="4" t="s">
        <v>864</v>
      </c>
    </row>
    <row r="1238" spans="1:7" x14ac:dyDescent="0.25">
      <c r="A1238" s="4" t="s">
        <v>389</v>
      </c>
      <c r="B1238" s="4" t="s">
        <v>394</v>
      </c>
      <c r="C1238" s="4" t="s">
        <v>407</v>
      </c>
      <c r="D1238" s="4" t="s">
        <v>394</v>
      </c>
      <c r="E1238" s="4" t="s">
        <v>2029</v>
      </c>
      <c r="F1238" s="4" t="s">
        <v>331</v>
      </c>
      <c r="G1238" s="4" t="s">
        <v>864</v>
      </c>
    </row>
    <row r="1239" spans="1:7" x14ac:dyDescent="0.25">
      <c r="A1239" s="4" t="s">
        <v>389</v>
      </c>
      <c r="B1239" s="4" t="s">
        <v>394</v>
      </c>
      <c r="C1239" s="4" t="s">
        <v>407</v>
      </c>
      <c r="D1239" s="4" t="s">
        <v>394</v>
      </c>
      <c r="E1239" s="4" t="s">
        <v>2030</v>
      </c>
      <c r="F1239" s="4" t="s">
        <v>331</v>
      </c>
      <c r="G1239" s="4" t="s">
        <v>864</v>
      </c>
    </row>
    <row r="1240" spans="1:7" x14ac:dyDescent="0.25">
      <c r="A1240" s="4" t="s">
        <v>389</v>
      </c>
      <c r="B1240" s="4" t="s">
        <v>394</v>
      </c>
      <c r="C1240" s="4" t="s">
        <v>407</v>
      </c>
      <c r="D1240" s="4" t="s">
        <v>394</v>
      </c>
      <c r="E1240" s="4" t="s">
        <v>2031</v>
      </c>
      <c r="F1240" s="4" t="s">
        <v>331</v>
      </c>
      <c r="G1240" s="4" t="s">
        <v>864</v>
      </c>
    </row>
    <row r="1241" spans="1:7" x14ac:dyDescent="0.25">
      <c r="A1241" s="4" t="s">
        <v>389</v>
      </c>
      <c r="B1241" s="4" t="s">
        <v>394</v>
      </c>
      <c r="C1241" s="4" t="s">
        <v>407</v>
      </c>
      <c r="D1241" s="4" t="s">
        <v>394</v>
      </c>
      <c r="E1241" s="4" t="s">
        <v>2032</v>
      </c>
      <c r="F1241" s="4" t="s">
        <v>331</v>
      </c>
      <c r="G1241" s="4" t="s">
        <v>864</v>
      </c>
    </row>
    <row r="1242" spans="1:7" x14ac:dyDescent="0.25">
      <c r="A1242" s="4" t="s">
        <v>389</v>
      </c>
      <c r="B1242" s="4" t="s">
        <v>394</v>
      </c>
      <c r="C1242" s="4" t="s">
        <v>407</v>
      </c>
      <c r="D1242" s="4" t="s">
        <v>394</v>
      </c>
      <c r="E1242" s="4" t="s">
        <v>2033</v>
      </c>
      <c r="F1242" s="4" t="s">
        <v>331</v>
      </c>
      <c r="G1242" s="4" t="s">
        <v>864</v>
      </c>
    </row>
    <row r="1243" spans="1:7" x14ac:dyDescent="0.25">
      <c r="A1243" s="4" t="s">
        <v>389</v>
      </c>
      <c r="B1243" s="4" t="s">
        <v>394</v>
      </c>
      <c r="C1243" s="4" t="s">
        <v>407</v>
      </c>
      <c r="D1243" s="4" t="s">
        <v>394</v>
      </c>
      <c r="E1243" s="4" t="s">
        <v>2034</v>
      </c>
      <c r="F1243" s="4" t="s">
        <v>66</v>
      </c>
      <c r="G1243" s="4" t="s">
        <v>865</v>
      </c>
    </row>
    <row r="1244" spans="1:7" x14ac:dyDescent="0.25">
      <c r="A1244" s="4" t="s">
        <v>389</v>
      </c>
      <c r="B1244" s="4" t="s">
        <v>394</v>
      </c>
      <c r="C1244" s="4" t="s">
        <v>407</v>
      </c>
      <c r="D1244" s="4" t="s">
        <v>394</v>
      </c>
      <c r="E1244" s="4" t="s">
        <v>2035</v>
      </c>
      <c r="F1244" s="4" t="s">
        <v>66</v>
      </c>
      <c r="G1244" s="4" t="s">
        <v>865</v>
      </c>
    </row>
    <row r="1245" spans="1:7" x14ac:dyDescent="0.25">
      <c r="A1245" s="4" t="s">
        <v>389</v>
      </c>
      <c r="B1245" s="4" t="s">
        <v>394</v>
      </c>
      <c r="C1245" s="4" t="s">
        <v>407</v>
      </c>
      <c r="D1245" s="4" t="s">
        <v>394</v>
      </c>
      <c r="E1245" s="4" t="s">
        <v>2036</v>
      </c>
      <c r="F1245" s="4" t="s">
        <v>66</v>
      </c>
      <c r="G1245" s="4" t="s">
        <v>865</v>
      </c>
    </row>
    <row r="1246" spans="1:7" x14ac:dyDescent="0.25">
      <c r="A1246" s="4" t="s">
        <v>389</v>
      </c>
      <c r="B1246" s="4" t="s">
        <v>394</v>
      </c>
      <c r="C1246" s="4" t="s">
        <v>407</v>
      </c>
      <c r="D1246" s="4" t="s">
        <v>394</v>
      </c>
      <c r="E1246" s="4" t="s">
        <v>2037</v>
      </c>
      <c r="F1246" s="4" t="s">
        <v>66</v>
      </c>
      <c r="G1246" s="4" t="s">
        <v>865</v>
      </c>
    </row>
    <row r="1247" spans="1:7" x14ac:dyDescent="0.25">
      <c r="A1247" s="4" t="s">
        <v>389</v>
      </c>
      <c r="B1247" s="4" t="s">
        <v>394</v>
      </c>
      <c r="C1247" s="4" t="s">
        <v>407</v>
      </c>
      <c r="D1247" s="4" t="s">
        <v>394</v>
      </c>
      <c r="E1247" s="4" t="s">
        <v>2038</v>
      </c>
      <c r="F1247" s="4" t="s">
        <v>66</v>
      </c>
      <c r="G1247" s="4" t="s">
        <v>865</v>
      </c>
    </row>
    <row r="1248" spans="1:7" x14ac:dyDescent="0.25">
      <c r="A1248" s="4" t="s">
        <v>389</v>
      </c>
      <c r="B1248" s="4" t="s">
        <v>394</v>
      </c>
      <c r="C1248" s="4" t="s">
        <v>407</v>
      </c>
      <c r="D1248" s="4" t="s">
        <v>394</v>
      </c>
      <c r="E1248" s="4" t="s">
        <v>2039</v>
      </c>
      <c r="F1248" s="4" t="s">
        <v>66</v>
      </c>
      <c r="G1248" s="4" t="s">
        <v>865</v>
      </c>
    </row>
    <row r="1249" spans="1:7" x14ac:dyDescent="0.25">
      <c r="A1249" s="4" t="s">
        <v>389</v>
      </c>
      <c r="B1249" s="4" t="s">
        <v>394</v>
      </c>
      <c r="C1249" s="4" t="s">
        <v>407</v>
      </c>
      <c r="D1249" s="4" t="s">
        <v>394</v>
      </c>
      <c r="E1249" s="4" t="s">
        <v>2040</v>
      </c>
      <c r="F1249" s="4" t="s">
        <v>66</v>
      </c>
      <c r="G1249" s="4" t="s">
        <v>865</v>
      </c>
    </row>
    <row r="1250" spans="1:7" x14ac:dyDescent="0.25">
      <c r="A1250" s="4" t="s">
        <v>389</v>
      </c>
      <c r="B1250" s="4" t="s">
        <v>394</v>
      </c>
      <c r="C1250" s="4" t="s">
        <v>407</v>
      </c>
      <c r="D1250" s="4" t="s">
        <v>394</v>
      </c>
      <c r="E1250" s="4" t="s">
        <v>2041</v>
      </c>
      <c r="F1250" s="4" t="s">
        <v>66</v>
      </c>
      <c r="G1250" s="4" t="s">
        <v>865</v>
      </c>
    </row>
    <row r="1251" spans="1:7" x14ac:dyDescent="0.25">
      <c r="A1251" s="4" t="s">
        <v>389</v>
      </c>
      <c r="B1251" s="4" t="s">
        <v>394</v>
      </c>
      <c r="C1251" s="4" t="s">
        <v>407</v>
      </c>
      <c r="D1251" s="4" t="s">
        <v>394</v>
      </c>
      <c r="E1251" s="4" t="s">
        <v>2042</v>
      </c>
      <c r="F1251" s="4" t="s">
        <v>66</v>
      </c>
      <c r="G1251" s="4" t="s">
        <v>865</v>
      </c>
    </row>
    <row r="1252" spans="1:7" x14ac:dyDescent="0.25">
      <c r="A1252" s="4" t="s">
        <v>389</v>
      </c>
      <c r="B1252" s="4" t="s">
        <v>394</v>
      </c>
      <c r="C1252" s="4" t="s">
        <v>407</v>
      </c>
      <c r="D1252" s="4" t="s">
        <v>394</v>
      </c>
      <c r="E1252" s="4" t="s">
        <v>2043</v>
      </c>
      <c r="F1252" s="4" t="s">
        <v>66</v>
      </c>
      <c r="G1252" s="4" t="s">
        <v>865</v>
      </c>
    </row>
    <row r="1253" spans="1:7" x14ac:dyDescent="0.25">
      <c r="A1253" s="4" t="s">
        <v>389</v>
      </c>
      <c r="B1253" s="4" t="s">
        <v>394</v>
      </c>
      <c r="C1253" s="4" t="s">
        <v>407</v>
      </c>
      <c r="D1253" s="4" t="s">
        <v>394</v>
      </c>
      <c r="E1253" s="4" t="s">
        <v>2044</v>
      </c>
      <c r="F1253" s="4" t="s">
        <v>66</v>
      </c>
      <c r="G1253" s="4" t="s">
        <v>865</v>
      </c>
    </row>
    <row r="1254" spans="1:7" x14ac:dyDescent="0.25">
      <c r="A1254" s="4" t="s">
        <v>389</v>
      </c>
      <c r="B1254" s="4" t="s">
        <v>394</v>
      </c>
      <c r="C1254" s="4" t="s">
        <v>407</v>
      </c>
      <c r="D1254" s="4" t="s">
        <v>394</v>
      </c>
      <c r="E1254" s="4" t="s">
        <v>2045</v>
      </c>
      <c r="F1254" s="4" t="s">
        <v>66</v>
      </c>
      <c r="G1254" s="4" t="s">
        <v>865</v>
      </c>
    </row>
    <row r="1255" spans="1:7" x14ac:dyDescent="0.25">
      <c r="A1255" s="4" t="s">
        <v>389</v>
      </c>
      <c r="B1255" s="4" t="s">
        <v>394</v>
      </c>
      <c r="C1255" s="4" t="s">
        <v>407</v>
      </c>
      <c r="D1255" s="4" t="s">
        <v>394</v>
      </c>
      <c r="E1255" s="4" t="s">
        <v>2046</v>
      </c>
      <c r="F1255" s="4" t="s">
        <v>66</v>
      </c>
      <c r="G1255" s="4" t="s">
        <v>865</v>
      </c>
    </row>
    <row r="1256" spans="1:7" x14ac:dyDescent="0.25">
      <c r="A1256" s="4" t="s">
        <v>389</v>
      </c>
      <c r="B1256" s="4" t="s">
        <v>394</v>
      </c>
      <c r="C1256" s="4" t="s">
        <v>407</v>
      </c>
      <c r="D1256" s="4" t="s">
        <v>394</v>
      </c>
      <c r="E1256" s="4" t="s">
        <v>2047</v>
      </c>
      <c r="F1256" s="4" t="s">
        <v>66</v>
      </c>
      <c r="G1256" s="4" t="s">
        <v>865</v>
      </c>
    </row>
    <row r="1257" spans="1:7" x14ac:dyDescent="0.25">
      <c r="A1257" s="4" t="s">
        <v>389</v>
      </c>
      <c r="B1257" s="4" t="s">
        <v>394</v>
      </c>
      <c r="C1257" s="4" t="s">
        <v>407</v>
      </c>
      <c r="D1257" s="4" t="s">
        <v>394</v>
      </c>
      <c r="E1257" s="4" t="s">
        <v>2048</v>
      </c>
      <c r="F1257" s="4" t="s">
        <v>66</v>
      </c>
      <c r="G1257" s="4" t="s">
        <v>865</v>
      </c>
    </row>
    <row r="1258" spans="1:7" x14ac:dyDescent="0.25">
      <c r="A1258" s="4" t="s">
        <v>389</v>
      </c>
      <c r="B1258" s="4" t="s">
        <v>394</v>
      </c>
      <c r="C1258" s="4" t="s">
        <v>407</v>
      </c>
      <c r="D1258" s="4" t="s">
        <v>394</v>
      </c>
      <c r="E1258" s="4" t="s">
        <v>2049</v>
      </c>
      <c r="F1258" s="4" t="s">
        <v>66</v>
      </c>
      <c r="G1258" s="4" t="s">
        <v>865</v>
      </c>
    </row>
    <row r="1259" spans="1:7" x14ac:dyDescent="0.25">
      <c r="A1259" s="4" t="s">
        <v>389</v>
      </c>
      <c r="B1259" s="4" t="s">
        <v>394</v>
      </c>
      <c r="C1259" s="4" t="s">
        <v>407</v>
      </c>
      <c r="D1259" s="4" t="s">
        <v>394</v>
      </c>
      <c r="E1259" s="4" t="s">
        <v>2050</v>
      </c>
      <c r="F1259" s="4" t="s">
        <v>66</v>
      </c>
      <c r="G1259" s="4" t="s">
        <v>865</v>
      </c>
    </row>
    <row r="1260" spans="1:7" x14ac:dyDescent="0.25">
      <c r="A1260" s="4" t="s">
        <v>389</v>
      </c>
      <c r="B1260" s="4" t="s">
        <v>394</v>
      </c>
      <c r="C1260" s="4" t="s">
        <v>407</v>
      </c>
      <c r="D1260" s="4" t="s">
        <v>394</v>
      </c>
      <c r="E1260" s="4" t="s">
        <v>2051</v>
      </c>
      <c r="F1260" s="4" t="s">
        <v>66</v>
      </c>
      <c r="G1260" s="4" t="s">
        <v>865</v>
      </c>
    </row>
    <row r="1261" spans="1:7" x14ac:dyDescent="0.25">
      <c r="A1261" s="4" t="s">
        <v>389</v>
      </c>
      <c r="B1261" s="4" t="s">
        <v>387</v>
      </c>
      <c r="C1261" s="4" t="s">
        <v>408</v>
      </c>
      <c r="D1261" s="4" t="s">
        <v>387</v>
      </c>
      <c r="E1261" s="4" t="s">
        <v>2052</v>
      </c>
      <c r="F1261" s="4" t="s">
        <v>100</v>
      </c>
      <c r="G1261" s="4" t="s">
        <v>390</v>
      </c>
    </row>
    <row r="1262" spans="1:7" x14ac:dyDescent="0.25">
      <c r="A1262" s="4" t="s">
        <v>389</v>
      </c>
      <c r="B1262" s="4" t="s">
        <v>387</v>
      </c>
      <c r="C1262" s="4" t="s">
        <v>408</v>
      </c>
      <c r="D1262" s="4" t="s">
        <v>387</v>
      </c>
      <c r="E1262" s="4" t="s">
        <v>2053</v>
      </c>
      <c r="F1262" s="4" t="s">
        <v>100</v>
      </c>
      <c r="G1262" s="4" t="s">
        <v>390</v>
      </c>
    </row>
    <row r="1263" spans="1:7" x14ac:dyDescent="0.25">
      <c r="A1263" s="4" t="s">
        <v>389</v>
      </c>
      <c r="B1263" s="4" t="s">
        <v>387</v>
      </c>
      <c r="C1263" s="4" t="s">
        <v>408</v>
      </c>
      <c r="D1263" s="4" t="s">
        <v>387</v>
      </c>
      <c r="E1263" s="4" t="s">
        <v>2054</v>
      </c>
      <c r="F1263" s="4" t="s">
        <v>100</v>
      </c>
      <c r="G1263" s="4" t="s">
        <v>390</v>
      </c>
    </row>
    <row r="1264" spans="1:7" x14ac:dyDescent="0.25">
      <c r="A1264" s="4" t="s">
        <v>389</v>
      </c>
      <c r="B1264" s="4" t="s">
        <v>387</v>
      </c>
      <c r="C1264" s="4" t="s">
        <v>408</v>
      </c>
      <c r="D1264" s="4" t="s">
        <v>387</v>
      </c>
      <c r="E1264" s="4" t="s">
        <v>2055</v>
      </c>
      <c r="F1264" s="4" t="s">
        <v>100</v>
      </c>
      <c r="G1264" s="4" t="s">
        <v>390</v>
      </c>
    </row>
    <row r="1265" spans="1:7" x14ac:dyDescent="0.25">
      <c r="A1265" s="4" t="s">
        <v>389</v>
      </c>
      <c r="B1265" s="4" t="s">
        <v>387</v>
      </c>
      <c r="C1265" s="4" t="s">
        <v>408</v>
      </c>
      <c r="D1265" s="4" t="s">
        <v>387</v>
      </c>
      <c r="E1265" s="4" t="s">
        <v>2056</v>
      </c>
      <c r="F1265" s="4" t="s">
        <v>100</v>
      </c>
      <c r="G1265" s="4" t="s">
        <v>390</v>
      </c>
    </row>
    <row r="1266" spans="1:7" x14ac:dyDescent="0.25">
      <c r="A1266" s="4" t="s">
        <v>389</v>
      </c>
      <c r="B1266" s="4" t="s">
        <v>387</v>
      </c>
      <c r="C1266" s="4" t="s">
        <v>408</v>
      </c>
      <c r="D1266" s="4" t="s">
        <v>387</v>
      </c>
      <c r="E1266" s="4" t="s">
        <v>2057</v>
      </c>
      <c r="F1266" s="4" t="s">
        <v>100</v>
      </c>
      <c r="G1266" s="4" t="s">
        <v>390</v>
      </c>
    </row>
    <row r="1267" spans="1:7" x14ac:dyDescent="0.25">
      <c r="A1267" s="4" t="s">
        <v>389</v>
      </c>
      <c r="B1267" s="4" t="s">
        <v>387</v>
      </c>
      <c r="C1267" s="4" t="s">
        <v>408</v>
      </c>
      <c r="D1267" s="4" t="s">
        <v>387</v>
      </c>
      <c r="E1267" s="4" t="s">
        <v>2058</v>
      </c>
      <c r="F1267" s="4" t="s">
        <v>100</v>
      </c>
      <c r="G1267" s="4" t="s">
        <v>390</v>
      </c>
    </row>
    <row r="1268" spans="1:7" x14ac:dyDescent="0.25">
      <c r="A1268" s="4" t="s">
        <v>389</v>
      </c>
      <c r="B1268" s="4" t="s">
        <v>387</v>
      </c>
      <c r="C1268" s="4" t="s">
        <v>408</v>
      </c>
      <c r="D1268" s="4" t="s">
        <v>387</v>
      </c>
      <c r="E1268" s="4" t="s">
        <v>2059</v>
      </c>
      <c r="F1268" s="4" t="s">
        <v>100</v>
      </c>
      <c r="G1268" s="4" t="s">
        <v>390</v>
      </c>
    </row>
    <row r="1269" spans="1:7" x14ac:dyDescent="0.25">
      <c r="A1269" s="4" t="s">
        <v>389</v>
      </c>
      <c r="B1269" s="4" t="s">
        <v>387</v>
      </c>
      <c r="C1269" s="4" t="s">
        <v>408</v>
      </c>
      <c r="D1269" s="4" t="s">
        <v>387</v>
      </c>
      <c r="E1269" s="4" t="s">
        <v>2060</v>
      </c>
      <c r="F1269" s="4" t="s">
        <v>100</v>
      </c>
      <c r="G1269" s="4" t="s">
        <v>390</v>
      </c>
    </row>
    <row r="1270" spans="1:7" x14ac:dyDescent="0.25">
      <c r="A1270" s="4" t="s">
        <v>389</v>
      </c>
      <c r="B1270" s="4" t="s">
        <v>387</v>
      </c>
      <c r="C1270" s="4" t="s">
        <v>408</v>
      </c>
      <c r="D1270" s="4" t="s">
        <v>387</v>
      </c>
      <c r="E1270" s="4" t="s">
        <v>2061</v>
      </c>
      <c r="F1270" s="4" t="s">
        <v>100</v>
      </c>
      <c r="G1270" s="4" t="s">
        <v>390</v>
      </c>
    </row>
    <row r="1271" spans="1:7" x14ac:dyDescent="0.25">
      <c r="A1271" s="4" t="s">
        <v>389</v>
      </c>
      <c r="B1271" s="4" t="s">
        <v>387</v>
      </c>
      <c r="C1271" s="4" t="s">
        <v>408</v>
      </c>
      <c r="D1271" s="4" t="s">
        <v>387</v>
      </c>
      <c r="E1271" s="4" t="s">
        <v>2062</v>
      </c>
      <c r="F1271" s="4" t="s">
        <v>100</v>
      </c>
      <c r="G1271" s="4" t="s">
        <v>390</v>
      </c>
    </row>
    <row r="1272" spans="1:7" x14ac:dyDescent="0.25">
      <c r="A1272" s="4" t="s">
        <v>389</v>
      </c>
      <c r="B1272" s="4" t="s">
        <v>387</v>
      </c>
      <c r="C1272" s="4" t="s">
        <v>408</v>
      </c>
      <c r="D1272" s="4" t="s">
        <v>387</v>
      </c>
      <c r="E1272" s="4" t="s">
        <v>2063</v>
      </c>
      <c r="F1272" s="4" t="s">
        <v>100</v>
      </c>
      <c r="G1272" s="4" t="s">
        <v>390</v>
      </c>
    </row>
    <row r="1273" spans="1:7" x14ac:dyDescent="0.25">
      <c r="A1273" s="4" t="s">
        <v>389</v>
      </c>
      <c r="B1273" s="4" t="s">
        <v>387</v>
      </c>
      <c r="C1273" s="4" t="s">
        <v>408</v>
      </c>
      <c r="D1273" s="4" t="s">
        <v>387</v>
      </c>
      <c r="E1273" s="4" t="s">
        <v>2064</v>
      </c>
      <c r="F1273" s="4" t="s">
        <v>100</v>
      </c>
      <c r="G1273" s="4" t="s">
        <v>390</v>
      </c>
    </row>
    <row r="1274" spans="1:7" x14ac:dyDescent="0.25">
      <c r="A1274" s="4" t="s">
        <v>389</v>
      </c>
      <c r="B1274" s="4" t="s">
        <v>387</v>
      </c>
      <c r="C1274" s="4" t="s">
        <v>408</v>
      </c>
      <c r="D1274" s="4" t="s">
        <v>387</v>
      </c>
      <c r="E1274" s="4" t="s">
        <v>2065</v>
      </c>
      <c r="F1274" s="4" t="s">
        <v>100</v>
      </c>
      <c r="G1274" s="4" t="s">
        <v>390</v>
      </c>
    </row>
    <row r="1275" spans="1:7" x14ac:dyDescent="0.25">
      <c r="A1275" s="4" t="s">
        <v>389</v>
      </c>
      <c r="B1275" s="4" t="s">
        <v>387</v>
      </c>
      <c r="C1275" s="4" t="s">
        <v>408</v>
      </c>
      <c r="D1275" s="4" t="s">
        <v>387</v>
      </c>
      <c r="E1275" s="4" t="s">
        <v>2066</v>
      </c>
      <c r="F1275" s="4" t="s">
        <v>128</v>
      </c>
      <c r="G1275" s="4" t="s">
        <v>864</v>
      </c>
    </row>
    <row r="1276" spans="1:7" x14ac:dyDescent="0.25">
      <c r="A1276" s="4" t="s">
        <v>389</v>
      </c>
      <c r="B1276" s="4" t="s">
        <v>387</v>
      </c>
      <c r="C1276" s="4" t="s">
        <v>408</v>
      </c>
      <c r="D1276" s="4" t="s">
        <v>387</v>
      </c>
      <c r="E1276" s="4" t="s">
        <v>2067</v>
      </c>
      <c r="F1276" s="4" t="s">
        <v>128</v>
      </c>
      <c r="G1276" s="4" t="s">
        <v>864</v>
      </c>
    </row>
    <row r="1277" spans="1:7" x14ac:dyDescent="0.25">
      <c r="A1277" s="4" t="s">
        <v>389</v>
      </c>
      <c r="B1277" s="4" t="s">
        <v>387</v>
      </c>
      <c r="C1277" s="4" t="s">
        <v>408</v>
      </c>
      <c r="D1277" s="4" t="s">
        <v>387</v>
      </c>
      <c r="E1277" s="4" t="s">
        <v>2068</v>
      </c>
      <c r="F1277" s="4" t="s">
        <v>128</v>
      </c>
      <c r="G1277" s="4" t="s">
        <v>864</v>
      </c>
    </row>
    <row r="1278" spans="1:7" x14ac:dyDescent="0.25">
      <c r="A1278" s="4" t="s">
        <v>389</v>
      </c>
      <c r="B1278" s="4" t="s">
        <v>387</v>
      </c>
      <c r="C1278" s="4" t="s">
        <v>408</v>
      </c>
      <c r="D1278" s="4" t="s">
        <v>387</v>
      </c>
      <c r="E1278" s="4" t="s">
        <v>2069</v>
      </c>
      <c r="F1278" s="4" t="s">
        <v>128</v>
      </c>
      <c r="G1278" s="4" t="s">
        <v>864</v>
      </c>
    </row>
    <row r="1279" spans="1:7" x14ac:dyDescent="0.25">
      <c r="A1279" s="4" t="s">
        <v>389</v>
      </c>
      <c r="B1279" s="4" t="s">
        <v>387</v>
      </c>
      <c r="C1279" s="4" t="s">
        <v>408</v>
      </c>
      <c r="D1279" s="4" t="s">
        <v>387</v>
      </c>
      <c r="E1279" s="4" t="s">
        <v>2070</v>
      </c>
      <c r="F1279" s="4" t="s">
        <v>128</v>
      </c>
      <c r="G1279" s="4" t="s">
        <v>864</v>
      </c>
    </row>
    <row r="1280" spans="1:7" x14ac:dyDescent="0.25">
      <c r="A1280" s="4" t="s">
        <v>389</v>
      </c>
      <c r="B1280" s="4" t="s">
        <v>387</v>
      </c>
      <c r="C1280" s="4" t="s">
        <v>408</v>
      </c>
      <c r="D1280" s="4" t="s">
        <v>387</v>
      </c>
      <c r="E1280" s="4" t="s">
        <v>2071</v>
      </c>
      <c r="F1280" s="4" t="s">
        <v>128</v>
      </c>
      <c r="G1280" s="4" t="s">
        <v>864</v>
      </c>
    </row>
    <row r="1281" spans="1:7" x14ac:dyDescent="0.25">
      <c r="A1281" s="4" t="s">
        <v>389</v>
      </c>
      <c r="B1281" s="4" t="s">
        <v>387</v>
      </c>
      <c r="C1281" s="4" t="s">
        <v>408</v>
      </c>
      <c r="D1281" s="4" t="s">
        <v>387</v>
      </c>
      <c r="E1281" s="4" t="s">
        <v>2072</v>
      </c>
      <c r="F1281" s="4" t="s">
        <v>128</v>
      </c>
      <c r="G1281" s="4" t="s">
        <v>864</v>
      </c>
    </row>
    <row r="1282" spans="1:7" x14ac:dyDescent="0.25">
      <c r="A1282" s="4" t="s">
        <v>389</v>
      </c>
      <c r="B1282" s="4" t="s">
        <v>387</v>
      </c>
      <c r="C1282" s="4" t="s">
        <v>408</v>
      </c>
      <c r="D1282" s="4" t="s">
        <v>387</v>
      </c>
      <c r="E1282" s="4" t="s">
        <v>2073</v>
      </c>
      <c r="F1282" s="4" t="s">
        <v>128</v>
      </c>
      <c r="G1282" s="4" t="s">
        <v>864</v>
      </c>
    </row>
    <row r="1283" spans="1:7" x14ac:dyDescent="0.25">
      <c r="A1283" s="4" t="s">
        <v>389</v>
      </c>
      <c r="B1283" s="4" t="s">
        <v>387</v>
      </c>
      <c r="C1283" s="4" t="s">
        <v>408</v>
      </c>
      <c r="D1283" s="4" t="s">
        <v>387</v>
      </c>
      <c r="E1283" s="4" t="s">
        <v>2074</v>
      </c>
      <c r="F1283" s="4" t="s">
        <v>128</v>
      </c>
      <c r="G1283" s="4" t="s">
        <v>864</v>
      </c>
    </row>
    <row r="1284" spans="1:7" x14ac:dyDescent="0.25">
      <c r="A1284" s="4" t="s">
        <v>389</v>
      </c>
      <c r="B1284" s="4" t="s">
        <v>387</v>
      </c>
      <c r="C1284" s="4" t="s">
        <v>408</v>
      </c>
      <c r="D1284" s="4" t="s">
        <v>387</v>
      </c>
      <c r="E1284" s="4" t="s">
        <v>2075</v>
      </c>
      <c r="F1284" s="4" t="s">
        <v>128</v>
      </c>
      <c r="G1284" s="4" t="s">
        <v>864</v>
      </c>
    </row>
    <row r="1285" spans="1:7" x14ac:dyDescent="0.25">
      <c r="A1285" s="4" t="s">
        <v>389</v>
      </c>
      <c r="B1285" s="4" t="s">
        <v>387</v>
      </c>
      <c r="C1285" s="4" t="s">
        <v>408</v>
      </c>
      <c r="D1285" s="4" t="s">
        <v>387</v>
      </c>
      <c r="E1285" s="4" t="s">
        <v>2076</v>
      </c>
      <c r="F1285" s="4" t="s">
        <v>128</v>
      </c>
      <c r="G1285" s="4" t="s">
        <v>864</v>
      </c>
    </row>
    <row r="1286" spans="1:7" x14ac:dyDescent="0.25">
      <c r="A1286" s="4" t="s">
        <v>389</v>
      </c>
      <c r="B1286" s="4" t="s">
        <v>387</v>
      </c>
      <c r="C1286" s="4" t="s">
        <v>408</v>
      </c>
      <c r="D1286" s="4" t="s">
        <v>387</v>
      </c>
      <c r="E1286" s="4" t="s">
        <v>2077</v>
      </c>
      <c r="F1286" s="4" t="s">
        <v>128</v>
      </c>
      <c r="G1286" s="4" t="s">
        <v>864</v>
      </c>
    </row>
    <row r="1287" spans="1:7" x14ac:dyDescent="0.25">
      <c r="A1287" s="4" t="s">
        <v>389</v>
      </c>
      <c r="B1287" s="4" t="s">
        <v>387</v>
      </c>
      <c r="C1287" s="4" t="s">
        <v>408</v>
      </c>
      <c r="D1287" s="4" t="s">
        <v>387</v>
      </c>
      <c r="E1287" s="4" t="s">
        <v>2078</v>
      </c>
      <c r="F1287" s="4" t="s">
        <v>128</v>
      </c>
      <c r="G1287" s="4" t="s">
        <v>864</v>
      </c>
    </row>
    <row r="1288" spans="1:7" x14ac:dyDescent="0.25">
      <c r="A1288" s="4" t="s">
        <v>389</v>
      </c>
      <c r="B1288" s="4" t="s">
        <v>387</v>
      </c>
      <c r="C1288" s="4" t="s">
        <v>408</v>
      </c>
      <c r="D1288" s="4" t="s">
        <v>387</v>
      </c>
      <c r="E1288" s="4" t="s">
        <v>2079</v>
      </c>
      <c r="F1288" s="4" t="s">
        <v>128</v>
      </c>
      <c r="G1288" s="4" t="s">
        <v>864</v>
      </c>
    </row>
    <row r="1289" spans="1:7" x14ac:dyDescent="0.25">
      <c r="A1289" s="4" t="s">
        <v>389</v>
      </c>
      <c r="B1289" s="4" t="s">
        <v>387</v>
      </c>
      <c r="C1289" s="4" t="s">
        <v>408</v>
      </c>
      <c r="D1289" s="4" t="s">
        <v>387</v>
      </c>
      <c r="E1289" s="4" t="s">
        <v>2080</v>
      </c>
      <c r="F1289" s="4" t="s">
        <v>128</v>
      </c>
      <c r="G1289" s="4" t="s">
        <v>864</v>
      </c>
    </row>
    <row r="1290" spans="1:7" x14ac:dyDescent="0.25">
      <c r="A1290" s="4" t="s">
        <v>389</v>
      </c>
      <c r="B1290" s="4" t="s">
        <v>387</v>
      </c>
      <c r="C1290" s="4" t="s">
        <v>408</v>
      </c>
      <c r="D1290" s="4" t="s">
        <v>387</v>
      </c>
      <c r="E1290" s="4" t="s">
        <v>2081</v>
      </c>
      <c r="F1290" s="4" t="s">
        <v>136</v>
      </c>
      <c r="G1290" s="4" t="s">
        <v>865</v>
      </c>
    </row>
    <row r="1291" spans="1:7" x14ac:dyDescent="0.25">
      <c r="A1291" s="4" t="s">
        <v>389</v>
      </c>
      <c r="B1291" s="4" t="s">
        <v>387</v>
      </c>
      <c r="C1291" s="4" t="s">
        <v>408</v>
      </c>
      <c r="D1291" s="4" t="s">
        <v>387</v>
      </c>
      <c r="E1291" s="4" t="s">
        <v>2082</v>
      </c>
      <c r="F1291" s="4" t="s">
        <v>136</v>
      </c>
      <c r="G1291" s="4" t="s">
        <v>865</v>
      </c>
    </row>
    <row r="1292" spans="1:7" x14ac:dyDescent="0.25">
      <c r="A1292" s="4" t="s">
        <v>389</v>
      </c>
      <c r="B1292" s="4" t="s">
        <v>387</v>
      </c>
      <c r="C1292" s="4" t="s">
        <v>408</v>
      </c>
      <c r="D1292" s="4" t="s">
        <v>387</v>
      </c>
      <c r="E1292" s="4" t="s">
        <v>2083</v>
      </c>
      <c r="F1292" s="4" t="s">
        <v>136</v>
      </c>
      <c r="G1292" s="4" t="s">
        <v>865</v>
      </c>
    </row>
    <row r="1293" spans="1:7" x14ac:dyDescent="0.25">
      <c r="A1293" s="4" t="s">
        <v>389</v>
      </c>
      <c r="B1293" s="4" t="s">
        <v>387</v>
      </c>
      <c r="C1293" s="4" t="s">
        <v>408</v>
      </c>
      <c r="D1293" s="4" t="s">
        <v>387</v>
      </c>
      <c r="E1293" s="4" t="s">
        <v>2084</v>
      </c>
      <c r="F1293" s="4" t="s">
        <v>136</v>
      </c>
      <c r="G1293" s="4" t="s">
        <v>865</v>
      </c>
    </row>
    <row r="1294" spans="1:7" x14ac:dyDescent="0.25">
      <c r="A1294" s="4" t="s">
        <v>389</v>
      </c>
      <c r="B1294" s="4" t="s">
        <v>387</v>
      </c>
      <c r="C1294" s="4" t="s">
        <v>408</v>
      </c>
      <c r="D1294" s="4" t="s">
        <v>387</v>
      </c>
      <c r="E1294" s="4" t="s">
        <v>2085</v>
      </c>
      <c r="F1294" s="4" t="s">
        <v>136</v>
      </c>
      <c r="G1294" s="4" t="s">
        <v>865</v>
      </c>
    </row>
    <row r="1295" spans="1:7" x14ac:dyDescent="0.25">
      <c r="A1295" s="4" t="s">
        <v>389</v>
      </c>
      <c r="B1295" s="4" t="s">
        <v>387</v>
      </c>
      <c r="C1295" s="4" t="s">
        <v>408</v>
      </c>
      <c r="D1295" s="4" t="s">
        <v>387</v>
      </c>
      <c r="E1295" s="4" t="s">
        <v>2086</v>
      </c>
      <c r="F1295" s="4" t="s">
        <v>136</v>
      </c>
      <c r="G1295" s="4" t="s">
        <v>865</v>
      </c>
    </row>
    <row r="1296" spans="1:7" x14ac:dyDescent="0.25">
      <c r="A1296" s="4" t="s">
        <v>389</v>
      </c>
      <c r="B1296" s="4" t="s">
        <v>387</v>
      </c>
      <c r="C1296" s="4" t="s">
        <v>408</v>
      </c>
      <c r="D1296" s="4" t="s">
        <v>387</v>
      </c>
      <c r="E1296" s="4" t="s">
        <v>2087</v>
      </c>
      <c r="F1296" s="4" t="s">
        <v>136</v>
      </c>
      <c r="G1296" s="4" t="s">
        <v>865</v>
      </c>
    </row>
    <row r="1297" spans="1:7" x14ac:dyDescent="0.25">
      <c r="A1297" s="4" t="s">
        <v>389</v>
      </c>
      <c r="B1297" s="4" t="s">
        <v>387</v>
      </c>
      <c r="C1297" s="4" t="s">
        <v>408</v>
      </c>
      <c r="D1297" s="4" t="s">
        <v>387</v>
      </c>
      <c r="E1297" s="4" t="s">
        <v>2088</v>
      </c>
      <c r="F1297" s="4" t="s">
        <v>136</v>
      </c>
      <c r="G1297" s="4" t="s">
        <v>865</v>
      </c>
    </row>
    <row r="1298" spans="1:7" x14ac:dyDescent="0.25">
      <c r="A1298" s="4" t="s">
        <v>389</v>
      </c>
      <c r="B1298" s="4" t="s">
        <v>387</v>
      </c>
      <c r="C1298" s="4" t="s">
        <v>408</v>
      </c>
      <c r="D1298" s="4" t="s">
        <v>387</v>
      </c>
      <c r="E1298" s="4" t="s">
        <v>2089</v>
      </c>
      <c r="F1298" s="4" t="s">
        <v>136</v>
      </c>
      <c r="G1298" s="4" t="s">
        <v>865</v>
      </c>
    </row>
    <row r="1299" spans="1:7" x14ac:dyDescent="0.25">
      <c r="A1299" s="4" t="s">
        <v>389</v>
      </c>
      <c r="B1299" s="4" t="s">
        <v>387</v>
      </c>
      <c r="C1299" s="4" t="s">
        <v>408</v>
      </c>
      <c r="D1299" s="4" t="s">
        <v>387</v>
      </c>
      <c r="E1299" s="4" t="s">
        <v>2090</v>
      </c>
      <c r="F1299" s="4" t="s">
        <v>136</v>
      </c>
      <c r="G1299" s="4" t="s">
        <v>865</v>
      </c>
    </row>
    <row r="1300" spans="1:7" x14ac:dyDescent="0.25">
      <c r="A1300" s="4" t="s">
        <v>389</v>
      </c>
      <c r="B1300" s="4" t="s">
        <v>387</v>
      </c>
      <c r="C1300" s="4" t="s">
        <v>408</v>
      </c>
      <c r="D1300" s="4" t="s">
        <v>387</v>
      </c>
      <c r="E1300" s="4" t="s">
        <v>2091</v>
      </c>
      <c r="F1300" s="4" t="s">
        <v>136</v>
      </c>
      <c r="G1300" s="4" t="s">
        <v>865</v>
      </c>
    </row>
    <row r="1301" spans="1:7" x14ac:dyDescent="0.25">
      <c r="A1301" s="4" t="s">
        <v>389</v>
      </c>
      <c r="B1301" s="4" t="s">
        <v>387</v>
      </c>
      <c r="C1301" s="4" t="s">
        <v>408</v>
      </c>
      <c r="D1301" s="4" t="s">
        <v>387</v>
      </c>
      <c r="E1301" s="4" t="s">
        <v>2092</v>
      </c>
      <c r="F1301" s="4" t="s">
        <v>136</v>
      </c>
      <c r="G1301" s="4" t="s">
        <v>865</v>
      </c>
    </row>
    <row r="1302" spans="1:7" x14ac:dyDescent="0.25">
      <c r="A1302" s="4" t="s">
        <v>389</v>
      </c>
      <c r="B1302" s="4" t="s">
        <v>387</v>
      </c>
      <c r="C1302" s="4" t="s">
        <v>408</v>
      </c>
      <c r="D1302" s="4" t="s">
        <v>387</v>
      </c>
      <c r="E1302" s="4" t="s">
        <v>2093</v>
      </c>
      <c r="F1302" s="4" t="s">
        <v>136</v>
      </c>
      <c r="G1302" s="4" t="s">
        <v>865</v>
      </c>
    </row>
    <row r="1303" spans="1:7" x14ac:dyDescent="0.25">
      <c r="A1303" s="4" t="s">
        <v>389</v>
      </c>
      <c r="B1303" s="4" t="s">
        <v>387</v>
      </c>
      <c r="C1303" s="4" t="s">
        <v>408</v>
      </c>
      <c r="D1303" s="4" t="s">
        <v>387</v>
      </c>
      <c r="E1303" s="4" t="s">
        <v>2094</v>
      </c>
      <c r="F1303" s="4" t="s">
        <v>136</v>
      </c>
      <c r="G1303" s="4" t="s">
        <v>865</v>
      </c>
    </row>
    <row r="1304" spans="1:7" x14ac:dyDescent="0.25">
      <c r="A1304" s="4" t="s">
        <v>389</v>
      </c>
      <c r="B1304" s="4" t="s">
        <v>387</v>
      </c>
      <c r="C1304" s="4" t="s">
        <v>408</v>
      </c>
      <c r="D1304" s="4" t="s">
        <v>387</v>
      </c>
      <c r="E1304" s="4" t="s">
        <v>2095</v>
      </c>
      <c r="F1304" s="4" t="s">
        <v>136</v>
      </c>
      <c r="G1304" s="4" t="s">
        <v>865</v>
      </c>
    </row>
    <row r="1305" spans="1:7" x14ac:dyDescent="0.25">
      <c r="A1305" s="4" t="s">
        <v>389</v>
      </c>
      <c r="B1305" s="4" t="s">
        <v>394</v>
      </c>
      <c r="C1305" s="4" t="s">
        <v>408</v>
      </c>
      <c r="D1305" s="4" t="s">
        <v>394</v>
      </c>
      <c r="E1305" s="4" t="s">
        <v>2096</v>
      </c>
      <c r="F1305" s="4" t="s">
        <v>287</v>
      </c>
      <c r="G1305" s="4" t="s">
        <v>390</v>
      </c>
    </row>
    <row r="1306" spans="1:7" x14ac:dyDescent="0.25">
      <c r="A1306" s="4" t="s">
        <v>389</v>
      </c>
      <c r="B1306" s="4" t="s">
        <v>394</v>
      </c>
      <c r="C1306" s="4" t="s">
        <v>408</v>
      </c>
      <c r="D1306" s="4" t="s">
        <v>394</v>
      </c>
      <c r="E1306" s="4" t="s">
        <v>2097</v>
      </c>
      <c r="F1306" s="4" t="s">
        <v>287</v>
      </c>
      <c r="G1306" s="4" t="s">
        <v>390</v>
      </c>
    </row>
    <row r="1307" spans="1:7" x14ac:dyDescent="0.25">
      <c r="A1307" s="4" t="s">
        <v>389</v>
      </c>
      <c r="B1307" s="4" t="s">
        <v>394</v>
      </c>
      <c r="C1307" s="4" t="s">
        <v>408</v>
      </c>
      <c r="D1307" s="4" t="s">
        <v>394</v>
      </c>
      <c r="E1307" s="4" t="s">
        <v>2098</v>
      </c>
      <c r="F1307" s="4" t="s">
        <v>287</v>
      </c>
      <c r="G1307" s="4" t="s">
        <v>390</v>
      </c>
    </row>
    <row r="1308" spans="1:7" x14ac:dyDescent="0.25">
      <c r="A1308" s="4" t="s">
        <v>389</v>
      </c>
      <c r="B1308" s="4" t="s">
        <v>394</v>
      </c>
      <c r="C1308" s="4" t="s">
        <v>408</v>
      </c>
      <c r="D1308" s="4" t="s">
        <v>394</v>
      </c>
      <c r="E1308" s="4" t="s">
        <v>2099</v>
      </c>
      <c r="F1308" s="4" t="s">
        <v>287</v>
      </c>
      <c r="G1308" s="4" t="s">
        <v>390</v>
      </c>
    </row>
    <row r="1309" spans="1:7" x14ac:dyDescent="0.25">
      <c r="A1309" s="4" t="s">
        <v>389</v>
      </c>
      <c r="B1309" s="4" t="s">
        <v>394</v>
      </c>
      <c r="C1309" s="4" t="s">
        <v>408</v>
      </c>
      <c r="D1309" s="4" t="s">
        <v>394</v>
      </c>
      <c r="E1309" s="4" t="s">
        <v>2100</v>
      </c>
      <c r="F1309" s="4" t="s">
        <v>287</v>
      </c>
      <c r="G1309" s="4" t="s">
        <v>390</v>
      </c>
    </row>
    <row r="1310" spans="1:7" x14ac:dyDescent="0.25">
      <c r="A1310" s="4" t="s">
        <v>389</v>
      </c>
      <c r="B1310" s="4" t="s">
        <v>394</v>
      </c>
      <c r="C1310" s="4" t="s">
        <v>408</v>
      </c>
      <c r="D1310" s="4" t="s">
        <v>394</v>
      </c>
      <c r="E1310" s="4" t="s">
        <v>2101</v>
      </c>
      <c r="F1310" s="4" t="s">
        <v>287</v>
      </c>
      <c r="G1310" s="4" t="s">
        <v>390</v>
      </c>
    </row>
    <row r="1311" spans="1:7" x14ac:dyDescent="0.25">
      <c r="A1311" s="4" t="s">
        <v>389</v>
      </c>
      <c r="B1311" s="4" t="s">
        <v>394</v>
      </c>
      <c r="C1311" s="4" t="s">
        <v>408</v>
      </c>
      <c r="D1311" s="4" t="s">
        <v>394</v>
      </c>
      <c r="E1311" s="4" t="s">
        <v>2102</v>
      </c>
      <c r="F1311" s="4" t="s">
        <v>287</v>
      </c>
      <c r="G1311" s="4" t="s">
        <v>390</v>
      </c>
    </row>
    <row r="1312" spans="1:7" x14ac:dyDescent="0.25">
      <c r="A1312" s="4" t="s">
        <v>389</v>
      </c>
      <c r="B1312" s="4" t="s">
        <v>394</v>
      </c>
      <c r="C1312" s="4" t="s">
        <v>408</v>
      </c>
      <c r="D1312" s="4" t="s">
        <v>394</v>
      </c>
      <c r="E1312" s="4" t="s">
        <v>2103</v>
      </c>
      <c r="F1312" s="4" t="s">
        <v>287</v>
      </c>
      <c r="G1312" s="4" t="s">
        <v>390</v>
      </c>
    </row>
    <row r="1313" spans="1:7" x14ac:dyDescent="0.25">
      <c r="A1313" s="4" t="s">
        <v>389</v>
      </c>
      <c r="B1313" s="4" t="s">
        <v>394</v>
      </c>
      <c r="C1313" s="4" t="s">
        <v>408</v>
      </c>
      <c r="D1313" s="4" t="s">
        <v>394</v>
      </c>
      <c r="E1313" s="4" t="s">
        <v>2104</v>
      </c>
      <c r="F1313" s="4" t="s">
        <v>287</v>
      </c>
      <c r="G1313" s="4" t="s">
        <v>390</v>
      </c>
    </row>
    <row r="1314" spans="1:7" x14ac:dyDescent="0.25">
      <c r="A1314" s="4" t="s">
        <v>389</v>
      </c>
      <c r="B1314" s="4" t="s">
        <v>394</v>
      </c>
      <c r="C1314" s="4" t="s">
        <v>408</v>
      </c>
      <c r="D1314" s="4" t="s">
        <v>394</v>
      </c>
      <c r="E1314" s="4" t="s">
        <v>2105</v>
      </c>
      <c r="F1314" s="4" t="s">
        <v>287</v>
      </c>
      <c r="G1314" s="4" t="s">
        <v>390</v>
      </c>
    </row>
    <row r="1315" spans="1:7" x14ac:dyDescent="0.25">
      <c r="A1315" s="4" t="s">
        <v>389</v>
      </c>
      <c r="B1315" s="4" t="s">
        <v>394</v>
      </c>
      <c r="C1315" s="4" t="s">
        <v>408</v>
      </c>
      <c r="D1315" s="4" t="s">
        <v>394</v>
      </c>
      <c r="E1315" s="4" t="s">
        <v>2106</v>
      </c>
      <c r="F1315" s="4" t="s">
        <v>287</v>
      </c>
      <c r="G1315" s="4" t="s">
        <v>390</v>
      </c>
    </row>
    <row r="1316" spans="1:7" x14ac:dyDescent="0.25">
      <c r="A1316" s="4" t="s">
        <v>389</v>
      </c>
      <c r="B1316" s="4" t="s">
        <v>394</v>
      </c>
      <c r="C1316" s="4" t="s">
        <v>408</v>
      </c>
      <c r="D1316" s="4" t="s">
        <v>394</v>
      </c>
      <c r="E1316" s="4" t="s">
        <v>2107</v>
      </c>
      <c r="F1316" s="4" t="s">
        <v>287</v>
      </c>
      <c r="G1316" s="4" t="s">
        <v>390</v>
      </c>
    </row>
    <row r="1317" spans="1:7" x14ac:dyDescent="0.25">
      <c r="A1317" s="4" t="s">
        <v>389</v>
      </c>
      <c r="B1317" s="4" t="s">
        <v>394</v>
      </c>
      <c r="C1317" s="4" t="s">
        <v>408</v>
      </c>
      <c r="D1317" s="4" t="s">
        <v>394</v>
      </c>
      <c r="E1317" s="4" t="s">
        <v>2108</v>
      </c>
      <c r="F1317" s="4" t="s">
        <v>287</v>
      </c>
      <c r="G1317" s="4" t="s">
        <v>390</v>
      </c>
    </row>
    <row r="1318" spans="1:7" x14ac:dyDescent="0.25">
      <c r="A1318" s="4" t="s">
        <v>389</v>
      </c>
      <c r="B1318" s="4" t="s">
        <v>394</v>
      </c>
      <c r="C1318" s="4" t="s">
        <v>408</v>
      </c>
      <c r="D1318" s="4" t="s">
        <v>394</v>
      </c>
      <c r="E1318" s="4" t="s">
        <v>2109</v>
      </c>
      <c r="F1318" s="4" t="s">
        <v>287</v>
      </c>
      <c r="G1318" s="4" t="s">
        <v>390</v>
      </c>
    </row>
    <row r="1319" spans="1:7" x14ac:dyDescent="0.25">
      <c r="A1319" s="4" t="s">
        <v>389</v>
      </c>
      <c r="B1319" s="4" t="s">
        <v>394</v>
      </c>
      <c r="C1319" s="4" t="s">
        <v>408</v>
      </c>
      <c r="D1319" s="4" t="s">
        <v>394</v>
      </c>
      <c r="E1319" s="4" t="s">
        <v>2110</v>
      </c>
      <c r="F1319" s="4" t="s">
        <v>287</v>
      </c>
      <c r="G1319" s="4" t="s">
        <v>390</v>
      </c>
    </row>
    <row r="1320" spans="1:7" x14ac:dyDescent="0.25">
      <c r="A1320" s="4" t="s">
        <v>389</v>
      </c>
      <c r="B1320" s="4" t="s">
        <v>394</v>
      </c>
      <c r="C1320" s="4" t="s">
        <v>408</v>
      </c>
      <c r="D1320" s="4" t="s">
        <v>394</v>
      </c>
      <c r="E1320" s="4" t="s">
        <v>2111</v>
      </c>
      <c r="F1320" s="4" t="s">
        <v>128</v>
      </c>
      <c r="G1320" s="4" t="s">
        <v>864</v>
      </c>
    </row>
    <row r="1321" spans="1:7" x14ac:dyDescent="0.25">
      <c r="A1321" s="4" t="s">
        <v>389</v>
      </c>
      <c r="B1321" s="4" t="s">
        <v>394</v>
      </c>
      <c r="C1321" s="4" t="s">
        <v>408</v>
      </c>
      <c r="D1321" s="4" t="s">
        <v>394</v>
      </c>
      <c r="E1321" s="4" t="s">
        <v>2112</v>
      </c>
      <c r="F1321" s="4" t="s">
        <v>128</v>
      </c>
      <c r="G1321" s="4" t="s">
        <v>864</v>
      </c>
    </row>
    <row r="1322" spans="1:7" x14ac:dyDescent="0.25">
      <c r="A1322" s="4" t="s">
        <v>389</v>
      </c>
      <c r="B1322" s="4" t="s">
        <v>394</v>
      </c>
      <c r="C1322" s="4" t="s">
        <v>408</v>
      </c>
      <c r="D1322" s="4" t="s">
        <v>394</v>
      </c>
      <c r="E1322" s="4" t="s">
        <v>2113</v>
      </c>
      <c r="F1322" s="4" t="s">
        <v>128</v>
      </c>
      <c r="G1322" s="4" t="s">
        <v>864</v>
      </c>
    </row>
    <row r="1323" spans="1:7" x14ac:dyDescent="0.25">
      <c r="A1323" s="4" t="s">
        <v>389</v>
      </c>
      <c r="B1323" s="4" t="s">
        <v>394</v>
      </c>
      <c r="C1323" s="4" t="s">
        <v>408</v>
      </c>
      <c r="D1323" s="4" t="s">
        <v>394</v>
      </c>
      <c r="E1323" s="4" t="s">
        <v>2114</v>
      </c>
      <c r="F1323" s="4" t="s">
        <v>128</v>
      </c>
      <c r="G1323" s="4" t="s">
        <v>864</v>
      </c>
    </row>
    <row r="1324" spans="1:7" x14ac:dyDescent="0.25">
      <c r="A1324" s="4" t="s">
        <v>389</v>
      </c>
      <c r="B1324" s="4" t="s">
        <v>394</v>
      </c>
      <c r="C1324" s="4" t="s">
        <v>408</v>
      </c>
      <c r="D1324" s="4" t="s">
        <v>394</v>
      </c>
      <c r="E1324" s="4" t="s">
        <v>2115</v>
      </c>
      <c r="F1324" s="4" t="s">
        <v>128</v>
      </c>
      <c r="G1324" s="4" t="s">
        <v>864</v>
      </c>
    </row>
    <row r="1325" spans="1:7" x14ac:dyDescent="0.25">
      <c r="A1325" s="4" t="s">
        <v>389</v>
      </c>
      <c r="B1325" s="4" t="s">
        <v>394</v>
      </c>
      <c r="C1325" s="4" t="s">
        <v>408</v>
      </c>
      <c r="D1325" s="4" t="s">
        <v>394</v>
      </c>
      <c r="E1325" s="4" t="s">
        <v>2116</v>
      </c>
      <c r="F1325" s="4" t="s">
        <v>128</v>
      </c>
      <c r="G1325" s="4" t="s">
        <v>864</v>
      </c>
    </row>
    <row r="1326" spans="1:7" x14ac:dyDescent="0.25">
      <c r="A1326" s="4" t="s">
        <v>389</v>
      </c>
      <c r="B1326" s="4" t="s">
        <v>394</v>
      </c>
      <c r="C1326" s="4" t="s">
        <v>408</v>
      </c>
      <c r="D1326" s="4" t="s">
        <v>394</v>
      </c>
      <c r="E1326" s="4" t="s">
        <v>2117</v>
      </c>
      <c r="F1326" s="4" t="s">
        <v>128</v>
      </c>
      <c r="G1326" s="4" t="s">
        <v>864</v>
      </c>
    </row>
    <row r="1327" spans="1:7" x14ac:dyDescent="0.25">
      <c r="A1327" s="4" t="s">
        <v>389</v>
      </c>
      <c r="B1327" s="4" t="s">
        <v>394</v>
      </c>
      <c r="C1327" s="4" t="s">
        <v>408</v>
      </c>
      <c r="D1327" s="4" t="s">
        <v>394</v>
      </c>
      <c r="E1327" s="4" t="s">
        <v>2118</v>
      </c>
      <c r="F1327" s="4" t="s">
        <v>128</v>
      </c>
      <c r="G1327" s="4" t="s">
        <v>864</v>
      </c>
    </row>
    <row r="1328" spans="1:7" x14ac:dyDescent="0.25">
      <c r="A1328" s="4" t="s">
        <v>389</v>
      </c>
      <c r="B1328" s="4" t="s">
        <v>394</v>
      </c>
      <c r="C1328" s="4" t="s">
        <v>408</v>
      </c>
      <c r="D1328" s="4" t="s">
        <v>394</v>
      </c>
      <c r="E1328" s="4" t="s">
        <v>2119</v>
      </c>
      <c r="F1328" s="4" t="s">
        <v>128</v>
      </c>
      <c r="G1328" s="4" t="s">
        <v>864</v>
      </c>
    </row>
    <row r="1329" spans="1:7" x14ac:dyDescent="0.25">
      <c r="A1329" s="4" t="s">
        <v>389</v>
      </c>
      <c r="B1329" s="4" t="s">
        <v>394</v>
      </c>
      <c r="C1329" s="4" t="s">
        <v>408</v>
      </c>
      <c r="D1329" s="4" t="s">
        <v>394</v>
      </c>
      <c r="E1329" s="4" t="s">
        <v>2120</v>
      </c>
      <c r="F1329" s="4" t="s">
        <v>128</v>
      </c>
      <c r="G1329" s="4" t="s">
        <v>864</v>
      </c>
    </row>
    <row r="1330" spans="1:7" x14ac:dyDescent="0.25">
      <c r="A1330" s="4" t="s">
        <v>389</v>
      </c>
      <c r="B1330" s="4" t="s">
        <v>394</v>
      </c>
      <c r="C1330" s="4" t="s">
        <v>408</v>
      </c>
      <c r="D1330" s="4" t="s">
        <v>394</v>
      </c>
      <c r="E1330" s="4" t="s">
        <v>2121</v>
      </c>
      <c r="F1330" s="4" t="s">
        <v>128</v>
      </c>
      <c r="G1330" s="4" t="s">
        <v>864</v>
      </c>
    </row>
    <row r="1331" spans="1:7" x14ac:dyDescent="0.25">
      <c r="A1331" s="4" t="s">
        <v>389</v>
      </c>
      <c r="B1331" s="4" t="s">
        <v>394</v>
      </c>
      <c r="C1331" s="4" t="s">
        <v>408</v>
      </c>
      <c r="D1331" s="4" t="s">
        <v>394</v>
      </c>
      <c r="E1331" s="4" t="s">
        <v>2122</v>
      </c>
      <c r="F1331" s="4" t="s">
        <v>128</v>
      </c>
      <c r="G1331" s="4" t="s">
        <v>864</v>
      </c>
    </row>
    <row r="1332" spans="1:7" x14ac:dyDescent="0.25">
      <c r="A1332" s="4" t="s">
        <v>389</v>
      </c>
      <c r="B1332" s="4" t="s">
        <v>394</v>
      </c>
      <c r="C1332" s="4" t="s">
        <v>408</v>
      </c>
      <c r="D1332" s="4" t="s">
        <v>394</v>
      </c>
      <c r="E1332" s="4" t="s">
        <v>2123</v>
      </c>
      <c r="F1332" s="4" t="s">
        <v>128</v>
      </c>
      <c r="G1332" s="4" t="s">
        <v>864</v>
      </c>
    </row>
    <row r="1333" spans="1:7" x14ac:dyDescent="0.25">
      <c r="A1333" s="4" t="s">
        <v>389</v>
      </c>
      <c r="B1333" s="4" t="s">
        <v>394</v>
      </c>
      <c r="C1333" s="4" t="s">
        <v>408</v>
      </c>
      <c r="D1333" s="4" t="s">
        <v>394</v>
      </c>
      <c r="E1333" s="4" t="s">
        <v>2124</v>
      </c>
      <c r="F1333" s="4" t="s">
        <v>128</v>
      </c>
      <c r="G1333" s="4" t="s">
        <v>864</v>
      </c>
    </row>
    <row r="1334" spans="1:7" x14ac:dyDescent="0.25">
      <c r="A1334" s="4" t="s">
        <v>389</v>
      </c>
      <c r="B1334" s="4" t="s">
        <v>394</v>
      </c>
      <c r="C1334" s="4" t="s">
        <v>408</v>
      </c>
      <c r="D1334" s="4" t="s">
        <v>394</v>
      </c>
      <c r="E1334" s="4" t="s">
        <v>2125</v>
      </c>
      <c r="F1334" s="4" t="s">
        <v>128</v>
      </c>
      <c r="G1334" s="4" t="s">
        <v>864</v>
      </c>
    </row>
    <row r="1335" spans="1:7" x14ac:dyDescent="0.25">
      <c r="A1335" s="4" t="s">
        <v>389</v>
      </c>
      <c r="B1335" s="4" t="s">
        <v>394</v>
      </c>
      <c r="C1335" s="4" t="s">
        <v>408</v>
      </c>
      <c r="D1335" s="4" t="s">
        <v>394</v>
      </c>
      <c r="E1335" s="4" t="s">
        <v>2126</v>
      </c>
      <c r="F1335" s="4" t="s">
        <v>261</v>
      </c>
      <c r="G1335" s="4" t="s">
        <v>865</v>
      </c>
    </row>
    <row r="1336" spans="1:7" x14ac:dyDescent="0.25">
      <c r="A1336" s="4" t="s">
        <v>389</v>
      </c>
      <c r="B1336" s="4" t="s">
        <v>394</v>
      </c>
      <c r="C1336" s="4" t="s">
        <v>408</v>
      </c>
      <c r="D1336" s="4" t="s">
        <v>394</v>
      </c>
      <c r="E1336" s="4" t="s">
        <v>2127</v>
      </c>
      <c r="F1336" s="4" t="s">
        <v>261</v>
      </c>
      <c r="G1336" s="4" t="s">
        <v>865</v>
      </c>
    </row>
    <row r="1337" spans="1:7" x14ac:dyDescent="0.25">
      <c r="A1337" s="4" t="s">
        <v>389</v>
      </c>
      <c r="B1337" s="4" t="s">
        <v>394</v>
      </c>
      <c r="C1337" s="4" t="s">
        <v>408</v>
      </c>
      <c r="D1337" s="4" t="s">
        <v>394</v>
      </c>
      <c r="E1337" s="4" t="s">
        <v>2128</v>
      </c>
      <c r="F1337" s="4" t="s">
        <v>261</v>
      </c>
      <c r="G1337" s="4" t="s">
        <v>865</v>
      </c>
    </row>
    <row r="1338" spans="1:7" x14ac:dyDescent="0.25">
      <c r="A1338" s="4" t="s">
        <v>389</v>
      </c>
      <c r="B1338" s="4" t="s">
        <v>394</v>
      </c>
      <c r="C1338" s="4" t="s">
        <v>408</v>
      </c>
      <c r="D1338" s="4" t="s">
        <v>394</v>
      </c>
      <c r="E1338" s="4" t="s">
        <v>2129</v>
      </c>
      <c r="F1338" s="4" t="s">
        <v>261</v>
      </c>
      <c r="G1338" s="4" t="s">
        <v>865</v>
      </c>
    </row>
    <row r="1339" spans="1:7" x14ac:dyDescent="0.25">
      <c r="A1339" s="4" t="s">
        <v>389</v>
      </c>
      <c r="B1339" s="4" t="s">
        <v>394</v>
      </c>
      <c r="C1339" s="4" t="s">
        <v>408</v>
      </c>
      <c r="D1339" s="4" t="s">
        <v>394</v>
      </c>
      <c r="E1339" s="4" t="s">
        <v>2130</v>
      </c>
      <c r="F1339" s="4" t="s">
        <v>261</v>
      </c>
      <c r="G1339" s="4" t="s">
        <v>865</v>
      </c>
    </row>
    <row r="1340" spans="1:7" x14ac:dyDescent="0.25">
      <c r="A1340" s="4" t="s">
        <v>389</v>
      </c>
      <c r="B1340" s="4" t="s">
        <v>394</v>
      </c>
      <c r="C1340" s="4" t="s">
        <v>408</v>
      </c>
      <c r="D1340" s="4" t="s">
        <v>394</v>
      </c>
      <c r="E1340" s="4" t="s">
        <v>2131</v>
      </c>
      <c r="F1340" s="4" t="s">
        <v>261</v>
      </c>
      <c r="G1340" s="4" t="s">
        <v>865</v>
      </c>
    </row>
    <row r="1341" spans="1:7" x14ac:dyDescent="0.25">
      <c r="A1341" s="4" t="s">
        <v>389</v>
      </c>
      <c r="B1341" s="4" t="s">
        <v>394</v>
      </c>
      <c r="C1341" s="4" t="s">
        <v>408</v>
      </c>
      <c r="D1341" s="4" t="s">
        <v>394</v>
      </c>
      <c r="E1341" s="4" t="s">
        <v>2132</v>
      </c>
      <c r="F1341" s="4" t="s">
        <v>261</v>
      </c>
      <c r="G1341" s="4" t="s">
        <v>865</v>
      </c>
    </row>
    <row r="1342" spans="1:7" x14ac:dyDescent="0.25">
      <c r="A1342" s="4" t="s">
        <v>389</v>
      </c>
      <c r="B1342" s="4" t="s">
        <v>394</v>
      </c>
      <c r="C1342" s="4" t="s">
        <v>408</v>
      </c>
      <c r="D1342" s="4" t="s">
        <v>394</v>
      </c>
      <c r="E1342" s="4" t="s">
        <v>2133</v>
      </c>
      <c r="F1342" s="4" t="s">
        <v>261</v>
      </c>
      <c r="G1342" s="4" t="s">
        <v>865</v>
      </c>
    </row>
    <row r="1343" spans="1:7" x14ac:dyDescent="0.25">
      <c r="A1343" s="4" t="s">
        <v>389</v>
      </c>
      <c r="B1343" s="4" t="s">
        <v>394</v>
      </c>
      <c r="C1343" s="4" t="s">
        <v>408</v>
      </c>
      <c r="D1343" s="4" t="s">
        <v>394</v>
      </c>
      <c r="E1343" s="4" t="s">
        <v>2134</v>
      </c>
      <c r="F1343" s="4" t="s">
        <v>261</v>
      </c>
      <c r="G1343" s="4" t="s">
        <v>865</v>
      </c>
    </row>
    <row r="1344" spans="1:7" x14ac:dyDescent="0.25">
      <c r="A1344" s="4" t="s">
        <v>389</v>
      </c>
      <c r="B1344" s="4" t="s">
        <v>394</v>
      </c>
      <c r="C1344" s="4" t="s">
        <v>408</v>
      </c>
      <c r="D1344" s="4" t="s">
        <v>394</v>
      </c>
      <c r="E1344" s="4" t="s">
        <v>2135</v>
      </c>
      <c r="F1344" s="4" t="s">
        <v>261</v>
      </c>
      <c r="G1344" s="4" t="s">
        <v>865</v>
      </c>
    </row>
    <row r="1345" spans="1:7" x14ac:dyDescent="0.25">
      <c r="A1345" s="4" t="s">
        <v>389</v>
      </c>
      <c r="B1345" s="4" t="s">
        <v>394</v>
      </c>
      <c r="C1345" s="4" t="s">
        <v>408</v>
      </c>
      <c r="D1345" s="4" t="s">
        <v>394</v>
      </c>
      <c r="E1345" s="4" t="s">
        <v>2136</v>
      </c>
      <c r="F1345" s="4" t="s">
        <v>261</v>
      </c>
      <c r="G1345" s="4" t="s">
        <v>865</v>
      </c>
    </row>
    <row r="1346" spans="1:7" x14ac:dyDescent="0.25">
      <c r="A1346" s="4" t="s">
        <v>389</v>
      </c>
      <c r="B1346" s="4" t="s">
        <v>394</v>
      </c>
      <c r="C1346" s="4" t="s">
        <v>408</v>
      </c>
      <c r="D1346" s="4" t="s">
        <v>394</v>
      </c>
      <c r="E1346" s="4" t="s">
        <v>2137</v>
      </c>
      <c r="F1346" s="4" t="s">
        <v>261</v>
      </c>
      <c r="G1346" s="4" t="s">
        <v>865</v>
      </c>
    </row>
    <row r="1347" spans="1:7" x14ac:dyDescent="0.25">
      <c r="A1347" s="4" t="s">
        <v>389</v>
      </c>
      <c r="B1347" s="4" t="s">
        <v>394</v>
      </c>
      <c r="C1347" s="4" t="s">
        <v>408</v>
      </c>
      <c r="D1347" s="4" t="s">
        <v>394</v>
      </c>
      <c r="E1347" s="4" t="s">
        <v>2138</v>
      </c>
      <c r="F1347" s="4" t="s">
        <v>261</v>
      </c>
      <c r="G1347" s="4" t="s">
        <v>865</v>
      </c>
    </row>
    <row r="1348" spans="1:7" x14ac:dyDescent="0.25">
      <c r="A1348" s="4" t="s">
        <v>389</v>
      </c>
      <c r="B1348" s="4" t="s">
        <v>394</v>
      </c>
      <c r="C1348" s="4" t="s">
        <v>408</v>
      </c>
      <c r="D1348" s="4" t="s">
        <v>394</v>
      </c>
      <c r="E1348" s="4" t="s">
        <v>2139</v>
      </c>
      <c r="F1348" s="4" t="s">
        <v>261</v>
      </c>
      <c r="G1348" s="4" t="s">
        <v>865</v>
      </c>
    </row>
    <row r="1349" spans="1:7" x14ac:dyDescent="0.25">
      <c r="A1349" s="4" t="s">
        <v>389</v>
      </c>
      <c r="B1349" s="4" t="s">
        <v>387</v>
      </c>
      <c r="C1349" s="4" t="s">
        <v>645</v>
      </c>
      <c r="D1349" s="4" t="s">
        <v>387</v>
      </c>
      <c r="E1349" s="4" t="s">
        <v>2140</v>
      </c>
      <c r="F1349" s="4" t="s">
        <v>16</v>
      </c>
      <c r="G1349" s="4" t="s">
        <v>390</v>
      </c>
    </row>
    <row r="1350" spans="1:7" x14ac:dyDescent="0.25">
      <c r="A1350" s="4" t="s">
        <v>389</v>
      </c>
      <c r="B1350" s="4" t="s">
        <v>387</v>
      </c>
      <c r="C1350" s="4" t="s">
        <v>645</v>
      </c>
      <c r="D1350" s="4" t="s">
        <v>387</v>
      </c>
      <c r="E1350" s="4" t="s">
        <v>2141</v>
      </c>
      <c r="F1350" s="4" t="s">
        <v>16</v>
      </c>
      <c r="G1350" s="4" t="s">
        <v>390</v>
      </c>
    </row>
    <row r="1351" spans="1:7" x14ac:dyDescent="0.25">
      <c r="A1351" s="4" t="s">
        <v>389</v>
      </c>
      <c r="B1351" s="4" t="s">
        <v>387</v>
      </c>
      <c r="C1351" s="4" t="s">
        <v>645</v>
      </c>
      <c r="D1351" s="4" t="s">
        <v>387</v>
      </c>
      <c r="E1351" s="4" t="s">
        <v>2142</v>
      </c>
      <c r="F1351" s="4" t="s">
        <v>16</v>
      </c>
      <c r="G1351" s="4" t="s">
        <v>390</v>
      </c>
    </row>
    <row r="1352" spans="1:7" x14ac:dyDescent="0.25">
      <c r="A1352" s="4" t="s">
        <v>389</v>
      </c>
      <c r="B1352" s="4" t="s">
        <v>387</v>
      </c>
      <c r="C1352" s="4" t="s">
        <v>645</v>
      </c>
      <c r="D1352" s="4" t="s">
        <v>387</v>
      </c>
      <c r="E1352" s="4" t="s">
        <v>2143</v>
      </c>
      <c r="F1352" s="4" t="s">
        <v>16</v>
      </c>
      <c r="G1352" s="4" t="s">
        <v>390</v>
      </c>
    </row>
    <row r="1353" spans="1:7" x14ac:dyDescent="0.25">
      <c r="A1353" s="4" t="s">
        <v>389</v>
      </c>
      <c r="B1353" s="4" t="s">
        <v>387</v>
      </c>
      <c r="C1353" s="4" t="s">
        <v>645</v>
      </c>
      <c r="D1353" s="4" t="s">
        <v>387</v>
      </c>
      <c r="E1353" s="4" t="s">
        <v>2144</v>
      </c>
      <c r="F1353" s="4" t="s">
        <v>16</v>
      </c>
      <c r="G1353" s="4" t="s">
        <v>390</v>
      </c>
    </row>
    <row r="1354" spans="1:7" x14ac:dyDescent="0.25">
      <c r="A1354" s="4" t="s">
        <v>389</v>
      </c>
      <c r="B1354" s="4" t="s">
        <v>387</v>
      </c>
      <c r="C1354" s="4" t="s">
        <v>645</v>
      </c>
      <c r="D1354" s="4" t="s">
        <v>387</v>
      </c>
      <c r="E1354" s="4" t="s">
        <v>2145</v>
      </c>
      <c r="F1354" s="4" t="s">
        <v>16</v>
      </c>
      <c r="G1354" s="4" t="s">
        <v>390</v>
      </c>
    </row>
    <row r="1355" spans="1:7" x14ac:dyDescent="0.25">
      <c r="A1355" s="4" t="s">
        <v>389</v>
      </c>
      <c r="B1355" s="4" t="s">
        <v>387</v>
      </c>
      <c r="C1355" s="4" t="s">
        <v>645</v>
      </c>
      <c r="D1355" s="4" t="s">
        <v>387</v>
      </c>
      <c r="E1355" s="4" t="s">
        <v>2146</v>
      </c>
      <c r="F1355" s="4" t="s">
        <v>16</v>
      </c>
      <c r="G1355" s="4" t="s">
        <v>390</v>
      </c>
    </row>
    <row r="1356" spans="1:7" x14ac:dyDescent="0.25">
      <c r="A1356" s="4" t="s">
        <v>389</v>
      </c>
      <c r="B1356" s="4" t="s">
        <v>387</v>
      </c>
      <c r="C1356" s="4" t="s">
        <v>645</v>
      </c>
      <c r="D1356" s="4" t="s">
        <v>387</v>
      </c>
      <c r="E1356" s="4" t="s">
        <v>2147</v>
      </c>
      <c r="F1356" s="4" t="s">
        <v>16</v>
      </c>
      <c r="G1356" s="4" t="s">
        <v>390</v>
      </c>
    </row>
    <row r="1357" spans="1:7" x14ac:dyDescent="0.25">
      <c r="A1357" s="4" t="s">
        <v>389</v>
      </c>
      <c r="B1357" s="4" t="s">
        <v>387</v>
      </c>
      <c r="C1357" s="4" t="s">
        <v>645</v>
      </c>
      <c r="D1357" s="4" t="s">
        <v>387</v>
      </c>
      <c r="E1357" s="4" t="s">
        <v>2148</v>
      </c>
      <c r="F1357" s="4" t="s">
        <v>16</v>
      </c>
      <c r="G1357" s="4" t="s">
        <v>390</v>
      </c>
    </row>
    <row r="1358" spans="1:7" x14ac:dyDescent="0.25">
      <c r="A1358" s="4" t="s">
        <v>389</v>
      </c>
      <c r="B1358" s="4" t="s">
        <v>387</v>
      </c>
      <c r="C1358" s="4" t="s">
        <v>645</v>
      </c>
      <c r="D1358" s="4" t="s">
        <v>387</v>
      </c>
      <c r="E1358" s="4" t="s">
        <v>2149</v>
      </c>
      <c r="F1358" s="4" t="s">
        <v>16</v>
      </c>
      <c r="G1358" s="4" t="s">
        <v>390</v>
      </c>
    </row>
    <row r="1359" spans="1:7" x14ac:dyDescent="0.25">
      <c r="A1359" s="4" t="s">
        <v>389</v>
      </c>
      <c r="B1359" s="4" t="s">
        <v>387</v>
      </c>
      <c r="C1359" s="4" t="s">
        <v>645</v>
      </c>
      <c r="D1359" s="4" t="s">
        <v>387</v>
      </c>
      <c r="E1359" s="4" t="s">
        <v>2150</v>
      </c>
      <c r="F1359" s="4" t="s">
        <v>16</v>
      </c>
      <c r="G1359" s="4" t="s">
        <v>390</v>
      </c>
    </row>
    <row r="1360" spans="1:7" x14ac:dyDescent="0.25">
      <c r="A1360" s="4" t="s">
        <v>389</v>
      </c>
      <c r="B1360" s="4" t="s">
        <v>387</v>
      </c>
      <c r="C1360" s="4" t="s">
        <v>645</v>
      </c>
      <c r="D1360" s="4" t="s">
        <v>387</v>
      </c>
      <c r="E1360" s="4" t="s">
        <v>2151</v>
      </c>
      <c r="F1360" s="4" t="s">
        <v>16</v>
      </c>
      <c r="G1360" s="4" t="s">
        <v>390</v>
      </c>
    </row>
    <row r="1361" spans="1:7" x14ac:dyDescent="0.25">
      <c r="A1361" s="4" t="s">
        <v>389</v>
      </c>
      <c r="B1361" s="4" t="s">
        <v>387</v>
      </c>
      <c r="C1361" s="4" t="s">
        <v>645</v>
      </c>
      <c r="D1361" s="4" t="s">
        <v>387</v>
      </c>
      <c r="E1361" s="4" t="s">
        <v>2152</v>
      </c>
      <c r="F1361" s="4" t="s">
        <v>16</v>
      </c>
      <c r="G1361" s="4" t="s">
        <v>390</v>
      </c>
    </row>
    <row r="1362" spans="1:7" x14ac:dyDescent="0.25">
      <c r="A1362" s="4" t="s">
        <v>389</v>
      </c>
      <c r="B1362" s="4" t="s">
        <v>387</v>
      </c>
      <c r="C1362" s="4" t="s">
        <v>645</v>
      </c>
      <c r="D1362" s="4" t="s">
        <v>387</v>
      </c>
      <c r="E1362" s="4" t="s">
        <v>2153</v>
      </c>
      <c r="F1362" s="4" t="s">
        <v>16</v>
      </c>
      <c r="G1362" s="4" t="s">
        <v>390</v>
      </c>
    </row>
    <row r="1363" spans="1:7" x14ac:dyDescent="0.25">
      <c r="A1363" s="4" t="s">
        <v>389</v>
      </c>
      <c r="B1363" s="4" t="s">
        <v>387</v>
      </c>
      <c r="C1363" s="4" t="s">
        <v>645</v>
      </c>
      <c r="D1363" s="4" t="s">
        <v>387</v>
      </c>
      <c r="E1363" s="4" t="s">
        <v>2154</v>
      </c>
      <c r="F1363" s="4" t="s">
        <v>16</v>
      </c>
      <c r="G1363" s="4" t="s">
        <v>390</v>
      </c>
    </row>
    <row r="1364" spans="1:7" x14ac:dyDescent="0.25">
      <c r="A1364" s="4" t="s">
        <v>389</v>
      </c>
      <c r="B1364" s="4" t="s">
        <v>387</v>
      </c>
      <c r="C1364" s="4" t="s">
        <v>645</v>
      </c>
      <c r="D1364" s="4" t="s">
        <v>387</v>
      </c>
      <c r="E1364" s="4" t="s">
        <v>2155</v>
      </c>
      <c r="F1364" s="4" t="s">
        <v>16</v>
      </c>
      <c r="G1364" s="4" t="s">
        <v>390</v>
      </c>
    </row>
    <row r="1365" spans="1:7" x14ac:dyDescent="0.25">
      <c r="A1365" s="4" t="s">
        <v>389</v>
      </c>
      <c r="B1365" s="4" t="s">
        <v>387</v>
      </c>
      <c r="C1365" s="4" t="s">
        <v>645</v>
      </c>
      <c r="D1365" s="4" t="s">
        <v>387</v>
      </c>
      <c r="E1365" s="4" t="s">
        <v>2156</v>
      </c>
      <c r="F1365" s="4" t="s">
        <v>16</v>
      </c>
      <c r="G1365" s="4" t="s">
        <v>390</v>
      </c>
    </row>
    <row r="1366" spans="1:7" x14ac:dyDescent="0.25">
      <c r="A1366" s="4" t="s">
        <v>389</v>
      </c>
      <c r="B1366" s="4" t="s">
        <v>387</v>
      </c>
      <c r="C1366" s="4" t="s">
        <v>645</v>
      </c>
      <c r="D1366" s="4" t="s">
        <v>387</v>
      </c>
      <c r="E1366" s="4" t="s">
        <v>2157</v>
      </c>
      <c r="F1366" s="4" t="s">
        <v>16</v>
      </c>
      <c r="G1366" s="4" t="s">
        <v>390</v>
      </c>
    </row>
    <row r="1367" spans="1:7" x14ac:dyDescent="0.25">
      <c r="A1367" s="4" t="s">
        <v>389</v>
      </c>
      <c r="B1367" s="4" t="s">
        <v>387</v>
      </c>
      <c r="C1367" s="4" t="s">
        <v>645</v>
      </c>
      <c r="D1367" s="4" t="s">
        <v>387</v>
      </c>
      <c r="E1367" s="4" t="s">
        <v>2158</v>
      </c>
      <c r="F1367" s="4" t="s">
        <v>37</v>
      </c>
      <c r="G1367" s="4" t="s">
        <v>864</v>
      </c>
    </row>
    <row r="1368" spans="1:7" x14ac:dyDescent="0.25">
      <c r="A1368" s="4" t="s">
        <v>389</v>
      </c>
      <c r="B1368" s="4" t="s">
        <v>387</v>
      </c>
      <c r="C1368" s="4" t="s">
        <v>645</v>
      </c>
      <c r="D1368" s="4" t="s">
        <v>387</v>
      </c>
      <c r="E1368" s="4" t="s">
        <v>2159</v>
      </c>
      <c r="F1368" s="4" t="s">
        <v>37</v>
      </c>
      <c r="G1368" s="4" t="s">
        <v>864</v>
      </c>
    </row>
    <row r="1369" spans="1:7" x14ac:dyDescent="0.25">
      <c r="A1369" s="4" t="s">
        <v>389</v>
      </c>
      <c r="B1369" s="4" t="s">
        <v>387</v>
      </c>
      <c r="C1369" s="4" t="s">
        <v>645</v>
      </c>
      <c r="D1369" s="4" t="s">
        <v>387</v>
      </c>
      <c r="E1369" s="4" t="s">
        <v>2160</v>
      </c>
      <c r="F1369" s="4" t="s">
        <v>37</v>
      </c>
      <c r="G1369" s="4" t="s">
        <v>864</v>
      </c>
    </row>
    <row r="1370" spans="1:7" x14ac:dyDescent="0.25">
      <c r="A1370" s="4" t="s">
        <v>389</v>
      </c>
      <c r="B1370" s="4" t="s">
        <v>387</v>
      </c>
      <c r="C1370" s="4" t="s">
        <v>645</v>
      </c>
      <c r="D1370" s="4" t="s">
        <v>387</v>
      </c>
      <c r="E1370" s="4" t="s">
        <v>2161</v>
      </c>
      <c r="F1370" s="4" t="s">
        <v>37</v>
      </c>
      <c r="G1370" s="4" t="s">
        <v>864</v>
      </c>
    </row>
    <row r="1371" spans="1:7" x14ac:dyDescent="0.25">
      <c r="A1371" s="4" t="s">
        <v>389</v>
      </c>
      <c r="B1371" s="4" t="s">
        <v>387</v>
      </c>
      <c r="C1371" s="4" t="s">
        <v>645</v>
      </c>
      <c r="D1371" s="4" t="s">
        <v>387</v>
      </c>
      <c r="E1371" s="4" t="s">
        <v>2162</v>
      </c>
      <c r="F1371" s="4" t="s">
        <v>37</v>
      </c>
      <c r="G1371" s="4" t="s">
        <v>864</v>
      </c>
    </row>
    <row r="1372" spans="1:7" x14ac:dyDescent="0.25">
      <c r="A1372" s="4" t="s">
        <v>389</v>
      </c>
      <c r="B1372" s="4" t="s">
        <v>387</v>
      </c>
      <c r="C1372" s="4" t="s">
        <v>645</v>
      </c>
      <c r="D1372" s="4" t="s">
        <v>387</v>
      </c>
      <c r="E1372" s="4" t="s">
        <v>2163</v>
      </c>
      <c r="F1372" s="4" t="s">
        <v>37</v>
      </c>
      <c r="G1372" s="4" t="s">
        <v>864</v>
      </c>
    </row>
    <row r="1373" spans="1:7" x14ac:dyDescent="0.25">
      <c r="A1373" s="4" t="s">
        <v>389</v>
      </c>
      <c r="B1373" s="4" t="s">
        <v>387</v>
      </c>
      <c r="C1373" s="4" t="s">
        <v>645</v>
      </c>
      <c r="D1373" s="4" t="s">
        <v>387</v>
      </c>
      <c r="E1373" s="4" t="s">
        <v>2164</v>
      </c>
      <c r="F1373" s="4" t="s">
        <v>37</v>
      </c>
      <c r="G1373" s="4" t="s">
        <v>864</v>
      </c>
    </row>
    <row r="1374" spans="1:7" x14ac:dyDescent="0.25">
      <c r="A1374" s="4" t="s">
        <v>389</v>
      </c>
      <c r="B1374" s="4" t="s">
        <v>387</v>
      </c>
      <c r="C1374" s="4" t="s">
        <v>645</v>
      </c>
      <c r="D1374" s="4" t="s">
        <v>387</v>
      </c>
      <c r="E1374" s="4" t="s">
        <v>2165</v>
      </c>
      <c r="F1374" s="4" t="s">
        <v>37</v>
      </c>
      <c r="G1374" s="4" t="s">
        <v>864</v>
      </c>
    </row>
    <row r="1375" spans="1:7" x14ac:dyDescent="0.25">
      <c r="A1375" s="4" t="s">
        <v>389</v>
      </c>
      <c r="B1375" s="4" t="s">
        <v>387</v>
      </c>
      <c r="C1375" s="4" t="s">
        <v>645</v>
      </c>
      <c r="D1375" s="4" t="s">
        <v>387</v>
      </c>
      <c r="E1375" s="4" t="s">
        <v>2166</v>
      </c>
      <c r="F1375" s="4" t="s">
        <v>37</v>
      </c>
      <c r="G1375" s="4" t="s">
        <v>864</v>
      </c>
    </row>
    <row r="1376" spans="1:7" x14ac:dyDescent="0.25">
      <c r="A1376" s="4" t="s">
        <v>389</v>
      </c>
      <c r="B1376" s="4" t="s">
        <v>387</v>
      </c>
      <c r="C1376" s="4" t="s">
        <v>645</v>
      </c>
      <c r="D1376" s="4" t="s">
        <v>387</v>
      </c>
      <c r="E1376" s="4" t="s">
        <v>2167</v>
      </c>
      <c r="F1376" s="4" t="s">
        <v>37</v>
      </c>
      <c r="G1376" s="4" t="s">
        <v>864</v>
      </c>
    </row>
    <row r="1377" spans="1:7" x14ac:dyDescent="0.25">
      <c r="A1377" s="4" t="s">
        <v>389</v>
      </c>
      <c r="B1377" s="4" t="s">
        <v>387</v>
      </c>
      <c r="C1377" s="4" t="s">
        <v>645</v>
      </c>
      <c r="D1377" s="4" t="s">
        <v>387</v>
      </c>
      <c r="E1377" s="4" t="s">
        <v>2168</v>
      </c>
      <c r="F1377" s="4" t="s">
        <v>37</v>
      </c>
      <c r="G1377" s="4" t="s">
        <v>864</v>
      </c>
    </row>
    <row r="1378" spans="1:7" x14ac:dyDescent="0.25">
      <c r="A1378" s="4" t="s">
        <v>389</v>
      </c>
      <c r="B1378" s="4" t="s">
        <v>387</v>
      </c>
      <c r="C1378" s="4" t="s">
        <v>645</v>
      </c>
      <c r="D1378" s="4" t="s">
        <v>387</v>
      </c>
      <c r="E1378" s="4" t="s">
        <v>2169</v>
      </c>
      <c r="F1378" s="4" t="s">
        <v>37</v>
      </c>
      <c r="G1378" s="4" t="s">
        <v>864</v>
      </c>
    </row>
    <row r="1379" spans="1:7" x14ac:dyDescent="0.25">
      <c r="A1379" s="4" t="s">
        <v>389</v>
      </c>
      <c r="B1379" s="4" t="s">
        <v>387</v>
      </c>
      <c r="C1379" s="4" t="s">
        <v>645</v>
      </c>
      <c r="D1379" s="4" t="s">
        <v>387</v>
      </c>
      <c r="E1379" s="4" t="s">
        <v>2170</v>
      </c>
      <c r="F1379" s="4" t="s">
        <v>37</v>
      </c>
      <c r="G1379" s="4" t="s">
        <v>864</v>
      </c>
    </row>
    <row r="1380" spans="1:7" x14ac:dyDescent="0.25">
      <c r="A1380" s="4" t="s">
        <v>389</v>
      </c>
      <c r="B1380" s="4" t="s">
        <v>387</v>
      </c>
      <c r="C1380" s="4" t="s">
        <v>645</v>
      </c>
      <c r="D1380" s="4" t="s">
        <v>387</v>
      </c>
      <c r="E1380" s="4" t="s">
        <v>2171</v>
      </c>
      <c r="F1380" s="4" t="s">
        <v>37</v>
      </c>
      <c r="G1380" s="4" t="s">
        <v>864</v>
      </c>
    </row>
    <row r="1381" spans="1:7" x14ac:dyDescent="0.25">
      <c r="A1381" s="4" t="s">
        <v>389</v>
      </c>
      <c r="B1381" s="4" t="s">
        <v>387</v>
      </c>
      <c r="C1381" s="4" t="s">
        <v>645</v>
      </c>
      <c r="D1381" s="4" t="s">
        <v>387</v>
      </c>
      <c r="E1381" s="4" t="s">
        <v>2172</v>
      </c>
      <c r="F1381" s="4" t="s">
        <v>37</v>
      </c>
      <c r="G1381" s="4" t="s">
        <v>864</v>
      </c>
    </row>
    <row r="1382" spans="1:7" x14ac:dyDescent="0.25">
      <c r="A1382" s="4" t="s">
        <v>389</v>
      </c>
      <c r="B1382" s="4" t="s">
        <v>387</v>
      </c>
      <c r="C1382" s="4" t="s">
        <v>645</v>
      </c>
      <c r="D1382" s="4" t="s">
        <v>387</v>
      </c>
      <c r="E1382" s="4" t="s">
        <v>2173</v>
      </c>
      <c r="F1382" s="4" t="s">
        <v>37</v>
      </c>
      <c r="G1382" s="4" t="s">
        <v>864</v>
      </c>
    </row>
    <row r="1383" spans="1:7" x14ac:dyDescent="0.25">
      <c r="A1383" s="4" t="s">
        <v>389</v>
      </c>
      <c r="B1383" s="4" t="s">
        <v>387</v>
      </c>
      <c r="C1383" s="4" t="s">
        <v>645</v>
      </c>
      <c r="D1383" s="4" t="s">
        <v>387</v>
      </c>
      <c r="E1383" s="4" t="s">
        <v>2174</v>
      </c>
      <c r="F1383" s="4" t="s">
        <v>136</v>
      </c>
      <c r="G1383" s="4" t="s">
        <v>865</v>
      </c>
    </row>
    <row r="1384" spans="1:7" x14ac:dyDescent="0.25">
      <c r="A1384" s="4" t="s">
        <v>389</v>
      </c>
      <c r="B1384" s="4" t="s">
        <v>387</v>
      </c>
      <c r="C1384" s="4" t="s">
        <v>645</v>
      </c>
      <c r="D1384" s="4" t="s">
        <v>387</v>
      </c>
      <c r="E1384" s="4" t="s">
        <v>2175</v>
      </c>
      <c r="F1384" s="4" t="s">
        <v>136</v>
      </c>
      <c r="G1384" s="4" t="s">
        <v>865</v>
      </c>
    </row>
    <row r="1385" spans="1:7" x14ac:dyDescent="0.25">
      <c r="A1385" s="4" t="s">
        <v>389</v>
      </c>
      <c r="B1385" s="4" t="s">
        <v>387</v>
      </c>
      <c r="C1385" s="4" t="s">
        <v>645</v>
      </c>
      <c r="D1385" s="4" t="s">
        <v>387</v>
      </c>
      <c r="E1385" s="4" t="s">
        <v>2176</v>
      </c>
      <c r="F1385" s="4" t="s">
        <v>136</v>
      </c>
      <c r="G1385" s="4" t="s">
        <v>865</v>
      </c>
    </row>
    <row r="1386" spans="1:7" x14ac:dyDescent="0.25">
      <c r="A1386" s="4" t="s">
        <v>389</v>
      </c>
      <c r="B1386" s="4" t="s">
        <v>387</v>
      </c>
      <c r="C1386" s="4" t="s">
        <v>645</v>
      </c>
      <c r="D1386" s="4" t="s">
        <v>387</v>
      </c>
      <c r="E1386" s="4" t="s">
        <v>2177</v>
      </c>
      <c r="F1386" s="4" t="s">
        <v>136</v>
      </c>
      <c r="G1386" s="4" t="s">
        <v>865</v>
      </c>
    </row>
    <row r="1387" spans="1:7" x14ac:dyDescent="0.25">
      <c r="A1387" s="4" t="s">
        <v>389</v>
      </c>
      <c r="B1387" s="4" t="s">
        <v>387</v>
      </c>
      <c r="C1387" s="4" t="s">
        <v>645</v>
      </c>
      <c r="D1387" s="4" t="s">
        <v>387</v>
      </c>
      <c r="E1387" s="4" t="s">
        <v>2178</v>
      </c>
      <c r="F1387" s="4" t="s">
        <v>136</v>
      </c>
      <c r="G1387" s="4" t="s">
        <v>865</v>
      </c>
    </row>
    <row r="1388" spans="1:7" x14ac:dyDescent="0.25">
      <c r="A1388" s="4" t="s">
        <v>389</v>
      </c>
      <c r="B1388" s="4" t="s">
        <v>387</v>
      </c>
      <c r="C1388" s="4" t="s">
        <v>645</v>
      </c>
      <c r="D1388" s="4" t="s">
        <v>387</v>
      </c>
      <c r="E1388" s="4" t="s">
        <v>2179</v>
      </c>
      <c r="F1388" s="4" t="s">
        <v>136</v>
      </c>
      <c r="G1388" s="4" t="s">
        <v>865</v>
      </c>
    </row>
    <row r="1389" spans="1:7" x14ac:dyDescent="0.25">
      <c r="A1389" s="4" t="s">
        <v>389</v>
      </c>
      <c r="B1389" s="4" t="s">
        <v>387</v>
      </c>
      <c r="C1389" s="4" t="s">
        <v>645</v>
      </c>
      <c r="D1389" s="4" t="s">
        <v>387</v>
      </c>
      <c r="E1389" s="4" t="s">
        <v>2180</v>
      </c>
      <c r="F1389" s="4" t="s">
        <v>136</v>
      </c>
      <c r="G1389" s="4" t="s">
        <v>865</v>
      </c>
    </row>
    <row r="1390" spans="1:7" x14ac:dyDescent="0.25">
      <c r="A1390" s="4" t="s">
        <v>389</v>
      </c>
      <c r="B1390" s="4" t="s">
        <v>387</v>
      </c>
      <c r="C1390" s="4" t="s">
        <v>645</v>
      </c>
      <c r="D1390" s="4" t="s">
        <v>387</v>
      </c>
      <c r="E1390" s="4" t="s">
        <v>2181</v>
      </c>
      <c r="F1390" s="4" t="s">
        <v>136</v>
      </c>
      <c r="G1390" s="4" t="s">
        <v>865</v>
      </c>
    </row>
    <row r="1391" spans="1:7" x14ac:dyDescent="0.25">
      <c r="A1391" s="4" t="s">
        <v>389</v>
      </c>
      <c r="B1391" s="4" t="s">
        <v>387</v>
      </c>
      <c r="C1391" s="4" t="s">
        <v>645</v>
      </c>
      <c r="D1391" s="4" t="s">
        <v>387</v>
      </c>
      <c r="E1391" s="4" t="s">
        <v>2182</v>
      </c>
      <c r="F1391" s="4" t="s">
        <v>136</v>
      </c>
      <c r="G1391" s="4" t="s">
        <v>865</v>
      </c>
    </row>
    <row r="1392" spans="1:7" x14ac:dyDescent="0.25">
      <c r="A1392" s="4" t="s">
        <v>389</v>
      </c>
      <c r="B1392" s="4" t="s">
        <v>387</v>
      </c>
      <c r="C1392" s="4" t="s">
        <v>645</v>
      </c>
      <c r="D1392" s="4" t="s">
        <v>387</v>
      </c>
      <c r="E1392" s="4" t="s">
        <v>2183</v>
      </c>
      <c r="F1392" s="4" t="s">
        <v>136</v>
      </c>
      <c r="G1392" s="4" t="s">
        <v>865</v>
      </c>
    </row>
    <row r="1393" spans="1:7" x14ac:dyDescent="0.25">
      <c r="A1393" s="4" t="s">
        <v>389</v>
      </c>
      <c r="B1393" s="4" t="s">
        <v>387</v>
      </c>
      <c r="C1393" s="4" t="s">
        <v>645</v>
      </c>
      <c r="D1393" s="4" t="s">
        <v>387</v>
      </c>
      <c r="E1393" s="4" t="s">
        <v>2184</v>
      </c>
      <c r="F1393" s="4" t="s">
        <v>136</v>
      </c>
      <c r="G1393" s="4" t="s">
        <v>865</v>
      </c>
    </row>
    <row r="1394" spans="1:7" x14ac:dyDescent="0.25">
      <c r="A1394" s="4" t="s">
        <v>389</v>
      </c>
      <c r="B1394" s="4" t="s">
        <v>387</v>
      </c>
      <c r="C1394" s="4" t="s">
        <v>645</v>
      </c>
      <c r="D1394" s="4" t="s">
        <v>387</v>
      </c>
      <c r="E1394" s="4" t="s">
        <v>2185</v>
      </c>
      <c r="F1394" s="4" t="s">
        <v>136</v>
      </c>
      <c r="G1394" s="4" t="s">
        <v>865</v>
      </c>
    </row>
    <row r="1395" spans="1:7" x14ac:dyDescent="0.25">
      <c r="A1395" s="4" t="s">
        <v>389</v>
      </c>
      <c r="B1395" s="4" t="s">
        <v>387</v>
      </c>
      <c r="C1395" s="4" t="s">
        <v>645</v>
      </c>
      <c r="D1395" s="4" t="s">
        <v>387</v>
      </c>
      <c r="E1395" s="4" t="s">
        <v>2186</v>
      </c>
      <c r="F1395" s="4" t="s">
        <v>136</v>
      </c>
      <c r="G1395" s="4" t="s">
        <v>865</v>
      </c>
    </row>
    <row r="1396" spans="1:7" x14ac:dyDescent="0.25">
      <c r="A1396" s="4" t="s">
        <v>389</v>
      </c>
      <c r="B1396" s="4" t="s">
        <v>387</v>
      </c>
      <c r="C1396" s="4" t="s">
        <v>645</v>
      </c>
      <c r="D1396" s="4" t="s">
        <v>387</v>
      </c>
      <c r="E1396" s="4" t="s">
        <v>2187</v>
      </c>
      <c r="F1396" s="4" t="s">
        <v>136</v>
      </c>
      <c r="G1396" s="4" t="s">
        <v>865</v>
      </c>
    </row>
    <row r="1397" spans="1:7" x14ac:dyDescent="0.25">
      <c r="A1397" s="4" t="s">
        <v>389</v>
      </c>
      <c r="B1397" s="4" t="s">
        <v>387</v>
      </c>
      <c r="C1397" s="4" t="s">
        <v>645</v>
      </c>
      <c r="D1397" s="4" t="s">
        <v>387</v>
      </c>
      <c r="E1397" s="4" t="s">
        <v>2188</v>
      </c>
      <c r="F1397" s="4" t="s">
        <v>136</v>
      </c>
      <c r="G1397" s="4" t="s">
        <v>865</v>
      </c>
    </row>
    <row r="1398" spans="1:7" x14ac:dyDescent="0.25">
      <c r="A1398" s="4" t="s">
        <v>389</v>
      </c>
      <c r="B1398" s="4" t="s">
        <v>387</v>
      </c>
      <c r="C1398" s="4" t="s">
        <v>645</v>
      </c>
      <c r="D1398" s="4" t="s">
        <v>387</v>
      </c>
      <c r="E1398" s="4" t="s">
        <v>2189</v>
      </c>
      <c r="F1398" s="4" t="s">
        <v>136</v>
      </c>
      <c r="G1398" s="4" t="s">
        <v>865</v>
      </c>
    </row>
    <row r="1399" spans="1:7" x14ac:dyDescent="0.25">
      <c r="A1399" s="4" t="s">
        <v>389</v>
      </c>
      <c r="B1399" s="4" t="s">
        <v>394</v>
      </c>
      <c r="C1399" s="4" t="s">
        <v>645</v>
      </c>
      <c r="D1399" s="4" t="s">
        <v>394</v>
      </c>
      <c r="E1399" s="4" t="s">
        <v>2190</v>
      </c>
      <c r="F1399" s="4" t="s">
        <v>361</v>
      </c>
      <c r="G1399" s="4" t="s">
        <v>390</v>
      </c>
    </row>
    <row r="1400" spans="1:7" x14ac:dyDescent="0.25">
      <c r="A1400" s="4" t="s">
        <v>389</v>
      </c>
      <c r="B1400" s="4" t="s">
        <v>394</v>
      </c>
      <c r="C1400" s="4" t="s">
        <v>645</v>
      </c>
      <c r="D1400" s="4" t="s">
        <v>394</v>
      </c>
      <c r="E1400" s="4" t="s">
        <v>2191</v>
      </c>
      <c r="F1400" s="4" t="s">
        <v>361</v>
      </c>
      <c r="G1400" s="4" t="s">
        <v>390</v>
      </c>
    </row>
    <row r="1401" spans="1:7" x14ac:dyDescent="0.25">
      <c r="A1401" s="4" t="s">
        <v>389</v>
      </c>
      <c r="B1401" s="4" t="s">
        <v>394</v>
      </c>
      <c r="C1401" s="4" t="s">
        <v>645</v>
      </c>
      <c r="D1401" s="4" t="s">
        <v>394</v>
      </c>
      <c r="E1401" s="4" t="s">
        <v>2192</v>
      </c>
      <c r="F1401" s="4" t="s">
        <v>361</v>
      </c>
      <c r="G1401" s="4" t="s">
        <v>390</v>
      </c>
    </row>
    <row r="1402" spans="1:7" x14ac:dyDescent="0.25">
      <c r="A1402" s="4" t="s">
        <v>389</v>
      </c>
      <c r="B1402" s="4" t="s">
        <v>394</v>
      </c>
      <c r="C1402" s="4" t="s">
        <v>645</v>
      </c>
      <c r="D1402" s="4" t="s">
        <v>394</v>
      </c>
      <c r="E1402" s="4" t="s">
        <v>2193</v>
      </c>
      <c r="F1402" s="4" t="s">
        <v>361</v>
      </c>
      <c r="G1402" s="4" t="s">
        <v>390</v>
      </c>
    </row>
    <row r="1403" spans="1:7" x14ac:dyDescent="0.25">
      <c r="A1403" s="4" t="s">
        <v>389</v>
      </c>
      <c r="B1403" s="4" t="s">
        <v>394</v>
      </c>
      <c r="C1403" s="4" t="s">
        <v>645</v>
      </c>
      <c r="D1403" s="4" t="s">
        <v>394</v>
      </c>
      <c r="E1403" s="4" t="s">
        <v>2194</v>
      </c>
      <c r="F1403" s="4" t="s">
        <v>361</v>
      </c>
      <c r="G1403" s="4" t="s">
        <v>390</v>
      </c>
    </row>
    <row r="1404" spans="1:7" x14ac:dyDescent="0.25">
      <c r="A1404" s="4" t="s">
        <v>389</v>
      </c>
      <c r="B1404" s="4" t="s">
        <v>394</v>
      </c>
      <c r="C1404" s="4" t="s">
        <v>645</v>
      </c>
      <c r="D1404" s="4" t="s">
        <v>394</v>
      </c>
      <c r="E1404" s="4" t="s">
        <v>2195</v>
      </c>
      <c r="F1404" s="4" t="s">
        <v>361</v>
      </c>
      <c r="G1404" s="4" t="s">
        <v>390</v>
      </c>
    </row>
    <row r="1405" spans="1:7" x14ac:dyDescent="0.25">
      <c r="A1405" s="4" t="s">
        <v>389</v>
      </c>
      <c r="B1405" s="4" t="s">
        <v>394</v>
      </c>
      <c r="C1405" s="4" t="s">
        <v>645</v>
      </c>
      <c r="D1405" s="4" t="s">
        <v>394</v>
      </c>
      <c r="E1405" s="4" t="s">
        <v>2196</v>
      </c>
      <c r="F1405" s="4" t="s">
        <v>361</v>
      </c>
      <c r="G1405" s="4" t="s">
        <v>390</v>
      </c>
    </row>
    <row r="1406" spans="1:7" x14ac:dyDescent="0.25">
      <c r="A1406" s="4" t="s">
        <v>389</v>
      </c>
      <c r="B1406" s="4" t="s">
        <v>394</v>
      </c>
      <c r="C1406" s="4" t="s">
        <v>645</v>
      </c>
      <c r="D1406" s="4" t="s">
        <v>394</v>
      </c>
      <c r="E1406" s="4" t="s">
        <v>2197</v>
      </c>
      <c r="F1406" s="4" t="s">
        <v>361</v>
      </c>
      <c r="G1406" s="4" t="s">
        <v>390</v>
      </c>
    </row>
    <row r="1407" spans="1:7" x14ac:dyDescent="0.25">
      <c r="A1407" s="4" t="s">
        <v>389</v>
      </c>
      <c r="B1407" s="4" t="s">
        <v>394</v>
      </c>
      <c r="C1407" s="4" t="s">
        <v>645</v>
      </c>
      <c r="D1407" s="4" t="s">
        <v>394</v>
      </c>
      <c r="E1407" s="4" t="s">
        <v>2198</v>
      </c>
      <c r="F1407" s="4" t="s">
        <v>361</v>
      </c>
      <c r="G1407" s="4" t="s">
        <v>390</v>
      </c>
    </row>
    <row r="1408" spans="1:7" x14ac:dyDescent="0.25">
      <c r="A1408" s="4" t="s">
        <v>389</v>
      </c>
      <c r="B1408" s="4" t="s">
        <v>394</v>
      </c>
      <c r="C1408" s="4" t="s">
        <v>645</v>
      </c>
      <c r="D1408" s="4" t="s">
        <v>394</v>
      </c>
      <c r="E1408" s="4" t="s">
        <v>2199</v>
      </c>
      <c r="F1408" s="4" t="s">
        <v>361</v>
      </c>
      <c r="G1408" s="4" t="s">
        <v>390</v>
      </c>
    </row>
    <row r="1409" spans="1:7" x14ac:dyDescent="0.25">
      <c r="A1409" s="4" t="s">
        <v>389</v>
      </c>
      <c r="B1409" s="4" t="s">
        <v>394</v>
      </c>
      <c r="C1409" s="4" t="s">
        <v>645</v>
      </c>
      <c r="D1409" s="4" t="s">
        <v>394</v>
      </c>
      <c r="E1409" s="4" t="s">
        <v>2200</v>
      </c>
      <c r="F1409" s="4" t="s">
        <v>361</v>
      </c>
      <c r="G1409" s="4" t="s">
        <v>390</v>
      </c>
    </row>
    <row r="1410" spans="1:7" x14ac:dyDescent="0.25">
      <c r="A1410" s="4" t="s">
        <v>389</v>
      </c>
      <c r="B1410" s="4" t="s">
        <v>394</v>
      </c>
      <c r="C1410" s="4" t="s">
        <v>645</v>
      </c>
      <c r="D1410" s="4" t="s">
        <v>394</v>
      </c>
      <c r="E1410" s="4" t="s">
        <v>2201</v>
      </c>
      <c r="F1410" s="4" t="s">
        <v>361</v>
      </c>
      <c r="G1410" s="4" t="s">
        <v>390</v>
      </c>
    </row>
    <row r="1411" spans="1:7" x14ac:dyDescent="0.25">
      <c r="A1411" s="4" t="s">
        <v>389</v>
      </c>
      <c r="B1411" s="4" t="s">
        <v>394</v>
      </c>
      <c r="C1411" s="4" t="s">
        <v>645</v>
      </c>
      <c r="D1411" s="4" t="s">
        <v>394</v>
      </c>
      <c r="E1411" s="4" t="s">
        <v>2202</v>
      </c>
      <c r="F1411" s="4" t="s">
        <v>361</v>
      </c>
      <c r="G1411" s="4" t="s">
        <v>390</v>
      </c>
    </row>
    <row r="1412" spans="1:7" x14ac:dyDescent="0.25">
      <c r="A1412" s="4" t="s">
        <v>389</v>
      </c>
      <c r="B1412" s="4" t="s">
        <v>394</v>
      </c>
      <c r="C1412" s="4" t="s">
        <v>645</v>
      </c>
      <c r="D1412" s="4" t="s">
        <v>394</v>
      </c>
      <c r="E1412" s="4" t="s">
        <v>2203</v>
      </c>
      <c r="F1412" s="4" t="s">
        <v>361</v>
      </c>
      <c r="G1412" s="4" t="s">
        <v>390</v>
      </c>
    </row>
    <row r="1413" spans="1:7" x14ac:dyDescent="0.25">
      <c r="A1413" s="4" t="s">
        <v>389</v>
      </c>
      <c r="B1413" s="4" t="s">
        <v>394</v>
      </c>
      <c r="C1413" s="4" t="s">
        <v>645</v>
      </c>
      <c r="D1413" s="4" t="s">
        <v>394</v>
      </c>
      <c r="E1413" s="4" t="s">
        <v>2204</v>
      </c>
      <c r="F1413" s="4" t="s">
        <v>361</v>
      </c>
      <c r="G1413" s="4" t="s">
        <v>390</v>
      </c>
    </row>
    <row r="1414" spans="1:7" x14ac:dyDescent="0.25">
      <c r="A1414" s="4" t="s">
        <v>389</v>
      </c>
      <c r="B1414" s="4" t="s">
        <v>394</v>
      </c>
      <c r="C1414" s="4" t="s">
        <v>645</v>
      </c>
      <c r="D1414" s="4" t="s">
        <v>394</v>
      </c>
      <c r="E1414" s="4" t="s">
        <v>2205</v>
      </c>
      <c r="F1414" s="4" t="s">
        <v>361</v>
      </c>
      <c r="G1414" s="4" t="s">
        <v>390</v>
      </c>
    </row>
    <row r="1415" spans="1:7" x14ac:dyDescent="0.25">
      <c r="A1415" s="4" t="s">
        <v>389</v>
      </c>
      <c r="B1415" s="4" t="s">
        <v>394</v>
      </c>
      <c r="C1415" s="4" t="s">
        <v>645</v>
      </c>
      <c r="D1415" s="4" t="s">
        <v>394</v>
      </c>
      <c r="E1415" s="4" t="s">
        <v>2206</v>
      </c>
      <c r="F1415" s="4" t="s">
        <v>250</v>
      </c>
      <c r="G1415" s="4" t="s">
        <v>864</v>
      </c>
    </row>
    <row r="1416" spans="1:7" x14ac:dyDescent="0.25">
      <c r="A1416" s="4" t="s">
        <v>389</v>
      </c>
      <c r="B1416" s="4" t="s">
        <v>394</v>
      </c>
      <c r="C1416" s="4" t="s">
        <v>645</v>
      </c>
      <c r="D1416" s="4" t="s">
        <v>394</v>
      </c>
      <c r="E1416" s="4" t="s">
        <v>2207</v>
      </c>
      <c r="F1416" s="4" t="s">
        <v>250</v>
      </c>
      <c r="G1416" s="4" t="s">
        <v>864</v>
      </c>
    </row>
    <row r="1417" spans="1:7" x14ac:dyDescent="0.25">
      <c r="A1417" s="4" t="s">
        <v>389</v>
      </c>
      <c r="B1417" s="4" t="s">
        <v>394</v>
      </c>
      <c r="C1417" s="4" t="s">
        <v>645</v>
      </c>
      <c r="D1417" s="4" t="s">
        <v>394</v>
      </c>
      <c r="E1417" s="4" t="s">
        <v>2208</v>
      </c>
      <c r="F1417" s="4" t="s">
        <v>250</v>
      </c>
      <c r="G1417" s="4" t="s">
        <v>864</v>
      </c>
    </row>
    <row r="1418" spans="1:7" x14ac:dyDescent="0.25">
      <c r="A1418" s="4" t="s">
        <v>389</v>
      </c>
      <c r="B1418" s="4" t="s">
        <v>394</v>
      </c>
      <c r="C1418" s="4" t="s">
        <v>645</v>
      </c>
      <c r="D1418" s="4" t="s">
        <v>394</v>
      </c>
      <c r="E1418" s="4" t="s">
        <v>2209</v>
      </c>
      <c r="F1418" s="4" t="s">
        <v>250</v>
      </c>
      <c r="G1418" s="4" t="s">
        <v>864</v>
      </c>
    </row>
    <row r="1419" spans="1:7" x14ac:dyDescent="0.25">
      <c r="A1419" s="4" t="s">
        <v>389</v>
      </c>
      <c r="B1419" s="4" t="s">
        <v>394</v>
      </c>
      <c r="C1419" s="4" t="s">
        <v>645</v>
      </c>
      <c r="D1419" s="4" t="s">
        <v>394</v>
      </c>
      <c r="E1419" s="4" t="s">
        <v>2210</v>
      </c>
      <c r="F1419" s="4" t="s">
        <v>250</v>
      </c>
      <c r="G1419" s="4" t="s">
        <v>864</v>
      </c>
    </row>
    <row r="1420" spans="1:7" x14ac:dyDescent="0.25">
      <c r="A1420" s="4" t="s">
        <v>389</v>
      </c>
      <c r="B1420" s="4" t="s">
        <v>394</v>
      </c>
      <c r="C1420" s="4" t="s">
        <v>645</v>
      </c>
      <c r="D1420" s="4" t="s">
        <v>394</v>
      </c>
      <c r="E1420" s="4" t="s">
        <v>2211</v>
      </c>
      <c r="F1420" s="4" t="s">
        <v>250</v>
      </c>
      <c r="G1420" s="4" t="s">
        <v>864</v>
      </c>
    </row>
    <row r="1421" spans="1:7" x14ac:dyDescent="0.25">
      <c r="A1421" s="4" t="s">
        <v>389</v>
      </c>
      <c r="B1421" s="4" t="s">
        <v>394</v>
      </c>
      <c r="C1421" s="4" t="s">
        <v>645</v>
      </c>
      <c r="D1421" s="4" t="s">
        <v>394</v>
      </c>
      <c r="E1421" s="4" t="s">
        <v>2212</v>
      </c>
      <c r="F1421" s="4" t="s">
        <v>250</v>
      </c>
      <c r="G1421" s="4" t="s">
        <v>864</v>
      </c>
    </row>
    <row r="1422" spans="1:7" x14ac:dyDescent="0.25">
      <c r="A1422" s="4" t="s">
        <v>389</v>
      </c>
      <c r="B1422" s="4" t="s">
        <v>394</v>
      </c>
      <c r="C1422" s="4" t="s">
        <v>645</v>
      </c>
      <c r="D1422" s="4" t="s">
        <v>394</v>
      </c>
      <c r="E1422" s="4" t="s">
        <v>2213</v>
      </c>
      <c r="F1422" s="4" t="s">
        <v>250</v>
      </c>
      <c r="G1422" s="4" t="s">
        <v>864</v>
      </c>
    </row>
    <row r="1423" spans="1:7" x14ac:dyDescent="0.25">
      <c r="A1423" s="4" t="s">
        <v>389</v>
      </c>
      <c r="B1423" s="4" t="s">
        <v>394</v>
      </c>
      <c r="C1423" s="4" t="s">
        <v>645</v>
      </c>
      <c r="D1423" s="4" t="s">
        <v>394</v>
      </c>
      <c r="E1423" s="4" t="s">
        <v>2214</v>
      </c>
      <c r="F1423" s="4" t="s">
        <v>250</v>
      </c>
      <c r="G1423" s="4" t="s">
        <v>864</v>
      </c>
    </row>
    <row r="1424" spans="1:7" x14ac:dyDescent="0.25">
      <c r="A1424" s="4" t="s">
        <v>389</v>
      </c>
      <c r="B1424" s="4" t="s">
        <v>394</v>
      </c>
      <c r="C1424" s="4" t="s">
        <v>645</v>
      </c>
      <c r="D1424" s="4" t="s">
        <v>394</v>
      </c>
      <c r="E1424" s="4" t="s">
        <v>2215</v>
      </c>
      <c r="F1424" s="4" t="s">
        <v>250</v>
      </c>
      <c r="G1424" s="4" t="s">
        <v>864</v>
      </c>
    </row>
    <row r="1425" spans="1:7" x14ac:dyDescent="0.25">
      <c r="A1425" s="4" t="s">
        <v>389</v>
      </c>
      <c r="B1425" s="4" t="s">
        <v>394</v>
      </c>
      <c r="C1425" s="4" t="s">
        <v>645</v>
      </c>
      <c r="D1425" s="4" t="s">
        <v>394</v>
      </c>
      <c r="E1425" s="4" t="s">
        <v>2216</v>
      </c>
      <c r="F1425" s="4" t="s">
        <v>250</v>
      </c>
      <c r="G1425" s="4" t="s">
        <v>864</v>
      </c>
    </row>
    <row r="1426" spans="1:7" x14ac:dyDescent="0.25">
      <c r="A1426" s="4" t="s">
        <v>389</v>
      </c>
      <c r="B1426" s="4" t="s">
        <v>394</v>
      </c>
      <c r="C1426" s="4" t="s">
        <v>645</v>
      </c>
      <c r="D1426" s="4" t="s">
        <v>394</v>
      </c>
      <c r="E1426" s="4" t="s">
        <v>2217</v>
      </c>
      <c r="F1426" s="4" t="s">
        <v>250</v>
      </c>
      <c r="G1426" s="4" t="s">
        <v>864</v>
      </c>
    </row>
    <row r="1427" spans="1:7" x14ac:dyDescent="0.25">
      <c r="A1427" s="4" t="s">
        <v>389</v>
      </c>
      <c r="B1427" s="4" t="s">
        <v>394</v>
      </c>
      <c r="C1427" s="4" t="s">
        <v>645</v>
      </c>
      <c r="D1427" s="4" t="s">
        <v>394</v>
      </c>
      <c r="E1427" s="4" t="s">
        <v>2218</v>
      </c>
      <c r="F1427" s="4" t="s">
        <v>250</v>
      </c>
      <c r="G1427" s="4" t="s">
        <v>864</v>
      </c>
    </row>
    <row r="1428" spans="1:7" x14ac:dyDescent="0.25">
      <c r="A1428" s="4" t="s">
        <v>389</v>
      </c>
      <c r="B1428" s="4" t="s">
        <v>394</v>
      </c>
      <c r="C1428" s="4" t="s">
        <v>645</v>
      </c>
      <c r="D1428" s="4" t="s">
        <v>394</v>
      </c>
      <c r="E1428" s="4" t="s">
        <v>2219</v>
      </c>
      <c r="F1428" s="4" t="s">
        <v>250</v>
      </c>
      <c r="G1428" s="4" t="s">
        <v>864</v>
      </c>
    </row>
    <row r="1429" spans="1:7" x14ac:dyDescent="0.25">
      <c r="A1429" s="4" t="s">
        <v>389</v>
      </c>
      <c r="B1429" s="4" t="s">
        <v>394</v>
      </c>
      <c r="C1429" s="4" t="s">
        <v>645</v>
      </c>
      <c r="D1429" s="4" t="s">
        <v>394</v>
      </c>
      <c r="E1429" s="4" t="s">
        <v>2220</v>
      </c>
      <c r="F1429" s="4" t="s">
        <v>250</v>
      </c>
      <c r="G1429" s="4" t="s">
        <v>864</v>
      </c>
    </row>
    <row r="1430" spans="1:7" x14ac:dyDescent="0.25">
      <c r="A1430" s="4" t="s">
        <v>389</v>
      </c>
      <c r="B1430" s="4" t="s">
        <v>394</v>
      </c>
      <c r="C1430" s="4" t="s">
        <v>645</v>
      </c>
      <c r="D1430" s="4" t="s">
        <v>394</v>
      </c>
      <c r="E1430" s="4" t="s">
        <v>2221</v>
      </c>
      <c r="F1430" s="4" t="s">
        <v>250</v>
      </c>
      <c r="G1430" s="4" t="s">
        <v>864</v>
      </c>
    </row>
    <row r="1431" spans="1:7" x14ac:dyDescent="0.25">
      <c r="A1431" s="4" t="s">
        <v>389</v>
      </c>
      <c r="B1431" s="4" t="s">
        <v>394</v>
      </c>
      <c r="C1431" s="4" t="s">
        <v>645</v>
      </c>
      <c r="D1431" s="4" t="s">
        <v>394</v>
      </c>
      <c r="E1431" s="4" t="s">
        <v>2222</v>
      </c>
      <c r="F1431" s="4" t="s">
        <v>136</v>
      </c>
      <c r="G1431" s="4" t="s">
        <v>865</v>
      </c>
    </row>
    <row r="1432" spans="1:7" x14ac:dyDescent="0.25">
      <c r="A1432" s="4" t="s">
        <v>389</v>
      </c>
      <c r="B1432" s="4" t="s">
        <v>394</v>
      </c>
      <c r="C1432" s="4" t="s">
        <v>645</v>
      </c>
      <c r="D1432" s="4" t="s">
        <v>394</v>
      </c>
      <c r="E1432" s="4" t="s">
        <v>2223</v>
      </c>
      <c r="F1432" s="4" t="s">
        <v>136</v>
      </c>
      <c r="G1432" s="4" t="s">
        <v>865</v>
      </c>
    </row>
    <row r="1433" spans="1:7" x14ac:dyDescent="0.25">
      <c r="A1433" s="4" t="s">
        <v>389</v>
      </c>
      <c r="B1433" s="4" t="s">
        <v>394</v>
      </c>
      <c r="C1433" s="4" t="s">
        <v>645</v>
      </c>
      <c r="D1433" s="4" t="s">
        <v>394</v>
      </c>
      <c r="E1433" s="4" t="s">
        <v>2224</v>
      </c>
      <c r="F1433" s="4" t="s">
        <v>136</v>
      </c>
      <c r="G1433" s="4" t="s">
        <v>865</v>
      </c>
    </row>
    <row r="1434" spans="1:7" x14ac:dyDescent="0.25">
      <c r="A1434" s="4" t="s">
        <v>389</v>
      </c>
      <c r="B1434" s="4" t="s">
        <v>394</v>
      </c>
      <c r="C1434" s="4" t="s">
        <v>645</v>
      </c>
      <c r="D1434" s="4" t="s">
        <v>394</v>
      </c>
      <c r="E1434" s="4" t="s">
        <v>2225</v>
      </c>
      <c r="F1434" s="4" t="s">
        <v>136</v>
      </c>
      <c r="G1434" s="4" t="s">
        <v>865</v>
      </c>
    </row>
    <row r="1435" spans="1:7" x14ac:dyDescent="0.25">
      <c r="A1435" s="4" t="s">
        <v>389</v>
      </c>
      <c r="B1435" s="4" t="s">
        <v>394</v>
      </c>
      <c r="C1435" s="4" t="s">
        <v>645</v>
      </c>
      <c r="D1435" s="4" t="s">
        <v>394</v>
      </c>
      <c r="E1435" s="4" t="s">
        <v>2226</v>
      </c>
      <c r="F1435" s="4" t="s">
        <v>136</v>
      </c>
      <c r="G1435" s="4" t="s">
        <v>865</v>
      </c>
    </row>
    <row r="1436" spans="1:7" x14ac:dyDescent="0.25">
      <c r="A1436" s="4" t="s">
        <v>389</v>
      </c>
      <c r="B1436" s="4" t="s">
        <v>394</v>
      </c>
      <c r="C1436" s="4" t="s">
        <v>645</v>
      </c>
      <c r="D1436" s="4" t="s">
        <v>394</v>
      </c>
      <c r="E1436" s="4" t="s">
        <v>2227</v>
      </c>
      <c r="F1436" s="4" t="s">
        <v>136</v>
      </c>
      <c r="G1436" s="4" t="s">
        <v>865</v>
      </c>
    </row>
    <row r="1437" spans="1:7" x14ac:dyDescent="0.25">
      <c r="A1437" s="4" t="s">
        <v>389</v>
      </c>
      <c r="B1437" s="4" t="s">
        <v>394</v>
      </c>
      <c r="C1437" s="4" t="s">
        <v>645</v>
      </c>
      <c r="D1437" s="4" t="s">
        <v>394</v>
      </c>
      <c r="E1437" s="4" t="s">
        <v>2228</v>
      </c>
      <c r="F1437" s="4" t="s">
        <v>136</v>
      </c>
      <c r="G1437" s="4" t="s">
        <v>865</v>
      </c>
    </row>
    <row r="1438" spans="1:7" x14ac:dyDescent="0.25">
      <c r="A1438" s="4" t="s">
        <v>389</v>
      </c>
      <c r="B1438" s="4" t="s">
        <v>394</v>
      </c>
      <c r="C1438" s="4" t="s">
        <v>645</v>
      </c>
      <c r="D1438" s="4" t="s">
        <v>394</v>
      </c>
      <c r="E1438" s="4" t="s">
        <v>2229</v>
      </c>
      <c r="F1438" s="4" t="s">
        <v>136</v>
      </c>
      <c r="G1438" s="4" t="s">
        <v>865</v>
      </c>
    </row>
    <row r="1439" spans="1:7" x14ac:dyDescent="0.25">
      <c r="A1439" s="4" t="s">
        <v>389</v>
      </c>
      <c r="B1439" s="4" t="s">
        <v>394</v>
      </c>
      <c r="C1439" s="4" t="s">
        <v>645</v>
      </c>
      <c r="D1439" s="4" t="s">
        <v>394</v>
      </c>
      <c r="E1439" s="4" t="s">
        <v>2230</v>
      </c>
      <c r="F1439" s="4" t="s">
        <v>136</v>
      </c>
      <c r="G1439" s="4" t="s">
        <v>865</v>
      </c>
    </row>
    <row r="1440" spans="1:7" x14ac:dyDescent="0.25">
      <c r="A1440" s="4" t="s">
        <v>389</v>
      </c>
      <c r="B1440" s="4" t="s">
        <v>394</v>
      </c>
      <c r="C1440" s="4" t="s">
        <v>645</v>
      </c>
      <c r="D1440" s="4" t="s">
        <v>394</v>
      </c>
      <c r="E1440" s="4" t="s">
        <v>2231</v>
      </c>
      <c r="F1440" s="4" t="s">
        <v>136</v>
      </c>
      <c r="G1440" s="4" t="s">
        <v>865</v>
      </c>
    </row>
    <row r="1441" spans="1:7" x14ac:dyDescent="0.25">
      <c r="A1441" s="4" t="s">
        <v>389</v>
      </c>
      <c r="B1441" s="4" t="s">
        <v>394</v>
      </c>
      <c r="C1441" s="4" t="s">
        <v>645</v>
      </c>
      <c r="D1441" s="4" t="s">
        <v>394</v>
      </c>
      <c r="E1441" s="4" t="s">
        <v>2232</v>
      </c>
      <c r="F1441" s="4" t="s">
        <v>136</v>
      </c>
      <c r="G1441" s="4" t="s">
        <v>865</v>
      </c>
    </row>
    <row r="1442" spans="1:7" x14ac:dyDescent="0.25">
      <c r="A1442" s="4" t="s">
        <v>389</v>
      </c>
      <c r="B1442" s="4" t="s">
        <v>394</v>
      </c>
      <c r="C1442" s="4" t="s">
        <v>645</v>
      </c>
      <c r="D1442" s="4" t="s">
        <v>394</v>
      </c>
      <c r="E1442" s="4" t="s">
        <v>2233</v>
      </c>
      <c r="F1442" s="4" t="s">
        <v>136</v>
      </c>
      <c r="G1442" s="4" t="s">
        <v>865</v>
      </c>
    </row>
    <row r="1443" spans="1:7" x14ac:dyDescent="0.25">
      <c r="A1443" s="4" t="s">
        <v>389</v>
      </c>
      <c r="B1443" s="4" t="s">
        <v>394</v>
      </c>
      <c r="C1443" s="4" t="s">
        <v>645</v>
      </c>
      <c r="D1443" s="4" t="s">
        <v>394</v>
      </c>
      <c r="E1443" s="4" t="s">
        <v>2234</v>
      </c>
      <c r="F1443" s="4" t="s">
        <v>136</v>
      </c>
      <c r="G1443" s="4" t="s">
        <v>865</v>
      </c>
    </row>
    <row r="1444" spans="1:7" x14ac:dyDescent="0.25">
      <c r="A1444" s="4" t="s">
        <v>389</v>
      </c>
      <c r="B1444" s="4" t="s">
        <v>394</v>
      </c>
      <c r="C1444" s="4" t="s">
        <v>645</v>
      </c>
      <c r="D1444" s="4" t="s">
        <v>394</v>
      </c>
      <c r="E1444" s="4" t="s">
        <v>2235</v>
      </c>
      <c r="F1444" s="4" t="s">
        <v>136</v>
      </c>
      <c r="G1444" s="4" t="s">
        <v>865</v>
      </c>
    </row>
    <row r="1445" spans="1:7" x14ac:dyDescent="0.25">
      <c r="A1445" s="4" t="s">
        <v>389</v>
      </c>
      <c r="B1445" s="4" t="s">
        <v>394</v>
      </c>
      <c r="C1445" s="4" t="s">
        <v>645</v>
      </c>
      <c r="D1445" s="4" t="s">
        <v>394</v>
      </c>
      <c r="E1445" s="4" t="s">
        <v>2236</v>
      </c>
      <c r="F1445" s="4" t="s">
        <v>136</v>
      </c>
      <c r="G1445" s="4" t="s">
        <v>865</v>
      </c>
    </row>
    <row r="1446" spans="1:7" x14ac:dyDescent="0.25">
      <c r="A1446" s="4" t="s">
        <v>389</v>
      </c>
      <c r="B1446" s="4" t="s">
        <v>394</v>
      </c>
      <c r="C1446" s="4" t="s">
        <v>645</v>
      </c>
      <c r="D1446" s="4" t="s">
        <v>394</v>
      </c>
      <c r="E1446" s="4" t="s">
        <v>2237</v>
      </c>
      <c r="F1446" s="4" t="s">
        <v>136</v>
      </c>
      <c r="G1446" s="4" t="s">
        <v>865</v>
      </c>
    </row>
    <row r="1447" spans="1:7" x14ac:dyDescent="0.25">
      <c r="A1447" s="4" t="s">
        <v>389</v>
      </c>
      <c r="B1447" s="4" t="s">
        <v>394</v>
      </c>
      <c r="C1447" s="4" t="s">
        <v>645</v>
      </c>
      <c r="D1447" s="4" t="s">
        <v>394</v>
      </c>
      <c r="E1447" s="4" t="s">
        <v>2238</v>
      </c>
      <c r="F1447" s="4" t="s">
        <v>136</v>
      </c>
      <c r="G1447" s="4" t="s">
        <v>865</v>
      </c>
    </row>
    <row r="1448" spans="1:7" x14ac:dyDescent="0.25">
      <c r="A1448" s="4" t="s">
        <v>389</v>
      </c>
      <c r="B1448" s="4" t="s">
        <v>394</v>
      </c>
      <c r="C1448" s="4" t="s">
        <v>472</v>
      </c>
      <c r="D1448" s="4" t="s">
        <v>683</v>
      </c>
      <c r="E1448" s="4" t="s">
        <v>2239</v>
      </c>
      <c r="F1448" s="4" t="s">
        <v>287</v>
      </c>
      <c r="G1448" s="4" t="s">
        <v>390</v>
      </c>
    </row>
    <row r="1449" spans="1:7" x14ac:dyDescent="0.25">
      <c r="A1449" s="4" t="s">
        <v>389</v>
      </c>
      <c r="B1449" s="4" t="s">
        <v>394</v>
      </c>
      <c r="C1449" s="4" t="s">
        <v>472</v>
      </c>
      <c r="D1449" s="4" t="s">
        <v>683</v>
      </c>
      <c r="E1449" s="4" t="s">
        <v>2240</v>
      </c>
      <c r="F1449" s="4" t="s">
        <v>287</v>
      </c>
      <c r="G1449" s="4" t="s">
        <v>390</v>
      </c>
    </row>
    <row r="1450" spans="1:7" x14ac:dyDescent="0.25">
      <c r="A1450" s="4" t="s">
        <v>389</v>
      </c>
      <c r="B1450" s="4" t="s">
        <v>394</v>
      </c>
      <c r="C1450" s="4" t="s">
        <v>472</v>
      </c>
      <c r="D1450" s="4" t="s">
        <v>683</v>
      </c>
      <c r="E1450" s="4" t="s">
        <v>2241</v>
      </c>
      <c r="F1450" s="4" t="s">
        <v>287</v>
      </c>
      <c r="G1450" s="4" t="s">
        <v>390</v>
      </c>
    </row>
    <row r="1451" spans="1:7" x14ac:dyDescent="0.25">
      <c r="A1451" s="4" t="s">
        <v>389</v>
      </c>
      <c r="B1451" s="4" t="s">
        <v>394</v>
      </c>
      <c r="C1451" s="4" t="s">
        <v>472</v>
      </c>
      <c r="D1451" s="4" t="s">
        <v>683</v>
      </c>
      <c r="E1451" s="4" t="s">
        <v>2242</v>
      </c>
      <c r="F1451" s="4" t="s">
        <v>287</v>
      </c>
      <c r="G1451" s="4" t="s">
        <v>390</v>
      </c>
    </row>
    <row r="1452" spans="1:7" x14ac:dyDescent="0.25">
      <c r="A1452" s="4" t="s">
        <v>389</v>
      </c>
      <c r="B1452" s="4" t="s">
        <v>394</v>
      </c>
      <c r="C1452" s="4" t="s">
        <v>472</v>
      </c>
      <c r="D1452" s="4" t="s">
        <v>683</v>
      </c>
      <c r="E1452" s="4" t="s">
        <v>2243</v>
      </c>
      <c r="F1452" s="4" t="s">
        <v>287</v>
      </c>
      <c r="G1452" s="4" t="s">
        <v>390</v>
      </c>
    </row>
    <row r="1453" spans="1:7" x14ac:dyDescent="0.25">
      <c r="A1453" s="4" t="s">
        <v>389</v>
      </c>
      <c r="B1453" s="4" t="s">
        <v>394</v>
      </c>
      <c r="C1453" s="4" t="s">
        <v>472</v>
      </c>
      <c r="D1453" s="4" t="s">
        <v>683</v>
      </c>
      <c r="E1453" s="4" t="s">
        <v>2244</v>
      </c>
      <c r="F1453" s="4" t="s">
        <v>321</v>
      </c>
      <c r="G1453" s="4" t="s">
        <v>864</v>
      </c>
    </row>
    <row r="1454" spans="1:7" x14ac:dyDescent="0.25">
      <c r="A1454" s="4" t="s">
        <v>389</v>
      </c>
      <c r="B1454" s="4" t="s">
        <v>394</v>
      </c>
      <c r="C1454" s="4" t="s">
        <v>472</v>
      </c>
      <c r="D1454" s="4" t="s">
        <v>683</v>
      </c>
      <c r="E1454" s="4" t="s">
        <v>2245</v>
      </c>
      <c r="F1454" s="4" t="s">
        <v>321</v>
      </c>
      <c r="G1454" s="4" t="s">
        <v>864</v>
      </c>
    </row>
    <row r="1455" spans="1:7" x14ac:dyDescent="0.25">
      <c r="A1455" s="4" t="s">
        <v>389</v>
      </c>
      <c r="B1455" s="4" t="s">
        <v>394</v>
      </c>
      <c r="C1455" s="4" t="s">
        <v>472</v>
      </c>
      <c r="D1455" s="4" t="s">
        <v>683</v>
      </c>
      <c r="E1455" s="4" t="s">
        <v>2246</v>
      </c>
      <c r="F1455" s="4" t="s">
        <v>321</v>
      </c>
      <c r="G1455" s="4" t="s">
        <v>864</v>
      </c>
    </row>
    <row r="1456" spans="1:7" x14ac:dyDescent="0.25">
      <c r="A1456" s="4" t="s">
        <v>389</v>
      </c>
      <c r="B1456" s="4" t="s">
        <v>394</v>
      </c>
      <c r="C1456" s="4" t="s">
        <v>472</v>
      </c>
      <c r="D1456" s="4" t="s">
        <v>683</v>
      </c>
      <c r="E1456" s="4" t="s">
        <v>2247</v>
      </c>
      <c r="F1456" s="4" t="s">
        <v>321</v>
      </c>
      <c r="G1456" s="4" t="s">
        <v>864</v>
      </c>
    </row>
    <row r="1457" spans="1:7" x14ac:dyDescent="0.25">
      <c r="A1457" s="4" t="s">
        <v>389</v>
      </c>
      <c r="B1457" s="4" t="s">
        <v>394</v>
      </c>
      <c r="C1457" s="4" t="s">
        <v>472</v>
      </c>
      <c r="D1457" s="4" t="s">
        <v>683</v>
      </c>
      <c r="E1457" s="4" t="s">
        <v>2248</v>
      </c>
      <c r="F1457" s="4" t="s">
        <v>321</v>
      </c>
      <c r="G1457" s="4" t="s">
        <v>864</v>
      </c>
    </row>
    <row r="1458" spans="1:7" x14ac:dyDescent="0.25">
      <c r="A1458" s="4" t="s">
        <v>389</v>
      </c>
      <c r="B1458" s="4" t="s">
        <v>394</v>
      </c>
      <c r="C1458" s="4" t="s">
        <v>472</v>
      </c>
      <c r="D1458" s="4" t="s">
        <v>683</v>
      </c>
      <c r="E1458" s="4" t="s">
        <v>2249</v>
      </c>
      <c r="F1458" s="4" t="s">
        <v>56</v>
      </c>
      <c r="G1458" s="4" t="s">
        <v>865</v>
      </c>
    </row>
    <row r="1459" spans="1:7" x14ac:dyDescent="0.25">
      <c r="A1459" s="4" t="s">
        <v>389</v>
      </c>
      <c r="B1459" s="4" t="s">
        <v>394</v>
      </c>
      <c r="C1459" s="4" t="s">
        <v>472</v>
      </c>
      <c r="D1459" s="4" t="s">
        <v>683</v>
      </c>
      <c r="E1459" s="4" t="s">
        <v>2250</v>
      </c>
      <c r="F1459" s="4" t="s">
        <v>56</v>
      </c>
      <c r="G1459" s="4" t="s">
        <v>865</v>
      </c>
    </row>
    <row r="1460" spans="1:7" x14ac:dyDescent="0.25">
      <c r="A1460" s="4" t="s">
        <v>389</v>
      </c>
      <c r="B1460" s="4" t="s">
        <v>394</v>
      </c>
      <c r="C1460" s="4" t="s">
        <v>472</v>
      </c>
      <c r="D1460" s="4" t="s">
        <v>683</v>
      </c>
      <c r="E1460" s="4" t="s">
        <v>2251</v>
      </c>
      <c r="F1460" s="4" t="s">
        <v>56</v>
      </c>
      <c r="G1460" s="4" t="s">
        <v>865</v>
      </c>
    </row>
    <row r="1461" spans="1:7" x14ac:dyDescent="0.25">
      <c r="A1461" s="4" t="s">
        <v>389</v>
      </c>
      <c r="B1461" s="4" t="s">
        <v>394</v>
      </c>
      <c r="C1461" s="4" t="s">
        <v>472</v>
      </c>
      <c r="D1461" s="4" t="s">
        <v>683</v>
      </c>
      <c r="E1461" s="4" t="s">
        <v>2252</v>
      </c>
      <c r="F1461" s="4" t="s">
        <v>56</v>
      </c>
      <c r="G1461" s="4" t="s">
        <v>865</v>
      </c>
    </row>
    <row r="1462" spans="1:7" x14ac:dyDescent="0.25">
      <c r="A1462" s="4" t="s">
        <v>389</v>
      </c>
      <c r="B1462" s="4" t="s">
        <v>394</v>
      </c>
      <c r="C1462" s="4" t="s">
        <v>472</v>
      </c>
      <c r="D1462" s="4" t="s">
        <v>683</v>
      </c>
      <c r="E1462" s="4" t="s">
        <v>2253</v>
      </c>
      <c r="F1462" s="4" t="s">
        <v>56</v>
      </c>
      <c r="G1462" s="4" t="s">
        <v>865</v>
      </c>
    </row>
    <row r="1463" spans="1:7" x14ac:dyDescent="0.25">
      <c r="A1463" s="4" t="s">
        <v>389</v>
      </c>
      <c r="B1463" s="4" t="s">
        <v>394</v>
      </c>
      <c r="C1463" s="4" t="s">
        <v>411</v>
      </c>
      <c r="D1463" s="4" t="s">
        <v>684</v>
      </c>
      <c r="E1463" s="4" t="s">
        <v>2254</v>
      </c>
      <c r="F1463" s="4" t="s">
        <v>361</v>
      </c>
      <c r="G1463" s="4" t="s">
        <v>390</v>
      </c>
    </row>
    <row r="1464" spans="1:7" x14ac:dyDescent="0.25">
      <c r="A1464" s="4" t="s">
        <v>389</v>
      </c>
      <c r="B1464" s="4" t="s">
        <v>394</v>
      </c>
      <c r="C1464" s="4" t="s">
        <v>411</v>
      </c>
      <c r="D1464" s="4" t="s">
        <v>684</v>
      </c>
      <c r="E1464" s="4" t="s">
        <v>2255</v>
      </c>
      <c r="F1464" s="4" t="s">
        <v>361</v>
      </c>
      <c r="G1464" s="4" t="s">
        <v>390</v>
      </c>
    </row>
    <row r="1465" spans="1:7" x14ac:dyDescent="0.25">
      <c r="A1465" s="4" t="s">
        <v>389</v>
      </c>
      <c r="B1465" s="4" t="s">
        <v>394</v>
      </c>
      <c r="C1465" s="4" t="s">
        <v>411</v>
      </c>
      <c r="D1465" s="4" t="s">
        <v>684</v>
      </c>
      <c r="E1465" s="4" t="s">
        <v>2256</v>
      </c>
      <c r="F1465" s="4" t="s">
        <v>253</v>
      </c>
      <c r="G1465" s="4" t="s">
        <v>864</v>
      </c>
    </row>
    <row r="1466" spans="1:7" x14ac:dyDescent="0.25">
      <c r="A1466" s="4" t="s">
        <v>389</v>
      </c>
      <c r="B1466" s="4" t="s">
        <v>394</v>
      </c>
      <c r="C1466" s="4" t="s">
        <v>411</v>
      </c>
      <c r="D1466" s="4" t="s">
        <v>684</v>
      </c>
      <c r="E1466" s="4" t="s">
        <v>2257</v>
      </c>
      <c r="F1466" s="4" t="s">
        <v>253</v>
      </c>
      <c r="G1466" s="4" t="s">
        <v>864</v>
      </c>
    </row>
    <row r="1467" spans="1:7" x14ac:dyDescent="0.25">
      <c r="A1467" s="4" t="s">
        <v>389</v>
      </c>
      <c r="B1467" s="4" t="s">
        <v>394</v>
      </c>
      <c r="C1467" s="4" t="s">
        <v>411</v>
      </c>
      <c r="D1467" s="4" t="s">
        <v>684</v>
      </c>
      <c r="E1467" s="4" t="s">
        <v>2258</v>
      </c>
      <c r="F1467" s="4" t="s">
        <v>100</v>
      </c>
      <c r="G1467" s="4" t="s">
        <v>865</v>
      </c>
    </row>
    <row r="1468" spans="1:7" x14ac:dyDescent="0.25">
      <c r="A1468" s="4" t="s">
        <v>389</v>
      </c>
      <c r="B1468" s="4" t="s">
        <v>394</v>
      </c>
      <c r="C1468" s="4" t="s">
        <v>411</v>
      </c>
      <c r="D1468" s="4" t="s">
        <v>684</v>
      </c>
      <c r="E1468" s="4" t="s">
        <v>2259</v>
      </c>
      <c r="F1468" s="4" t="s">
        <v>100</v>
      </c>
      <c r="G1468" s="4" t="s">
        <v>865</v>
      </c>
    </row>
    <row r="1469" spans="1:7" x14ac:dyDescent="0.25">
      <c r="A1469" s="4" t="s">
        <v>389</v>
      </c>
      <c r="B1469" s="4" t="s">
        <v>387</v>
      </c>
      <c r="C1469" s="4" t="s">
        <v>411</v>
      </c>
      <c r="D1469" s="4" t="s">
        <v>685</v>
      </c>
      <c r="E1469" s="4" t="s">
        <v>2260</v>
      </c>
      <c r="F1469" s="4" t="s">
        <v>253</v>
      </c>
      <c r="G1469" s="4" t="s">
        <v>390</v>
      </c>
    </row>
    <row r="1470" spans="1:7" x14ac:dyDescent="0.25">
      <c r="A1470" s="4" t="s">
        <v>389</v>
      </c>
      <c r="B1470" s="4" t="s">
        <v>387</v>
      </c>
      <c r="C1470" s="4" t="s">
        <v>411</v>
      </c>
      <c r="D1470" s="4" t="s">
        <v>685</v>
      </c>
      <c r="E1470" s="4" t="s">
        <v>2261</v>
      </c>
      <c r="F1470" s="4" t="s">
        <v>253</v>
      </c>
      <c r="G1470" s="4" t="s">
        <v>390</v>
      </c>
    </row>
    <row r="1471" spans="1:7" x14ac:dyDescent="0.25">
      <c r="A1471" s="4" t="s">
        <v>389</v>
      </c>
      <c r="B1471" s="4" t="s">
        <v>387</v>
      </c>
      <c r="C1471" s="4" t="s">
        <v>411</v>
      </c>
      <c r="D1471" s="4" t="s">
        <v>685</v>
      </c>
      <c r="E1471" s="4" t="s">
        <v>2262</v>
      </c>
      <c r="F1471" s="4" t="s">
        <v>319</v>
      </c>
      <c r="G1471" s="4" t="s">
        <v>864</v>
      </c>
    </row>
    <row r="1472" spans="1:7" x14ac:dyDescent="0.25">
      <c r="A1472" s="4" t="s">
        <v>389</v>
      </c>
      <c r="B1472" s="4" t="s">
        <v>387</v>
      </c>
      <c r="C1472" s="4" t="s">
        <v>411</v>
      </c>
      <c r="D1472" s="4" t="s">
        <v>685</v>
      </c>
      <c r="E1472" s="4" t="s">
        <v>2263</v>
      </c>
      <c r="F1472" s="4" t="s">
        <v>319</v>
      </c>
      <c r="G1472" s="4" t="s">
        <v>864</v>
      </c>
    </row>
    <row r="1473" spans="1:7" x14ac:dyDescent="0.25">
      <c r="A1473" s="4" t="s">
        <v>389</v>
      </c>
      <c r="B1473" s="4" t="s">
        <v>387</v>
      </c>
      <c r="C1473" s="4" t="s">
        <v>411</v>
      </c>
      <c r="D1473" s="4" t="s">
        <v>685</v>
      </c>
      <c r="E1473" s="4" t="s">
        <v>2264</v>
      </c>
      <c r="F1473" s="4" t="s">
        <v>175</v>
      </c>
      <c r="G1473" s="4" t="s">
        <v>865</v>
      </c>
    </row>
    <row r="1474" spans="1:7" x14ac:dyDescent="0.25">
      <c r="A1474" s="4" t="s">
        <v>389</v>
      </c>
      <c r="B1474" s="4" t="s">
        <v>387</v>
      </c>
      <c r="C1474" s="4" t="s">
        <v>411</v>
      </c>
      <c r="D1474" s="4" t="s">
        <v>685</v>
      </c>
      <c r="E1474" s="4" t="s">
        <v>2265</v>
      </c>
      <c r="F1474" s="4" t="s">
        <v>175</v>
      </c>
      <c r="G1474" s="4" t="s">
        <v>865</v>
      </c>
    </row>
    <row r="1475" spans="1:7" x14ac:dyDescent="0.25">
      <c r="A1475" s="4" t="s">
        <v>389</v>
      </c>
      <c r="B1475" s="4" t="s">
        <v>394</v>
      </c>
      <c r="C1475" s="4" t="s">
        <v>411</v>
      </c>
      <c r="D1475" s="4" t="s">
        <v>686</v>
      </c>
      <c r="E1475" s="4" t="s">
        <v>2266</v>
      </c>
      <c r="F1475" s="4" t="s">
        <v>280</v>
      </c>
      <c r="G1475" s="4" t="s">
        <v>390</v>
      </c>
    </row>
    <row r="1476" spans="1:7" x14ac:dyDescent="0.25">
      <c r="A1476" s="4" t="s">
        <v>389</v>
      </c>
      <c r="B1476" s="4" t="s">
        <v>394</v>
      </c>
      <c r="C1476" s="4" t="s">
        <v>411</v>
      </c>
      <c r="D1476" s="4" t="s">
        <v>686</v>
      </c>
      <c r="E1476" s="4" t="s">
        <v>2267</v>
      </c>
      <c r="F1476" s="4" t="s">
        <v>280</v>
      </c>
      <c r="G1476" s="4" t="s">
        <v>390</v>
      </c>
    </row>
    <row r="1477" spans="1:7" x14ac:dyDescent="0.25">
      <c r="A1477" s="4" t="s">
        <v>389</v>
      </c>
      <c r="B1477" s="4" t="s">
        <v>394</v>
      </c>
      <c r="C1477" s="4" t="s">
        <v>411</v>
      </c>
      <c r="D1477" s="4" t="s">
        <v>686</v>
      </c>
      <c r="E1477" s="4" t="s">
        <v>2268</v>
      </c>
      <c r="F1477" s="4" t="s">
        <v>361</v>
      </c>
      <c r="G1477" s="4" t="s">
        <v>864</v>
      </c>
    </row>
    <row r="1478" spans="1:7" x14ac:dyDescent="0.25">
      <c r="A1478" s="4" t="s">
        <v>389</v>
      </c>
      <c r="B1478" s="4" t="s">
        <v>394</v>
      </c>
      <c r="C1478" s="4" t="s">
        <v>411</v>
      </c>
      <c r="D1478" s="4" t="s">
        <v>686</v>
      </c>
      <c r="E1478" s="4" t="s">
        <v>2269</v>
      </c>
      <c r="F1478" s="4" t="s">
        <v>361</v>
      </c>
      <c r="G1478" s="4" t="s">
        <v>864</v>
      </c>
    </row>
    <row r="1479" spans="1:7" x14ac:dyDescent="0.25">
      <c r="A1479" s="4" t="s">
        <v>389</v>
      </c>
      <c r="B1479" s="4" t="s">
        <v>394</v>
      </c>
      <c r="C1479" s="4" t="s">
        <v>411</v>
      </c>
      <c r="D1479" s="4" t="s">
        <v>686</v>
      </c>
      <c r="E1479" s="4" t="s">
        <v>2270</v>
      </c>
      <c r="F1479" s="4" t="s">
        <v>207</v>
      </c>
      <c r="G1479" s="4" t="s">
        <v>865</v>
      </c>
    </row>
    <row r="1480" spans="1:7" x14ac:dyDescent="0.25">
      <c r="A1480" s="4" t="s">
        <v>389</v>
      </c>
      <c r="B1480" s="4" t="s">
        <v>394</v>
      </c>
      <c r="C1480" s="4" t="s">
        <v>411</v>
      </c>
      <c r="D1480" s="4" t="s">
        <v>686</v>
      </c>
      <c r="E1480" s="4" t="s">
        <v>2271</v>
      </c>
      <c r="F1480" s="4" t="s">
        <v>207</v>
      </c>
      <c r="G1480" s="4" t="s">
        <v>865</v>
      </c>
    </row>
    <row r="1481" spans="1:7" x14ac:dyDescent="0.25">
      <c r="A1481" s="4" t="s">
        <v>389</v>
      </c>
      <c r="B1481" s="4" t="s">
        <v>387</v>
      </c>
      <c r="C1481" s="4" t="s">
        <v>411</v>
      </c>
      <c r="D1481" s="4" t="s">
        <v>687</v>
      </c>
      <c r="E1481" s="4" t="s">
        <v>2272</v>
      </c>
      <c r="F1481" s="4" t="s">
        <v>92</v>
      </c>
      <c r="G1481" s="4" t="s">
        <v>390</v>
      </c>
    </row>
    <row r="1482" spans="1:7" x14ac:dyDescent="0.25">
      <c r="A1482" s="4" t="s">
        <v>389</v>
      </c>
      <c r="B1482" s="4" t="s">
        <v>387</v>
      </c>
      <c r="C1482" s="4" t="s">
        <v>411</v>
      </c>
      <c r="D1482" s="4" t="s">
        <v>687</v>
      </c>
      <c r="E1482" s="4" t="s">
        <v>2273</v>
      </c>
      <c r="F1482" s="4" t="s">
        <v>92</v>
      </c>
      <c r="G1482" s="4" t="s">
        <v>390</v>
      </c>
    </row>
    <row r="1483" spans="1:7" x14ac:dyDescent="0.25">
      <c r="A1483" s="4" t="s">
        <v>389</v>
      </c>
      <c r="B1483" s="4" t="s">
        <v>387</v>
      </c>
      <c r="C1483" s="4" t="s">
        <v>411</v>
      </c>
      <c r="D1483" s="4" t="s">
        <v>687</v>
      </c>
      <c r="E1483" s="4" t="s">
        <v>2274</v>
      </c>
      <c r="F1483" s="4" t="s">
        <v>207</v>
      </c>
      <c r="G1483" s="4" t="s">
        <v>864</v>
      </c>
    </row>
    <row r="1484" spans="1:7" x14ac:dyDescent="0.25">
      <c r="A1484" s="4" t="s">
        <v>389</v>
      </c>
      <c r="B1484" s="4" t="s">
        <v>387</v>
      </c>
      <c r="C1484" s="4" t="s">
        <v>411</v>
      </c>
      <c r="D1484" s="4" t="s">
        <v>687</v>
      </c>
      <c r="E1484" s="4" t="s">
        <v>2275</v>
      </c>
      <c r="F1484" s="4" t="s">
        <v>207</v>
      </c>
      <c r="G1484" s="4" t="s">
        <v>864</v>
      </c>
    </row>
    <row r="1485" spans="1:7" x14ac:dyDescent="0.25">
      <c r="A1485" s="4" t="s">
        <v>389</v>
      </c>
      <c r="B1485" s="4" t="s">
        <v>387</v>
      </c>
      <c r="C1485" s="4" t="s">
        <v>411</v>
      </c>
      <c r="D1485" s="4" t="s">
        <v>687</v>
      </c>
      <c r="E1485" s="4" t="s">
        <v>2276</v>
      </c>
      <c r="F1485" s="4" t="s">
        <v>261</v>
      </c>
      <c r="G1485" s="4" t="s">
        <v>865</v>
      </c>
    </row>
    <row r="1486" spans="1:7" x14ac:dyDescent="0.25">
      <c r="A1486" s="4" t="s">
        <v>389</v>
      </c>
      <c r="B1486" s="4" t="s">
        <v>387</v>
      </c>
      <c r="C1486" s="4" t="s">
        <v>411</v>
      </c>
      <c r="D1486" s="4" t="s">
        <v>687</v>
      </c>
      <c r="E1486" s="4" t="s">
        <v>2277</v>
      </c>
      <c r="F1486" s="4" t="s">
        <v>261</v>
      </c>
      <c r="G1486" s="4" t="s">
        <v>865</v>
      </c>
    </row>
    <row r="1487" spans="1:7" x14ac:dyDescent="0.25">
      <c r="A1487" s="4" t="s">
        <v>389</v>
      </c>
      <c r="B1487" s="4" t="s">
        <v>387</v>
      </c>
      <c r="C1487" s="4" t="s">
        <v>411</v>
      </c>
      <c r="D1487" s="4" t="s">
        <v>688</v>
      </c>
      <c r="E1487" s="4" t="s">
        <v>2278</v>
      </c>
      <c r="F1487" s="4" t="s">
        <v>361</v>
      </c>
      <c r="G1487" s="4" t="s">
        <v>390</v>
      </c>
    </row>
    <row r="1488" spans="1:7" x14ac:dyDescent="0.25">
      <c r="A1488" s="4" t="s">
        <v>389</v>
      </c>
      <c r="B1488" s="4" t="s">
        <v>387</v>
      </c>
      <c r="C1488" s="4" t="s">
        <v>411</v>
      </c>
      <c r="D1488" s="4" t="s">
        <v>688</v>
      </c>
      <c r="E1488" s="4" t="s">
        <v>2279</v>
      </c>
      <c r="F1488" s="4" t="s">
        <v>361</v>
      </c>
      <c r="G1488" s="4" t="s">
        <v>390</v>
      </c>
    </row>
    <row r="1489" spans="1:7" x14ac:dyDescent="0.25">
      <c r="A1489" s="4" t="s">
        <v>389</v>
      </c>
      <c r="B1489" s="4" t="s">
        <v>387</v>
      </c>
      <c r="C1489" s="4" t="s">
        <v>411</v>
      </c>
      <c r="D1489" s="4" t="s">
        <v>688</v>
      </c>
      <c r="E1489" s="4" t="s">
        <v>2280</v>
      </c>
      <c r="F1489" s="4" t="s">
        <v>361</v>
      </c>
      <c r="G1489" s="4" t="s">
        <v>390</v>
      </c>
    </row>
    <row r="1490" spans="1:7" x14ac:dyDescent="0.25">
      <c r="A1490" s="4" t="s">
        <v>389</v>
      </c>
      <c r="B1490" s="4" t="s">
        <v>387</v>
      </c>
      <c r="C1490" s="4" t="s">
        <v>411</v>
      </c>
      <c r="D1490" s="4" t="s">
        <v>688</v>
      </c>
      <c r="E1490" s="4" t="s">
        <v>2281</v>
      </c>
      <c r="F1490" s="4" t="s">
        <v>361</v>
      </c>
      <c r="G1490" s="4" t="s">
        <v>390</v>
      </c>
    </row>
    <row r="1491" spans="1:7" x14ac:dyDescent="0.25">
      <c r="A1491" s="4" t="s">
        <v>389</v>
      </c>
      <c r="B1491" s="4" t="s">
        <v>387</v>
      </c>
      <c r="C1491" s="4" t="s">
        <v>411</v>
      </c>
      <c r="D1491" s="4" t="s">
        <v>688</v>
      </c>
      <c r="E1491" s="4" t="s">
        <v>2282</v>
      </c>
      <c r="F1491" s="4" t="s">
        <v>21</v>
      </c>
      <c r="G1491" s="4" t="s">
        <v>864</v>
      </c>
    </row>
    <row r="1492" spans="1:7" x14ac:dyDescent="0.25">
      <c r="A1492" s="4" t="s">
        <v>389</v>
      </c>
      <c r="B1492" s="4" t="s">
        <v>387</v>
      </c>
      <c r="C1492" s="4" t="s">
        <v>411</v>
      </c>
      <c r="D1492" s="4" t="s">
        <v>688</v>
      </c>
      <c r="E1492" s="4" t="s">
        <v>2283</v>
      </c>
      <c r="F1492" s="4" t="s">
        <v>21</v>
      </c>
      <c r="G1492" s="4" t="s">
        <v>864</v>
      </c>
    </row>
    <row r="1493" spans="1:7" x14ac:dyDescent="0.25">
      <c r="A1493" s="4" t="s">
        <v>389</v>
      </c>
      <c r="B1493" s="4" t="s">
        <v>387</v>
      </c>
      <c r="C1493" s="4" t="s">
        <v>411</v>
      </c>
      <c r="D1493" s="4" t="s">
        <v>688</v>
      </c>
      <c r="E1493" s="4" t="s">
        <v>2284</v>
      </c>
      <c r="F1493" s="4" t="s">
        <v>21</v>
      </c>
      <c r="G1493" s="4" t="s">
        <v>864</v>
      </c>
    </row>
    <row r="1494" spans="1:7" x14ac:dyDescent="0.25">
      <c r="A1494" s="4" t="s">
        <v>389</v>
      </c>
      <c r="B1494" s="4" t="s">
        <v>387</v>
      </c>
      <c r="C1494" s="4" t="s">
        <v>411</v>
      </c>
      <c r="D1494" s="4" t="s">
        <v>688</v>
      </c>
      <c r="E1494" s="4" t="s">
        <v>2285</v>
      </c>
      <c r="F1494" s="4" t="s">
        <v>21</v>
      </c>
      <c r="G1494" s="4" t="s">
        <v>864</v>
      </c>
    </row>
    <row r="1495" spans="1:7" x14ac:dyDescent="0.25">
      <c r="A1495" s="4" t="s">
        <v>389</v>
      </c>
      <c r="B1495" s="4" t="s">
        <v>387</v>
      </c>
      <c r="C1495" s="4" t="s">
        <v>411</v>
      </c>
      <c r="D1495" s="4" t="s">
        <v>688</v>
      </c>
      <c r="E1495" s="4" t="s">
        <v>2286</v>
      </c>
      <c r="F1495" s="4" t="s">
        <v>175</v>
      </c>
      <c r="G1495" s="4" t="s">
        <v>865</v>
      </c>
    </row>
    <row r="1496" spans="1:7" x14ac:dyDescent="0.25">
      <c r="A1496" s="4" t="s">
        <v>389</v>
      </c>
      <c r="B1496" s="4" t="s">
        <v>387</v>
      </c>
      <c r="C1496" s="4" t="s">
        <v>411</v>
      </c>
      <c r="D1496" s="4" t="s">
        <v>688</v>
      </c>
      <c r="E1496" s="4" t="s">
        <v>2287</v>
      </c>
      <c r="F1496" s="4" t="s">
        <v>175</v>
      </c>
      <c r="G1496" s="4" t="s">
        <v>865</v>
      </c>
    </row>
    <row r="1497" spans="1:7" x14ac:dyDescent="0.25">
      <c r="A1497" s="4" t="s">
        <v>389</v>
      </c>
      <c r="B1497" s="4" t="s">
        <v>387</v>
      </c>
      <c r="C1497" s="4" t="s">
        <v>411</v>
      </c>
      <c r="D1497" s="4" t="s">
        <v>688</v>
      </c>
      <c r="E1497" s="4" t="s">
        <v>2288</v>
      </c>
      <c r="F1497" s="4" t="s">
        <v>175</v>
      </c>
      <c r="G1497" s="4" t="s">
        <v>865</v>
      </c>
    </row>
    <row r="1498" spans="1:7" x14ac:dyDescent="0.25">
      <c r="A1498" s="4" t="s">
        <v>389</v>
      </c>
      <c r="B1498" s="4" t="s">
        <v>387</v>
      </c>
      <c r="C1498" s="4" t="s">
        <v>411</v>
      </c>
      <c r="D1498" s="4" t="s">
        <v>688</v>
      </c>
      <c r="E1498" s="4" t="s">
        <v>2289</v>
      </c>
      <c r="F1498" s="4" t="s">
        <v>175</v>
      </c>
      <c r="G1498" s="4" t="s">
        <v>865</v>
      </c>
    </row>
    <row r="1499" spans="1:7" x14ac:dyDescent="0.25">
      <c r="A1499" s="4" t="s">
        <v>389</v>
      </c>
      <c r="B1499" s="4" t="s">
        <v>394</v>
      </c>
      <c r="C1499" s="4" t="s">
        <v>411</v>
      </c>
      <c r="D1499" s="4" t="s">
        <v>691</v>
      </c>
      <c r="E1499" s="4" t="s">
        <v>2290</v>
      </c>
      <c r="F1499" s="4" t="s">
        <v>250</v>
      </c>
      <c r="G1499" s="4" t="s">
        <v>390</v>
      </c>
    </row>
    <row r="1500" spans="1:7" x14ac:dyDescent="0.25">
      <c r="A1500" s="4" t="s">
        <v>389</v>
      </c>
      <c r="B1500" s="4" t="s">
        <v>394</v>
      </c>
      <c r="C1500" s="4" t="s">
        <v>411</v>
      </c>
      <c r="D1500" s="4" t="s">
        <v>691</v>
      </c>
      <c r="E1500" s="4" t="s">
        <v>2291</v>
      </c>
      <c r="F1500" s="4" t="s">
        <v>250</v>
      </c>
      <c r="G1500" s="4" t="s">
        <v>390</v>
      </c>
    </row>
    <row r="1501" spans="1:7" x14ac:dyDescent="0.25">
      <c r="A1501" s="4" t="s">
        <v>389</v>
      </c>
      <c r="B1501" s="4" t="s">
        <v>394</v>
      </c>
      <c r="C1501" s="4" t="s">
        <v>411</v>
      </c>
      <c r="D1501" s="4" t="s">
        <v>691</v>
      </c>
      <c r="E1501" s="4" t="s">
        <v>2292</v>
      </c>
      <c r="F1501" s="4" t="s">
        <v>66</v>
      </c>
      <c r="G1501" s="4" t="s">
        <v>864</v>
      </c>
    </row>
    <row r="1502" spans="1:7" x14ac:dyDescent="0.25">
      <c r="A1502" s="4" t="s">
        <v>389</v>
      </c>
      <c r="B1502" s="4" t="s">
        <v>394</v>
      </c>
      <c r="C1502" s="4" t="s">
        <v>411</v>
      </c>
      <c r="D1502" s="4" t="s">
        <v>691</v>
      </c>
      <c r="E1502" s="4" t="s">
        <v>2293</v>
      </c>
      <c r="F1502" s="4" t="s">
        <v>66</v>
      </c>
      <c r="G1502" s="4" t="s">
        <v>864</v>
      </c>
    </row>
    <row r="1503" spans="1:7" x14ac:dyDescent="0.25">
      <c r="A1503" s="4" t="s">
        <v>389</v>
      </c>
      <c r="B1503" s="4" t="s">
        <v>394</v>
      </c>
      <c r="C1503" s="4" t="s">
        <v>411</v>
      </c>
      <c r="D1503" s="4" t="s">
        <v>691</v>
      </c>
      <c r="E1503" s="4" t="s">
        <v>2294</v>
      </c>
      <c r="F1503" s="4" t="s">
        <v>77</v>
      </c>
      <c r="G1503" s="4" t="s">
        <v>865</v>
      </c>
    </row>
    <row r="1504" spans="1:7" x14ac:dyDescent="0.25">
      <c r="A1504" s="4" t="s">
        <v>389</v>
      </c>
      <c r="B1504" s="4" t="s">
        <v>394</v>
      </c>
      <c r="C1504" s="4" t="s">
        <v>411</v>
      </c>
      <c r="D1504" s="4" t="s">
        <v>691</v>
      </c>
      <c r="E1504" s="4" t="s">
        <v>2295</v>
      </c>
      <c r="F1504" s="4" t="s">
        <v>77</v>
      </c>
      <c r="G1504" s="4" t="s">
        <v>865</v>
      </c>
    </row>
    <row r="1505" spans="1:7" x14ac:dyDescent="0.25">
      <c r="A1505" s="4" t="s">
        <v>389</v>
      </c>
      <c r="B1505" s="4" t="s">
        <v>387</v>
      </c>
      <c r="C1505" s="4" t="s">
        <v>411</v>
      </c>
      <c r="D1505" s="4" t="s">
        <v>692</v>
      </c>
      <c r="E1505" s="4" t="s">
        <v>2296</v>
      </c>
      <c r="F1505" s="4" t="s">
        <v>128</v>
      </c>
      <c r="G1505" s="4" t="s">
        <v>390</v>
      </c>
    </row>
    <row r="1506" spans="1:7" x14ac:dyDescent="0.25">
      <c r="A1506" s="4" t="s">
        <v>389</v>
      </c>
      <c r="B1506" s="4" t="s">
        <v>387</v>
      </c>
      <c r="C1506" s="4" t="s">
        <v>411</v>
      </c>
      <c r="D1506" s="4" t="s">
        <v>692</v>
      </c>
      <c r="E1506" s="4" t="s">
        <v>2297</v>
      </c>
      <c r="F1506" s="4" t="s">
        <v>128</v>
      </c>
      <c r="G1506" s="4" t="s">
        <v>390</v>
      </c>
    </row>
    <row r="1507" spans="1:7" x14ac:dyDescent="0.25">
      <c r="A1507" s="4" t="s">
        <v>389</v>
      </c>
      <c r="B1507" s="4" t="s">
        <v>387</v>
      </c>
      <c r="C1507" s="4" t="s">
        <v>411</v>
      </c>
      <c r="D1507" s="4" t="s">
        <v>692</v>
      </c>
      <c r="E1507" s="4" t="s">
        <v>2298</v>
      </c>
      <c r="F1507" s="4" t="s">
        <v>171</v>
      </c>
      <c r="G1507" s="4" t="s">
        <v>864</v>
      </c>
    </row>
    <row r="1508" spans="1:7" x14ac:dyDescent="0.25">
      <c r="A1508" s="4" t="s">
        <v>389</v>
      </c>
      <c r="B1508" s="4" t="s">
        <v>387</v>
      </c>
      <c r="C1508" s="4" t="s">
        <v>411</v>
      </c>
      <c r="D1508" s="4" t="s">
        <v>692</v>
      </c>
      <c r="E1508" s="4" t="s">
        <v>2299</v>
      </c>
      <c r="F1508" s="4" t="s">
        <v>171</v>
      </c>
      <c r="G1508" s="4" t="s">
        <v>864</v>
      </c>
    </row>
    <row r="1509" spans="1:7" x14ac:dyDescent="0.25">
      <c r="A1509" s="4" t="s">
        <v>389</v>
      </c>
      <c r="B1509" s="4" t="s">
        <v>387</v>
      </c>
      <c r="C1509" s="4" t="s">
        <v>411</v>
      </c>
      <c r="D1509" s="4" t="s">
        <v>692</v>
      </c>
      <c r="E1509" s="4" t="s">
        <v>2300</v>
      </c>
      <c r="F1509" s="4" t="s">
        <v>261</v>
      </c>
      <c r="G1509" s="4" t="s">
        <v>865</v>
      </c>
    </row>
    <row r="1510" spans="1:7" x14ac:dyDescent="0.25">
      <c r="A1510" s="4" t="s">
        <v>389</v>
      </c>
      <c r="B1510" s="4" t="s">
        <v>387</v>
      </c>
      <c r="C1510" s="4" t="s">
        <v>411</v>
      </c>
      <c r="D1510" s="4" t="s">
        <v>692</v>
      </c>
      <c r="E1510" s="4" t="s">
        <v>2301</v>
      </c>
      <c r="F1510" s="4" t="s">
        <v>261</v>
      </c>
      <c r="G1510" s="4" t="s">
        <v>865</v>
      </c>
    </row>
    <row r="1511" spans="1:7" x14ac:dyDescent="0.25">
      <c r="A1511" s="4" t="s">
        <v>389</v>
      </c>
      <c r="B1511" s="4" t="s">
        <v>387</v>
      </c>
      <c r="C1511" s="4" t="s">
        <v>411</v>
      </c>
      <c r="D1511" s="4" t="s">
        <v>693</v>
      </c>
      <c r="E1511" s="4" t="s">
        <v>2302</v>
      </c>
      <c r="F1511" s="4" t="s">
        <v>333</v>
      </c>
      <c r="G1511" s="4" t="s">
        <v>390</v>
      </c>
    </row>
    <row r="1512" spans="1:7" x14ac:dyDescent="0.25">
      <c r="A1512" s="4" t="s">
        <v>389</v>
      </c>
      <c r="B1512" s="4" t="s">
        <v>387</v>
      </c>
      <c r="C1512" s="4" t="s">
        <v>411</v>
      </c>
      <c r="D1512" s="4" t="s">
        <v>693</v>
      </c>
      <c r="E1512" s="4" t="s">
        <v>2303</v>
      </c>
      <c r="F1512" s="4" t="s">
        <v>333</v>
      </c>
      <c r="G1512" s="4" t="s">
        <v>390</v>
      </c>
    </row>
    <row r="1513" spans="1:7" x14ac:dyDescent="0.25">
      <c r="A1513" s="4" t="s">
        <v>389</v>
      </c>
      <c r="B1513" s="4" t="s">
        <v>387</v>
      </c>
      <c r="C1513" s="4" t="s">
        <v>411</v>
      </c>
      <c r="D1513" s="4" t="s">
        <v>693</v>
      </c>
      <c r="E1513" s="4" t="s">
        <v>2304</v>
      </c>
      <c r="F1513" s="4" t="s">
        <v>333</v>
      </c>
      <c r="G1513" s="4" t="s">
        <v>390</v>
      </c>
    </row>
    <row r="1514" spans="1:7" x14ac:dyDescent="0.25">
      <c r="A1514" s="4" t="s">
        <v>389</v>
      </c>
      <c r="B1514" s="4" t="s">
        <v>387</v>
      </c>
      <c r="C1514" s="4" t="s">
        <v>411</v>
      </c>
      <c r="D1514" s="4" t="s">
        <v>693</v>
      </c>
      <c r="E1514" s="4" t="s">
        <v>2305</v>
      </c>
      <c r="F1514" s="4" t="s">
        <v>333</v>
      </c>
      <c r="G1514" s="4" t="s">
        <v>390</v>
      </c>
    </row>
    <row r="1515" spans="1:7" x14ac:dyDescent="0.25">
      <c r="A1515" s="4" t="s">
        <v>389</v>
      </c>
      <c r="B1515" s="4" t="s">
        <v>387</v>
      </c>
      <c r="C1515" s="4" t="s">
        <v>411</v>
      </c>
      <c r="D1515" s="4" t="s">
        <v>693</v>
      </c>
      <c r="E1515" s="4" t="s">
        <v>2306</v>
      </c>
      <c r="F1515" s="4" t="s">
        <v>100</v>
      </c>
      <c r="G1515" s="4" t="s">
        <v>864</v>
      </c>
    </row>
    <row r="1516" spans="1:7" x14ac:dyDescent="0.25">
      <c r="A1516" s="4" t="s">
        <v>389</v>
      </c>
      <c r="B1516" s="4" t="s">
        <v>387</v>
      </c>
      <c r="C1516" s="4" t="s">
        <v>411</v>
      </c>
      <c r="D1516" s="4" t="s">
        <v>693</v>
      </c>
      <c r="E1516" s="4" t="s">
        <v>2307</v>
      </c>
      <c r="F1516" s="4" t="s">
        <v>100</v>
      </c>
      <c r="G1516" s="4" t="s">
        <v>864</v>
      </c>
    </row>
    <row r="1517" spans="1:7" x14ac:dyDescent="0.25">
      <c r="A1517" s="4" t="s">
        <v>389</v>
      </c>
      <c r="B1517" s="4" t="s">
        <v>387</v>
      </c>
      <c r="C1517" s="4" t="s">
        <v>411</v>
      </c>
      <c r="D1517" s="4" t="s">
        <v>693</v>
      </c>
      <c r="E1517" s="4" t="s">
        <v>2308</v>
      </c>
      <c r="F1517" s="4" t="s">
        <v>100</v>
      </c>
      <c r="G1517" s="4" t="s">
        <v>864</v>
      </c>
    </row>
    <row r="1518" spans="1:7" x14ac:dyDescent="0.25">
      <c r="A1518" s="4" t="s">
        <v>389</v>
      </c>
      <c r="B1518" s="4" t="s">
        <v>387</v>
      </c>
      <c r="C1518" s="4" t="s">
        <v>411</v>
      </c>
      <c r="D1518" s="4" t="s">
        <v>693</v>
      </c>
      <c r="E1518" s="4" t="s">
        <v>2309</v>
      </c>
      <c r="F1518" s="4" t="s">
        <v>100</v>
      </c>
      <c r="G1518" s="4" t="s">
        <v>864</v>
      </c>
    </row>
    <row r="1519" spans="1:7" x14ac:dyDescent="0.25">
      <c r="A1519" s="4" t="s">
        <v>389</v>
      </c>
      <c r="B1519" s="4" t="s">
        <v>387</v>
      </c>
      <c r="C1519" s="4" t="s">
        <v>411</v>
      </c>
      <c r="D1519" s="4" t="s">
        <v>693</v>
      </c>
      <c r="E1519" s="4" t="s">
        <v>2310</v>
      </c>
      <c r="F1519" s="4" t="s">
        <v>128</v>
      </c>
      <c r="G1519" s="4" t="s">
        <v>865</v>
      </c>
    </row>
    <row r="1520" spans="1:7" x14ac:dyDescent="0.25">
      <c r="A1520" s="4" t="s">
        <v>389</v>
      </c>
      <c r="B1520" s="4" t="s">
        <v>387</v>
      </c>
      <c r="C1520" s="4" t="s">
        <v>411</v>
      </c>
      <c r="D1520" s="4" t="s">
        <v>693</v>
      </c>
      <c r="E1520" s="4" t="s">
        <v>2311</v>
      </c>
      <c r="F1520" s="4" t="s">
        <v>128</v>
      </c>
      <c r="G1520" s="4" t="s">
        <v>865</v>
      </c>
    </row>
    <row r="1521" spans="1:7" x14ac:dyDescent="0.25">
      <c r="A1521" s="4" t="s">
        <v>389</v>
      </c>
      <c r="B1521" s="4" t="s">
        <v>387</v>
      </c>
      <c r="C1521" s="4" t="s">
        <v>411</v>
      </c>
      <c r="D1521" s="4" t="s">
        <v>693</v>
      </c>
      <c r="E1521" s="4" t="s">
        <v>2312</v>
      </c>
      <c r="F1521" s="4" t="s">
        <v>128</v>
      </c>
      <c r="G1521" s="4" t="s">
        <v>865</v>
      </c>
    </row>
    <row r="1522" spans="1:7" x14ac:dyDescent="0.25">
      <c r="A1522" s="4" t="s">
        <v>389</v>
      </c>
      <c r="B1522" s="4" t="s">
        <v>387</v>
      </c>
      <c r="C1522" s="4" t="s">
        <v>411</v>
      </c>
      <c r="D1522" s="4" t="s">
        <v>693</v>
      </c>
      <c r="E1522" s="4" t="s">
        <v>2313</v>
      </c>
      <c r="F1522" s="4" t="s">
        <v>128</v>
      </c>
      <c r="G1522" s="4" t="s">
        <v>865</v>
      </c>
    </row>
    <row r="1523" spans="1:7" x14ac:dyDescent="0.25">
      <c r="A1523" s="4" t="s">
        <v>389</v>
      </c>
      <c r="B1523" s="4" t="s">
        <v>394</v>
      </c>
      <c r="C1523" s="4" t="s">
        <v>411</v>
      </c>
      <c r="D1523" s="4" t="s">
        <v>694</v>
      </c>
      <c r="E1523" s="4" t="s">
        <v>2314</v>
      </c>
      <c r="F1523" s="4" t="s">
        <v>136</v>
      </c>
      <c r="G1523" s="4" t="s">
        <v>390</v>
      </c>
    </row>
    <row r="1524" spans="1:7" x14ac:dyDescent="0.25">
      <c r="A1524" s="4" t="s">
        <v>389</v>
      </c>
      <c r="B1524" s="4" t="s">
        <v>394</v>
      </c>
      <c r="C1524" s="4" t="s">
        <v>411</v>
      </c>
      <c r="D1524" s="4" t="s">
        <v>694</v>
      </c>
      <c r="E1524" s="4" t="s">
        <v>2315</v>
      </c>
      <c r="F1524" s="4" t="s">
        <v>136</v>
      </c>
      <c r="G1524" s="4" t="s">
        <v>390</v>
      </c>
    </row>
    <row r="1525" spans="1:7" x14ac:dyDescent="0.25">
      <c r="A1525" s="4" t="s">
        <v>389</v>
      </c>
      <c r="B1525" s="4" t="s">
        <v>394</v>
      </c>
      <c r="C1525" s="4" t="s">
        <v>411</v>
      </c>
      <c r="D1525" s="4" t="s">
        <v>694</v>
      </c>
      <c r="E1525" s="4" t="s">
        <v>2316</v>
      </c>
      <c r="F1525" s="4" t="s">
        <v>136</v>
      </c>
      <c r="G1525" s="4" t="s">
        <v>390</v>
      </c>
    </row>
    <row r="1526" spans="1:7" x14ac:dyDescent="0.25">
      <c r="A1526" s="4" t="s">
        <v>389</v>
      </c>
      <c r="B1526" s="4" t="s">
        <v>394</v>
      </c>
      <c r="C1526" s="4" t="s">
        <v>411</v>
      </c>
      <c r="D1526" s="4" t="s">
        <v>694</v>
      </c>
      <c r="E1526" s="4" t="s">
        <v>2317</v>
      </c>
      <c r="F1526" s="4" t="s">
        <v>136</v>
      </c>
      <c r="G1526" s="4" t="s">
        <v>390</v>
      </c>
    </row>
    <row r="1527" spans="1:7" x14ac:dyDescent="0.25">
      <c r="A1527" s="4" t="s">
        <v>389</v>
      </c>
      <c r="B1527" s="4" t="s">
        <v>394</v>
      </c>
      <c r="C1527" s="4" t="s">
        <v>411</v>
      </c>
      <c r="D1527" s="4" t="s">
        <v>694</v>
      </c>
      <c r="E1527" s="4" t="s">
        <v>2318</v>
      </c>
      <c r="F1527" s="4" t="s">
        <v>250</v>
      </c>
      <c r="G1527" s="4" t="s">
        <v>864</v>
      </c>
    </row>
    <row r="1528" spans="1:7" x14ac:dyDescent="0.25">
      <c r="A1528" s="4" t="s">
        <v>389</v>
      </c>
      <c r="B1528" s="4" t="s">
        <v>394</v>
      </c>
      <c r="C1528" s="4" t="s">
        <v>411</v>
      </c>
      <c r="D1528" s="4" t="s">
        <v>694</v>
      </c>
      <c r="E1528" s="4" t="s">
        <v>2319</v>
      </c>
      <c r="F1528" s="4" t="s">
        <v>250</v>
      </c>
      <c r="G1528" s="4" t="s">
        <v>864</v>
      </c>
    </row>
    <row r="1529" spans="1:7" x14ac:dyDescent="0.25">
      <c r="A1529" s="4" t="s">
        <v>389</v>
      </c>
      <c r="B1529" s="4" t="s">
        <v>394</v>
      </c>
      <c r="C1529" s="4" t="s">
        <v>411</v>
      </c>
      <c r="D1529" s="4" t="s">
        <v>694</v>
      </c>
      <c r="E1529" s="4" t="s">
        <v>2320</v>
      </c>
      <c r="F1529" s="4" t="s">
        <v>250</v>
      </c>
      <c r="G1529" s="4" t="s">
        <v>864</v>
      </c>
    </row>
    <row r="1530" spans="1:7" x14ac:dyDescent="0.25">
      <c r="A1530" s="4" t="s">
        <v>389</v>
      </c>
      <c r="B1530" s="4" t="s">
        <v>394</v>
      </c>
      <c r="C1530" s="4" t="s">
        <v>411</v>
      </c>
      <c r="D1530" s="4" t="s">
        <v>694</v>
      </c>
      <c r="E1530" s="4" t="s">
        <v>2321</v>
      </c>
      <c r="F1530" s="4" t="s">
        <v>250</v>
      </c>
      <c r="G1530" s="4" t="s">
        <v>864</v>
      </c>
    </row>
    <row r="1531" spans="1:7" x14ac:dyDescent="0.25">
      <c r="A1531" s="4" t="s">
        <v>389</v>
      </c>
      <c r="B1531" s="4" t="s">
        <v>394</v>
      </c>
      <c r="C1531" s="4" t="s">
        <v>411</v>
      </c>
      <c r="D1531" s="4" t="s">
        <v>694</v>
      </c>
      <c r="E1531" s="4" t="s">
        <v>2322</v>
      </c>
      <c r="F1531" s="4" t="s">
        <v>280</v>
      </c>
      <c r="G1531" s="4" t="s">
        <v>865</v>
      </c>
    </row>
    <row r="1532" spans="1:7" x14ac:dyDescent="0.25">
      <c r="A1532" s="4" t="s">
        <v>389</v>
      </c>
      <c r="B1532" s="4" t="s">
        <v>394</v>
      </c>
      <c r="C1532" s="4" t="s">
        <v>411</v>
      </c>
      <c r="D1532" s="4" t="s">
        <v>694</v>
      </c>
      <c r="E1532" s="4" t="s">
        <v>2323</v>
      </c>
      <c r="F1532" s="4" t="s">
        <v>280</v>
      </c>
      <c r="G1532" s="4" t="s">
        <v>865</v>
      </c>
    </row>
    <row r="1533" spans="1:7" x14ac:dyDescent="0.25">
      <c r="A1533" s="4" t="s">
        <v>389</v>
      </c>
      <c r="B1533" s="4" t="s">
        <v>394</v>
      </c>
      <c r="C1533" s="4" t="s">
        <v>411</v>
      </c>
      <c r="D1533" s="4" t="s">
        <v>694</v>
      </c>
      <c r="E1533" s="4" t="s">
        <v>2324</v>
      </c>
      <c r="F1533" s="4" t="s">
        <v>280</v>
      </c>
      <c r="G1533" s="4" t="s">
        <v>865</v>
      </c>
    </row>
    <row r="1534" spans="1:7" x14ac:dyDescent="0.25">
      <c r="A1534" s="4" t="s">
        <v>389</v>
      </c>
      <c r="B1534" s="4" t="s">
        <v>394</v>
      </c>
      <c r="C1534" s="4" t="s">
        <v>411</v>
      </c>
      <c r="D1534" s="4" t="s">
        <v>694</v>
      </c>
      <c r="E1534" s="4" t="s">
        <v>2325</v>
      </c>
      <c r="F1534" s="4" t="s">
        <v>280</v>
      </c>
      <c r="G1534" s="4" t="s">
        <v>865</v>
      </c>
    </row>
    <row r="1535" spans="1:7" x14ac:dyDescent="0.25">
      <c r="A1535" s="4" t="s">
        <v>389</v>
      </c>
      <c r="B1535" s="4" t="s">
        <v>387</v>
      </c>
      <c r="C1535" s="4" t="s">
        <v>411</v>
      </c>
      <c r="D1535" s="4" t="s">
        <v>695</v>
      </c>
      <c r="E1535" s="4" t="s">
        <v>2326</v>
      </c>
      <c r="F1535" s="4" t="s">
        <v>136</v>
      </c>
      <c r="G1535" s="4" t="s">
        <v>390</v>
      </c>
    </row>
    <row r="1536" spans="1:7" x14ac:dyDescent="0.25">
      <c r="A1536" s="4" t="s">
        <v>389</v>
      </c>
      <c r="B1536" s="4" t="s">
        <v>387</v>
      </c>
      <c r="C1536" s="4" t="s">
        <v>411</v>
      </c>
      <c r="D1536" s="4" t="s">
        <v>695</v>
      </c>
      <c r="E1536" s="4" t="s">
        <v>2327</v>
      </c>
      <c r="F1536" s="4" t="s">
        <v>136</v>
      </c>
      <c r="G1536" s="4" t="s">
        <v>390</v>
      </c>
    </row>
    <row r="1537" spans="1:7" x14ac:dyDescent="0.25">
      <c r="A1537" s="4" t="s">
        <v>389</v>
      </c>
      <c r="B1537" s="4" t="s">
        <v>387</v>
      </c>
      <c r="C1537" s="4" t="s">
        <v>411</v>
      </c>
      <c r="D1537" s="4" t="s">
        <v>695</v>
      </c>
      <c r="E1537" s="4" t="s">
        <v>2328</v>
      </c>
      <c r="F1537" s="4" t="s">
        <v>136</v>
      </c>
      <c r="G1537" s="4" t="s">
        <v>390</v>
      </c>
    </row>
    <row r="1538" spans="1:7" x14ac:dyDescent="0.25">
      <c r="A1538" s="4" t="s">
        <v>389</v>
      </c>
      <c r="B1538" s="4" t="s">
        <v>387</v>
      </c>
      <c r="C1538" s="4" t="s">
        <v>411</v>
      </c>
      <c r="D1538" s="4" t="s">
        <v>695</v>
      </c>
      <c r="E1538" s="4" t="s">
        <v>2329</v>
      </c>
      <c r="F1538" s="4" t="s">
        <v>136</v>
      </c>
      <c r="G1538" s="4" t="s">
        <v>390</v>
      </c>
    </row>
    <row r="1539" spans="1:7" x14ac:dyDescent="0.25">
      <c r="A1539" s="4" t="s">
        <v>389</v>
      </c>
      <c r="B1539" s="4" t="s">
        <v>387</v>
      </c>
      <c r="C1539" s="4" t="s">
        <v>411</v>
      </c>
      <c r="D1539" s="4" t="s">
        <v>695</v>
      </c>
      <c r="E1539" s="4" t="s">
        <v>2330</v>
      </c>
      <c r="F1539" s="4" t="s">
        <v>21</v>
      </c>
      <c r="G1539" s="4" t="s">
        <v>864</v>
      </c>
    </row>
    <row r="1540" spans="1:7" x14ac:dyDescent="0.25">
      <c r="A1540" s="4" t="s">
        <v>389</v>
      </c>
      <c r="B1540" s="4" t="s">
        <v>387</v>
      </c>
      <c r="C1540" s="4" t="s">
        <v>411</v>
      </c>
      <c r="D1540" s="4" t="s">
        <v>695</v>
      </c>
      <c r="E1540" s="4" t="s">
        <v>2331</v>
      </c>
      <c r="F1540" s="4" t="s">
        <v>21</v>
      </c>
      <c r="G1540" s="4" t="s">
        <v>864</v>
      </c>
    </row>
    <row r="1541" spans="1:7" x14ac:dyDescent="0.25">
      <c r="A1541" s="4" t="s">
        <v>389</v>
      </c>
      <c r="B1541" s="4" t="s">
        <v>387</v>
      </c>
      <c r="C1541" s="4" t="s">
        <v>411</v>
      </c>
      <c r="D1541" s="4" t="s">
        <v>695</v>
      </c>
      <c r="E1541" s="4" t="s">
        <v>2332</v>
      </c>
      <c r="F1541" s="4" t="s">
        <v>21</v>
      </c>
      <c r="G1541" s="4" t="s">
        <v>864</v>
      </c>
    </row>
    <row r="1542" spans="1:7" x14ac:dyDescent="0.25">
      <c r="A1542" s="4" t="s">
        <v>389</v>
      </c>
      <c r="B1542" s="4" t="s">
        <v>387</v>
      </c>
      <c r="C1542" s="4" t="s">
        <v>411</v>
      </c>
      <c r="D1542" s="4" t="s">
        <v>695</v>
      </c>
      <c r="E1542" s="4" t="s">
        <v>2333</v>
      </c>
      <c r="F1542" s="4" t="s">
        <v>21</v>
      </c>
      <c r="G1542" s="4" t="s">
        <v>864</v>
      </c>
    </row>
    <row r="1543" spans="1:7" x14ac:dyDescent="0.25">
      <c r="A1543" s="4" t="s">
        <v>389</v>
      </c>
      <c r="B1543" s="4" t="s">
        <v>387</v>
      </c>
      <c r="C1543" s="4" t="s">
        <v>411</v>
      </c>
      <c r="D1543" s="4" t="s">
        <v>695</v>
      </c>
      <c r="E1543" s="4" t="s">
        <v>2334</v>
      </c>
      <c r="F1543" s="4" t="s">
        <v>120</v>
      </c>
      <c r="G1543" s="4" t="s">
        <v>865</v>
      </c>
    </row>
    <row r="1544" spans="1:7" x14ac:dyDescent="0.25">
      <c r="A1544" s="4" t="s">
        <v>389</v>
      </c>
      <c r="B1544" s="4" t="s">
        <v>387</v>
      </c>
      <c r="C1544" s="4" t="s">
        <v>411</v>
      </c>
      <c r="D1544" s="4" t="s">
        <v>695</v>
      </c>
      <c r="E1544" s="4" t="s">
        <v>2335</v>
      </c>
      <c r="F1544" s="4" t="s">
        <v>120</v>
      </c>
      <c r="G1544" s="4" t="s">
        <v>865</v>
      </c>
    </row>
    <row r="1545" spans="1:7" x14ac:dyDescent="0.25">
      <c r="A1545" s="4" t="s">
        <v>389</v>
      </c>
      <c r="B1545" s="4" t="s">
        <v>387</v>
      </c>
      <c r="C1545" s="4" t="s">
        <v>411</v>
      </c>
      <c r="D1545" s="4" t="s">
        <v>695</v>
      </c>
      <c r="E1545" s="4" t="s">
        <v>2336</v>
      </c>
      <c r="F1545" s="4" t="s">
        <v>120</v>
      </c>
      <c r="G1545" s="4" t="s">
        <v>865</v>
      </c>
    </row>
    <row r="1546" spans="1:7" x14ac:dyDescent="0.25">
      <c r="A1546" s="4" t="s">
        <v>389</v>
      </c>
      <c r="B1546" s="4" t="s">
        <v>387</v>
      </c>
      <c r="C1546" s="4" t="s">
        <v>411</v>
      </c>
      <c r="D1546" s="4" t="s">
        <v>695</v>
      </c>
      <c r="E1546" s="4" t="s">
        <v>2337</v>
      </c>
      <c r="F1546" s="4" t="s">
        <v>120</v>
      </c>
      <c r="G1546" s="4" t="s">
        <v>865</v>
      </c>
    </row>
    <row r="1547" spans="1:7" x14ac:dyDescent="0.25">
      <c r="A1547" s="4" t="s">
        <v>389</v>
      </c>
      <c r="B1547" s="4" t="s">
        <v>394</v>
      </c>
      <c r="C1547" s="4" t="s">
        <v>411</v>
      </c>
      <c r="D1547" s="4" t="s">
        <v>696</v>
      </c>
      <c r="E1547" s="4" t="s">
        <v>2338</v>
      </c>
      <c r="F1547" s="4" t="s">
        <v>363</v>
      </c>
      <c r="G1547" s="4" t="s">
        <v>390</v>
      </c>
    </row>
    <row r="1548" spans="1:7" x14ac:dyDescent="0.25">
      <c r="A1548" s="4" t="s">
        <v>389</v>
      </c>
      <c r="B1548" s="4" t="s">
        <v>394</v>
      </c>
      <c r="C1548" s="4" t="s">
        <v>411</v>
      </c>
      <c r="D1548" s="4" t="s">
        <v>696</v>
      </c>
      <c r="E1548" s="4" t="s">
        <v>2339</v>
      </c>
      <c r="F1548" s="4" t="s">
        <v>363</v>
      </c>
      <c r="G1548" s="4" t="s">
        <v>390</v>
      </c>
    </row>
    <row r="1549" spans="1:7" x14ac:dyDescent="0.25">
      <c r="A1549" s="4" t="s">
        <v>389</v>
      </c>
      <c r="B1549" s="4" t="s">
        <v>394</v>
      </c>
      <c r="C1549" s="4" t="s">
        <v>411</v>
      </c>
      <c r="D1549" s="4" t="s">
        <v>696</v>
      </c>
      <c r="E1549" s="4" t="s">
        <v>2340</v>
      </c>
      <c r="F1549" s="4" t="s">
        <v>363</v>
      </c>
      <c r="G1549" s="4" t="s">
        <v>390</v>
      </c>
    </row>
    <row r="1550" spans="1:7" x14ac:dyDescent="0.25">
      <c r="A1550" s="4" t="s">
        <v>389</v>
      </c>
      <c r="B1550" s="4" t="s">
        <v>394</v>
      </c>
      <c r="C1550" s="4" t="s">
        <v>411</v>
      </c>
      <c r="D1550" s="4" t="s">
        <v>696</v>
      </c>
      <c r="E1550" s="4" t="s">
        <v>2341</v>
      </c>
      <c r="F1550" s="4" t="s">
        <v>363</v>
      </c>
      <c r="G1550" s="4" t="s">
        <v>390</v>
      </c>
    </row>
    <row r="1551" spans="1:7" x14ac:dyDescent="0.25">
      <c r="A1551" s="4" t="s">
        <v>389</v>
      </c>
      <c r="B1551" s="4" t="s">
        <v>394</v>
      </c>
      <c r="C1551" s="4" t="s">
        <v>411</v>
      </c>
      <c r="D1551" s="4" t="s">
        <v>696</v>
      </c>
      <c r="E1551" s="4" t="s">
        <v>2342</v>
      </c>
      <c r="F1551" s="4" t="s">
        <v>363</v>
      </c>
      <c r="G1551" s="4" t="s">
        <v>390</v>
      </c>
    </row>
    <row r="1552" spans="1:7" x14ac:dyDescent="0.25">
      <c r="A1552" s="4" t="s">
        <v>389</v>
      </c>
      <c r="B1552" s="4" t="s">
        <v>394</v>
      </c>
      <c r="C1552" s="4" t="s">
        <v>411</v>
      </c>
      <c r="D1552" s="4" t="s">
        <v>696</v>
      </c>
      <c r="E1552" s="4" t="s">
        <v>2343</v>
      </c>
      <c r="F1552" s="4" t="s">
        <v>363</v>
      </c>
      <c r="G1552" s="4" t="s">
        <v>390</v>
      </c>
    </row>
    <row r="1553" spans="1:7" x14ac:dyDescent="0.25">
      <c r="A1553" s="4" t="s">
        <v>389</v>
      </c>
      <c r="B1553" s="4" t="s">
        <v>394</v>
      </c>
      <c r="C1553" s="4" t="s">
        <v>411</v>
      </c>
      <c r="D1553" s="4" t="s">
        <v>696</v>
      </c>
      <c r="E1553" s="4" t="s">
        <v>2344</v>
      </c>
      <c r="F1553" s="4" t="s">
        <v>363</v>
      </c>
      <c r="G1553" s="4" t="s">
        <v>390</v>
      </c>
    </row>
    <row r="1554" spans="1:7" x14ac:dyDescent="0.25">
      <c r="A1554" s="4" t="s">
        <v>389</v>
      </c>
      <c r="B1554" s="4" t="s">
        <v>394</v>
      </c>
      <c r="C1554" s="4" t="s">
        <v>411</v>
      </c>
      <c r="D1554" s="4" t="s">
        <v>696</v>
      </c>
      <c r="E1554" s="4" t="s">
        <v>2345</v>
      </c>
      <c r="F1554" s="4" t="s">
        <v>363</v>
      </c>
      <c r="G1554" s="4" t="s">
        <v>390</v>
      </c>
    </row>
    <row r="1555" spans="1:7" x14ac:dyDescent="0.25">
      <c r="A1555" s="4" t="s">
        <v>389</v>
      </c>
      <c r="B1555" s="4" t="s">
        <v>394</v>
      </c>
      <c r="C1555" s="4" t="s">
        <v>411</v>
      </c>
      <c r="D1555" s="4" t="s">
        <v>696</v>
      </c>
      <c r="E1555" s="4" t="s">
        <v>2346</v>
      </c>
      <c r="F1555" s="4" t="s">
        <v>363</v>
      </c>
      <c r="G1555" s="4" t="s">
        <v>390</v>
      </c>
    </row>
    <row r="1556" spans="1:7" x14ac:dyDescent="0.25">
      <c r="A1556" s="4" t="s">
        <v>389</v>
      </c>
      <c r="B1556" s="4" t="s">
        <v>394</v>
      </c>
      <c r="C1556" s="4" t="s">
        <v>411</v>
      </c>
      <c r="D1556" s="4" t="s">
        <v>696</v>
      </c>
      <c r="E1556" s="4" t="s">
        <v>2347</v>
      </c>
      <c r="F1556" s="4" t="s">
        <v>361</v>
      </c>
      <c r="G1556" s="4" t="s">
        <v>864</v>
      </c>
    </row>
    <row r="1557" spans="1:7" x14ac:dyDescent="0.25">
      <c r="A1557" s="4" t="s">
        <v>389</v>
      </c>
      <c r="B1557" s="4" t="s">
        <v>394</v>
      </c>
      <c r="C1557" s="4" t="s">
        <v>411</v>
      </c>
      <c r="D1557" s="4" t="s">
        <v>696</v>
      </c>
      <c r="E1557" s="4" t="s">
        <v>2348</v>
      </c>
      <c r="F1557" s="4" t="s">
        <v>361</v>
      </c>
      <c r="G1557" s="4" t="s">
        <v>864</v>
      </c>
    </row>
    <row r="1558" spans="1:7" x14ac:dyDescent="0.25">
      <c r="A1558" s="4" t="s">
        <v>389</v>
      </c>
      <c r="B1558" s="4" t="s">
        <v>394</v>
      </c>
      <c r="C1558" s="4" t="s">
        <v>411</v>
      </c>
      <c r="D1558" s="4" t="s">
        <v>696</v>
      </c>
      <c r="E1558" s="4" t="s">
        <v>2349</v>
      </c>
      <c r="F1558" s="4" t="s">
        <v>361</v>
      </c>
      <c r="G1558" s="4" t="s">
        <v>864</v>
      </c>
    </row>
    <row r="1559" spans="1:7" x14ac:dyDescent="0.25">
      <c r="A1559" s="4" t="s">
        <v>389</v>
      </c>
      <c r="B1559" s="4" t="s">
        <v>394</v>
      </c>
      <c r="C1559" s="4" t="s">
        <v>411</v>
      </c>
      <c r="D1559" s="4" t="s">
        <v>696</v>
      </c>
      <c r="E1559" s="4" t="s">
        <v>2350</v>
      </c>
      <c r="F1559" s="4" t="s">
        <v>361</v>
      </c>
      <c r="G1559" s="4" t="s">
        <v>864</v>
      </c>
    </row>
    <row r="1560" spans="1:7" x14ac:dyDescent="0.25">
      <c r="A1560" s="4" t="s">
        <v>389</v>
      </c>
      <c r="B1560" s="4" t="s">
        <v>394</v>
      </c>
      <c r="C1560" s="4" t="s">
        <v>411</v>
      </c>
      <c r="D1560" s="4" t="s">
        <v>696</v>
      </c>
      <c r="E1560" s="4" t="s">
        <v>2351</v>
      </c>
      <c r="F1560" s="4" t="s">
        <v>361</v>
      </c>
      <c r="G1560" s="4" t="s">
        <v>864</v>
      </c>
    </row>
    <row r="1561" spans="1:7" x14ac:dyDescent="0.25">
      <c r="A1561" s="4" t="s">
        <v>389</v>
      </c>
      <c r="B1561" s="4" t="s">
        <v>394</v>
      </c>
      <c r="C1561" s="4" t="s">
        <v>411</v>
      </c>
      <c r="D1561" s="4" t="s">
        <v>696</v>
      </c>
      <c r="E1561" s="4" t="s">
        <v>2352</v>
      </c>
      <c r="F1561" s="4" t="s">
        <v>361</v>
      </c>
      <c r="G1561" s="4" t="s">
        <v>864</v>
      </c>
    </row>
    <row r="1562" spans="1:7" x14ac:dyDescent="0.25">
      <c r="A1562" s="4" t="s">
        <v>389</v>
      </c>
      <c r="B1562" s="4" t="s">
        <v>394</v>
      </c>
      <c r="C1562" s="4" t="s">
        <v>411</v>
      </c>
      <c r="D1562" s="4" t="s">
        <v>696</v>
      </c>
      <c r="E1562" s="4" t="s">
        <v>2353</v>
      </c>
      <c r="F1562" s="4" t="s">
        <v>361</v>
      </c>
      <c r="G1562" s="4" t="s">
        <v>864</v>
      </c>
    </row>
    <row r="1563" spans="1:7" x14ac:dyDescent="0.25">
      <c r="A1563" s="4" t="s">
        <v>389</v>
      </c>
      <c r="B1563" s="4" t="s">
        <v>394</v>
      </c>
      <c r="C1563" s="4" t="s">
        <v>411</v>
      </c>
      <c r="D1563" s="4" t="s">
        <v>696</v>
      </c>
      <c r="E1563" s="4" t="s">
        <v>2354</v>
      </c>
      <c r="F1563" s="4" t="s">
        <v>361</v>
      </c>
      <c r="G1563" s="4" t="s">
        <v>864</v>
      </c>
    </row>
    <row r="1564" spans="1:7" x14ac:dyDescent="0.25">
      <c r="A1564" s="4" t="s">
        <v>389</v>
      </c>
      <c r="B1564" s="4" t="s">
        <v>394</v>
      </c>
      <c r="C1564" s="4" t="s">
        <v>411</v>
      </c>
      <c r="D1564" s="4" t="s">
        <v>696</v>
      </c>
      <c r="E1564" s="4" t="s">
        <v>2355</v>
      </c>
      <c r="F1564" s="4" t="s">
        <v>361</v>
      </c>
      <c r="G1564" s="4" t="s">
        <v>864</v>
      </c>
    </row>
    <row r="1565" spans="1:7" x14ac:dyDescent="0.25">
      <c r="A1565" s="4" t="s">
        <v>389</v>
      </c>
      <c r="B1565" s="4" t="s">
        <v>394</v>
      </c>
      <c r="C1565" s="4" t="s">
        <v>411</v>
      </c>
      <c r="D1565" s="4" t="s">
        <v>696</v>
      </c>
      <c r="E1565" s="4" t="s">
        <v>2356</v>
      </c>
      <c r="F1565" s="4" t="s">
        <v>641</v>
      </c>
      <c r="G1565" s="4" t="s">
        <v>865</v>
      </c>
    </row>
    <row r="1566" spans="1:7" x14ac:dyDescent="0.25">
      <c r="A1566" s="4" t="s">
        <v>389</v>
      </c>
      <c r="B1566" s="4" t="s">
        <v>394</v>
      </c>
      <c r="C1566" s="4" t="s">
        <v>411</v>
      </c>
      <c r="D1566" s="4" t="s">
        <v>696</v>
      </c>
      <c r="E1566" s="4" t="s">
        <v>2357</v>
      </c>
      <c r="F1566" s="4" t="s">
        <v>641</v>
      </c>
      <c r="G1566" s="4" t="s">
        <v>865</v>
      </c>
    </row>
    <row r="1567" spans="1:7" x14ac:dyDescent="0.25">
      <c r="A1567" s="4" t="s">
        <v>389</v>
      </c>
      <c r="B1567" s="4" t="s">
        <v>394</v>
      </c>
      <c r="C1567" s="4" t="s">
        <v>411</v>
      </c>
      <c r="D1567" s="4" t="s">
        <v>696</v>
      </c>
      <c r="E1567" s="4" t="s">
        <v>2358</v>
      </c>
      <c r="F1567" s="4" t="s">
        <v>641</v>
      </c>
      <c r="G1567" s="4" t="s">
        <v>865</v>
      </c>
    </row>
    <row r="1568" spans="1:7" x14ac:dyDescent="0.25">
      <c r="A1568" s="4" t="s">
        <v>389</v>
      </c>
      <c r="B1568" s="4" t="s">
        <v>394</v>
      </c>
      <c r="C1568" s="4" t="s">
        <v>411</v>
      </c>
      <c r="D1568" s="4" t="s">
        <v>696</v>
      </c>
      <c r="E1568" s="4" t="s">
        <v>2359</v>
      </c>
      <c r="F1568" s="4" t="s">
        <v>641</v>
      </c>
      <c r="G1568" s="4" t="s">
        <v>865</v>
      </c>
    </row>
    <row r="1569" spans="1:7" x14ac:dyDescent="0.25">
      <c r="A1569" s="4" t="s">
        <v>389</v>
      </c>
      <c r="B1569" s="4" t="s">
        <v>394</v>
      </c>
      <c r="C1569" s="4" t="s">
        <v>411</v>
      </c>
      <c r="D1569" s="4" t="s">
        <v>696</v>
      </c>
      <c r="E1569" s="4" t="s">
        <v>2360</v>
      </c>
      <c r="F1569" s="4" t="s">
        <v>641</v>
      </c>
      <c r="G1569" s="4" t="s">
        <v>865</v>
      </c>
    </row>
    <row r="1570" spans="1:7" x14ac:dyDescent="0.25">
      <c r="A1570" s="4" t="s">
        <v>389</v>
      </c>
      <c r="B1570" s="4" t="s">
        <v>394</v>
      </c>
      <c r="C1570" s="4" t="s">
        <v>411</v>
      </c>
      <c r="D1570" s="4" t="s">
        <v>696</v>
      </c>
      <c r="E1570" s="4" t="s">
        <v>2361</v>
      </c>
      <c r="F1570" s="4" t="s">
        <v>641</v>
      </c>
      <c r="G1570" s="4" t="s">
        <v>865</v>
      </c>
    </row>
    <row r="1571" spans="1:7" x14ac:dyDescent="0.25">
      <c r="A1571" s="4" t="s">
        <v>389</v>
      </c>
      <c r="B1571" s="4" t="s">
        <v>394</v>
      </c>
      <c r="C1571" s="4" t="s">
        <v>411</v>
      </c>
      <c r="D1571" s="4" t="s">
        <v>696</v>
      </c>
      <c r="E1571" s="4" t="s">
        <v>2362</v>
      </c>
      <c r="F1571" s="4" t="s">
        <v>641</v>
      </c>
      <c r="G1571" s="4" t="s">
        <v>865</v>
      </c>
    </row>
    <row r="1572" spans="1:7" x14ac:dyDescent="0.25">
      <c r="A1572" s="4" t="s">
        <v>389</v>
      </c>
      <c r="B1572" s="4" t="s">
        <v>394</v>
      </c>
      <c r="C1572" s="4" t="s">
        <v>411</v>
      </c>
      <c r="D1572" s="4" t="s">
        <v>696</v>
      </c>
      <c r="E1572" s="4" t="s">
        <v>2363</v>
      </c>
      <c r="F1572" s="4" t="s">
        <v>641</v>
      </c>
      <c r="G1572" s="4" t="s">
        <v>865</v>
      </c>
    </row>
    <row r="1573" spans="1:7" x14ac:dyDescent="0.25">
      <c r="A1573" s="4" t="s">
        <v>389</v>
      </c>
      <c r="B1573" s="4" t="s">
        <v>394</v>
      </c>
      <c r="C1573" s="4" t="s">
        <v>411</v>
      </c>
      <c r="D1573" s="4" t="s">
        <v>696</v>
      </c>
      <c r="E1573" s="4" t="s">
        <v>2364</v>
      </c>
      <c r="F1573" s="4" t="s">
        <v>641</v>
      </c>
      <c r="G1573" s="4" t="s">
        <v>865</v>
      </c>
    </row>
    <row r="1574" spans="1:7" x14ac:dyDescent="0.25">
      <c r="A1574" s="4" t="s">
        <v>389</v>
      </c>
      <c r="B1574" s="4" t="s">
        <v>387</v>
      </c>
      <c r="C1574" s="4" t="s">
        <v>411</v>
      </c>
      <c r="D1574" s="4" t="s">
        <v>697</v>
      </c>
      <c r="E1574" s="4" t="s">
        <v>2365</v>
      </c>
      <c r="F1574" s="4" t="s">
        <v>361</v>
      </c>
      <c r="G1574" s="4" t="s">
        <v>390</v>
      </c>
    </row>
    <row r="1575" spans="1:7" x14ac:dyDescent="0.25">
      <c r="A1575" s="4" t="s">
        <v>389</v>
      </c>
      <c r="B1575" s="4" t="s">
        <v>387</v>
      </c>
      <c r="C1575" s="4" t="s">
        <v>411</v>
      </c>
      <c r="D1575" s="4" t="s">
        <v>697</v>
      </c>
      <c r="E1575" s="4" t="s">
        <v>2366</v>
      </c>
      <c r="F1575" s="4" t="s">
        <v>361</v>
      </c>
      <c r="G1575" s="4" t="s">
        <v>390</v>
      </c>
    </row>
    <row r="1576" spans="1:7" x14ac:dyDescent="0.25">
      <c r="A1576" s="4" t="s">
        <v>389</v>
      </c>
      <c r="B1576" s="4" t="s">
        <v>387</v>
      </c>
      <c r="C1576" s="4" t="s">
        <v>411</v>
      </c>
      <c r="D1576" s="4" t="s">
        <v>697</v>
      </c>
      <c r="E1576" s="4" t="s">
        <v>2367</v>
      </c>
      <c r="F1576" s="4" t="s">
        <v>361</v>
      </c>
      <c r="G1576" s="4" t="s">
        <v>390</v>
      </c>
    </row>
    <row r="1577" spans="1:7" x14ac:dyDescent="0.25">
      <c r="A1577" s="4" t="s">
        <v>389</v>
      </c>
      <c r="B1577" s="4" t="s">
        <v>387</v>
      </c>
      <c r="C1577" s="4" t="s">
        <v>411</v>
      </c>
      <c r="D1577" s="4" t="s">
        <v>697</v>
      </c>
      <c r="E1577" s="4" t="s">
        <v>2368</v>
      </c>
      <c r="F1577" s="4" t="s">
        <v>361</v>
      </c>
      <c r="G1577" s="4" t="s">
        <v>390</v>
      </c>
    </row>
    <row r="1578" spans="1:7" x14ac:dyDescent="0.25">
      <c r="A1578" s="4" t="s">
        <v>389</v>
      </c>
      <c r="B1578" s="4" t="s">
        <v>387</v>
      </c>
      <c r="C1578" s="4" t="s">
        <v>411</v>
      </c>
      <c r="D1578" s="4" t="s">
        <v>697</v>
      </c>
      <c r="E1578" s="4" t="s">
        <v>2369</v>
      </c>
      <c r="F1578" s="4" t="s">
        <v>361</v>
      </c>
      <c r="G1578" s="4" t="s">
        <v>390</v>
      </c>
    </row>
    <row r="1579" spans="1:7" x14ac:dyDescent="0.25">
      <c r="A1579" s="4" t="s">
        <v>389</v>
      </c>
      <c r="B1579" s="4" t="s">
        <v>387</v>
      </c>
      <c r="C1579" s="4" t="s">
        <v>411</v>
      </c>
      <c r="D1579" s="4" t="s">
        <v>697</v>
      </c>
      <c r="E1579" s="4" t="s">
        <v>2370</v>
      </c>
      <c r="F1579" s="4" t="s">
        <v>361</v>
      </c>
      <c r="G1579" s="4" t="s">
        <v>390</v>
      </c>
    </row>
    <row r="1580" spans="1:7" x14ac:dyDescent="0.25">
      <c r="A1580" s="4" t="s">
        <v>389</v>
      </c>
      <c r="B1580" s="4" t="s">
        <v>387</v>
      </c>
      <c r="C1580" s="4" t="s">
        <v>411</v>
      </c>
      <c r="D1580" s="4" t="s">
        <v>697</v>
      </c>
      <c r="E1580" s="4" t="s">
        <v>2371</v>
      </c>
      <c r="F1580" s="4" t="s">
        <v>361</v>
      </c>
      <c r="G1580" s="4" t="s">
        <v>390</v>
      </c>
    </row>
    <row r="1581" spans="1:7" x14ac:dyDescent="0.25">
      <c r="A1581" s="4" t="s">
        <v>389</v>
      </c>
      <c r="B1581" s="4" t="s">
        <v>387</v>
      </c>
      <c r="C1581" s="4" t="s">
        <v>411</v>
      </c>
      <c r="D1581" s="4" t="s">
        <v>697</v>
      </c>
      <c r="E1581" s="4" t="s">
        <v>2372</v>
      </c>
      <c r="F1581" s="4" t="s">
        <v>361</v>
      </c>
      <c r="G1581" s="4" t="s">
        <v>390</v>
      </c>
    </row>
    <row r="1582" spans="1:7" x14ac:dyDescent="0.25">
      <c r="A1582" s="4" t="s">
        <v>389</v>
      </c>
      <c r="B1582" s="4" t="s">
        <v>387</v>
      </c>
      <c r="C1582" s="4" t="s">
        <v>411</v>
      </c>
      <c r="D1582" s="4" t="s">
        <v>697</v>
      </c>
      <c r="E1582" s="4" t="s">
        <v>2373</v>
      </c>
      <c r="F1582" s="4" t="s">
        <v>361</v>
      </c>
      <c r="G1582" s="4" t="s">
        <v>390</v>
      </c>
    </row>
    <row r="1583" spans="1:7" x14ac:dyDescent="0.25">
      <c r="A1583" s="4" t="s">
        <v>389</v>
      </c>
      <c r="B1583" s="4" t="s">
        <v>387</v>
      </c>
      <c r="C1583" s="4" t="s">
        <v>411</v>
      </c>
      <c r="D1583" s="4" t="s">
        <v>697</v>
      </c>
      <c r="E1583" s="54" t="s">
        <v>2374</v>
      </c>
      <c r="F1583" s="4" t="s">
        <v>136</v>
      </c>
      <c r="G1583" s="4" t="s">
        <v>864</v>
      </c>
    </row>
    <row r="1584" spans="1:7" x14ac:dyDescent="0.25">
      <c r="A1584" s="4" t="s">
        <v>389</v>
      </c>
      <c r="B1584" s="4" t="s">
        <v>387</v>
      </c>
      <c r="C1584" s="4" t="s">
        <v>411</v>
      </c>
      <c r="D1584" s="4" t="s">
        <v>697</v>
      </c>
      <c r="E1584" s="54" t="s">
        <v>2375</v>
      </c>
      <c r="F1584" s="4" t="s">
        <v>136</v>
      </c>
      <c r="G1584" s="4" t="s">
        <v>864</v>
      </c>
    </row>
    <row r="1585" spans="1:7" x14ac:dyDescent="0.25">
      <c r="A1585" s="4" t="s">
        <v>389</v>
      </c>
      <c r="B1585" s="4" t="s">
        <v>387</v>
      </c>
      <c r="C1585" s="4" t="s">
        <v>411</v>
      </c>
      <c r="D1585" s="4" t="s">
        <v>697</v>
      </c>
      <c r="E1585" s="54" t="s">
        <v>2376</v>
      </c>
      <c r="F1585" s="4" t="s">
        <v>136</v>
      </c>
      <c r="G1585" s="4" t="s">
        <v>864</v>
      </c>
    </row>
    <row r="1586" spans="1:7" x14ac:dyDescent="0.25">
      <c r="A1586" s="4" t="s">
        <v>389</v>
      </c>
      <c r="B1586" s="4" t="s">
        <v>387</v>
      </c>
      <c r="C1586" s="4" t="s">
        <v>411</v>
      </c>
      <c r="D1586" s="4" t="s">
        <v>697</v>
      </c>
      <c r="E1586" s="54" t="s">
        <v>2377</v>
      </c>
      <c r="F1586" s="4" t="s">
        <v>136</v>
      </c>
      <c r="G1586" s="4" t="s">
        <v>864</v>
      </c>
    </row>
    <row r="1587" spans="1:7" x14ac:dyDescent="0.25">
      <c r="A1587" s="4" t="s">
        <v>389</v>
      </c>
      <c r="B1587" s="4" t="s">
        <v>387</v>
      </c>
      <c r="C1587" s="4" t="s">
        <v>411</v>
      </c>
      <c r="D1587" s="4" t="s">
        <v>697</v>
      </c>
      <c r="E1587" s="54" t="s">
        <v>2378</v>
      </c>
      <c r="F1587" s="4" t="s">
        <v>136</v>
      </c>
      <c r="G1587" s="4" t="s">
        <v>864</v>
      </c>
    </row>
    <row r="1588" spans="1:7" x14ac:dyDescent="0.25">
      <c r="A1588" s="4" t="s">
        <v>389</v>
      </c>
      <c r="B1588" s="4" t="s">
        <v>387</v>
      </c>
      <c r="C1588" s="4" t="s">
        <v>411</v>
      </c>
      <c r="D1588" s="4" t="s">
        <v>697</v>
      </c>
      <c r="E1588" s="54" t="s">
        <v>2379</v>
      </c>
      <c r="F1588" s="4" t="s">
        <v>136</v>
      </c>
      <c r="G1588" s="4" t="s">
        <v>864</v>
      </c>
    </row>
    <row r="1589" spans="1:7" x14ac:dyDescent="0.25">
      <c r="A1589" s="4" t="s">
        <v>389</v>
      </c>
      <c r="B1589" s="4" t="s">
        <v>387</v>
      </c>
      <c r="C1589" s="4" t="s">
        <v>411</v>
      </c>
      <c r="D1589" s="4" t="s">
        <v>697</v>
      </c>
      <c r="E1589" s="54" t="s">
        <v>2380</v>
      </c>
      <c r="F1589" s="4" t="s">
        <v>136</v>
      </c>
      <c r="G1589" s="4" t="s">
        <v>864</v>
      </c>
    </row>
    <row r="1590" spans="1:7" x14ac:dyDescent="0.25">
      <c r="A1590" s="4" t="s">
        <v>389</v>
      </c>
      <c r="B1590" s="4" t="s">
        <v>387</v>
      </c>
      <c r="C1590" s="4" t="s">
        <v>411</v>
      </c>
      <c r="D1590" s="4" t="s">
        <v>697</v>
      </c>
      <c r="E1590" s="54" t="s">
        <v>2381</v>
      </c>
      <c r="F1590" s="4" t="s">
        <v>136</v>
      </c>
      <c r="G1590" s="4" t="s">
        <v>864</v>
      </c>
    </row>
    <row r="1591" spans="1:7" x14ac:dyDescent="0.25">
      <c r="A1591" s="4" t="s">
        <v>389</v>
      </c>
      <c r="B1591" s="4" t="s">
        <v>387</v>
      </c>
      <c r="C1591" s="4" t="s">
        <v>411</v>
      </c>
      <c r="D1591" s="4" t="s">
        <v>697</v>
      </c>
      <c r="E1591" s="54" t="s">
        <v>2382</v>
      </c>
      <c r="F1591" s="4" t="s">
        <v>136</v>
      </c>
      <c r="G1591" s="4" t="s">
        <v>864</v>
      </c>
    </row>
    <row r="1592" spans="1:7" x14ac:dyDescent="0.25">
      <c r="A1592" s="4" t="s">
        <v>389</v>
      </c>
      <c r="B1592" s="4" t="s">
        <v>387</v>
      </c>
      <c r="C1592" s="4" t="s">
        <v>411</v>
      </c>
      <c r="D1592" s="4" t="s">
        <v>697</v>
      </c>
      <c r="E1592" s="4" t="s">
        <v>2383</v>
      </c>
      <c r="F1592" s="4" t="s">
        <v>250</v>
      </c>
      <c r="G1592" s="4" t="s">
        <v>865</v>
      </c>
    </row>
    <row r="1593" spans="1:7" x14ac:dyDescent="0.25">
      <c r="A1593" s="4" t="s">
        <v>389</v>
      </c>
      <c r="B1593" s="4" t="s">
        <v>387</v>
      </c>
      <c r="C1593" s="4" t="s">
        <v>411</v>
      </c>
      <c r="D1593" s="4" t="s">
        <v>697</v>
      </c>
      <c r="E1593" s="4" t="s">
        <v>2384</v>
      </c>
      <c r="F1593" s="4" t="s">
        <v>250</v>
      </c>
      <c r="G1593" s="4" t="s">
        <v>865</v>
      </c>
    </row>
    <row r="1594" spans="1:7" x14ac:dyDescent="0.25">
      <c r="A1594" s="4" t="s">
        <v>389</v>
      </c>
      <c r="B1594" s="4" t="s">
        <v>387</v>
      </c>
      <c r="C1594" s="4" t="s">
        <v>411</v>
      </c>
      <c r="D1594" s="4" t="s">
        <v>697</v>
      </c>
      <c r="E1594" s="4" t="s">
        <v>2385</v>
      </c>
      <c r="F1594" s="4" t="s">
        <v>250</v>
      </c>
      <c r="G1594" s="4" t="s">
        <v>865</v>
      </c>
    </row>
    <row r="1595" spans="1:7" x14ac:dyDescent="0.25">
      <c r="A1595" s="4" t="s">
        <v>389</v>
      </c>
      <c r="B1595" s="4" t="s">
        <v>387</v>
      </c>
      <c r="C1595" s="4" t="s">
        <v>411</v>
      </c>
      <c r="D1595" s="4" t="s">
        <v>697</v>
      </c>
      <c r="E1595" s="4" t="s">
        <v>2386</v>
      </c>
      <c r="F1595" s="4" t="s">
        <v>250</v>
      </c>
      <c r="G1595" s="4" t="s">
        <v>865</v>
      </c>
    </row>
    <row r="1596" spans="1:7" x14ac:dyDescent="0.25">
      <c r="A1596" s="4" t="s">
        <v>389</v>
      </c>
      <c r="B1596" s="4" t="s">
        <v>387</v>
      </c>
      <c r="C1596" s="4" t="s">
        <v>411</v>
      </c>
      <c r="D1596" s="4" t="s">
        <v>697</v>
      </c>
      <c r="E1596" s="4" t="s">
        <v>2387</v>
      </c>
      <c r="F1596" s="4" t="s">
        <v>250</v>
      </c>
      <c r="G1596" s="4" t="s">
        <v>865</v>
      </c>
    </row>
    <row r="1597" spans="1:7" x14ac:dyDescent="0.25">
      <c r="A1597" s="4" t="s">
        <v>389</v>
      </c>
      <c r="B1597" s="4" t="s">
        <v>387</v>
      </c>
      <c r="C1597" s="4" t="s">
        <v>411</v>
      </c>
      <c r="D1597" s="4" t="s">
        <v>697</v>
      </c>
      <c r="E1597" s="4" t="s">
        <v>2388</v>
      </c>
      <c r="F1597" s="4" t="s">
        <v>250</v>
      </c>
      <c r="G1597" s="4" t="s">
        <v>865</v>
      </c>
    </row>
    <row r="1598" spans="1:7" x14ac:dyDescent="0.25">
      <c r="A1598" s="4" t="s">
        <v>389</v>
      </c>
      <c r="B1598" s="4" t="s">
        <v>387</v>
      </c>
      <c r="C1598" s="4" t="s">
        <v>411</v>
      </c>
      <c r="D1598" s="4" t="s">
        <v>697</v>
      </c>
      <c r="E1598" s="4" t="s">
        <v>2389</v>
      </c>
      <c r="F1598" s="4" t="s">
        <v>250</v>
      </c>
      <c r="G1598" s="4" t="s">
        <v>865</v>
      </c>
    </row>
    <row r="1599" spans="1:7" x14ac:dyDescent="0.25">
      <c r="A1599" s="4" t="s">
        <v>389</v>
      </c>
      <c r="B1599" s="4" t="s">
        <v>387</v>
      </c>
      <c r="C1599" s="4" t="s">
        <v>411</v>
      </c>
      <c r="D1599" s="4" t="s">
        <v>697</v>
      </c>
      <c r="E1599" s="4" t="s">
        <v>2390</v>
      </c>
      <c r="F1599" s="4" t="s">
        <v>250</v>
      </c>
      <c r="G1599" s="4" t="s">
        <v>865</v>
      </c>
    </row>
    <row r="1600" spans="1:7" x14ac:dyDescent="0.25">
      <c r="A1600" s="4" t="s">
        <v>389</v>
      </c>
      <c r="B1600" s="4" t="s">
        <v>387</v>
      </c>
      <c r="C1600" s="4" t="s">
        <v>411</v>
      </c>
      <c r="D1600" s="4" t="s">
        <v>697</v>
      </c>
      <c r="E1600" s="4" t="s">
        <v>2391</v>
      </c>
      <c r="F1600" s="4" t="s">
        <v>250</v>
      </c>
      <c r="G1600" s="4" t="s">
        <v>865</v>
      </c>
    </row>
    <row r="1601" spans="1:7" x14ac:dyDescent="0.25">
      <c r="A1601" s="4" t="s">
        <v>389</v>
      </c>
      <c r="B1601" s="4" t="s">
        <v>387</v>
      </c>
      <c r="C1601" s="4" t="s">
        <v>473</v>
      </c>
      <c r="D1601" s="4" t="s">
        <v>387</v>
      </c>
      <c r="E1601" s="4" t="s">
        <v>2392</v>
      </c>
      <c r="F1601" s="4" t="s">
        <v>124</v>
      </c>
      <c r="G1601" s="4" t="s">
        <v>390</v>
      </c>
    </row>
    <row r="1602" spans="1:7" x14ac:dyDescent="0.25">
      <c r="A1602" s="4" t="s">
        <v>389</v>
      </c>
      <c r="B1602" s="4" t="s">
        <v>387</v>
      </c>
      <c r="C1602" s="4" t="s">
        <v>473</v>
      </c>
      <c r="D1602" s="4" t="s">
        <v>387</v>
      </c>
      <c r="E1602" s="4" t="s">
        <v>2393</v>
      </c>
      <c r="F1602" s="4" t="s">
        <v>124</v>
      </c>
      <c r="G1602" s="4" t="s">
        <v>390</v>
      </c>
    </row>
    <row r="1603" spans="1:7" x14ac:dyDescent="0.25">
      <c r="A1603" s="4" t="s">
        <v>389</v>
      </c>
      <c r="B1603" s="4" t="s">
        <v>387</v>
      </c>
      <c r="C1603" s="4" t="s">
        <v>473</v>
      </c>
      <c r="D1603" s="4" t="s">
        <v>387</v>
      </c>
      <c r="E1603" s="4" t="s">
        <v>2394</v>
      </c>
      <c r="F1603" s="4" t="s">
        <v>124</v>
      </c>
      <c r="G1603" s="4" t="s">
        <v>390</v>
      </c>
    </row>
    <row r="1604" spans="1:7" x14ac:dyDescent="0.25">
      <c r="A1604" s="4" t="s">
        <v>389</v>
      </c>
      <c r="B1604" s="4" t="s">
        <v>387</v>
      </c>
      <c r="C1604" s="4" t="s">
        <v>473</v>
      </c>
      <c r="D1604" s="4" t="s">
        <v>387</v>
      </c>
      <c r="E1604" s="4" t="s">
        <v>2395</v>
      </c>
      <c r="F1604" s="4" t="s">
        <v>124</v>
      </c>
      <c r="G1604" s="4" t="s">
        <v>390</v>
      </c>
    </row>
    <row r="1605" spans="1:7" x14ac:dyDescent="0.25">
      <c r="A1605" s="4" t="s">
        <v>389</v>
      </c>
      <c r="B1605" s="4" t="s">
        <v>387</v>
      </c>
      <c r="C1605" s="4" t="s">
        <v>473</v>
      </c>
      <c r="D1605" s="4" t="s">
        <v>387</v>
      </c>
      <c r="E1605" s="4" t="s">
        <v>2396</v>
      </c>
      <c r="F1605" s="4" t="s">
        <v>124</v>
      </c>
      <c r="G1605" s="4" t="s">
        <v>390</v>
      </c>
    </row>
    <row r="1606" spans="1:7" x14ac:dyDescent="0.25">
      <c r="A1606" s="4" t="s">
        <v>389</v>
      </c>
      <c r="B1606" s="4" t="s">
        <v>387</v>
      </c>
      <c r="C1606" s="4" t="s">
        <v>473</v>
      </c>
      <c r="D1606" s="4" t="s">
        <v>387</v>
      </c>
      <c r="E1606" s="4" t="s">
        <v>2397</v>
      </c>
      <c r="F1606" s="4" t="s">
        <v>124</v>
      </c>
      <c r="G1606" s="4" t="s">
        <v>390</v>
      </c>
    </row>
    <row r="1607" spans="1:7" x14ac:dyDescent="0.25">
      <c r="A1607" s="4" t="s">
        <v>389</v>
      </c>
      <c r="B1607" s="4" t="s">
        <v>387</v>
      </c>
      <c r="C1607" s="4" t="s">
        <v>473</v>
      </c>
      <c r="D1607" s="4" t="s">
        <v>387</v>
      </c>
      <c r="E1607" s="4" t="s">
        <v>2398</v>
      </c>
      <c r="F1607" s="4" t="s">
        <v>124</v>
      </c>
      <c r="G1607" s="4" t="s">
        <v>390</v>
      </c>
    </row>
    <row r="1608" spans="1:7" x14ac:dyDescent="0.25">
      <c r="A1608" s="4" t="s">
        <v>389</v>
      </c>
      <c r="B1608" s="4" t="s">
        <v>387</v>
      </c>
      <c r="C1608" s="4" t="s">
        <v>473</v>
      </c>
      <c r="D1608" s="4" t="s">
        <v>387</v>
      </c>
      <c r="E1608" s="4" t="s">
        <v>2399</v>
      </c>
      <c r="F1608" s="4" t="s">
        <v>124</v>
      </c>
      <c r="G1608" s="4" t="s">
        <v>390</v>
      </c>
    </row>
    <row r="1609" spans="1:7" x14ac:dyDescent="0.25">
      <c r="A1609" s="4" t="s">
        <v>389</v>
      </c>
      <c r="B1609" s="4" t="s">
        <v>387</v>
      </c>
      <c r="C1609" s="4" t="s">
        <v>473</v>
      </c>
      <c r="D1609" s="4" t="s">
        <v>387</v>
      </c>
      <c r="E1609" s="4" t="s">
        <v>2400</v>
      </c>
      <c r="F1609" s="4" t="s">
        <v>124</v>
      </c>
      <c r="G1609" s="4" t="s">
        <v>390</v>
      </c>
    </row>
    <row r="1610" spans="1:7" x14ac:dyDescent="0.25">
      <c r="A1610" s="4" t="s">
        <v>389</v>
      </c>
      <c r="B1610" s="4" t="s">
        <v>387</v>
      </c>
      <c r="C1610" s="4" t="s">
        <v>473</v>
      </c>
      <c r="D1610" s="4" t="s">
        <v>387</v>
      </c>
      <c r="E1610" s="4" t="s">
        <v>2401</v>
      </c>
      <c r="F1610" s="4" t="s">
        <v>124</v>
      </c>
      <c r="G1610" s="4" t="s">
        <v>390</v>
      </c>
    </row>
    <row r="1611" spans="1:7" x14ac:dyDescent="0.25">
      <c r="A1611" s="4" t="s">
        <v>389</v>
      </c>
      <c r="B1611" s="4" t="s">
        <v>387</v>
      </c>
      <c r="C1611" s="4" t="s">
        <v>473</v>
      </c>
      <c r="D1611" s="4" t="s">
        <v>387</v>
      </c>
      <c r="E1611" s="4" t="s">
        <v>2402</v>
      </c>
      <c r="F1611" s="4" t="s">
        <v>124</v>
      </c>
      <c r="G1611" s="4" t="s">
        <v>390</v>
      </c>
    </row>
    <row r="1612" spans="1:7" x14ac:dyDescent="0.25">
      <c r="A1612" s="4" t="s">
        <v>389</v>
      </c>
      <c r="B1612" s="4" t="s">
        <v>387</v>
      </c>
      <c r="C1612" s="4" t="s">
        <v>473</v>
      </c>
      <c r="D1612" s="4" t="s">
        <v>387</v>
      </c>
      <c r="E1612" s="4" t="s">
        <v>2403</v>
      </c>
      <c r="F1612" s="4" t="s">
        <v>124</v>
      </c>
      <c r="G1612" s="4" t="s">
        <v>390</v>
      </c>
    </row>
    <row r="1613" spans="1:7" x14ac:dyDescent="0.25">
      <c r="A1613" s="4" t="s">
        <v>389</v>
      </c>
      <c r="B1613" s="4" t="s">
        <v>387</v>
      </c>
      <c r="C1613" s="4" t="s">
        <v>473</v>
      </c>
      <c r="D1613" s="4" t="s">
        <v>387</v>
      </c>
      <c r="E1613" s="4" t="s">
        <v>2404</v>
      </c>
      <c r="F1613" s="4" t="s">
        <v>124</v>
      </c>
      <c r="G1613" s="4" t="s">
        <v>390</v>
      </c>
    </row>
    <row r="1614" spans="1:7" x14ac:dyDescent="0.25">
      <c r="A1614" s="4" t="s">
        <v>389</v>
      </c>
      <c r="B1614" s="4" t="s">
        <v>387</v>
      </c>
      <c r="C1614" s="4" t="s">
        <v>473</v>
      </c>
      <c r="D1614" s="4" t="s">
        <v>387</v>
      </c>
      <c r="E1614" s="4" t="s">
        <v>2405</v>
      </c>
      <c r="F1614" s="4" t="s">
        <v>361</v>
      </c>
      <c r="G1614" s="4" t="s">
        <v>864</v>
      </c>
    </row>
    <row r="1615" spans="1:7" x14ac:dyDescent="0.25">
      <c r="A1615" s="4" t="s">
        <v>389</v>
      </c>
      <c r="B1615" s="4" t="s">
        <v>387</v>
      </c>
      <c r="C1615" s="4" t="s">
        <v>473</v>
      </c>
      <c r="D1615" s="4" t="s">
        <v>387</v>
      </c>
      <c r="E1615" s="4" t="s">
        <v>2406</v>
      </c>
      <c r="F1615" s="4" t="s">
        <v>361</v>
      </c>
      <c r="G1615" s="4" t="s">
        <v>864</v>
      </c>
    </row>
    <row r="1616" spans="1:7" x14ac:dyDescent="0.25">
      <c r="A1616" s="4" t="s">
        <v>389</v>
      </c>
      <c r="B1616" s="4" t="s">
        <v>387</v>
      </c>
      <c r="C1616" s="4" t="s">
        <v>473</v>
      </c>
      <c r="D1616" s="4" t="s">
        <v>387</v>
      </c>
      <c r="E1616" s="4" t="s">
        <v>2407</v>
      </c>
      <c r="F1616" s="4" t="s">
        <v>361</v>
      </c>
      <c r="G1616" s="4" t="s">
        <v>864</v>
      </c>
    </row>
    <row r="1617" spans="1:7" x14ac:dyDescent="0.25">
      <c r="A1617" s="4" t="s">
        <v>389</v>
      </c>
      <c r="B1617" s="4" t="s">
        <v>387</v>
      </c>
      <c r="C1617" s="4" t="s">
        <v>473</v>
      </c>
      <c r="D1617" s="4" t="s">
        <v>387</v>
      </c>
      <c r="E1617" s="4" t="s">
        <v>2408</v>
      </c>
      <c r="F1617" s="4" t="s">
        <v>361</v>
      </c>
      <c r="G1617" s="4" t="s">
        <v>864</v>
      </c>
    </row>
    <row r="1618" spans="1:7" x14ac:dyDescent="0.25">
      <c r="A1618" s="4" t="s">
        <v>389</v>
      </c>
      <c r="B1618" s="4" t="s">
        <v>387</v>
      </c>
      <c r="C1618" s="4" t="s">
        <v>473</v>
      </c>
      <c r="D1618" s="4" t="s">
        <v>387</v>
      </c>
      <c r="E1618" s="4" t="s">
        <v>2409</v>
      </c>
      <c r="F1618" s="4" t="s">
        <v>361</v>
      </c>
      <c r="G1618" s="4" t="s">
        <v>864</v>
      </c>
    </row>
    <row r="1619" spans="1:7" x14ac:dyDescent="0.25">
      <c r="A1619" s="4" t="s">
        <v>389</v>
      </c>
      <c r="B1619" s="4" t="s">
        <v>387</v>
      </c>
      <c r="C1619" s="4" t="s">
        <v>473</v>
      </c>
      <c r="D1619" s="4" t="s">
        <v>387</v>
      </c>
      <c r="E1619" s="4" t="s">
        <v>2410</v>
      </c>
      <c r="F1619" s="4" t="s">
        <v>361</v>
      </c>
      <c r="G1619" s="4" t="s">
        <v>864</v>
      </c>
    </row>
    <row r="1620" spans="1:7" x14ac:dyDescent="0.25">
      <c r="A1620" s="4" t="s">
        <v>389</v>
      </c>
      <c r="B1620" s="4" t="s">
        <v>387</v>
      </c>
      <c r="C1620" s="4" t="s">
        <v>473</v>
      </c>
      <c r="D1620" s="4" t="s">
        <v>387</v>
      </c>
      <c r="E1620" s="4" t="s">
        <v>2411</v>
      </c>
      <c r="F1620" s="4" t="s">
        <v>361</v>
      </c>
      <c r="G1620" s="4" t="s">
        <v>864</v>
      </c>
    </row>
    <row r="1621" spans="1:7" x14ac:dyDescent="0.25">
      <c r="A1621" s="4" t="s">
        <v>389</v>
      </c>
      <c r="B1621" s="4" t="s">
        <v>387</v>
      </c>
      <c r="C1621" s="4" t="s">
        <v>473</v>
      </c>
      <c r="D1621" s="4" t="s">
        <v>387</v>
      </c>
      <c r="E1621" s="4" t="s">
        <v>2412</v>
      </c>
      <c r="F1621" s="4" t="s">
        <v>361</v>
      </c>
      <c r="G1621" s="4" t="s">
        <v>864</v>
      </c>
    </row>
    <row r="1622" spans="1:7" x14ac:dyDescent="0.25">
      <c r="A1622" s="4" t="s">
        <v>389</v>
      </c>
      <c r="B1622" s="4" t="s">
        <v>387</v>
      </c>
      <c r="C1622" s="4" t="s">
        <v>473</v>
      </c>
      <c r="D1622" s="4" t="s">
        <v>387</v>
      </c>
      <c r="E1622" s="4" t="s">
        <v>2413</v>
      </c>
      <c r="F1622" s="4" t="s">
        <v>361</v>
      </c>
      <c r="G1622" s="4" t="s">
        <v>864</v>
      </c>
    </row>
    <row r="1623" spans="1:7" x14ac:dyDescent="0.25">
      <c r="A1623" s="4" t="s">
        <v>389</v>
      </c>
      <c r="B1623" s="4" t="s">
        <v>387</v>
      </c>
      <c r="C1623" s="4" t="s">
        <v>473</v>
      </c>
      <c r="D1623" s="4" t="s">
        <v>387</v>
      </c>
      <c r="E1623" s="4" t="s">
        <v>2414</v>
      </c>
      <c r="F1623" s="4" t="s">
        <v>361</v>
      </c>
      <c r="G1623" s="4" t="s">
        <v>864</v>
      </c>
    </row>
    <row r="1624" spans="1:7" x14ac:dyDescent="0.25">
      <c r="A1624" s="4" t="s">
        <v>389</v>
      </c>
      <c r="B1624" s="4" t="s">
        <v>387</v>
      </c>
      <c r="C1624" s="4" t="s">
        <v>473</v>
      </c>
      <c r="D1624" s="4" t="s">
        <v>387</v>
      </c>
      <c r="E1624" s="4" t="s">
        <v>2415</v>
      </c>
      <c r="F1624" s="4" t="s">
        <v>361</v>
      </c>
      <c r="G1624" s="4" t="s">
        <v>864</v>
      </c>
    </row>
    <row r="1625" spans="1:7" x14ac:dyDescent="0.25">
      <c r="A1625" s="4" t="s">
        <v>389</v>
      </c>
      <c r="B1625" s="4" t="s">
        <v>387</v>
      </c>
      <c r="C1625" s="4" t="s">
        <v>473</v>
      </c>
      <c r="D1625" s="4" t="s">
        <v>387</v>
      </c>
      <c r="E1625" s="4" t="s">
        <v>2416</v>
      </c>
      <c r="F1625" s="4" t="s">
        <v>361</v>
      </c>
      <c r="G1625" s="4" t="s">
        <v>864</v>
      </c>
    </row>
    <row r="1626" spans="1:7" x14ac:dyDescent="0.25">
      <c r="A1626" s="4" t="s">
        <v>389</v>
      </c>
      <c r="B1626" s="4" t="s">
        <v>387</v>
      </c>
      <c r="C1626" s="4" t="s">
        <v>473</v>
      </c>
      <c r="D1626" s="4" t="s">
        <v>387</v>
      </c>
      <c r="E1626" s="4" t="s">
        <v>2417</v>
      </c>
      <c r="F1626" s="4" t="s">
        <v>319</v>
      </c>
      <c r="G1626" s="4" t="s">
        <v>865</v>
      </c>
    </row>
    <row r="1627" spans="1:7" x14ac:dyDescent="0.25">
      <c r="A1627" s="4" t="s">
        <v>389</v>
      </c>
      <c r="B1627" s="4" t="s">
        <v>387</v>
      </c>
      <c r="C1627" s="4" t="s">
        <v>473</v>
      </c>
      <c r="D1627" s="4" t="s">
        <v>387</v>
      </c>
      <c r="E1627" s="4" t="s">
        <v>2418</v>
      </c>
      <c r="F1627" s="4" t="s">
        <v>319</v>
      </c>
      <c r="G1627" s="4" t="s">
        <v>865</v>
      </c>
    </row>
    <row r="1628" spans="1:7" x14ac:dyDescent="0.25">
      <c r="A1628" s="4" t="s">
        <v>389</v>
      </c>
      <c r="B1628" s="4" t="s">
        <v>387</v>
      </c>
      <c r="C1628" s="4" t="s">
        <v>473</v>
      </c>
      <c r="D1628" s="4" t="s">
        <v>387</v>
      </c>
      <c r="E1628" s="4" t="s">
        <v>2419</v>
      </c>
      <c r="F1628" s="4" t="s">
        <v>319</v>
      </c>
      <c r="G1628" s="4" t="s">
        <v>865</v>
      </c>
    </row>
    <row r="1629" spans="1:7" x14ac:dyDescent="0.25">
      <c r="A1629" s="4" t="s">
        <v>389</v>
      </c>
      <c r="B1629" s="4" t="s">
        <v>387</v>
      </c>
      <c r="C1629" s="4" t="s">
        <v>473</v>
      </c>
      <c r="D1629" s="4" t="s">
        <v>387</v>
      </c>
      <c r="E1629" s="4" t="s">
        <v>2420</v>
      </c>
      <c r="F1629" s="4" t="s">
        <v>319</v>
      </c>
      <c r="G1629" s="4" t="s">
        <v>865</v>
      </c>
    </row>
    <row r="1630" spans="1:7" x14ac:dyDescent="0.25">
      <c r="A1630" s="4" t="s">
        <v>389</v>
      </c>
      <c r="B1630" s="4" t="s">
        <v>387</v>
      </c>
      <c r="C1630" s="4" t="s">
        <v>473</v>
      </c>
      <c r="D1630" s="4" t="s">
        <v>387</v>
      </c>
      <c r="E1630" s="4" t="s">
        <v>2421</v>
      </c>
      <c r="F1630" s="4" t="s">
        <v>319</v>
      </c>
      <c r="G1630" s="4" t="s">
        <v>865</v>
      </c>
    </row>
    <row r="1631" spans="1:7" x14ac:dyDescent="0.25">
      <c r="A1631" s="4" t="s">
        <v>389</v>
      </c>
      <c r="B1631" s="4" t="s">
        <v>387</v>
      </c>
      <c r="C1631" s="4" t="s">
        <v>473</v>
      </c>
      <c r="D1631" s="4" t="s">
        <v>387</v>
      </c>
      <c r="E1631" s="4" t="s">
        <v>2422</v>
      </c>
      <c r="F1631" s="4" t="s">
        <v>319</v>
      </c>
      <c r="G1631" s="4" t="s">
        <v>865</v>
      </c>
    </row>
    <row r="1632" spans="1:7" x14ac:dyDescent="0.25">
      <c r="A1632" s="4" t="s">
        <v>389</v>
      </c>
      <c r="B1632" s="4" t="s">
        <v>387</v>
      </c>
      <c r="C1632" s="4" t="s">
        <v>473</v>
      </c>
      <c r="D1632" s="4" t="s">
        <v>387</v>
      </c>
      <c r="E1632" s="4" t="s">
        <v>2423</v>
      </c>
      <c r="F1632" s="4" t="s">
        <v>319</v>
      </c>
      <c r="G1632" s="4" t="s">
        <v>865</v>
      </c>
    </row>
    <row r="1633" spans="1:7" x14ac:dyDescent="0.25">
      <c r="A1633" s="4" t="s">
        <v>389</v>
      </c>
      <c r="B1633" s="4" t="s">
        <v>387</v>
      </c>
      <c r="C1633" s="4" t="s">
        <v>473</v>
      </c>
      <c r="D1633" s="4" t="s">
        <v>387</v>
      </c>
      <c r="E1633" s="4" t="s">
        <v>2424</v>
      </c>
      <c r="F1633" s="4" t="s">
        <v>319</v>
      </c>
      <c r="G1633" s="4" t="s">
        <v>865</v>
      </c>
    </row>
    <row r="1634" spans="1:7" x14ac:dyDescent="0.25">
      <c r="A1634" s="4" t="s">
        <v>389</v>
      </c>
      <c r="B1634" s="4" t="s">
        <v>387</v>
      </c>
      <c r="C1634" s="4" t="s">
        <v>473</v>
      </c>
      <c r="D1634" s="4" t="s">
        <v>387</v>
      </c>
      <c r="E1634" s="4" t="s">
        <v>2425</v>
      </c>
      <c r="F1634" s="4" t="s">
        <v>319</v>
      </c>
      <c r="G1634" s="4" t="s">
        <v>865</v>
      </c>
    </row>
    <row r="1635" spans="1:7" x14ac:dyDescent="0.25">
      <c r="A1635" s="4" t="s">
        <v>389</v>
      </c>
      <c r="B1635" s="4" t="s">
        <v>387</v>
      </c>
      <c r="C1635" s="4" t="s">
        <v>473</v>
      </c>
      <c r="D1635" s="4" t="s">
        <v>387</v>
      </c>
      <c r="E1635" s="4" t="s">
        <v>2426</v>
      </c>
      <c r="F1635" s="4" t="s">
        <v>319</v>
      </c>
      <c r="G1635" s="4" t="s">
        <v>865</v>
      </c>
    </row>
    <row r="1636" spans="1:7" x14ac:dyDescent="0.25">
      <c r="A1636" s="4" t="s">
        <v>389</v>
      </c>
      <c r="B1636" s="4" t="s">
        <v>387</v>
      </c>
      <c r="C1636" s="4" t="s">
        <v>473</v>
      </c>
      <c r="D1636" s="4" t="s">
        <v>387</v>
      </c>
      <c r="E1636" s="4" t="s">
        <v>2427</v>
      </c>
      <c r="F1636" s="4" t="s">
        <v>319</v>
      </c>
      <c r="G1636" s="4" t="s">
        <v>865</v>
      </c>
    </row>
    <row r="1637" spans="1:7" x14ac:dyDescent="0.25">
      <c r="A1637" s="4" t="s">
        <v>389</v>
      </c>
      <c r="B1637" s="4" t="s">
        <v>387</v>
      </c>
      <c r="C1637" s="4" t="s">
        <v>473</v>
      </c>
      <c r="D1637" s="4" t="s">
        <v>387</v>
      </c>
      <c r="E1637" s="4" t="s">
        <v>2428</v>
      </c>
      <c r="F1637" s="4" t="s">
        <v>319</v>
      </c>
      <c r="G1637" s="4" t="s">
        <v>865</v>
      </c>
    </row>
    <row r="1638" spans="1:7" x14ac:dyDescent="0.25">
      <c r="A1638" s="4" t="s">
        <v>389</v>
      </c>
      <c r="B1638" s="4" t="s">
        <v>387</v>
      </c>
      <c r="C1638" s="4" t="s">
        <v>473</v>
      </c>
      <c r="D1638" s="4" t="s">
        <v>387</v>
      </c>
      <c r="E1638" s="4" t="s">
        <v>2429</v>
      </c>
      <c r="F1638" s="4" t="s">
        <v>319</v>
      </c>
      <c r="G1638" s="4" t="s">
        <v>865</v>
      </c>
    </row>
    <row r="1639" spans="1:7" x14ac:dyDescent="0.25">
      <c r="A1639" s="4" t="s">
        <v>389</v>
      </c>
      <c r="B1639" s="4" t="s">
        <v>394</v>
      </c>
      <c r="C1639" s="4" t="s">
        <v>473</v>
      </c>
      <c r="D1639" s="4" t="s">
        <v>394</v>
      </c>
      <c r="E1639" s="4" t="s">
        <v>2430</v>
      </c>
      <c r="F1639" s="4" t="s">
        <v>21</v>
      </c>
      <c r="G1639" s="4" t="s">
        <v>390</v>
      </c>
    </row>
    <row r="1640" spans="1:7" x14ac:dyDescent="0.25">
      <c r="A1640" s="4" t="s">
        <v>389</v>
      </c>
      <c r="B1640" s="4" t="s">
        <v>394</v>
      </c>
      <c r="C1640" s="4" t="s">
        <v>473</v>
      </c>
      <c r="D1640" s="4" t="s">
        <v>394</v>
      </c>
      <c r="E1640" s="4" t="s">
        <v>2431</v>
      </c>
      <c r="F1640" s="4" t="s">
        <v>21</v>
      </c>
      <c r="G1640" s="4" t="s">
        <v>390</v>
      </c>
    </row>
    <row r="1641" spans="1:7" x14ac:dyDescent="0.25">
      <c r="A1641" s="4" t="s">
        <v>389</v>
      </c>
      <c r="B1641" s="4" t="s">
        <v>394</v>
      </c>
      <c r="C1641" s="4" t="s">
        <v>473</v>
      </c>
      <c r="D1641" s="4" t="s">
        <v>394</v>
      </c>
      <c r="E1641" s="4" t="s">
        <v>2432</v>
      </c>
      <c r="F1641" s="4" t="s">
        <v>21</v>
      </c>
      <c r="G1641" s="4" t="s">
        <v>390</v>
      </c>
    </row>
    <row r="1642" spans="1:7" x14ac:dyDescent="0.25">
      <c r="A1642" s="4" t="s">
        <v>389</v>
      </c>
      <c r="B1642" s="4" t="s">
        <v>394</v>
      </c>
      <c r="C1642" s="4" t="s">
        <v>473</v>
      </c>
      <c r="D1642" s="4" t="s">
        <v>394</v>
      </c>
      <c r="E1642" s="4" t="s">
        <v>2433</v>
      </c>
      <c r="F1642" s="4" t="s">
        <v>21</v>
      </c>
      <c r="G1642" s="4" t="s">
        <v>390</v>
      </c>
    </row>
    <row r="1643" spans="1:7" x14ac:dyDescent="0.25">
      <c r="A1643" s="4" t="s">
        <v>389</v>
      </c>
      <c r="B1643" s="4" t="s">
        <v>394</v>
      </c>
      <c r="C1643" s="4" t="s">
        <v>473</v>
      </c>
      <c r="D1643" s="4" t="s">
        <v>394</v>
      </c>
      <c r="E1643" s="4" t="s">
        <v>2434</v>
      </c>
      <c r="F1643" s="4" t="s">
        <v>21</v>
      </c>
      <c r="G1643" s="4" t="s">
        <v>390</v>
      </c>
    </row>
    <row r="1644" spans="1:7" x14ac:dyDescent="0.25">
      <c r="A1644" s="4" t="s">
        <v>389</v>
      </c>
      <c r="B1644" s="4" t="s">
        <v>394</v>
      </c>
      <c r="C1644" s="4" t="s">
        <v>473</v>
      </c>
      <c r="D1644" s="4" t="s">
        <v>394</v>
      </c>
      <c r="E1644" s="4" t="s">
        <v>2435</v>
      </c>
      <c r="F1644" s="4" t="s">
        <v>21</v>
      </c>
      <c r="G1644" s="4" t="s">
        <v>390</v>
      </c>
    </row>
    <row r="1645" spans="1:7" x14ac:dyDescent="0.25">
      <c r="A1645" s="4" t="s">
        <v>389</v>
      </c>
      <c r="B1645" s="4" t="s">
        <v>394</v>
      </c>
      <c r="C1645" s="4" t="s">
        <v>473</v>
      </c>
      <c r="D1645" s="4" t="s">
        <v>394</v>
      </c>
      <c r="E1645" s="4" t="s">
        <v>2436</v>
      </c>
      <c r="F1645" s="4" t="s">
        <v>21</v>
      </c>
      <c r="G1645" s="4" t="s">
        <v>390</v>
      </c>
    </row>
    <row r="1646" spans="1:7" x14ac:dyDescent="0.25">
      <c r="A1646" s="4" t="s">
        <v>389</v>
      </c>
      <c r="B1646" s="4" t="s">
        <v>394</v>
      </c>
      <c r="C1646" s="4" t="s">
        <v>473</v>
      </c>
      <c r="D1646" s="4" t="s">
        <v>394</v>
      </c>
      <c r="E1646" s="4" t="s">
        <v>2437</v>
      </c>
      <c r="F1646" s="4" t="s">
        <v>21</v>
      </c>
      <c r="G1646" s="4" t="s">
        <v>390</v>
      </c>
    </row>
    <row r="1647" spans="1:7" x14ac:dyDescent="0.25">
      <c r="A1647" s="4" t="s">
        <v>389</v>
      </c>
      <c r="B1647" s="4" t="s">
        <v>394</v>
      </c>
      <c r="C1647" s="4" t="s">
        <v>473</v>
      </c>
      <c r="D1647" s="4" t="s">
        <v>394</v>
      </c>
      <c r="E1647" s="4" t="s">
        <v>2438</v>
      </c>
      <c r="F1647" s="4" t="s">
        <v>21</v>
      </c>
      <c r="G1647" s="4" t="s">
        <v>390</v>
      </c>
    </row>
    <row r="1648" spans="1:7" x14ac:dyDescent="0.25">
      <c r="A1648" s="4" t="s">
        <v>389</v>
      </c>
      <c r="B1648" s="4" t="s">
        <v>394</v>
      </c>
      <c r="C1648" s="4" t="s">
        <v>473</v>
      </c>
      <c r="D1648" s="4" t="s">
        <v>394</v>
      </c>
      <c r="E1648" s="4" t="s">
        <v>2439</v>
      </c>
      <c r="F1648" s="4" t="s">
        <v>21</v>
      </c>
      <c r="G1648" s="4" t="s">
        <v>390</v>
      </c>
    </row>
    <row r="1649" spans="1:7" x14ac:dyDescent="0.25">
      <c r="A1649" s="4" t="s">
        <v>389</v>
      </c>
      <c r="B1649" s="4" t="s">
        <v>394</v>
      </c>
      <c r="C1649" s="4" t="s">
        <v>473</v>
      </c>
      <c r="D1649" s="4" t="s">
        <v>394</v>
      </c>
      <c r="E1649" s="4" t="s">
        <v>2440</v>
      </c>
      <c r="F1649" s="4" t="s">
        <v>21</v>
      </c>
      <c r="G1649" s="4" t="s">
        <v>390</v>
      </c>
    </row>
    <row r="1650" spans="1:7" x14ac:dyDescent="0.25">
      <c r="A1650" s="4" t="s">
        <v>389</v>
      </c>
      <c r="B1650" s="4" t="s">
        <v>394</v>
      </c>
      <c r="C1650" s="4" t="s">
        <v>473</v>
      </c>
      <c r="D1650" s="4" t="s">
        <v>394</v>
      </c>
      <c r="E1650" s="4" t="s">
        <v>2441</v>
      </c>
      <c r="F1650" s="4" t="s">
        <v>21</v>
      </c>
      <c r="G1650" s="4" t="s">
        <v>390</v>
      </c>
    </row>
    <row r="1651" spans="1:7" x14ac:dyDescent="0.25">
      <c r="A1651" s="4" t="s">
        <v>389</v>
      </c>
      <c r="B1651" s="4" t="s">
        <v>394</v>
      </c>
      <c r="C1651" s="4" t="s">
        <v>473</v>
      </c>
      <c r="D1651" s="4" t="s">
        <v>394</v>
      </c>
      <c r="E1651" s="4" t="s">
        <v>2442</v>
      </c>
      <c r="F1651" s="4" t="s">
        <v>253</v>
      </c>
      <c r="G1651" s="4" t="s">
        <v>864</v>
      </c>
    </row>
    <row r="1652" spans="1:7" x14ac:dyDescent="0.25">
      <c r="A1652" s="4" t="s">
        <v>389</v>
      </c>
      <c r="B1652" s="4" t="s">
        <v>394</v>
      </c>
      <c r="C1652" s="4" t="s">
        <v>473</v>
      </c>
      <c r="D1652" s="4" t="s">
        <v>394</v>
      </c>
      <c r="E1652" s="4" t="s">
        <v>2443</v>
      </c>
      <c r="F1652" s="4" t="s">
        <v>253</v>
      </c>
      <c r="G1652" s="4" t="s">
        <v>864</v>
      </c>
    </row>
    <row r="1653" spans="1:7" x14ac:dyDescent="0.25">
      <c r="A1653" s="4" t="s">
        <v>389</v>
      </c>
      <c r="B1653" s="4" t="s">
        <v>394</v>
      </c>
      <c r="C1653" s="4" t="s">
        <v>473</v>
      </c>
      <c r="D1653" s="4" t="s">
        <v>394</v>
      </c>
      <c r="E1653" s="4" t="s">
        <v>2444</v>
      </c>
      <c r="F1653" s="4" t="s">
        <v>253</v>
      </c>
      <c r="G1653" s="4" t="s">
        <v>864</v>
      </c>
    </row>
    <row r="1654" spans="1:7" x14ac:dyDescent="0.25">
      <c r="A1654" s="4" t="s">
        <v>389</v>
      </c>
      <c r="B1654" s="4" t="s">
        <v>394</v>
      </c>
      <c r="C1654" s="4" t="s">
        <v>473</v>
      </c>
      <c r="D1654" s="4" t="s">
        <v>394</v>
      </c>
      <c r="E1654" s="4" t="s">
        <v>2445</v>
      </c>
      <c r="F1654" s="4" t="s">
        <v>253</v>
      </c>
      <c r="G1654" s="4" t="s">
        <v>864</v>
      </c>
    </row>
    <row r="1655" spans="1:7" x14ac:dyDescent="0.25">
      <c r="A1655" s="4" t="s">
        <v>389</v>
      </c>
      <c r="B1655" s="4" t="s">
        <v>394</v>
      </c>
      <c r="C1655" s="4" t="s">
        <v>473</v>
      </c>
      <c r="D1655" s="4" t="s">
        <v>394</v>
      </c>
      <c r="E1655" s="4" t="s">
        <v>2446</v>
      </c>
      <c r="F1655" s="4" t="s">
        <v>253</v>
      </c>
      <c r="G1655" s="4" t="s">
        <v>864</v>
      </c>
    </row>
    <row r="1656" spans="1:7" x14ac:dyDescent="0.25">
      <c r="A1656" s="4" t="s">
        <v>389</v>
      </c>
      <c r="B1656" s="4" t="s">
        <v>394</v>
      </c>
      <c r="C1656" s="4" t="s">
        <v>473</v>
      </c>
      <c r="D1656" s="4" t="s">
        <v>394</v>
      </c>
      <c r="E1656" s="4" t="s">
        <v>2447</v>
      </c>
      <c r="F1656" s="4" t="s">
        <v>253</v>
      </c>
      <c r="G1656" s="4" t="s">
        <v>864</v>
      </c>
    </row>
    <row r="1657" spans="1:7" x14ac:dyDescent="0.25">
      <c r="A1657" s="4" t="s">
        <v>389</v>
      </c>
      <c r="B1657" s="4" t="s">
        <v>394</v>
      </c>
      <c r="C1657" s="4" t="s">
        <v>473</v>
      </c>
      <c r="D1657" s="4" t="s">
        <v>394</v>
      </c>
      <c r="E1657" s="4" t="s">
        <v>2448</v>
      </c>
      <c r="F1657" s="4" t="s">
        <v>253</v>
      </c>
      <c r="G1657" s="4" t="s">
        <v>864</v>
      </c>
    </row>
    <row r="1658" spans="1:7" x14ac:dyDescent="0.25">
      <c r="A1658" s="4" t="s">
        <v>389</v>
      </c>
      <c r="B1658" s="4" t="s">
        <v>394</v>
      </c>
      <c r="C1658" s="4" t="s">
        <v>473</v>
      </c>
      <c r="D1658" s="4" t="s">
        <v>394</v>
      </c>
      <c r="E1658" s="4" t="s">
        <v>2449</v>
      </c>
      <c r="F1658" s="4" t="s">
        <v>253</v>
      </c>
      <c r="G1658" s="4" t="s">
        <v>864</v>
      </c>
    </row>
    <row r="1659" spans="1:7" x14ac:dyDescent="0.25">
      <c r="A1659" s="4" t="s">
        <v>389</v>
      </c>
      <c r="B1659" s="4" t="s">
        <v>394</v>
      </c>
      <c r="C1659" s="4" t="s">
        <v>473</v>
      </c>
      <c r="D1659" s="4" t="s">
        <v>394</v>
      </c>
      <c r="E1659" s="4" t="s">
        <v>2450</v>
      </c>
      <c r="F1659" s="4" t="s">
        <v>253</v>
      </c>
      <c r="G1659" s="4" t="s">
        <v>864</v>
      </c>
    </row>
    <row r="1660" spans="1:7" x14ac:dyDescent="0.25">
      <c r="A1660" s="4" t="s">
        <v>389</v>
      </c>
      <c r="B1660" s="4" t="s">
        <v>394</v>
      </c>
      <c r="C1660" s="4" t="s">
        <v>473</v>
      </c>
      <c r="D1660" s="4" t="s">
        <v>394</v>
      </c>
      <c r="E1660" s="4" t="s">
        <v>2451</v>
      </c>
      <c r="F1660" s="4" t="s">
        <v>253</v>
      </c>
      <c r="G1660" s="4" t="s">
        <v>864</v>
      </c>
    </row>
    <row r="1661" spans="1:7" x14ac:dyDescent="0.25">
      <c r="A1661" s="4" t="s">
        <v>389</v>
      </c>
      <c r="B1661" s="4" t="s">
        <v>394</v>
      </c>
      <c r="C1661" s="4" t="s">
        <v>473</v>
      </c>
      <c r="D1661" s="4" t="s">
        <v>394</v>
      </c>
      <c r="E1661" s="4" t="s">
        <v>2452</v>
      </c>
      <c r="F1661" s="4" t="s">
        <v>253</v>
      </c>
      <c r="G1661" s="4" t="s">
        <v>864</v>
      </c>
    </row>
    <row r="1662" spans="1:7" x14ac:dyDescent="0.25">
      <c r="A1662" s="4" t="s">
        <v>389</v>
      </c>
      <c r="B1662" s="4" t="s">
        <v>394</v>
      </c>
      <c r="C1662" s="4" t="s">
        <v>473</v>
      </c>
      <c r="D1662" s="4" t="s">
        <v>394</v>
      </c>
      <c r="E1662" s="4" t="s">
        <v>2453</v>
      </c>
      <c r="F1662" s="4" t="s">
        <v>253</v>
      </c>
      <c r="G1662" s="4" t="s">
        <v>864</v>
      </c>
    </row>
    <row r="1663" spans="1:7" x14ac:dyDescent="0.25">
      <c r="A1663" s="4" t="s">
        <v>389</v>
      </c>
      <c r="B1663" s="4" t="s">
        <v>394</v>
      </c>
      <c r="C1663" s="4" t="s">
        <v>473</v>
      </c>
      <c r="D1663" s="4" t="s">
        <v>394</v>
      </c>
      <c r="E1663" s="4" t="s">
        <v>2454</v>
      </c>
      <c r="F1663" s="4" t="s">
        <v>66</v>
      </c>
      <c r="G1663" s="4" t="s">
        <v>865</v>
      </c>
    </row>
    <row r="1664" spans="1:7" x14ac:dyDescent="0.25">
      <c r="A1664" s="4" t="s">
        <v>389</v>
      </c>
      <c r="B1664" s="4" t="s">
        <v>394</v>
      </c>
      <c r="C1664" s="4" t="s">
        <v>473</v>
      </c>
      <c r="D1664" s="4" t="s">
        <v>394</v>
      </c>
      <c r="E1664" s="4" t="s">
        <v>2455</v>
      </c>
      <c r="F1664" s="4" t="s">
        <v>66</v>
      </c>
      <c r="G1664" s="4" t="s">
        <v>865</v>
      </c>
    </row>
    <row r="1665" spans="1:7" x14ac:dyDescent="0.25">
      <c r="A1665" s="4" t="s">
        <v>389</v>
      </c>
      <c r="B1665" s="4" t="s">
        <v>394</v>
      </c>
      <c r="C1665" s="4" t="s">
        <v>473</v>
      </c>
      <c r="D1665" s="4" t="s">
        <v>394</v>
      </c>
      <c r="E1665" s="4" t="s">
        <v>2456</v>
      </c>
      <c r="F1665" s="4" t="s">
        <v>66</v>
      </c>
      <c r="G1665" s="4" t="s">
        <v>865</v>
      </c>
    </row>
    <row r="1666" spans="1:7" x14ac:dyDescent="0.25">
      <c r="A1666" s="4" t="s">
        <v>389</v>
      </c>
      <c r="B1666" s="4" t="s">
        <v>394</v>
      </c>
      <c r="C1666" s="4" t="s">
        <v>473</v>
      </c>
      <c r="D1666" s="4" t="s">
        <v>394</v>
      </c>
      <c r="E1666" s="4" t="s">
        <v>2457</v>
      </c>
      <c r="F1666" s="4" t="s">
        <v>66</v>
      </c>
      <c r="G1666" s="4" t="s">
        <v>865</v>
      </c>
    </row>
    <row r="1667" spans="1:7" x14ac:dyDescent="0.25">
      <c r="A1667" s="4" t="s">
        <v>389</v>
      </c>
      <c r="B1667" s="4" t="s">
        <v>394</v>
      </c>
      <c r="C1667" s="4" t="s">
        <v>473</v>
      </c>
      <c r="D1667" s="4" t="s">
        <v>394</v>
      </c>
      <c r="E1667" s="4" t="s">
        <v>2458</v>
      </c>
      <c r="F1667" s="4" t="s">
        <v>66</v>
      </c>
      <c r="G1667" s="4" t="s">
        <v>865</v>
      </c>
    </row>
    <row r="1668" spans="1:7" x14ac:dyDescent="0.25">
      <c r="A1668" s="4" t="s">
        <v>389</v>
      </c>
      <c r="B1668" s="4" t="s">
        <v>394</v>
      </c>
      <c r="C1668" s="4" t="s">
        <v>473</v>
      </c>
      <c r="D1668" s="4" t="s">
        <v>394</v>
      </c>
      <c r="E1668" s="4" t="s">
        <v>2459</v>
      </c>
      <c r="F1668" s="4" t="s">
        <v>66</v>
      </c>
      <c r="G1668" s="4" t="s">
        <v>865</v>
      </c>
    </row>
    <row r="1669" spans="1:7" x14ac:dyDescent="0.25">
      <c r="A1669" s="4" t="s">
        <v>389</v>
      </c>
      <c r="B1669" s="4" t="s">
        <v>394</v>
      </c>
      <c r="C1669" s="4" t="s">
        <v>473</v>
      </c>
      <c r="D1669" s="4" t="s">
        <v>394</v>
      </c>
      <c r="E1669" s="4" t="s">
        <v>2460</v>
      </c>
      <c r="F1669" s="4" t="s">
        <v>66</v>
      </c>
      <c r="G1669" s="4" t="s">
        <v>865</v>
      </c>
    </row>
    <row r="1670" spans="1:7" x14ac:dyDescent="0.25">
      <c r="A1670" s="4" t="s">
        <v>389</v>
      </c>
      <c r="B1670" s="4" t="s">
        <v>394</v>
      </c>
      <c r="C1670" s="4" t="s">
        <v>473</v>
      </c>
      <c r="D1670" s="4" t="s">
        <v>394</v>
      </c>
      <c r="E1670" s="4" t="s">
        <v>2461</v>
      </c>
      <c r="F1670" s="4" t="s">
        <v>66</v>
      </c>
      <c r="G1670" s="4" t="s">
        <v>865</v>
      </c>
    </row>
    <row r="1671" spans="1:7" x14ac:dyDescent="0.25">
      <c r="A1671" s="4" t="s">
        <v>389</v>
      </c>
      <c r="B1671" s="4" t="s">
        <v>394</v>
      </c>
      <c r="C1671" s="4" t="s">
        <v>473</v>
      </c>
      <c r="D1671" s="4" t="s">
        <v>394</v>
      </c>
      <c r="E1671" s="4" t="s">
        <v>2462</v>
      </c>
      <c r="F1671" s="4" t="s">
        <v>66</v>
      </c>
      <c r="G1671" s="4" t="s">
        <v>865</v>
      </c>
    </row>
    <row r="1672" spans="1:7" x14ac:dyDescent="0.25">
      <c r="A1672" s="4" t="s">
        <v>389</v>
      </c>
      <c r="B1672" s="4" t="s">
        <v>394</v>
      </c>
      <c r="C1672" s="4" t="s">
        <v>473</v>
      </c>
      <c r="D1672" s="4" t="s">
        <v>394</v>
      </c>
      <c r="E1672" s="4" t="s">
        <v>2463</v>
      </c>
      <c r="F1672" s="4" t="s">
        <v>66</v>
      </c>
      <c r="G1672" s="4" t="s">
        <v>865</v>
      </c>
    </row>
    <row r="1673" spans="1:7" x14ac:dyDescent="0.25">
      <c r="A1673" s="4" t="s">
        <v>389</v>
      </c>
      <c r="B1673" s="4" t="s">
        <v>394</v>
      </c>
      <c r="C1673" s="4" t="s">
        <v>473</v>
      </c>
      <c r="D1673" s="4" t="s">
        <v>394</v>
      </c>
      <c r="E1673" s="4" t="s">
        <v>2464</v>
      </c>
      <c r="F1673" s="4" t="s">
        <v>66</v>
      </c>
      <c r="G1673" s="4" t="s">
        <v>865</v>
      </c>
    </row>
    <row r="1674" spans="1:7" x14ac:dyDescent="0.25">
      <c r="A1674" s="4" t="s">
        <v>389</v>
      </c>
      <c r="B1674" s="4" t="s">
        <v>394</v>
      </c>
      <c r="C1674" s="4" t="s">
        <v>473</v>
      </c>
      <c r="D1674" s="4" t="s">
        <v>394</v>
      </c>
      <c r="E1674" s="4" t="s">
        <v>2465</v>
      </c>
      <c r="F1674" s="4" t="s">
        <v>66</v>
      </c>
      <c r="G1674" s="4" t="s">
        <v>865</v>
      </c>
    </row>
    <row r="1675" spans="1:7" x14ac:dyDescent="0.25">
      <c r="A1675" s="4" t="s">
        <v>389</v>
      </c>
      <c r="B1675" s="4" t="s">
        <v>387</v>
      </c>
      <c r="C1675" s="4" t="s">
        <v>412</v>
      </c>
      <c r="D1675" s="4" t="s">
        <v>703</v>
      </c>
      <c r="E1675" s="4" t="s">
        <v>2466</v>
      </c>
      <c r="F1675" s="4" t="s">
        <v>92</v>
      </c>
      <c r="G1675" s="4" t="s">
        <v>390</v>
      </c>
    </row>
    <row r="1676" spans="1:7" x14ac:dyDescent="0.25">
      <c r="A1676" s="4" t="s">
        <v>389</v>
      </c>
      <c r="B1676" s="4" t="s">
        <v>387</v>
      </c>
      <c r="C1676" s="4" t="s">
        <v>412</v>
      </c>
      <c r="D1676" s="4" t="s">
        <v>703</v>
      </c>
      <c r="E1676" s="4" t="s">
        <v>2467</v>
      </c>
      <c r="F1676" s="4" t="s">
        <v>92</v>
      </c>
      <c r="G1676" s="4" t="s">
        <v>390</v>
      </c>
    </row>
    <row r="1677" spans="1:7" x14ac:dyDescent="0.25">
      <c r="A1677" s="4" t="s">
        <v>389</v>
      </c>
      <c r="B1677" s="4" t="s">
        <v>387</v>
      </c>
      <c r="C1677" s="4" t="s">
        <v>412</v>
      </c>
      <c r="D1677" s="4" t="s">
        <v>703</v>
      </c>
      <c r="E1677" s="4" t="s">
        <v>2468</v>
      </c>
      <c r="F1677" s="4" t="s">
        <v>21</v>
      </c>
      <c r="G1677" s="4" t="s">
        <v>864</v>
      </c>
    </row>
    <row r="1678" spans="1:7" x14ac:dyDescent="0.25">
      <c r="A1678" s="4" t="s">
        <v>389</v>
      </c>
      <c r="B1678" s="4" t="s">
        <v>387</v>
      </c>
      <c r="C1678" s="4" t="s">
        <v>412</v>
      </c>
      <c r="D1678" s="4" t="s">
        <v>703</v>
      </c>
      <c r="E1678" s="4" t="s">
        <v>2469</v>
      </c>
      <c r="F1678" s="4" t="s">
        <v>21</v>
      </c>
      <c r="G1678" s="4" t="s">
        <v>864</v>
      </c>
    </row>
    <row r="1679" spans="1:7" x14ac:dyDescent="0.25">
      <c r="A1679" s="4" t="s">
        <v>389</v>
      </c>
      <c r="B1679" s="4" t="s">
        <v>387</v>
      </c>
      <c r="C1679" s="4" t="s">
        <v>412</v>
      </c>
      <c r="D1679" s="4" t="s">
        <v>703</v>
      </c>
      <c r="E1679" s="4" t="s">
        <v>2470</v>
      </c>
      <c r="F1679" s="4" t="s">
        <v>140</v>
      </c>
      <c r="G1679" s="4" t="s">
        <v>865</v>
      </c>
    </row>
    <row r="1680" spans="1:7" x14ac:dyDescent="0.25">
      <c r="A1680" s="4" t="s">
        <v>389</v>
      </c>
      <c r="B1680" s="4" t="s">
        <v>387</v>
      </c>
      <c r="C1680" s="4" t="s">
        <v>412</v>
      </c>
      <c r="D1680" s="4" t="s">
        <v>703</v>
      </c>
      <c r="E1680" s="4" t="s">
        <v>2471</v>
      </c>
      <c r="F1680" s="4" t="s">
        <v>140</v>
      </c>
      <c r="G1680" s="4" t="s">
        <v>865</v>
      </c>
    </row>
    <row r="1681" spans="1:7" x14ac:dyDescent="0.25">
      <c r="A1681" s="4" t="s">
        <v>389</v>
      </c>
      <c r="B1681" s="4" t="s">
        <v>394</v>
      </c>
      <c r="C1681" s="4" t="s">
        <v>412</v>
      </c>
      <c r="D1681" s="4" t="s">
        <v>704</v>
      </c>
      <c r="E1681" s="4" t="s">
        <v>2472</v>
      </c>
      <c r="F1681" s="4" t="s">
        <v>361</v>
      </c>
      <c r="G1681" s="4" t="s">
        <v>390</v>
      </c>
    </row>
    <row r="1682" spans="1:7" x14ac:dyDescent="0.25">
      <c r="A1682" s="4" t="s">
        <v>389</v>
      </c>
      <c r="B1682" s="4" t="s">
        <v>394</v>
      </c>
      <c r="C1682" s="4" t="s">
        <v>412</v>
      </c>
      <c r="D1682" s="4" t="s">
        <v>704</v>
      </c>
      <c r="E1682" s="4" t="s">
        <v>2473</v>
      </c>
      <c r="F1682" s="4" t="s">
        <v>361</v>
      </c>
      <c r="G1682" s="4" t="s">
        <v>390</v>
      </c>
    </row>
    <row r="1683" spans="1:7" x14ac:dyDescent="0.25">
      <c r="A1683" s="4" t="s">
        <v>389</v>
      </c>
      <c r="B1683" s="4" t="s">
        <v>394</v>
      </c>
      <c r="C1683" s="4" t="s">
        <v>412</v>
      </c>
      <c r="D1683" s="4" t="s">
        <v>704</v>
      </c>
      <c r="E1683" s="4" t="s">
        <v>2474</v>
      </c>
      <c r="F1683" s="4" t="s">
        <v>253</v>
      </c>
      <c r="G1683" s="4" t="s">
        <v>864</v>
      </c>
    </row>
    <row r="1684" spans="1:7" x14ac:dyDescent="0.25">
      <c r="A1684" s="4" t="s">
        <v>389</v>
      </c>
      <c r="B1684" s="4" t="s">
        <v>394</v>
      </c>
      <c r="C1684" s="4" t="s">
        <v>412</v>
      </c>
      <c r="D1684" s="4" t="s">
        <v>704</v>
      </c>
      <c r="E1684" s="4" t="s">
        <v>2475</v>
      </c>
      <c r="F1684" s="4" t="s">
        <v>253</v>
      </c>
      <c r="G1684" s="4" t="s">
        <v>864</v>
      </c>
    </row>
    <row r="1685" spans="1:7" x14ac:dyDescent="0.25">
      <c r="A1685" s="4" t="s">
        <v>389</v>
      </c>
      <c r="B1685" s="4" t="s">
        <v>394</v>
      </c>
      <c r="C1685" s="4" t="s">
        <v>412</v>
      </c>
      <c r="D1685" s="4" t="s">
        <v>704</v>
      </c>
      <c r="E1685" s="4" t="s">
        <v>2476</v>
      </c>
      <c r="F1685" s="4" t="s">
        <v>128</v>
      </c>
      <c r="G1685" s="4" t="s">
        <v>865</v>
      </c>
    </row>
    <row r="1686" spans="1:7" x14ac:dyDescent="0.25">
      <c r="A1686" s="4" t="s">
        <v>389</v>
      </c>
      <c r="B1686" s="4" t="s">
        <v>394</v>
      </c>
      <c r="C1686" s="4" t="s">
        <v>412</v>
      </c>
      <c r="D1686" s="4" t="s">
        <v>704</v>
      </c>
      <c r="E1686" s="4" t="s">
        <v>2477</v>
      </c>
      <c r="F1686" s="4" t="s">
        <v>128</v>
      </c>
      <c r="G1686" s="4" t="s">
        <v>865</v>
      </c>
    </row>
    <row r="1687" spans="1:7" x14ac:dyDescent="0.25">
      <c r="A1687" s="4" t="s">
        <v>389</v>
      </c>
      <c r="B1687" s="4" t="s">
        <v>387</v>
      </c>
      <c r="C1687" s="4" t="s">
        <v>412</v>
      </c>
      <c r="D1687" s="4" t="s">
        <v>705</v>
      </c>
      <c r="E1687" s="4" t="s">
        <v>2478</v>
      </c>
      <c r="F1687" s="4" t="s">
        <v>253</v>
      </c>
      <c r="G1687" s="4" t="s">
        <v>390</v>
      </c>
    </row>
    <row r="1688" spans="1:7" x14ac:dyDescent="0.25">
      <c r="A1688" s="4" t="s">
        <v>389</v>
      </c>
      <c r="B1688" s="4" t="s">
        <v>387</v>
      </c>
      <c r="C1688" s="4" t="s">
        <v>412</v>
      </c>
      <c r="D1688" s="4" t="s">
        <v>705</v>
      </c>
      <c r="E1688" s="4" t="s">
        <v>2479</v>
      </c>
      <c r="F1688" s="4" t="s">
        <v>253</v>
      </c>
      <c r="G1688" s="4" t="s">
        <v>390</v>
      </c>
    </row>
    <row r="1689" spans="1:7" x14ac:dyDescent="0.25">
      <c r="A1689" s="4" t="s">
        <v>389</v>
      </c>
      <c r="B1689" s="4" t="s">
        <v>387</v>
      </c>
      <c r="C1689" s="4" t="s">
        <v>412</v>
      </c>
      <c r="D1689" s="4" t="s">
        <v>705</v>
      </c>
      <c r="E1689" s="4" t="s">
        <v>2480</v>
      </c>
      <c r="F1689" s="4" t="s">
        <v>21</v>
      </c>
      <c r="G1689" s="4" t="s">
        <v>864</v>
      </c>
    </row>
    <row r="1690" spans="1:7" x14ac:dyDescent="0.25">
      <c r="A1690" s="4" t="s">
        <v>389</v>
      </c>
      <c r="B1690" s="4" t="s">
        <v>387</v>
      </c>
      <c r="C1690" s="4" t="s">
        <v>412</v>
      </c>
      <c r="D1690" s="4" t="s">
        <v>705</v>
      </c>
      <c r="E1690" s="4" t="s">
        <v>2481</v>
      </c>
      <c r="F1690" s="4" t="s">
        <v>21</v>
      </c>
      <c r="G1690" s="4" t="s">
        <v>864</v>
      </c>
    </row>
    <row r="1691" spans="1:7" x14ac:dyDescent="0.25">
      <c r="A1691" s="4" t="s">
        <v>389</v>
      </c>
      <c r="B1691" s="4" t="s">
        <v>387</v>
      </c>
      <c r="C1691" s="4" t="s">
        <v>412</v>
      </c>
      <c r="D1691" s="4" t="s">
        <v>705</v>
      </c>
      <c r="E1691" s="4" t="s">
        <v>2482</v>
      </c>
      <c r="F1691" s="4" t="s">
        <v>136</v>
      </c>
      <c r="G1691" s="4" t="s">
        <v>865</v>
      </c>
    </row>
    <row r="1692" spans="1:7" x14ac:dyDescent="0.25">
      <c r="A1692" s="4" t="s">
        <v>389</v>
      </c>
      <c r="B1692" s="4" t="s">
        <v>387</v>
      </c>
      <c r="C1692" s="4" t="s">
        <v>412</v>
      </c>
      <c r="D1692" s="4" t="s">
        <v>705</v>
      </c>
      <c r="E1692" s="4" t="s">
        <v>2483</v>
      </c>
      <c r="F1692" s="4" t="s">
        <v>136</v>
      </c>
      <c r="G1692" s="4" t="s">
        <v>865</v>
      </c>
    </row>
    <row r="1693" spans="1:7" x14ac:dyDescent="0.25">
      <c r="A1693" s="4" t="s">
        <v>389</v>
      </c>
      <c r="B1693" s="4" t="s">
        <v>394</v>
      </c>
      <c r="C1693" s="4" t="s">
        <v>412</v>
      </c>
      <c r="D1693" s="4" t="s">
        <v>706</v>
      </c>
      <c r="E1693" s="4" t="s">
        <v>2484</v>
      </c>
      <c r="F1693" s="4" t="s">
        <v>51</v>
      </c>
      <c r="G1693" s="4" t="s">
        <v>390</v>
      </c>
    </row>
    <row r="1694" spans="1:7" x14ac:dyDescent="0.25">
      <c r="A1694" s="4" t="s">
        <v>389</v>
      </c>
      <c r="B1694" s="4" t="s">
        <v>394</v>
      </c>
      <c r="C1694" s="4" t="s">
        <v>412</v>
      </c>
      <c r="D1694" s="4" t="s">
        <v>706</v>
      </c>
      <c r="E1694" s="4" t="s">
        <v>2485</v>
      </c>
      <c r="F1694" s="4" t="s">
        <v>51</v>
      </c>
      <c r="G1694" s="4" t="s">
        <v>390</v>
      </c>
    </row>
    <row r="1695" spans="1:7" x14ac:dyDescent="0.25">
      <c r="A1695" s="4" t="s">
        <v>389</v>
      </c>
      <c r="B1695" s="4" t="s">
        <v>394</v>
      </c>
      <c r="C1695" s="4" t="s">
        <v>412</v>
      </c>
      <c r="D1695" s="4" t="s">
        <v>706</v>
      </c>
      <c r="E1695" s="4" t="s">
        <v>2486</v>
      </c>
      <c r="F1695" s="4" t="s">
        <v>253</v>
      </c>
      <c r="G1695" s="4" t="s">
        <v>864</v>
      </c>
    </row>
    <row r="1696" spans="1:7" x14ac:dyDescent="0.25">
      <c r="A1696" s="4" t="s">
        <v>389</v>
      </c>
      <c r="B1696" s="4" t="s">
        <v>394</v>
      </c>
      <c r="C1696" s="4" t="s">
        <v>412</v>
      </c>
      <c r="D1696" s="4" t="s">
        <v>706</v>
      </c>
      <c r="E1696" s="4" t="s">
        <v>2487</v>
      </c>
      <c r="F1696" s="4" t="s">
        <v>253</v>
      </c>
      <c r="G1696" s="4" t="s">
        <v>864</v>
      </c>
    </row>
    <row r="1697" spans="1:7" x14ac:dyDescent="0.25">
      <c r="A1697" s="4" t="s">
        <v>389</v>
      </c>
      <c r="B1697" s="4" t="s">
        <v>394</v>
      </c>
      <c r="C1697" s="4" t="s">
        <v>412</v>
      </c>
      <c r="D1697" s="4" t="s">
        <v>706</v>
      </c>
      <c r="E1697" s="4" t="s">
        <v>2488</v>
      </c>
      <c r="F1697" s="4" t="s">
        <v>100</v>
      </c>
      <c r="G1697" s="4" t="s">
        <v>865</v>
      </c>
    </row>
    <row r="1698" spans="1:7" x14ac:dyDescent="0.25">
      <c r="A1698" s="4" t="s">
        <v>389</v>
      </c>
      <c r="B1698" s="4" t="s">
        <v>394</v>
      </c>
      <c r="C1698" s="4" t="s">
        <v>412</v>
      </c>
      <c r="D1698" s="4" t="s">
        <v>706</v>
      </c>
      <c r="E1698" s="4" t="s">
        <v>2489</v>
      </c>
      <c r="F1698" s="4" t="s">
        <v>100</v>
      </c>
      <c r="G1698" s="4" t="s">
        <v>865</v>
      </c>
    </row>
    <row r="1699" spans="1:7" x14ac:dyDescent="0.25">
      <c r="A1699" s="4" t="s">
        <v>389</v>
      </c>
      <c r="B1699" s="4" t="s">
        <v>399</v>
      </c>
      <c r="C1699" s="4" t="s">
        <v>412</v>
      </c>
      <c r="D1699" s="4" t="s">
        <v>707</v>
      </c>
      <c r="E1699" s="4" t="s">
        <v>2490</v>
      </c>
      <c r="F1699" s="4" t="s">
        <v>16</v>
      </c>
      <c r="G1699" s="4" t="s">
        <v>390</v>
      </c>
    </row>
    <row r="1700" spans="1:7" x14ac:dyDescent="0.25">
      <c r="A1700" s="4" t="s">
        <v>389</v>
      </c>
      <c r="B1700" s="4" t="s">
        <v>399</v>
      </c>
      <c r="C1700" s="4" t="s">
        <v>412</v>
      </c>
      <c r="D1700" s="4" t="s">
        <v>707</v>
      </c>
      <c r="E1700" s="4" t="s">
        <v>2491</v>
      </c>
      <c r="F1700" s="4" t="s">
        <v>16</v>
      </c>
      <c r="G1700" s="4" t="s">
        <v>390</v>
      </c>
    </row>
    <row r="1701" spans="1:7" x14ac:dyDescent="0.25">
      <c r="A1701" s="4" t="s">
        <v>389</v>
      </c>
      <c r="B1701" s="4" t="s">
        <v>399</v>
      </c>
      <c r="C1701" s="4" t="s">
        <v>412</v>
      </c>
      <c r="D1701" s="4" t="s">
        <v>707</v>
      </c>
      <c r="E1701" s="4" t="s">
        <v>2492</v>
      </c>
      <c r="F1701" s="4" t="s">
        <v>21</v>
      </c>
      <c r="G1701" s="4" t="s">
        <v>864</v>
      </c>
    </row>
    <row r="1702" spans="1:7" x14ac:dyDescent="0.25">
      <c r="A1702" s="4" t="s">
        <v>389</v>
      </c>
      <c r="B1702" s="4" t="s">
        <v>399</v>
      </c>
      <c r="C1702" s="4" t="s">
        <v>412</v>
      </c>
      <c r="D1702" s="4" t="s">
        <v>707</v>
      </c>
      <c r="E1702" s="4" t="s">
        <v>2493</v>
      </c>
      <c r="F1702" s="4" t="s">
        <v>21</v>
      </c>
      <c r="G1702" s="4" t="s">
        <v>864</v>
      </c>
    </row>
    <row r="1703" spans="1:7" x14ac:dyDescent="0.25">
      <c r="A1703" s="4" t="s">
        <v>389</v>
      </c>
      <c r="B1703" s="4" t="s">
        <v>399</v>
      </c>
      <c r="C1703" s="4" t="s">
        <v>412</v>
      </c>
      <c r="D1703" s="4" t="s">
        <v>707</v>
      </c>
      <c r="E1703" s="4" t="s">
        <v>2494</v>
      </c>
      <c r="F1703" s="4" t="s">
        <v>23</v>
      </c>
      <c r="G1703" s="4" t="s">
        <v>865</v>
      </c>
    </row>
    <row r="1704" spans="1:7" x14ac:dyDescent="0.25">
      <c r="A1704" s="4" t="s">
        <v>389</v>
      </c>
      <c r="B1704" s="4" t="s">
        <v>399</v>
      </c>
      <c r="C1704" s="4" t="s">
        <v>412</v>
      </c>
      <c r="D1704" s="4" t="s">
        <v>707</v>
      </c>
      <c r="E1704" s="4" t="s">
        <v>2495</v>
      </c>
      <c r="F1704" s="4" t="s">
        <v>23</v>
      </c>
      <c r="G1704" s="4" t="s">
        <v>865</v>
      </c>
    </row>
    <row r="1705" spans="1:7" x14ac:dyDescent="0.25">
      <c r="A1705" s="4" t="s">
        <v>389</v>
      </c>
      <c r="B1705" s="4" t="s">
        <v>394</v>
      </c>
      <c r="C1705" s="4" t="s">
        <v>414</v>
      </c>
      <c r="D1705" s="4" t="s">
        <v>739</v>
      </c>
      <c r="E1705" s="4" t="s">
        <v>2496</v>
      </c>
      <c r="F1705" s="4" t="s">
        <v>21</v>
      </c>
      <c r="G1705" s="4" t="s">
        <v>390</v>
      </c>
    </row>
    <row r="1706" spans="1:7" x14ac:dyDescent="0.25">
      <c r="A1706" s="4" t="s">
        <v>389</v>
      </c>
      <c r="B1706" s="4" t="s">
        <v>394</v>
      </c>
      <c r="C1706" s="4" t="s">
        <v>414</v>
      </c>
      <c r="D1706" s="4" t="s">
        <v>739</v>
      </c>
      <c r="E1706" s="4" t="s">
        <v>2497</v>
      </c>
      <c r="F1706" s="4" t="s">
        <v>21</v>
      </c>
      <c r="G1706" s="4" t="s">
        <v>390</v>
      </c>
    </row>
    <row r="1707" spans="1:7" x14ac:dyDescent="0.25">
      <c r="A1707" s="4" t="s">
        <v>389</v>
      </c>
      <c r="B1707" s="4" t="s">
        <v>394</v>
      </c>
      <c r="C1707" s="4" t="s">
        <v>414</v>
      </c>
      <c r="D1707" s="4" t="s">
        <v>739</v>
      </c>
      <c r="E1707" s="4" t="s">
        <v>2498</v>
      </c>
      <c r="F1707" s="4" t="s">
        <v>21</v>
      </c>
      <c r="G1707" s="4" t="s">
        <v>390</v>
      </c>
    </row>
    <row r="1708" spans="1:7" x14ac:dyDescent="0.25">
      <c r="A1708" s="4" t="s">
        <v>389</v>
      </c>
      <c r="B1708" s="4" t="s">
        <v>394</v>
      </c>
      <c r="C1708" s="4" t="s">
        <v>414</v>
      </c>
      <c r="D1708" s="4" t="s">
        <v>739</v>
      </c>
      <c r="E1708" s="4" t="s">
        <v>2499</v>
      </c>
      <c r="F1708" s="4" t="s">
        <v>21</v>
      </c>
      <c r="G1708" s="4" t="s">
        <v>390</v>
      </c>
    </row>
    <row r="1709" spans="1:7" x14ac:dyDescent="0.25">
      <c r="A1709" s="4" t="s">
        <v>389</v>
      </c>
      <c r="B1709" s="4" t="s">
        <v>394</v>
      </c>
      <c r="C1709" s="4" t="s">
        <v>414</v>
      </c>
      <c r="D1709" s="4" t="s">
        <v>739</v>
      </c>
      <c r="E1709" s="4" t="s">
        <v>2500</v>
      </c>
      <c r="F1709" s="4" t="s">
        <v>21</v>
      </c>
      <c r="G1709" s="4" t="s">
        <v>390</v>
      </c>
    </row>
    <row r="1710" spans="1:7" x14ac:dyDescent="0.25">
      <c r="A1710" s="4" t="s">
        <v>389</v>
      </c>
      <c r="B1710" s="4" t="s">
        <v>394</v>
      </c>
      <c r="C1710" s="4" t="s">
        <v>414</v>
      </c>
      <c r="D1710" s="4" t="s">
        <v>739</v>
      </c>
      <c r="E1710" s="4" t="s">
        <v>875</v>
      </c>
      <c r="F1710" s="4" t="s">
        <v>363</v>
      </c>
      <c r="G1710" s="4" t="s">
        <v>864</v>
      </c>
    </row>
    <row r="1711" spans="1:7" x14ac:dyDescent="0.25">
      <c r="A1711" s="4" t="s">
        <v>389</v>
      </c>
      <c r="B1711" s="4" t="s">
        <v>394</v>
      </c>
      <c r="C1711" s="4" t="s">
        <v>414</v>
      </c>
      <c r="D1711" s="4" t="s">
        <v>739</v>
      </c>
      <c r="E1711" s="4" t="s">
        <v>2501</v>
      </c>
      <c r="F1711" s="4" t="s">
        <v>363</v>
      </c>
      <c r="G1711" s="4" t="s">
        <v>864</v>
      </c>
    </row>
    <row r="1712" spans="1:7" x14ac:dyDescent="0.25">
      <c r="A1712" s="4" t="s">
        <v>389</v>
      </c>
      <c r="B1712" s="4" t="s">
        <v>394</v>
      </c>
      <c r="C1712" s="4" t="s">
        <v>414</v>
      </c>
      <c r="D1712" s="4" t="s">
        <v>739</v>
      </c>
      <c r="E1712" s="4" t="s">
        <v>1563</v>
      </c>
      <c r="F1712" s="4" t="s">
        <v>363</v>
      </c>
      <c r="G1712" s="4" t="s">
        <v>864</v>
      </c>
    </row>
    <row r="1713" spans="1:7" x14ac:dyDescent="0.25">
      <c r="A1713" s="4" t="s">
        <v>389</v>
      </c>
      <c r="B1713" s="4" t="s">
        <v>394</v>
      </c>
      <c r="C1713" s="4" t="s">
        <v>414</v>
      </c>
      <c r="D1713" s="4" t="s">
        <v>739</v>
      </c>
      <c r="E1713" s="4" t="s">
        <v>1214</v>
      </c>
      <c r="F1713" s="4" t="s">
        <v>363</v>
      </c>
      <c r="G1713" s="4" t="s">
        <v>864</v>
      </c>
    </row>
    <row r="1714" spans="1:7" x14ac:dyDescent="0.25">
      <c r="A1714" s="4" t="s">
        <v>389</v>
      </c>
      <c r="B1714" s="4" t="s">
        <v>394</v>
      </c>
      <c r="C1714" s="4" t="s">
        <v>414</v>
      </c>
      <c r="D1714" s="4" t="s">
        <v>739</v>
      </c>
      <c r="E1714" s="4" t="s">
        <v>2502</v>
      </c>
      <c r="F1714" s="4" t="s">
        <v>363</v>
      </c>
      <c r="G1714" s="4" t="s">
        <v>864</v>
      </c>
    </row>
    <row r="1715" spans="1:7" x14ac:dyDescent="0.25">
      <c r="A1715" s="4" t="s">
        <v>389</v>
      </c>
      <c r="B1715" s="4" t="s">
        <v>394</v>
      </c>
      <c r="C1715" s="4" t="s">
        <v>414</v>
      </c>
      <c r="D1715" s="4" t="s">
        <v>739</v>
      </c>
      <c r="E1715" s="4" t="s">
        <v>2503</v>
      </c>
      <c r="F1715" s="4" t="s">
        <v>363</v>
      </c>
      <c r="G1715" s="4" t="s">
        <v>864</v>
      </c>
    </row>
    <row r="1716" spans="1:7" x14ac:dyDescent="0.25">
      <c r="A1716" s="4" t="s">
        <v>389</v>
      </c>
      <c r="B1716" s="4" t="s">
        <v>394</v>
      </c>
      <c r="C1716" s="4" t="s">
        <v>414</v>
      </c>
      <c r="D1716" s="4" t="s">
        <v>739</v>
      </c>
      <c r="E1716" s="4" t="s">
        <v>2504</v>
      </c>
      <c r="F1716" s="4" t="s">
        <v>363</v>
      </c>
      <c r="G1716" s="4" t="s">
        <v>864</v>
      </c>
    </row>
    <row r="1717" spans="1:7" x14ac:dyDescent="0.25">
      <c r="A1717" s="4" t="s">
        <v>389</v>
      </c>
      <c r="B1717" s="4" t="s">
        <v>394</v>
      </c>
      <c r="C1717" s="4" t="s">
        <v>414</v>
      </c>
      <c r="D1717" s="4" t="s">
        <v>739</v>
      </c>
      <c r="E1717" s="4" t="s">
        <v>2505</v>
      </c>
      <c r="F1717" s="4" t="s">
        <v>66</v>
      </c>
      <c r="G1717" s="4" t="s">
        <v>865</v>
      </c>
    </row>
    <row r="1718" spans="1:7" x14ac:dyDescent="0.25">
      <c r="A1718" s="4" t="s">
        <v>389</v>
      </c>
      <c r="B1718" s="4" t="s">
        <v>394</v>
      </c>
      <c r="C1718" s="4" t="s">
        <v>414</v>
      </c>
      <c r="D1718" s="4" t="s">
        <v>739</v>
      </c>
      <c r="E1718" s="4" t="s">
        <v>2506</v>
      </c>
      <c r="F1718" s="4" t="s">
        <v>66</v>
      </c>
      <c r="G1718" s="4" t="s">
        <v>865</v>
      </c>
    </row>
    <row r="1719" spans="1:7" x14ac:dyDescent="0.25">
      <c r="A1719" s="4" t="s">
        <v>389</v>
      </c>
      <c r="B1719" s="4" t="s">
        <v>394</v>
      </c>
      <c r="C1719" s="4" t="s">
        <v>414</v>
      </c>
      <c r="D1719" s="4" t="s">
        <v>739</v>
      </c>
      <c r="E1719" s="4" t="s">
        <v>2507</v>
      </c>
      <c r="F1719" s="4" t="s">
        <v>66</v>
      </c>
      <c r="G1719" s="4" t="s">
        <v>865</v>
      </c>
    </row>
    <row r="1720" spans="1:7" x14ac:dyDescent="0.25">
      <c r="A1720" s="4" t="s">
        <v>389</v>
      </c>
      <c r="B1720" s="4" t="s">
        <v>394</v>
      </c>
      <c r="C1720" s="4" t="s">
        <v>414</v>
      </c>
      <c r="D1720" s="4" t="s">
        <v>739</v>
      </c>
      <c r="E1720" s="4" t="s">
        <v>876</v>
      </c>
      <c r="F1720" s="4" t="s">
        <v>66</v>
      </c>
      <c r="G1720" s="4" t="s">
        <v>865</v>
      </c>
    </row>
    <row r="1721" spans="1:7" x14ac:dyDescent="0.25">
      <c r="A1721" s="4" t="s">
        <v>389</v>
      </c>
      <c r="B1721" s="4" t="s">
        <v>394</v>
      </c>
      <c r="C1721" s="4" t="s">
        <v>414</v>
      </c>
      <c r="D1721" s="4" t="s">
        <v>739</v>
      </c>
      <c r="E1721" s="4" t="s">
        <v>2508</v>
      </c>
      <c r="F1721" s="4" t="s">
        <v>66</v>
      </c>
      <c r="G1721" s="4" t="s">
        <v>865</v>
      </c>
    </row>
    <row r="1722" spans="1:7" x14ac:dyDescent="0.25">
      <c r="A1722" s="4" t="s">
        <v>389</v>
      </c>
      <c r="B1722" s="4" t="s">
        <v>394</v>
      </c>
      <c r="C1722" s="4" t="s">
        <v>414</v>
      </c>
      <c r="D1722" s="4" t="s">
        <v>740</v>
      </c>
      <c r="E1722" s="4" t="s">
        <v>2503</v>
      </c>
      <c r="F1722" s="4" t="s">
        <v>363</v>
      </c>
      <c r="G1722" s="4" t="s">
        <v>390</v>
      </c>
    </row>
    <row r="1723" spans="1:7" x14ac:dyDescent="0.25">
      <c r="A1723" s="4" t="s">
        <v>389</v>
      </c>
      <c r="B1723" s="4" t="s">
        <v>394</v>
      </c>
      <c r="C1723" s="4" t="s">
        <v>414</v>
      </c>
      <c r="D1723" s="4" t="s">
        <v>740</v>
      </c>
      <c r="E1723" s="4" t="s">
        <v>1558</v>
      </c>
      <c r="F1723" s="4" t="s">
        <v>363</v>
      </c>
      <c r="G1723" s="4" t="s">
        <v>390</v>
      </c>
    </row>
    <row r="1724" spans="1:7" x14ac:dyDescent="0.25">
      <c r="A1724" s="4" t="s">
        <v>389</v>
      </c>
      <c r="B1724" s="4" t="s">
        <v>394</v>
      </c>
      <c r="C1724" s="4" t="s">
        <v>414</v>
      </c>
      <c r="D1724" s="4" t="s">
        <v>740</v>
      </c>
      <c r="E1724" s="4" t="s">
        <v>1216</v>
      </c>
      <c r="F1724" s="4" t="s">
        <v>363</v>
      </c>
      <c r="G1724" s="4" t="s">
        <v>390</v>
      </c>
    </row>
    <row r="1725" spans="1:7" x14ac:dyDescent="0.25">
      <c r="A1725" s="4" t="s">
        <v>389</v>
      </c>
      <c r="B1725" s="4" t="s">
        <v>394</v>
      </c>
      <c r="C1725" s="4" t="s">
        <v>414</v>
      </c>
      <c r="D1725" s="4" t="s">
        <v>740</v>
      </c>
      <c r="E1725" s="4" t="s">
        <v>1214</v>
      </c>
      <c r="F1725" s="4" t="s">
        <v>363</v>
      </c>
      <c r="G1725" s="4" t="s">
        <v>390</v>
      </c>
    </row>
    <row r="1726" spans="1:7" x14ac:dyDescent="0.25">
      <c r="A1726" s="4" t="s">
        <v>389</v>
      </c>
      <c r="B1726" s="4" t="s">
        <v>394</v>
      </c>
      <c r="C1726" s="4" t="s">
        <v>414</v>
      </c>
      <c r="D1726" s="4" t="s">
        <v>740</v>
      </c>
      <c r="E1726" s="4" t="s">
        <v>2509</v>
      </c>
      <c r="F1726" s="4" t="s">
        <v>363</v>
      </c>
      <c r="G1726" s="4" t="s">
        <v>390</v>
      </c>
    </row>
    <row r="1727" spans="1:7" x14ac:dyDescent="0.25">
      <c r="A1727" s="4" t="s">
        <v>389</v>
      </c>
      <c r="B1727" s="4" t="s">
        <v>394</v>
      </c>
      <c r="C1727" s="4" t="s">
        <v>414</v>
      </c>
      <c r="D1727" s="4" t="s">
        <v>740</v>
      </c>
      <c r="E1727" s="4" t="s">
        <v>2510</v>
      </c>
      <c r="F1727" s="4" t="s">
        <v>363</v>
      </c>
      <c r="G1727" s="4" t="s">
        <v>390</v>
      </c>
    </row>
    <row r="1728" spans="1:7" x14ac:dyDescent="0.25">
      <c r="A1728" s="4" t="s">
        <v>389</v>
      </c>
      <c r="B1728" s="4" t="s">
        <v>394</v>
      </c>
      <c r="C1728" s="4" t="s">
        <v>414</v>
      </c>
      <c r="D1728" s="4" t="s">
        <v>740</v>
      </c>
      <c r="E1728" s="4" t="s">
        <v>2511</v>
      </c>
      <c r="F1728" s="4" t="s">
        <v>363</v>
      </c>
      <c r="G1728" s="4" t="s">
        <v>390</v>
      </c>
    </row>
    <row r="1729" spans="1:7" x14ac:dyDescent="0.25">
      <c r="A1729" s="4" t="s">
        <v>389</v>
      </c>
      <c r="B1729" s="4" t="s">
        <v>394</v>
      </c>
      <c r="C1729" s="4" t="s">
        <v>414</v>
      </c>
      <c r="D1729" s="4" t="s">
        <v>740</v>
      </c>
      <c r="E1729" s="4" t="s">
        <v>2512</v>
      </c>
      <c r="F1729" s="4" t="s">
        <v>21</v>
      </c>
      <c r="G1729" s="4" t="s">
        <v>864</v>
      </c>
    </row>
    <row r="1730" spans="1:7" x14ac:dyDescent="0.25">
      <c r="A1730" s="4" t="s">
        <v>389</v>
      </c>
      <c r="B1730" s="4" t="s">
        <v>394</v>
      </c>
      <c r="C1730" s="4" t="s">
        <v>414</v>
      </c>
      <c r="D1730" s="4" t="s">
        <v>740</v>
      </c>
      <c r="E1730" s="4" t="s">
        <v>2496</v>
      </c>
      <c r="F1730" s="4" t="s">
        <v>21</v>
      </c>
      <c r="G1730" s="4" t="s">
        <v>864</v>
      </c>
    </row>
    <row r="1731" spans="1:7" x14ac:dyDescent="0.25">
      <c r="A1731" s="4" t="s">
        <v>389</v>
      </c>
      <c r="B1731" s="4" t="s">
        <v>394</v>
      </c>
      <c r="C1731" s="4" t="s">
        <v>414</v>
      </c>
      <c r="D1731" s="4" t="s">
        <v>740</v>
      </c>
      <c r="E1731" s="4" t="s">
        <v>2513</v>
      </c>
      <c r="F1731" s="4" t="s">
        <v>21</v>
      </c>
      <c r="G1731" s="4" t="s">
        <v>864</v>
      </c>
    </row>
    <row r="1732" spans="1:7" x14ac:dyDescent="0.25">
      <c r="A1732" s="4" t="s">
        <v>389</v>
      </c>
      <c r="B1732" s="4" t="s">
        <v>394</v>
      </c>
      <c r="C1732" s="4" t="s">
        <v>414</v>
      </c>
      <c r="D1732" s="4" t="s">
        <v>740</v>
      </c>
      <c r="E1732" s="4" t="s">
        <v>2514</v>
      </c>
      <c r="F1732" s="4" t="s">
        <v>21</v>
      </c>
      <c r="G1732" s="4" t="s">
        <v>864</v>
      </c>
    </row>
    <row r="1733" spans="1:7" x14ac:dyDescent="0.25">
      <c r="A1733" s="4" t="s">
        <v>389</v>
      </c>
      <c r="B1733" s="4" t="s">
        <v>394</v>
      </c>
      <c r="C1733" s="4" t="s">
        <v>414</v>
      </c>
      <c r="D1733" s="4" t="s">
        <v>740</v>
      </c>
      <c r="E1733" s="4" t="s">
        <v>2515</v>
      </c>
      <c r="F1733" s="4" t="s">
        <v>21</v>
      </c>
      <c r="G1733" s="4" t="s">
        <v>864</v>
      </c>
    </row>
    <row r="1734" spans="1:7" x14ac:dyDescent="0.25">
      <c r="A1734" s="4" t="s">
        <v>389</v>
      </c>
      <c r="B1734" s="4" t="s">
        <v>394</v>
      </c>
      <c r="C1734" s="4" t="s">
        <v>414</v>
      </c>
      <c r="D1734" s="4" t="s">
        <v>740</v>
      </c>
      <c r="E1734" s="4" t="s">
        <v>2516</v>
      </c>
      <c r="F1734" s="4" t="s">
        <v>66</v>
      </c>
      <c r="G1734" s="4" t="s">
        <v>865</v>
      </c>
    </row>
    <row r="1735" spans="1:7" x14ac:dyDescent="0.25">
      <c r="A1735" s="4" t="s">
        <v>389</v>
      </c>
      <c r="B1735" s="4" t="s">
        <v>394</v>
      </c>
      <c r="C1735" s="4" t="s">
        <v>414</v>
      </c>
      <c r="D1735" s="4" t="s">
        <v>740</v>
      </c>
      <c r="E1735" s="4" t="s">
        <v>2507</v>
      </c>
      <c r="F1735" s="4" t="s">
        <v>66</v>
      </c>
      <c r="G1735" s="4" t="s">
        <v>865</v>
      </c>
    </row>
    <row r="1736" spans="1:7" x14ac:dyDescent="0.25">
      <c r="A1736" s="4" t="s">
        <v>389</v>
      </c>
      <c r="B1736" s="4" t="s">
        <v>394</v>
      </c>
      <c r="C1736" s="4" t="s">
        <v>414</v>
      </c>
      <c r="D1736" s="4" t="s">
        <v>740</v>
      </c>
      <c r="E1736" s="4" t="s">
        <v>2517</v>
      </c>
      <c r="F1736" s="4" t="s">
        <v>66</v>
      </c>
      <c r="G1736" s="4" t="s">
        <v>865</v>
      </c>
    </row>
    <row r="1737" spans="1:7" x14ac:dyDescent="0.25">
      <c r="A1737" s="4" t="s">
        <v>389</v>
      </c>
      <c r="B1737" s="4" t="s">
        <v>394</v>
      </c>
      <c r="C1737" s="4" t="s">
        <v>414</v>
      </c>
      <c r="D1737" s="4" t="s">
        <v>740</v>
      </c>
      <c r="E1737" s="4" t="s">
        <v>876</v>
      </c>
      <c r="F1737" s="4" t="s">
        <v>66</v>
      </c>
      <c r="G1737" s="4" t="s">
        <v>865</v>
      </c>
    </row>
    <row r="1738" spans="1:7" x14ac:dyDescent="0.25">
      <c r="A1738" s="4" t="s">
        <v>389</v>
      </c>
      <c r="B1738" s="4" t="s">
        <v>394</v>
      </c>
      <c r="C1738" s="4" t="s">
        <v>414</v>
      </c>
      <c r="D1738" s="4" t="s">
        <v>740</v>
      </c>
      <c r="E1738" s="4" t="s">
        <v>2518</v>
      </c>
      <c r="F1738" s="4" t="s">
        <v>66</v>
      </c>
      <c r="G1738" s="4" t="s">
        <v>865</v>
      </c>
    </row>
    <row r="1739" spans="1:7" x14ac:dyDescent="0.25">
      <c r="A1739" s="4" t="s">
        <v>389</v>
      </c>
      <c r="B1739" s="4" t="s">
        <v>394</v>
      </c>
      <c r="C1739" s="4" t="s">
        <v>414</v>
      </c>
      <c r="D1739" s="4" t="s">
        <v>740</v>
      </c>
      <c r="E1739" s="4" t="s">
        <v>2519</v>
      </c>
      <c r="F1739" s="4" t="s">
        <v>66</v>
      </c>
      <c r="G1739" s="4" t="s">
        <v>865</v>
      </c>
    </row>
    <row r="1740" spans="1:7" x14ac:dyDescent="0.25">
      <c r="A1740" s="4" t="s">
        <v>389</v>
      </c>
      <c r="B1740" s="4" t="s">
        <v>394</v>
      </c>
      <c r="C1740" s="4" t="s">
        <v>414</v>
      </c>
      <c r="D1740" s="4" t="s">
        <v>741</v>
      </c>
      <c r="E1740" s="4" t="s">
        <v>1400</v>
      </c>
      <c r="F1740" s="4" t="s">
        <v>363</v>
      </c>
      <c r="G1740" s="4" t="s">
        <v>390</v>
      </c>
    </row>
    <row r="1741" spans="1:7" x14ac:dyDescent="0.25">
      <c r="A1741" s="4" t="s">
        <v>389</v>
      </c>
      <c r="B1741" s="4" t="s">
        <v>394</v>
      </c>
      <c r="C1741" s="4" t="s">
        <v>414</v>
      </c>
      <c r="D1741" s="4" t="s">
        <v>741</v>
      </c>
      <c r="E1741" s="4" t="s">
        <v>1217</v>
      </c>
      <c r="F1741" s="4" t="s">
        <v>363</v>
      </c>
      <c r="G1741" s="4" t="s">
        <v>390</v>
      </c>
    </row>
    <row r="1742" spans="1:7" x14ac:dyDescent="0.25">
      <c r="A1742" s="4" t="s">
        <v>389</v>
      </c>
      <c r="B1742" s="4" t="s">
        <v>394</v>
      </c>
      <c r="C1742" s="4" t="s">
        <v>414</v>
      </c>
      <c r="D1742" s="4" t="s">
        <v>741</v>
      </c>
      <c r="E1742" s="4" t="s">
        <v>1563</v>
      </c>
      <c r="F1742" s="4" t="s">
        <v>363</v>
      </c>
      <c r="G1742" s="4" t="s">
        <v>390</v>
      </c>
    </row>
    <row r="1743" spans="1:7" x14ac:dyDescent="0.25">
      <c r="A1743" s="4" t="s">
        <v>389</v>
      </c>
      <c r="B1743" s="4" t="s">
        <v>394</v>
      </c>
      <c r="C1743" s="4" t="s">
        <v>414</v>
      </c>
      <c r="D1743" s="4" t="s">
        <v>741</v>
      </c>
      <c r="E1743" s="4" t="s">
        <v>875</v>
      </c>
      <c r="F1743" s="4" t="s">
        <v>363</v>
      </c>
      <c r="G1743" s="4" t="s">
        <v>390</v>
      </c>
    </row>
    <row r="1744" spans="1:7" x14ac:dyDescent="0.25">
      <c r="A1744" s="4" t="s">
        <v>389</v>
      </c>
      <c r="B1744" s="4" t="s">
        <v>394</v>
      </c>
      <c r="C1744" s="4" t="s">
        <v>414</v>
      </c>
      <c r="D1744" s="4" t="s">
        <v>741</v>
      </c>
      <c r="E1744" s="4" t="s">
        <v>2520</v>
      </c>
      <c r="F1744" s="4" t="s">
        <v>363</v>
      </c>
      <c r="G1744" s="4" t="s">
        <v>390</v>
      </c>
    </row>
    <row r="1745" spans="1:7" x14ac:dyDescent="0.25">
      <c r="A1745" s="4" t="s">
        <v>389</v>
      </c>
      <c r="B1745" s="4" t="s">
        <v>394</v>
      </c>
      <c r="C1745" s="4" t="s">
        <v>414</v>
      </c>
      <c r="D1745" s="4" t="s">
        <v>741</v>
      </c>
      <c r="E1745" s="4" t="s">
        <v>2521</v>
      </c>
      <c r="F1745" s="4" t="s">
        <v>363</v>
      </c>
      <c r="G1745" s="4" t="s">
        <v>390</v>
      </c>
    </row>
    <row r="1746" spans="1:7" x14ac:dyDescent="0.25">
      <c r="A1746" s="4" t="s">
        <v>389</v>
      </c>
      <c r="B1746" s="4" t="s">
        <v>394</v>
      </c>
      <c r="C1746" s="4" t="s">
        <v>414</v>
      </c>
      <c r="D1746" s="4" t="s">
        <v>741</v>
      </c>
      <c r="E1746" s="4" t="s">
        <v>2501</v>
      </c>
      <c r="F1746" s="4" t="s">
        <v>363</v>
      </c>
      <c r="G1746" s="4" t="s">
        <v>390</v>
      </c>
    </row>
    <row r="1747" spans="1:7" x14ac:dyDescent="0.25">
      <c r="A1747" s="4" t="s">
        <v>389</v>
      </c>
      <c r="B1747" s="4" t="s">
        <v>394</v>
      </c>
      <c r="C1747" s="4" t="s">
        <v>414</v>
      </c>
      <c r="D1747" s="4" t="s">
        <v>741</v>
      </c>
      <c r="E1747" s="4" t="s">
        <v>2522</v>
      </c>
      <c r="F1747" s="4" t="s">
        <v>363</v>
      </c>
      <c r="G1747" s="4" t="s">
        <v>390</v>
      </c>
    </row>
    <row r="1748" spans="1:7" x14ac:dyDescent="0.25">
      <c r="A1748" s="4" t="s">
        <v>389</v>
      </c>
      <c r="B1748" s="4" t="s">
        <v>394</v>
      </c>
      <c r="C1748" s="4" t="s">
        <v>414</v>
      </c>
      <c r="D1748" s="4" t="s">
        <v>741</v>
      </c>
      <c r="E1748" s="4" t="s">
        <v>2523</v>
      </c>
      <c r="F1748" s="4" t="s">
        <v>21</v>
      </c>
      <c r="G1748" s="4" t="s">
        <v>864</v>
      </c>
    </row>
    <row r="1749" spans="1:7" x14ac:dyDescent="0.25">
      <c r="A1749" s="4" t="s">
        <v>389</v>
      </c>
      <c r="B1749" s="4" t="s">
        <v>394</v>
      </c>
      <c r="C1749" s="4" t="s">
        <v>414</v>
      </c>
      <c r="D1749" s="4" t="s">
        <v>741</v>
      </c>
      <c r="E1749" s="4" t="s">
        <v>2524</v>
      </c>
      <c r="F1749" s="4" t="s">
        <v>21</v>
      </c>
      <c r="G1749" s="4" t="s">
        <v>864</v>
      </c>
    </row>
    <row r="1750" spans="1:7" x14ac:dyDescent="0.25">
      <c r="A1750" s="4" t="s">
        <v>389</v>
      </c>
      <c r="B1750" s="4" t="s">
        <v>394</v>
      </c>
      <c r="C1750" s="4" t="s">
        <v>414</v>
      </c>
      <c r="D1750" s="4" t="s">
        <v>741</v>
      </c>
      <c r="E1750" s="4" t="s">
        <v>2496</v>
      </c>
      <c r="F1750" s="4" t="s">
        <v>21</v>
      </c>
      <c r="G1750" s="4" t="s">
        <v>864</v>
      </c>
    </row>
    <row r="1751" spans="1:7" x14ac:dyDescent="0.25">
      <c r="A1751" s="4" t="s">
        <v>389</v>
      </c>
      <c r="B1751" s="4" t="s">
        <v>394</v>
      </c>
      <c r="C1751" s="4" t="s">
        <v>414</v>
      </c>
      <c r="D1751" s="4" t="s">
        <v>741</v>
      </c>
      <c r="E1751" s="4" t="s">
        <v>2499</v>
      </c>
      <c r="F1751" s="4" t="s">
        <v>21</v>
      </c>
      <c r="G1751" s="4" t="s">
        <v>864</v>
      </c>
    </row>
    <row r="1752" spans="1:7" x14ac:dyDescent="0.25">
      <c r="A1752" s="4" t="s">
        <v>389</v>
      </c>
      <c r="B1752" s="4" t="s">
        <v>394</v>
      </c>
      <c r="C1752" s="4" t="s">
        <v>414</v>
      </c>
      <c r="D1752" s="4" t="s">
        <v>741</v>
      </c>
      <c r="E1752" s="4" t="s">
        <v>2497</v>
      </c>
      <c r="F1752" s="4" t="s">
        <v>21</v>
      </c>
      <c r="G1752" s="4" t="s">
        <v>864</v>
      </c>
    </row>
    <row r="1753" spans="1:7" x14ac:dyDescent="0.25">
      <c r="A1753" s="4" t="s">
        <v>389</v>
      </c>
      <c r="B1753" s="4" t="s">
        <v>394</v>
      </c>
      <c r="C1753" s="4" t="s">
        <v>414</v>
      </c>
      <c r="D1753" s="4" t="s">
        <v>741</v>
      </c>
      <c r="E1753" s="4" t="s">
        <v>1402</v>
      </c>
      <c r="F1753" s="4" t="s">
        <v>21</v>
      </c>
      <c r="G1753" s="4" t="s">
        <v>864</v>
      </c>
    </row>
    <row r="1754" spans="1:7" x14ac:dyDescent="0.25">
      <c r="A1754" s="4" t="s">
        <v>389</v>
      </c>
      <c r="B1754" s="4" t="s">
        <v>394</v>
      </c>
      <c r="C1754" s="4" t="s">
        <v>414</v>
      </c>
      <c r="D1754" s="4" t="s">
        <v>741</v>
      </c>
      <c r="E1754" s="4" t="s">
        <v>2500</v>
      </c>
      <c r="F1754" s="4" t="s">
        <v>21</v>
      </c>
      <c r="G1754" s="4" t="s">
        <v>864</v>
      </c>
    </row>
    <row r="1755" spans="1:7" x14ac:dyDescent="0.25">
      <c r="A1755" s="4" t="s">
        <v>389</v>
      </c>
      <c r="B1755" s="4" t="s">
        <v>394</v>
      </c>
      <c r="C1755" s="4" t="s">
        <v>414</v>
      </c>
      <c r="D1755" s="4" t="s">
        <v>741</v>
      </c>
      <c r="E1755" s="4" t="s">
        <v>2525</v>
      </c>
      <c r="F1755" s="4" t="s">
        <v>100</v>
      </c>
      <c r="G1755" s="4" t="s">
        <v>865</v>
      </c>
    </row>
    <row r="1756" spans="1:7" x14ac:dyDescent="0.25">
      <c r="A1756" s="4" t="s">
        <v>389</v>
      </c>
      <c r="B1756" s="4" t="s">
        <v>394</v>
      </c>
      <c r="C1756" s="4" t="s">
        <v>414</v>
      </c>
      <c r="D1756" s="4" t="s">
        <v>741</v>
      </c>
      <c r="E1756" s="4" t="s">
        <v>2526</v>
      </c>
      <c r="F1756" s="4" t="s">
        <v>100</v>
      </c>
      <c r="G1756" s="4" t="s">
        <v>865</v>
      </c>
    </row>
    <row r="1757" spans="1:7" x14ac:dyDescent="0.25">
      <c r="A1757" s="4" t="s">
        <v>389</v>
      </c>
      <c r="B1757" s="4" t="s">
        <v>394</v>
      </c>
      <c r="C1757" s="4" t="s">
        <v>414</v>
      </c>
      <c r="D1757" s="4" t="s">
        <v>741</v>
      </c>
      <c r="E1757" s="4" t="s">
        <v>2527</v>
      </c>
      <c r="F1757" s="4" t="s">
        <v>100</v>
      </c>
      <c r="G1757" s="4" t="s">
        <v>865</v>
      </c>
    </row>
    <row r="1758" spans="1:7" x14ac:dyDescent="0.25">
      <c r="A1758" s="4" t="s">
        <v>389</v>
      </c>
      <c r="B1758" s="4" t="s">
        <v>394</v>
      </c>
      <c r="C1758" s="4" t="s">
        <v>414</v>
      </c>
      <c r="D1758" s="4" t="s">
        <v>741</v>
      </c>
      <c r="E1758" s="4" t="s">
        <v>1212</v>
      </c>
      <c r="F1758" s="4" t="s">
        <v>100</v>
      </c>
      <c r="G1758" s="4" t="s">
        <v>865</v>
      </c>
    </row>
    <row r="1759" spans="1:7" x14ac:dyDescent="0.25">
      <c r="A1759" s="4" t="s">
        <v>389</v>
      </c>
      <c r="B1759" s="4" t="s">
        <v>387</v>
      </c>
      <c r="C1759" s="4" t="s">
        <v>414</v>
      </c>
      <c r="D1759" s="4" t="s">
        <v>756</v>
      </c>
      <c r="E1759" s="4" t="s">
        <v>2528</v>
      </c>
      <c r="F1759" s="4" t="s">
        <v>363</v>
      </c>
      <c r="G1759" s="4" t="s">
        <v>390</v>
      </c>
    </row>
    <row r="1760" spans="1:7" x14ac:dyDescent="0.25">
      <c r="A1760" s="4" t="s">
        <v>389</v>
      </c>
      <c r="B1760" s="4" t="s">
        <v>387</v>
      </c>
      <c r="C1760" s="4" t="s">
        <v>414</v>
      </c>
      <c r="D1760" s="4" t="s">
        <v>756</v>
      </c>
      <c r="E1760" s="4" t="s">
        <v>1230</v>
      </c>
      <c r="F1760" s="4" t="s">
        <v>363</v>
      </c>
      <c r="G1760" s="4" t="s">
        <v>390</v>
      </c>
    </row>
    <row r="1761" spans="1:7" x14ac:dyDescent="0.25">
      <c r="A1761" s="4" t="s">
        <v>389</v>
      </c>
      <c r="B1761" s="4" t="s">
        <v>387</v>
      </c>
      <c r="C1761" s="4" t="s">
        <v>414</v>
      </c>
      <c r="D1761" s="4" t="s">
        <v>756</v>
      </c>
      <c r="E1761" s="4" t="s">
        <v>2529</v>
      </c>
      <c r="F1761" s="4" t="s">
        <v>363</v>
      </c>
      <c r="G1761" s="4" t="s">
        <v>390</v>
      </c>
    </row>
    <row r="1762" spans="1:7" x14ac:dyDescent="0.25">
      <c r="A1762" s="4" t="s">
        <v>389</v>
      </c>
      <c r="B1762" s="4" t="s">
        <v>387</v>
      </c>
      <c r="C1762" s="4" t="s">
        <v>414</v>
      </c>
      <c r="D1762" s="4" t="s">
        <v>756</v>
      </c>
      <c r="E1762" s="4" t="s">
        <v>1565</v>
      </c>
      <c r="F1762" s="4" t="s">
        <v>363</v>
      </c>
      <c r="G1762" s="4" t="s">
        <v>390</v>
      </c>
    </row>
    <row r="1763" spans="1:7" x14ac:dyDescent="0.25">
      <c r="A1763" s="4" t="s">
        <v>389</v>
      </c>
      <c r="B1763" s="4" t="s">
        <v>387</v>
      </c>
      <c r="C1763" s="4" t="s">
        <v>414</v>
      </c>
      <c r="D1763" s="4" t="s">
        <v>756</v>
      </c>
      <c r="E1763" s="4" t="s">
        <v>1221</v>
      </c>
      <c r="F1763" s="4" t="s">
        <v>363</v>
      </c>
      <c r="G1763" s="4" t="s">
        <v>390</v>
      </c>
    </row>
    <row r="1764" spans="1:7" x14ac:dyDescent="0.25">
      <c r="A1764" s="4" t="s">
        <v>389</v>
      </c>
      <c r="B1764" s="4" t="s">
        <v>387</v>
      </c>
      <c r="C1764" s="4" t="s">
        <v>414</v>
      </c>
      <c r="D1764" s="4" t="s">
        <v>756</v>
      </c>
      <c r="E1764" s="4" t="s">
        <v>2530</v>
      </c>
      <c r="F1764" s="4" t="s">
        <v>363</v>
      </c>
      <c r="G1764" s="4" t="s">
        <v>390</v>
      </c>
    </row>
    <row r="1765" spans="1:7" x14ac:dyDescent="0.25">
      <c r="A1765" s="4" t="s">
        <v>389</v>
      </c>
      <c r="B1765" s="4" t="s">
        <v>387</v>
      </c>
      <c r="C1765" s="4" t="s">
        <v>414</v>
      </c>
      <c r="D1765" s="4" t="s">
        <v>756</v>
      </c>
      <c r="E1765" s="4" t="s">
        <v>2531</v>
      </c>
      <c r="F1765" s="4" t="s">
        <v>363</v>
      </c>
      <c r="G1765" s="4" t="s">
        <v>390</v>
      </c>
    </row>
    <row r="1766" spans="1:7" x14ac:dyDescent="0.25">
      <c r="A1766" s="4" t="s">
        <v>389</v>
      </c>
      <c r="B1766" s="4" t="s">
        <v>387</v>
      </c>
      <c r="C1766" s="4" t="s">
        <v>414</v>
      </c>
      <c r="D1766" s="4" t="s">
        <v>756</v>
      </c>
      <c r="E1766" s="4" t="s">
        <v>2532</v>
      </c>
      <c r="F1766" s="4" t="s">
        <v>128</v>
      </c>
      <c r="G1766" s="4" t="s">
        <v>864</v>
      </c>
    </row>
    <row r="1767" spans="1:7" x14ac:dyDescent="0.25">
      <c r="A1767" s="4" t="s">
        <v>389</v>
      </c>
      <c r="B1767" s="4" t="s">
        <v>387</v>
      </c>
      <c r="C1767" s="4" t="s">
        <v>414</v>
      </c>
      <c r="D1767" s="4" t="s">
        <v>756</v>
      </c>
      <c r="E1767" s="4" t="s">
        <v>2533</v>
      </c>
      <c r="F1767" s="4" t="s">
        <v>128</v>
      </c>
      <c r="G1767" s="4" t="s">
        <v>864</v>
      </c>
    </row>
    <row r="1768" spans="1:7" x14ac:dyDescent="0.25">
      <c r="A1768" s="4" t="s">
        <v>389</v>
      </c>
      <c r="B1768" s="4" t="s">
        <v>387</v>
      </c>
      <c r="C1768" s="4" t="s">
        <v>414</v>
      </c>
      <c r="D1768" s="4" t="s">
        <v>756</v>
      </c>
      <c r="E1768" s="4" t="s">
        <v>1404</v>
      </c>
      <c r="F1768" s="4" t="s">
        <v>128</v>
      </c>
      <c r="G1768" s="4" t="s">
        <v>864</v>
      </c>
    </row>
    <row r="1769" spans="1:7" x14ac:dyDescent="0.25">
      <c r="A1769" s="4" t="s">
        <v>389</v>
      </c>
      <c r="B1769" s="4" t="s">
        <v>387</v>
      </c>
      <c r="C1769" s="4" t="s">
        <v>414</v>
      </c>
      <c r="D1769" s="4" t="s">
        <v>756</v>
      </c>
      <c r="E1769" s="4" t="s">
        <v>2534</v>
      </c>
      <c r="F1769" s="4" t="s">
        <v>128</v>
      </c>
      <c r="G1769" s="4" t="s">
        <v>864</v>
      </c>
    </row>
    <row r="1770" spans="1:7" x14ac:dyDescent="0.25">
      <c r="A1770" s="4" t="s">
        <v>389</v>
      </c>
      <c r="B1770" s="4" t="s">
        <v>387</v>
      </c>
      <c r="C1770" s="4" t="s">
        <v>414</v>
      </c>
      <c r="D1770" s="4" t="s">
        <v>756</v>
      </c>
      <c r="E1770" s="4" t="s">
        <v>2535</v>
      </c>
      <c r="F1770" s="4" t="s">
        <v>128</v>
      </c>
      <c r="G1770" s="4" t="s">
        <v>864</v>
      </c>
    </row>
    <row r="1771" spans="1:7" x14ac:dyDescent="0.25">
      <c r="A1771" s="4" t="s">
        <v>389</v>
      </c>
      <c r="B1771" s="4" t="s">
        <v>387</v>
      </c>
      <c r="C1771" s="4" t="s">
        <v>414</v>
      </c>
      <c r="D1771" s="4" t="s">
        <v>756</v>
      </c>
      <c r="E1771" s="4" t="s">
        <v>2536</v>
      </c>
      <c r="F1771" s="4" t="s">
        <v>128</v>
      </c>
      <c r="G1771" s="4" t="s">
        <v>864</v>
      </c>
    </row>
    <row r="1772" spans="1:7" x14ac:dyDescent="0.25">
      <c r="A1772" s="4" t="s">
        <v>389</v>
      </c>
      <c r="B1772" s="4" t="s">
        <v>387</v>
      </c>
      <c r="C1772" s="4" t="s">
        <v>414</v>
      </c>
      <c r="D1772" s="4" t="s">
        <v>756</v>
      </c>
      <c r="E1772" s="4" t="s">
        <v>2537</v>
      </c>
      <c r="F1772" s="4" t="s">
        <v>21</v>
      </c>
      <c r="G1772" s="4" t="s">
        <v>865</v>
      </c>
    </row>
    <row r="1773" spans="1:7" x14ac:dyDescent="0.25">
      <c r="A1773" s="4" t="s">
        <v>389</v>
      </c>
      <c r="B1773" s="4" t="s">
        <v>387</v>
      </c>
      <c r="C1773" s="4" t="s">
        <v>414</v>
      </c>
      <c r="D1773" s="4" t="s">
        <v>756</v>
      </c>
      <c r="E1773" s="4" t="s">
        <v>1222</v>
      </c>
      <c r="F1773" s="4" t="s">
        <v>21</v>
      </c>
      <c r="G1773" s="4" t="s">
        <v>865</v>
      </c>
    </row>
    <row r="1774" spans="1:7" x14ac:dyDescent="0.25">
      <c r="A1774" s="4" t="s">
        <v>389</v>
      </c>
      <c r="B1774" s="4" t="s">
        <v>387</v>
      </c>
      <c r="C1774" s="4" t="s">
        <v>414</v>
      </c>
      <c r="D1774" s="4" t="s">
        <v>756</v>
      </c>
      <c r="E1774" s="4" t="s">
        <v>2538</v>
      </c>
      <c r="F1774" s="4" t="s">
        <v>21</v>
      </c>
      <c r="G1774" s="4" t="s">
        <v>865</v>
      </c>
    </row>
    <row r="1775" spans="1:7" x14ac:dyDescent="0.25">
      <c r="A1775" s="4" t="s">
        <v>389</v>
      </c>
      <c r="B1775" s="4" t="s">
        <v>387</v>
      </c>
      <c r="C1775" s="4" t="s">
        <v>414</v>
      </c>
      <c r="D1775" s="4" t="s">
        <v>756</v>
      </c>
      <c r="E1775" s="4" t="s">
        <v>2539</v>
      </c>
      <c r="F1775" s="4" t="s">
        <v>21</v>
      </c>
      <c r="G1775" s="4" t="s">
        <v>865</v>
      </c>
    </row>
    <row r="1776" spans="1:7" x14ac:dyDescent="0.25">
      <c r="A1776" s="4" t="s">
        <v>389</v>
      </c>
      <c r="B1776" s="4" t="s">
        <v>387</v>
      </c>
      <c r="C1776" s="4" t="s">
        <v>414</v>
      </c>
      <c r="D1776" s="4" t="s">
        <v>756</v>
      </c>
      <c r="E1776" s="4" t="s">
        <v>2540</v>
      </c>
      <c r="F1776" s="4" t="s">
        <v>21</v>
      </c>
      <c r="G1776" s="4" t="s">
        <v>865</v>
      </c>
    </row>
    <row r="1777" spans="1:7" x14ac:dyDescent="0.25">
      <c r="A1777" s="4" t="s">
        <v>389</v>
      </c>
      <c r="B1777" s="4" t="s">
        <v>387</v>
      </c>
      <c r="C1777" s="4" t="s">
        <v>414</v>
      </c>
      <c r="D1777" s="4" t="s">
        <v>757</v>
      </c>
      <c r="E1777" s="4" t="s">
        <v>1566</v>
      </c>
      <c r="F1777" s="4" t="s">
        <v>363</v>
      </c>
      <c r="G1777" s="4" t="s">
        <v>390</v>
      </c>
    </row>
    <row r="1778" spans="1:7" x14ac:dyDescent="0.25">
      <c r="A1778" s="4" t="s">
        <v>389</v>
      </c>
      <c r="B1778" s="4" t="s">
        <v>387</v>
      </c>
      <c r="C1778" s="4" t="s">
        <v>414</v>
      </c>
      <c r="D1778" s="4" t="s">
        <v>757</v>
      </c>
      <c r="E1778" s="4" t="s">
        <v>2541</v>
      </c>
      <c r="F1778" s="4" t="s">
        <v>363</v>
      </c>
      <c r="G1778" s="4" t="s">
        <v>390</v>
      </c>
    </row>
    <row r="1779" spans="1:7" x14ac:dyDescent="0.25">
      <c r="A1779" s="4" t="s">
        <v>389</v>
      </c>
      <c r="B1779" s="4" t="s">
        <v>387</v>
      </c>
      <c r="C1779" s="4" t="s">
        <v>414</v>
      </c>
      <c r="D1779" s="4" t="s">
        <v>757</v>
      </c>
      <c r="E1779" s="4" t="s">
        <v>2542</v>
      </c>
      <c r="F1779" s="4" t="s">
        <v>363</v>
      </c>
      <c r="G1779" s="4" t="s">
        <v>390</v>
      </c>
    </row>
    <row r="1780" spans="1:7" x14ac:dyDescent="0.25">
      <c r="A1780" s="4" t="s">
        <v>389</v>
      </c>
      <c r="B1780" s="4" t="s">
        <v>387</v>
      </c>
      <c r="C1780" s="4" t="s">
        <v>414</v>
      </c>
      <c r="D1780" s="4" t="s">
        <v>757</v>
      </c>
      <c r="E1780" s="4" t="s">
        <v>1230</v>
      </c>
      <c r="F1780" s="4" t="s">
        <v>363</v>
      </c>
      <c r="G1780" s="4" t="s">
        <v>390</v>
      </c>
    </row>
    <row r="1781" spans="1:7" x14ac:dyDescent="0.25">
      <c r="A1781" s="4" t="s">
        <v>389</v>
      </c>
      <c r="B1781" s="4" t="s">
        <v>387</v>
      </c>
      <c r="C1781" s="4" t="s">
        <v>414</v>
      </c>
      <c r="D1781" s="4" t="s">
        <v>757</v>
      </c>
      <c r="E1781" s="4" t="s">
        <v>2543</v>
      </c>
      <c r="F1781" s="4" t="s">
        <v>363</v>
      </c>
      <c r="G1781" s="4" t="s">
        <v>390</v>
      </c>
    </row>
    <row r="1782" spans="1:7" x14ac:dyDescent="0.25">
      <c r="A1782" s="4" t="s">
        <v>389</v>
      </c>
      <c r="B1782" s="4" t="s">
        <v>387</v>
      </c>
      <c r="C1782" s="4" t="s">
        <v>414</v>
      </c>
      <c r="D1782" s="4" t="s">
        <v>757</v>
      </c>
      <c r="E1782" s="4" t="s">
        <v>2544</v>
      </c>
      <c r="F1782" s="4" t="s">
        <v>363</v>
      </c>
      <c r="G1782" s="4" t="s">
        <v>390</v>
      </c>
    </row>
    <row r="1783" spans="1:7" x14ac:dyDescent="0.25">
      <c r="A1783" s="4" t="s">
        <v>389</v>
      </c>
      <c r="B1783" s="4" t="s">
        <v>387</v>
      </c>
      <c r="C1783" s="4" t="s">
        <v>414</v>
      </c>
      <c r="D1783" s="4" t="s">
        <v>757</v>
      </c>
      <c r="E1783" s="4" t="s">
        <v>2545</v>
      </c>
      <c r="F1783" s="4" t="s">
        <v>363</v>
      </c>
      <c r="G1783" s="4" t="s">
        <v>390</v>
      </c>
    </row>
    <row r="1784" spans="1:7" x14ac:dyDescent="0.25">
      <c r="A1784" s="4" t="s">
        <v>389</v>
      </c>
      <c r="B1784" s="4" t="s">
        <v>387</v>
      </c>
      <c r="C1784" s="4" t="s">
        <v>414</v>
      </c>
      <c r="D1784" s="4" t="s">
        <v>757</v>
      </c>
      <c r="E1784" s="4" t="s">
        <v>2546</v>
      </c>
      <c r="F1784" s="4" t="s">
        <v>361</v>
      </c>
      <c r="G1784" s="4" t="s">
        <v>864</v>
      </c>
    </row>
    <row r="1785" spans="1:7" x14ac:dyDescent="0.25">
      <c r="A1785" s="4" t="s">
        <v>389</v>
      </c>
      <c r="B1785" s="4" t="s">
        <v>387</v>
      </c>
      <c r="C1785" s="4" t="s">
        <v>414</v>
      </c>
      <c r="D1785" s="4" t="s">
        <v>757</v>
      </c>
      <c r="E1785" s="4" t="s">
        <v>2547</v>
      </c>
      <c r="F1785" s="4" t="s">
        <v>361</v>
      </c>
      <c r="G1785" s="4" t="s">
        <v>864</v>
      </c>
    </row>
    <row r="1786" spans="1:7" x14ac:dyDescent="0.25">
      <c r="A1786" s="4" t="s">
        <v>389</v>
      </c>
      <c r="B1786" s="4" t="s">
        <v>387</v>
      </c>
      <c r="C1786" s="4" t="s">
        <v>414</v>
      </c>
      <c r="D1786" s="4" t="s">
        <v>757</v>
      </c>
      <c r="E1786" s="4" t="s">
        <v>2548</v>
      </c>
      <c r="F1786" s="4" t="s">
        <v>361</v>
      </c>
      <c r="G1786" s="4" t="s">
        <v>864</v>
      </c>
    </row>
    <row r="1787" spans="1:7" x14ac:dyDescent="0.25">
      <c r="A1787" s="4" t="s">
        <v>389</v>
      </c>
      <c r="B1787" s="4" t="s">
        <v>387</v>
      </c>
      <c r="C1787" s="4" t="s">
        <v>414</v>
      </c>
      <c r="D1787" s="4" t="s">
        <v>757</v>
      </c>
      <c r="E1787" s="4" t="s">
        <v>2549</v>
      </c>
      <c r="F1787" s="4" t="s">
        <v>361</v>
      </c>
      <c r="G1787" s="4" t="s">
        <v>864</v>
      </c>
    </row>
    <row r="1788" spans="1:7" x14ac:dyDescent="0.25">
      <c r="A1788" s="4" t="s">
        <v>389</v>
      </c>
      <c r="B1788" s="4" t="s">
        <v>387</v>
      </c>
      <c r="C1788" s="4" t="s">
        <v>414</v>
      </c>
      <c r="D1788" s="4" t="s">
        <v>757</v>
      </c>
      <c r="E1788" s="4" t="s">
        <v>2550</v>
      </c>
      <c r="F1788" s="4" t="s">
        <v>361</v>
      </c>
      <c r="G1788" s="4" t="s">
        <v>864</v>
      </c>
    </row>
    <row r="1789" spans="1:7" x14ac:dyDescent="0.25">
      <c r="A1789" s="4" t="s">
        <v>389</v>
      </c>
      <c r="B1789" s="4" t="s">
        <v>387</v>
      </c>
      <c r="C1789" s="4" t="s">
        <v>414</v>
      </c>
      <c r="D1789" s="4" t="s">
        <v>757</v>
      </c>
      <c r="E1789" s="4" t="s">
        <v>1231</v>
      </c>
      <c r="F1789" s="4" t="s">
        <v>179</v>
      </c>
      <c r="G1789" s="4" t="s">
        <v>865</v>
      </c>
    </row>
    <row r="1790" spans="1:7" x14ac:dyDescent="0.25">
      <c r="A1790" s="4" t="s">
        <v>389</v>
      </c>
      <c r="B1790" s="4" t="s">
        <v>387</v>
      </c>
      <c r="C1790" s="4" t="s">
        <v>414</v>
      </c>
      <c r="D1790" s="4" t="s">
        <v>757</v>
      </c>
      <c r="E1790" s="4" t="s">
        <v>2551</v>
      </c>
      <c r="F1790" s="4" t="s">
        <v>179</v>
      </c>
      <c r="G1790" s="4" t="s">
        <v>865</v>
      </c>
    </row>
    <row r="1791" spans="1:7" x14ac:dyDescent="0.25">
      <c r="A1791" s="4" t="s">
        <v>389</v>
      </c>
      <c r="B1791" s="4" t="s">
        <v>387</v>
      </c>
      <c r="C1791" s="4" t="s">
        <v>414</v>
      </c>
      <c r="D1791" s="4" t="s">
        <v>757</v>
      </c>
      <c r="E1791" s="4" t="s">
        <v>2552</v>
      </c>
      <c r="F1791" s="4" t="s">
        <v>179</v>
      </c>
      <c r="G1791" s="4" t="s">
        <v>865</v>
      </c>
    </row>
    <row r="1792" spans="1:7" x14ac:dyDescent="0.25">
      <c r="A1792" s="4" t="s">
        <v>389</v>
      </c>
      <c r="B1792" s="4" t="s">
        <v>387</v>
      </c>
      <c r="C1792" s="4" t="s">
        <v>414</v>
      </c>
      <c r="D1792" s="4" t="s">
        <v>757</v>
      </c>
      <c r="E1792" s="4" t="s">
        <v>2553</v>
      </c>
      <c r="F1792" s="4" t="s">
        <v>179</v>
      </c>
      <c r="G1792" s="4" t="s">
        <v>865</v>
      </c>
    </row>
    <row r="1793" spans="1:7" x14ac:dyDescent="0.25">
      <c r="A1793" s="4" t="s">
        <v>389</v>
      </c>
      <c r="B1793" s="4" t="s">
        <v>387</v>
      </c>
      <c r="C1793" s="4" t="s">
        <v>414</v>
      </c>
      <c r="D1793" s="4" t="s">
        <v>758</v>
      </c>
      <c r="E1793" s="4" t="s">
        <v>1226</v>
      </c>
      <c r="F1793" s="4" t="s">
        <v>363</v>
      </c>
      <c r="G1793" s="4" t="s">
        <v>390</v>
      </c>
    </row>
    <row r="1794" spans="1:7" x14ac:dyDescent="0.25">
      <c r="A1794" s="4" t="s">
        <v>389</v>
      </c>
      <c r="B1794" s="4" t="s">
        <v>387</v>
      </c>
      <c r="C1794" s="4" t="s">
        <v>414</v>
      </c>
      <c r="D1794" s="4" t="s">
        <v>758</v>
      </c>
      <c r="E1794" s="4" t="s">
        <v>1570</v>
      </c>
      <c r="F1794" s="4" t="s">
        <v>363</v>
      </c>
      <c r="G1794" s="4" t="s">
        <v>390</v>
      </c>
    </row>
    <row r="1795" spans="1:7" x14ac:dyDescent="0.25">
      <c r="A1795" s="4" t="s">
        <v>389</v>
      </c>
      <c r="B1795" s="4" t="s">
        <v>387</v>
      </c>
      <c r="C1795" s="4" t="s">
        <v>414</v>
      </c>
      <c r="D1795" s="4" t="s">
        <v>758</v>
      </c>
      <c r="E1795" s="4" t="s">
        <v>1230</v>
      </c>
      <c r="F1795" s="4" t="s">
        <v>363</v>
      </c>
      <c r="G1795" s="4" t="s">
        <v>390</v>
      </c>
    </row>
    <row r="1796" spans="1:7" x14ac:dyDescent="0.25">
      <c r="A1796" s="4" t="s">
        <v>389</v>
      </c>
      <c r="B1796" s="4" t="s">
        <v>387</v>
      </c>
      <c r="C1796" s="4" t="s">
        <v>414</v>
      </c>
      <c r="D1796" s="4" t="s">
        <v>758</v>
      </c>
      <c r="E1796" s="4" t="s">
        <v>1565</v>
      </c>
      <c r="F1796" s="4" t="s">
        <v>363</v>
      </c>
      <c r="G1796" s="4" t="s">
        <v>390</v>
      </c>
    </row>
    <row r="1797" spans="1:7" x14ac:dyDescent="0.25">
      <c r="A1797" s="4" t="s">
        <v>389</v>
      </c>
      <c r="B1797" s="4" t="s">
        <v>387</v>
      </c>
      <c r="C1797" s="4" t="s">
        <v>414</v>
      </c>
      <c r="D1797" s="4" t="s">
        <v>758</v>
      </c>
      <c r="E1797" s="4" t="s">
        <v>2554</v>
      </c>
      <c r="F1797" s="4" t="s">
        <v>363</v>
      </c>
      <c r="G1797" s="4" t="s">
        <v>390</v>
      </c>
    </row>
    <row r="1798" spans="1:7" x14ac:dyDescent="0.25">
      <c r="A1798" s="4" t="s">
        <v>389</v>
      </c>
      <c r="B1798" s="4" t="s">
        <v>387</v>
      </c>
      <c r="C1798" s="4" t="s">
        <v>414</v>
      </c>
      <c r="D1798" s="4" t="s">
        <v>758</v>
      </c>
      <c r="E1798" s="4" t="s">
        <v>2528</v>
      </c>
      <c r="F1798" s="4" t="s">
        <v>363</v>
      </c>
      <c r="G1798" s="4" t="s">
        <v>390</v>
      </c>
    </row>
    <row r="1799" spans="1:7" x14ac:dyDescent="0.25">
      <c r="A1799" s="4" t="s">
        <v>389</v>
      </c>
      <c r="B1799" s="4" t="s">
        <v>387</v>
      </c>
      <c r="C1799" s="4" t="s">
        <v>414</v>
      </c>
      <c r="D1799" s="4" t="s">
        <v>758</v>
      </c>
      <c r="E1799" s="4" t="s">
        <v>1568</v>
      </c>
      <c r="F1799" s="4" t="s">
        <v>363</v>
      </c>
      <c r="G1799" s="4" t="s">
        <v>390</v>
      </c>
    </row>
    <row r="1800" spans="1:7" x14ac:dyDescent="0.25">
      <c r="A1800" s="4" t="s">
        <v>389</v>
      </c>
      <c r="B1800" s="4" t="s">
        <v>387</v>
      </c>
      <c r="C1800" s="4" t="s">
        <v>414</v>
      </c>
      <c r="D1800" s="4" t="s">
        <v>758</v>
      </c>
      <c r="E1800" s="4" t="s">
        <v>2555</v>
      </c>
      <c r="F1800" s="4" t="s">
        <v>363</v>
      </c>
      <c r="G1800" s="4" t="s">
        <v>390</v>
      </c>
    </row>
    <row r="1801" spans="1:7" x14ac:dyDescent="0.25">
      <c r="A1801" s="4" t="s">
        <v>389</v>
      </c>
      <c r="B1801" s="4" t="s">
        <v>387</v>
      </c>
      <c r="C1801" s="4" t="s">
        <v>414</v>
      </c>
      <c r="D1801" s="4" t="s">
        <v>758</v>
      </c>
      <c r="E1801" s="4" t="s">
        <v>2556</v>
      </c>
      <c r="F1801" s="4" t="s">
        <v>361</v>
      </c>
      <c r="G1801" s="4" t="s">
        <v>864</v>
      </c>
    </row>
    <row r="1802" spans="1:7" x14ac:dyDescent="0.25">
      <c r="A1802" s="4" t="s">
        <v>389</v>
      </c>
      <c r="B1802" s="4" t="s">
        <v>387</v>
      </c>
      <c r="C1802" s="4" t="s">
        <v>414</v>
      </c>
      <c r="D1802" s="4" t="s">
        <v>758</v>
      </c>
      <c r="E1802" s="4" t="s">
        <v>1227</v>
      </c>
      <c r="F1802" s="4" t="s">
        <v>361</v>
      </c>
      <c r="G1802" s="4" t="s">
        <v>864</v>
      </c>
    </row>
    <row r="1803" spans="1:7" x14ac:dyDescent="0.25">
      <c r="A1803" s="4" t="s">
        <v>389</v>
      </c>
      <c r="B1803" s="4" t="s">
        <v>387</v>
      </c>
      <c r="C1803" s="4" t="s">
        <v>414</v>
      </c>
      <c r="D1803" s="4" t="s">
        <v>758</v>
      </c>
      <c r="E1803" s="4" t="s">
        <v>2549</v>
      </c>
      <c r="F1803" s="4" t="s">
        <v>361</v>
      </c>
      <c r="G1803" s="4" t="s">
        <v>864</v>
      </c>
    </row>
    <row r="1804" spans="1:7" x14ac:dyDescent="0.25">
      <c r="A1804" s="4" t="s">
        <v>389</v>
      </c>
      <c r="B1804" s="4" t="s">
        <v>387</v>
      </c>
      <c r="C1804" s="4" t="s">
        <v>414</v>
      </c>
      <c r="D1804" s="4" t="s">
        <v>758</v>
      </c>
      <c r="E1804" s="4" t="s">
        <v>2547</v>
      </c>
      <c r="F1804" s="4" t="s">
        <v>361</v>
      </c>
      <c r="G1804" s="4" t="s">
        <v>864</v>
      </c>
    </row>
    <row r="1805" spans="1:7" x14ac:dyDescent="0.25">
      <c r="A1805" s="4" t="s">
        <v>389</v>
      </c>
      <c r="B1805" s="4" t="s">
        <v>387</v>
      </c>
      <c r="C1805" s="4" t="s">
        <v>414</v>
      </c>
      <c r="D1805" s="4" t="s">
        <v>758</v>
      </c>
      <c r="E1805" s="4" t="s">
        <v>1409</v>
      </c>
      <c r="F1805" s="4" t="s">
        <v>21</v>
      </c>
      <c r="G1805" s="4" t="s">
        <v>865</v>
      </c>
    </row>
    <row r="1806" spans="1:7" x14ac:dyDescent="0.25">
      <c r="A1806" s="4" t="s">
        <v>389</v>
      </c>
      <c r="B1806" s="4" t="s">
        <v>387</v>
      </c>
      <c r="C1806" s="4" t="s">
        <v>414</v>
      </c>
      <c r="D1806" s="4" t="s">
        <v>758</v>
      </c>
      <c r="E1806" s="4" t="s">
        <v>2557</v>
      </c>
      <c r="F1806" s="4" t="s">
        <v>21</v>
      </c>
      <c r="G1806" s="4" t="s">
        <v>865</v>
      </c>
    </row>
    <row r="1807" spans="1:7" x14ac:dyDescent="0.25">
      <c r="A1807" s="4" t="s">
        <v>389</v>
      </c>
      <c r="B1807" s="4" t="s">
        <v>387</v>
      </c>
      <c r="C1807" s="4" t="s">
        <v>414</v>
      </c>
      <c r="D1807" s="4" t="s">
        <v>758</v>
      </c>
      <c r="E1807" s="4" t="s">
        <v>2558</v>
      </c>
      <c r="F1807" s="4" t="s">
        <v>21</v>
      </c>
      <c r="G1807" s="4" t="s">
        <v>865</v>
      </c>
    </row>
    <row r="1808" spans="1:7" x14ac:dyDescent="0.25">
      <c r="A1808" s="4" t="s">
        <v>389</v>
      </c>
      <c r="B1808" s="4" t="s">
        <v>387</v>
      </c>
      <c r="C1808" s="4" t="s">
        <v>414</v>
      </c>
      <c r="D1808" s="4" t="s">
        <v>758</v>
      </c>
      <c r="E1808" s="4" t="s">
        <v>1222</v>
      </c>
      <c r="F1808" s="4" t="s">
        <v>21</v>
      </c>
      <c r="G1808" s="4" t="s">
        <v>865</v>
      </c>
    </row>
    <row r="1809" spans="1:7" x14ac:dyDescent="0.25">
      <c r="A1809" s="4" t="s">
        <v>389</v>
      </c>
      <c r="B1809" s="4" t="s">
        <v>387</v>
      </c>
      <c r="C1809" s="4" t="s">
        <v>414</v>
      </c>
      <c r="D1809" s="4" t="s">
        <v>758</v>
      </c>
      <c r="E1809" s="4" t="s">
        <v>2539</v>
      </c>
      <c r="F1809" s="4" t="s">
        <v>21</v>
      </c>
      <c r="G1809" s="4" t="s">
        <v>865</v>
      </c>
    </row>
    <row r="1810" spans="1:7" x14ac:dyDescent="0.25">
      <c r="A1810" s="4" t="s">
        <v>389</v>
      </c>
      <c r="B1810" s="4" t="s">
        <v>394</v>
      </c>
      <c r="C1810" s="4" t="s">
        <v>759</v>
      </c>
      <c r="D1810" s="4" t="s">
        <v>760</v>
      </c>
      <c r="E1810" s="4" t="s">
        <v>2559</v>
      </c>
      <c r="F1810" s="4" t="s">
        <v>287</v>
      </c>
      <c r="G1810" s="4" t="s">
        <v>390</v>
      </c>
    </row>
    <row r="1811" spans="1:7" x14ac:dyDescent="0.25">
      <c r="A1811" s="4" t="s">
        <v>389</v>
      </c>
      <c r="B1811" s="4" t="s">
        <v>394</v>
      </c>
      <c r="C1811" s="4" t="s">
        <v>759</v>
      </c>
      <c r="D1811" s="4" t="s">
        <v>760</v>
      </c>
      <c r="E1811" s="4" t="s">
        <v>2560</v>
      </c>
      <c r="F1811" s="4" t="s">
        <v>287</v>
      </c>
      <c r="G1811" s="4" t="s">
        <v>390</v>
      </c>
    </row>
    <row r="1812" spans="1:7" x14ac:dyDescent="0.25">
      <c r="A1812" s="4" t="s">
        <v>389</v>
      </c>
      <c r="B1812" s="4" t="s">
        <v>394</v>
      </c>
      <c r="C1812" s="4" t="s">
        <v>759</v>
      </c>
      <c r="D1812" s="4" t="s">
        <v>760</v>
      </c>
      <c r="E1812" s="4" t="s">
        <v>2561</v>
      </c>
      <c r="F1812" s="4" t="s">
        <v>77</v>
      </c>
      <c r="G1812" s="4" t="s">
        <v>864</v>
      </c>
    </row>
    <row r="1813" spans="1:7" x14ac:dyDescent="0.25">
      <c r="A1813" s="4" t="s">
        <v>389</v>
      </c>
      <c r="B1813" s="4" t="s">
        <v>394</v>
      </c>
      <c r="C1813" s="4" t="s">
        <v>759</v>
      </c>
      <c r="D1813" s="4" t="s">
        <v>760</v>
      </c>
      <c r="E1813" s="4" t="s">
        <v>2562</v>
      </c>
      <c r="F1813" s="4" t="s">
        <v>77</v>
      </c>
      <c r="G1813" s="4" t="s">
        <v>864</v>
      </c>
    </row>
    <row r="1814" spans="1:7" x14ac:dyDescent="0.25">
      <c r="A1814" s="4" t="s">
        <v>389</v>
      </c>
      <c r="B1814" s="4" t="s">
        <v>394</v>
      </c>
      <c r="C1814" s="4" t="s">
        <v>759</v>
      </c>
      <c r="D1814" s="4" t="s">
        <v>760</v>
      </c>
      <c r="E1814" s="4" t="s">
        <v>2563</v>
      </c>
      <c r="F1814" s="4" t="s">
        <v>179</v>
      </c>
      <c r="G1814" s="4" t="s">
        <v>865</v>
      </c>
    </row>
    <row r="1815" spans="1:7" x14ac:dyDescent="0.25">
      <c r="A1815" s="4" t="s">
        <v>389</v>
      </c>
      <c r="B1815" s="4" t="s">
        <v>394</v>
      </c>
      <c r="C1815" s="4" t="s">
        <v>759</v>
      </c>
      <c r="D1815" s="4" t="s">
        <v>760</v>
      </c>
      <c r="E1815" s="4" t="s">
        <v>2564</v>
      </c>
      <c r="F1815" s="4" t="s">
        <v>179</v>
      </c>
      <c r="G1815" s="4" t="s">
        <v>865</v>
      </c>
    </row>
    <row r="1816" spans="1:7" x14ac:dyDescent="0.25">
      <c r="A1816" s="4" t="s">
        <v>389</v>
      </c>
      <c r="B1816" s="4" t="s">
        <v>394</v>
      </c>
      <c r="C1816" s="4" t="s">
        <v>759</v>
      </c>
      <c r="D1816" s="4" t="s">
        <v>761</v>
      </c>
      <c r="E1816" s="4" t="s">
        <v>2565</v>
      </c>
      <c r="F1816" s="4" t="s">
        <v>287</v>
      </c>
      <c r="G1816" s="4" t="s">
        <v>390</v>
      </c>
    </row>
    <row r="1817" spans="1:7" x14ac:dyDescent="0.25">
      <c r="A1817" s="4" t="s">
        <v>389</v>
      </c>
      <c r="B1817" s="4" t="s">
        <v>394</v>
      </c>
      <c r="C1817" s="4" t="s">
        <v>759</v>
      </c>
      <c r="D1817" s="4" t="s">
        <v>761</v>
      </c>
      <c r="E1817" s="4" t="s">
        <v>2559</v>
      </c>
      <c r="F1817" s="4" t="s">
        <v>287</v>
      </c>
      <c r="G1817" s="4" t="s">
        <v>390</v>
      </c>
    </row>
    <row r="1818" spans="1:7" x14ac:dyDescent="0.25">
      <c r="A1818" s="4" t="s">
        <v>389</v>
      </c>
      <c r="B1818" s="4" t="s">
        <v>394</v>
      </c>
      <c r="C1818" s="4" t="s">
        <v>759</v>
      </c>
      <c r="D1818" s="4" t="s">
        <v>761</v>
      </c>
      <c r="E1818" s="4" t="s">
        <v>2566</v>
      </c>
      <c r="F1818" s="4" t="s">
        <v>287</v>
      </c>
      <c r="G1818" s="4" t="s">
        <v>390</v>
      </c>
    </row>
    <row r="1819" spans="1:7" x14ac:dyDescent="0.25">
      <c r="A1819" s="4" t="s">
        <v>389</v>
      </c>
      <c r="B1819" s="4" t="s">
        <v>394</v>
      </c>
      <c r="C1819" s="4" t="s">
        <v>759</v>
      </c>
      <c r="D1819" s="4" t="s">
        <v>761</v>
      </c>
      <c r="E1819" s="4" t="s">
        <v>2567</v>
      </c>
      <c r="F1819" s="4" t="s">
        <v>287</v>
      </c>
      <c r="G1819" s="4" t="s">
        <v>390</v>
      </c>
    </row>
    <row r="1820" spans="1:7" x14ac:dyDescent="0.25">
      <c r="A1820" s="4" t="s">
        <v>389</v>
      </c>
      <c r="B1820" s="4" t="s">
        <v>394</v>
      </c>
      <c r="C1820" s="4" t="s">
        <v>759</v>
      </c>
      <c r="D1820" s="4" t="s">
        <v>761</v>
      </c>
      <c r="E1820" s="4" t="s">
        <v>2568</v>
      </c>
      <c r="F1820" s="4" t="s">
        <v>287</v>
      </c>
      <c r="G1820" s="4" t="s">
        <v>390</v>
      </c>
    </row>
    <row r="1821" spans="1:7" x14ac:dyDescent="0.25">
      <c r="A1821" s="4" t="s">
        <v>389</v>
      </c>
      <c r="B1821" s="4" t="s">
        <v>394</v>
      </c>
      <c r="C1821" s="4" t="s">
        <v>759</v>
      </c>
      <c r="D1821" s="4" t="s">
        <v>761</v>
      </c>
      <c r="E1821" s="4" t="s">
        <v>2560</v>
      </c>
      <c r="F1821" s="4" t="s">
        <v>287</v>
      </c>
      <c r="G1821" s="4" t="s">
        <v>390</v>
      </c>
    </row>
    <row r="1822" spans="1:7" x14ac:dyDescent="0.25">
      <c r="A1822" s="4" t="s">
        <v>389</v>
      </c>
      <c r="B1822" s="4" t="s">
        <v>394</v>
      </c>
      <c r="C1822" s="4" t="s">
        <v>759</v>
      </c>
      <c r="D1822" s="4" t="s">
        <v>761</v>
      </c>
      <c r="E1822" s="4" t="s">
        <v>2569</v>
      </c>
      <c r="F1822" s="4" t="s">
        <v>287</v>
      </c>
      <c r="G1822" s="4" t="s">
        <v>390</v>
      </c>
    </row>
    <row r="1823" spans="1:7" x14ac:dyDescent="0.25">
      <c r="A1823" s="4" t="s">
        <v>389</v>
      </c>
      <c r="B1823" s="4" t="s">
        <v>394</v>
      </c>
      <c r="C1823" s="4" t="s">
        <v>759</v>
      </c>
      <c r="D1823" s="4" t="s">
        <v>761</v>
      </c>
      <c r="E1823" s="4" t="s">
        <v>2570</v>
      </c>
      <c r="F1823" s="4" t="s">
        <v>287</v>
      </c>
      <c r="G1823" s="4" t="s">
        <v>390</v>
      </c>
    </row>
    <row r="1824" spans="1:7" x14ac:dyDescent="0.25">
      <c r="A1824" s="4" t="s">
        <v>389</v>
      </c>
      <c r="B1824" s="4" t="s">
        <v>394</v>
      </c>
      <c r="C1824" s="4" t="s">
        <v>759</v>
      </c>
      <c r="D1824" s="4" t="s">
        <v>761</v>
      </c>
      <c r="E1824" s="4" t="s">
        <v>2571</v>
      </c>
      <c r="F1824" s="4" t="s">
        <v>287</v>
      </c>
      <c r="G1824" s="4" t="s">
        <v>390</v>
      </c>
    </row>
    <row r="1825" spans="1:7" x14ac:dyDescent="0.25">
      <c r="A1825" s="4" t="s">
        <v>389</v>
      </c>
      <c r="B1825" s="4" t="s">
        <v>394</v>
      </c>
      <c r="C1825" s="4" t="s">
        <v>759</v>
      </c>
      <c r="D1825" s="4" t="s">
        <v>761</v>
      </c>
      <c r="E1825" s="4" t="s">
        <v>2572</v>
      </c>
      <c r="F1825" s="4" t="s">
        <v>77</v>
      </c>
      <c r="G1825" s="4" t="s">
        <v>864</v>
      </c>
    </row>
    <row r="1826" spans="1:7" x14ac:dyDescent="0.25">
      <c r="A1826" s="4" t="s">
        <v>389</v>
      </c>
      <c r="B1826" s="4" t="s">
        <v>394</v>
      </c>
      <c r="C1826" s="4" t="s">
        <v>759</v>
      </c>
      <c r="D1826" s="4" t="s">
        <v>761</v>
      </c>
      <c r="E1826" s="4" t="s">
        <v>2573</v>
      </c>
      <c r="F1826" s="4" t="s">
        <v>77</v>
      </c>
      <c r="G1826" s="4" t="s">
        <v>864</v>
      </c>
    </row>
    <row r="1827" spans="1:7" x14ac:dyDescent="0.25">
      <c r="A1827" s="4" t="s">
        <v>389</v>
      </c>
      <c r="B1827" s="4" t="s">
        <v>394</v>
      </c>
      <c r="C1827" s="4" t="s">
        <v>759</v>
      </c>
      <c r="D1827" s="4" t="s">
        <v>761</v>
      </c>
      <c r="E1827" s="4" t="s">
        <v>2561</v>
      </c>
      <c r="F1827" s="4" t="s">
        <v>77</v>
      </c>
      <c r="G1827" s="4" t="s">
        <v>864</v>
      </c>
    </row>
    <row r="1828" spans="1:7" x14ac:dyDescent="0.25">
      <c r="A1828" s="4" t="s">
        <v>389</v>
      </c>
      <c r="B1828" s="4" t="s">
        <v>394</v>
      </c>
      <c r="C1828" s="4" t="s">
        <v>759</v>
      </c>
      <c r="D1828" s="4" t="s">
        <v>761</v>
      </c>
      <c r="E1828" s="4" t="s">
        <v>2574</v>
      </c>
      <c r="F1828" s="4" t="s">
        <v>77</v>
      </c>
      <c r="G1828" s="4" t="s">
        <v>864</v>
      </c>
    </row>
    <row r="1829" spans="1:7" x14ac:dyDescent="0.25">
      <c r="A1829" s="4" t="s">
        <v>389</v>
      </c>
      <c r="B1829" s="4" t="s">
        <v>394</v>
      </c>
      <c r="C1829" s="4" t="s">
        <v>759</v>
      </c>
      <c r="D1829" s="4" t="s">
        <v>761</v>
      </c>
      <c r="E1829" s="4" t="s">
        <v>2575</v>
      </c>
      <c r="F1829" s="4" t="s">
        <v>77</v>
      </c>
      <c r="G1829" s="4" t="s">
        <v>864</v>
      </c>
    </row>
    <row r="1830" spans="1:7" x14ac:dyDescent="0.25">
      <c r="A1830" s="4" t="s">
        <v>389</v>
      </c>
      <c r="B1830" s="4" t="s">
        <v>394</v>
      </c>
      <c r="C1830" s="4" t="s">
        <v>759</v>
      </c>
      <c r="D1830" s="4" t="s">
        <v>761</v>
      </c>
      <c r="E1830" s="4" t="s">
        <v>2562</v>
      </c>
      <c r="F1830" s="4" t="s">
        <v>77</v>
      </c>
      <c r="G1830" s="4" t="s">
        <v>864</v>
      </c>
    </row>
    <row r="1831" spans="1:7" x14ac:dyDescent="0.25">
      <c r="A1831" s="4" t="s">
        <v>389</v>
      </c>
      <c r="B1831" s="4" t="s">
        <v>394</v>
      </c>
      <c r="C1831" s="4" t="s">
        <v>759</v>
      </c>
      <c r="D1831" s="4" t="s">
        <v>761</v>
      </c>
      <c r="E1831" s="4" t="s">
        <v>2576</v>
      </c>
      <c r="F1831" s="4" t="s">
        <v>77</v>
      </c>
      <c r="G1831" s="4" t="s">
        <v>864</v>
      </c>
    </row>
    <row r="1832" spans="1:7" x14ac:dyDescent="0.25">
      <c r="A1832" s="4" t="s">
        <v>389</v>
      </c>
      <c r="B1832" s="4" t="s">
        <v>394</v>
      </c>
      <c r="C1832" s="4" t="s">
        <v>759</v>
      </c>
      <c r="D1832" s="4" t="s">
        <v>761</v>
      </c>
      <c r="E1832" s="4" t="s">
        <v>2577</v>
      </c>
      <c r="F1832" s="4" t="s">
        <v>77</v>
      </c>
      <c r="G1832" s="4" t="s">
        <v>864</v>
      </c>
    </row>
    <row r="1833" spans="1:7" x14ac:dyDescent="0.25">
      <c r="A1833" s="4" t="s">
        <v>389</v>
      </c>
      <c r="B1833" s="4" t="s">
        <v>394</v>
      </c>
      <c r="C1833" s="4" t="s">
        <v>759</v>
      </c>
      <c r="D1833" s="4" t="s">
        <v>761</v>
      </c>
      <c r="E1833" s="4" t="s">
        <v>2578</v>
      </c>
      <c r="F1833" s="4" t="s">
        <v>77</v>
      </c>
      <c r="G1833" s="4" t="s">
        <v>864</v>
      </c>
    </row>
    <row r="1834" spans="1:7" x14ac:dyDescent="0.25">
      <c r="A1834" s="4" t="s">
        <v>389</v>
      </c>
      <c r="B1834" s="4" t="s">
        <v>394</v>
      </c>
      <c r="C1834" s="4" t="s">
        <v>759</v>
      </c>
      <c r="D1834" s="4" t="s">
        <v>761</v>
      </c>
      <c r="E1834" s="4" t="s">
        <v>2579</v>
      </c>
      <c r="F1834" s="4" t="s">
        <v>179</v>
      </c>
      <c r="G1834" s="4" t="s">
        <v>865</v>
      </c>
    </row>
    <row r="1835" spans="1:7" x14ac:dyDescent="0.25">
      <c r="A1835" s="4" t="s">
        <v>389</v>
      </c>
      <c r="B1835" s="4" t="s">
        <v>394</v>
      </c>
      <c r="C1835" s="4" t="s">
        <v>759</v>
      </c>
      <c r="D1835" s="4" t="s">
        <v>761</v>
      </c>
      <c r="E1835" s="4" t="s">
        <v>2580</v>
      </c>
      <c r="F1835" s="4" t="s">
        <v>179</v>
      </c>
      <c r="G1835" s="4" t="s">
        <v>865</v>
      </c>
    </row>
    <row r="1836" spans="1:7" x14ac:dyDescent="0.25">
      <c r="A1836" s="4" t="s">
        <v>389</v>
      </c>
      <c r="B1836" s="4" t="s">
        <v>394</v>
      </c>
      <c r="C1836" s="4" t="s">
        <v>759</v>
      </c>
      <c r="D1836" s="4" t="s">
        <v>761</v>
      </c>
      <c r="E1836" s="4" t="s">
        <v>2563</v>
      </c>
      <c r="F1836" s="4" t="s">
        <v>179</v>
      </c>
      <c r="G1836" s="4" t="s">
        <v>865</v>
      </c>
    </row>
    <row r="1837" spans="1:7" x14ac:dyDescent="0.25">
      <c r="A1837" s="4" t="s">
        <v>389</v>
      </c>
      <c r="B1837" s="4" t="s">
        <v>394</v>
      </c>
      <c r="C1837" s="4" t="s">
        <v>759</v>
      </c>
      <c r="D1837" s="4" t="s">
        <v>761</v>
      </c>
      <c r="E1837" s="4" t="s">
        <v>2581</v>
      </c>
      <c r="F1837" s="4" t="s">
        <v>179</v>
      </c>
      <c r="G1837" s="4" t="s">
        <v>865</v>
      </c>
    </row>
    <row r="1838" spans="1:7" x14ac:dyDescent="0.25">
      <c r="A1838" s="4" t="s">
        <v>389</v>
      </c>
      <c r="B1838" s="4" t="s">
        <v>394</v>
      </c>
      <c r="C1838" s="4" t="s">
        <v>759</v>
      </c>
      <c r="D1838" s="4" t="s">
        <v>761</v>
      </c>
      <c r="E1838" s="4" t="s">
        <v>2564</v>
      </c>
      <c r="F1838" s="4" t="s">
        <v>179</v>
      </c>
      <c r="G1838" s="4" t="s">
        <v>865</v>
      </c>
    </row>
    <row r="1839" spans="1:7" x14ac:dyDescent="0.25">
      <c r="A1839" s="4" t="s">
        <v>389</v>
      </c>
      <c r="B1839" s="4" t="s">
        <v>394</v>
      </c>
      <c r="C1839" s="4" t="s">
        <v>759</v>
      </c>
      <c r="D1839" s="4" t="s">
        <v>761</v>
      </c>
      <c r="E1839" s="4" t="s">
        <v>2582</v>
      </c>
      <c r="F1839" s="4" t="s">
        <v>179</v>
      </c>
      <c r="G1839" s="4" t="s">
        <v>865</v>
      </c>
    </row>
    <row r="1840" spans="1:7" x14ac:dyDescent="0.25">
      <c r="A1840" s="4" t="s">
        <v>389</v>
      </c>
      <c r="B1840" s="4" t="s">
        <v>394</v>
      </c>
      <c r="C1840" s="4" t="s">
        <v>759</v>
      </c>
      <c r="D1840" s="4" t="s">
        <v>761</v>
      </c>
      <c r="E1840" s="4" t="s">
        <v>2583</v>
      </c>
      <c r="F1840" s="4" t="s">
        <v>179</v>
      </c>
      <c r="G1840" s="4" t="s">
        <v>865</v>
      </c>
    </row>
    <row r="1841" spans="1:7" x14ac:dyDescent="0.25">
      <c r="A1841" s="4" t="s">
        <v>389</v>
      </c>
      <c r="B1841" s="4" t="s">
        <v>394</v>
      </c>
      <c r="C1841" s="4" t="s">
        <v>759</v>
      </c>
      <c r="D1841" s="4" t="s">
        <v>761</v>
      </c>
      <c r="E1841" s="4" t="s">
        <v>2584</v>
      </c>
      <c r="F1841" s="4" t="s">
        <v>179</v>
      </c>
      <c r="G1841" s="4" t="s">
        <v>865</v>
      </c>
    </row>
    <row r="1842" spans="1:7" x14ac:dyDescent="0.25">
      <c r="A1842" s="4" t="s">
        <v>389</v>
      </c>
      <c r="B1842" s="4" t="s">
        <v>394</v>
      </c>
      <c r="C1842" s="4" t="s">
        <v>759</v>
      </c>
      <c r="D1842" s="4" t="s">
        <v>761</v>
      </c>
      <c r="E1842" s="4" t="s">
        <v>2585</v>
      </c>
      <c r="F1842" s="4" t="s">
        <v>179</v>
      </c>
      <c r="G1842" s="4" t="s">
        <v>865</v>
      </c>
    </row>
    <row r="1843" spans="1:7" x14ac:dyDescent="0.25">
      <c r="A1843" s="4" t="s">
        <v>389</v>
      </c>
      <c r="B1843" s="4" t="s">
        <v>394</v>
      </c>
      <c r="C1843" s="4" t="s">
        <v>415</v>
      </c>
      <c r="D1843" s="4" t="s">
        <v>478</v>
      </c>
      <c r="E1843" s="4" t="s">
        <v>1232</v>
      </c>
      <c r="F1843" s="4" t="s">
        <v>77</v>
      </c>
      <c r="G1843" s="4" t="s">
        <v>390</v>
      </c>
    </row>
    <row r="1844" spans="1:7" x14ac:dyDescent="0.25">
      <c r="A1844" s="4" t="s">
        <v>389</v>
      </c>
      <c r="B1844" s="4" t="s">
        <v>394</v>
      </c>
      <c r="C1844" s="4" t="s">
        <v>415</v>
      </c>
      <c r="D1844" s="4" t="s">
        <v>478</v>
      </c>
      <c r="E1844" s="4" t="s">
        <v>1415</v>
      </c>
      <c r="F1844" s="4" t="s">
        <v>77</v>
      </c>
      <c r="G1844" s="4" t="s">
        <v>390</v>
      </c>
    </row>
    <row r="1845" spans="1:7" x14ac:dyDescent="0.25">
      <c r="A1845" s="4" t="s">
        <v>389</v>
      </c>
      <c r="B1845" s="4" t="s">
        <v>394</v>
      </c>
      <c r="C1845" s="4" t="s">
        <v>415</v>
      </c>
      <c r="D1845" s="4" t="s">
        <v>478</v>
      </c>
      <c r="E1845" s="4" t="s">
        <v>2586</v>
      </c>
      <c r="F1845" s="4" t="s">
        <v>77</v>
      </c>
      <c r="G1845" s="4" t="s">
        <v>390</v>
      </c>
    </row>
    <row r="1846" spans="1:7" x14ac:dyDescent="0.25">
      <c r="A1846" s="4" t="s">
        <v>389</v>
      </c>
      <c r="B1846" s="4" t="s">
        <v>394</v>
      </c>
      <c r="C1846" s="4" t="s">
        <v>415</v>
      </c>
      <c r="D1846" s="4" t="s">
        <v>478</v>
      </c>
      <c r="E1846" s="4" t="s">
        <v>2587</v>
      </c>
      <c r="F1846" s="4" t="s">
        <v>136</v>
      </c>
      <c r="G1846" s="4" t="s">
        <v>864</v>
      </c>
    </row>
    <row r="1847" spans="1:7" x14ac:dyDescent="0.25">
      <c r="A1847" s="4" t="s">
        <v>389</v>
      </c>
      <c r="B1847" s="4" t="s">
        <v>394</v>
      </c>
      <c r="C1847" s="4" t="s">
        <v>415</v>
      </c>
      <c r="D1847" s="4" t="s">
        <v>478</v>
      </c>
      <c r="E1847" s="4" t="s">
        <v>2588</v>
      </c>
      <c r="F1847" s="4" t="s">
        <v>136</v>
      </c>
      <c r="G1847" s="4" t="s">
        <v>864</v>
      </c>
    </row>
    <row r="1848" spans="1:7" x14ac:dyDescent="0.25">
      <c r="A1848" s="4" t="s">
        <v>389</v>
      </c>
      <c r="B1848" s="4" t="s">
        <v>394</v>
      </c>
      <c r="C1848" s="4" t="s">
        <v>415</v>
      </c>
      <c r="D1848" s="4" t="s">
        <v>478</v>
      </c>
      <c r="E1848" s="4" t="s">
        <v>2589</v>
      </c>
      <c r="F1848" s="4" t="s">
        <v>136</v>
      </c>
      <c r="G1848" s="4" t="s">
        <v>864</v>
      </c>
    </row>
    <row r="1849" spans="1:7" x14ac:dyDescent="0.25">
      <c r="A1849" s="4" t="s">
        <v>389</v>
      </c>
      <c r="B1849" s="4" t="s">
        <v>394</v>
      </c>
      <c r="C1849" s="4" t="s">
        <v>415</v>
      </c>
      <c r="D1849" s="4" t="s">
        <v>478</v>
      </c>
      <c r="E1849" s="4" t="s">
        <v>2590</v>
      </c>
      <c r="F1849" s="4" t="s">
        <v>179</v>
      </c>
      <c r="G1849" s="4" t="s">
        <v>865</v>
      </c>
    </row>
    <row r="1850" spans="1:7" x14ac:dyDescent="0.25">
      <c r="A1850" s="4" t="s">
        <v>389</v>
      </c>
      <c r="B1850" s="4" t="s">
        <v>394</v>
      </c>
      <c r="C1850" s="4" t="s">
        <v>415</v>
      </c>
      <c r="D1850" s="4" t="s">
        <v>478</v>
      </c>
      <c r="E1850" s="4" t="s">
        <v>2591</v>
      </c>
      <c r="F1850" s="4" t="s">
        <v>179</v>
      </c>
      <c r="G1850" s="4" t="s">
        <v>865</v>
      </c>
    </row>
    <row r="1851" spans="1:7" x14ac:dyDescent="0.25">
      <c r="A1851" s="4" t="s">
        <v>389</v>
      </c>
      <c r="B1851" s="4" t="s">
        <v>394</v>
      </c>
      <c r="C1851" s="4" t="s">
        <v>415</v>
      </c>
      <c r="D1851" s="4" t="s">
        <v>478</v>
      </c>
      <c r="E1851" s="4" t="s">
        <v>2592</v>
      </c>
      <c r="F1851" s="4" t="s">
        <v>179</v>
      </c>
      <c r="G1851" s="4" t="s">
        <v>865</v>
      </c>
    </row>
    <row r="1852" spans="1:7" x14ac:dyDescent="0.25">
      <c r="A1852" s="4" t="s">
        <v>389</v>
      </c>
      <c r="B1852" s="4" t="s">
        <v>387</v>
      </c>
      <c r="C1852" s="4" t="s">
        <v>415</v>
      </c>
      <c r="D1852" s="4" t="s">
        <v>477</v>
      </c>
      <c r="E1852" s="4" t="s">
        <v>1233</v>
      </c>
      <c r="F1852" s="4" t="s">
        <v>77</v>
      </c>
      <c r="G1852" s="4" t="s">
        <v>390</v>
      </c>
    </row>
    <row r="1853" spans="1:7" x14ac:dyDescent="0.25">
      <c r="A1853" s="4" t="s">
        <v>389</v>
      </c>
      <c r="B1853" s="4" t="s">
        <v>387</v>
      </c>
      <c r="C1853" s="4" t="s">
        <v>415</v>
      </c>
      <c r="D1853" s="4" t="s">
        <v>477</v>
      </c>
      <c r="E1853" s="4" t="s">
        <v>2593</v>
      </c>
      <c r="F1853" s="4" t="s">
        <v>77</v>
      </c>
      <c r="G1853" s="4" t="s">
        <v>390</v>
      </c>
    </row>
    <row r="1854" spans="1:7" x14ac:dyDescent="0.25">
      <c r="A1854" s="4" t="s">
        <v>389</v>
      </c>
      <c r="B1854" s="4" t="s">
        <v>387</v>
      </c>
      <c r="C1854" s="4" t="s">
        <v>415</v>
      </c>
      <c r="D1854" s="4" t="s">
        <v>477</v>
      </c>
      <c r="E1854" s="4" t="s">
        <v>1416</v>
      </c>
      <c r="F1854" s="4" t="s">
        <v>77</v>
      </c>
      <c r="G1854" s="4" t="s">
        <v>390</v>
      </c>
    </row>
    <row r="1855" spans="1:7" x14ac:dyDescent="0.25">
      <c r="A1855" s="4" t="s">
        <v>389</v>
      </c>
      <c r="B1855" s="4" t="s">
        <v>387</v>
      </c>
      <c r="C1855" s="4" t="s">
        <v>415</v>
      </c>
      <c r="D1855" s="4" t="s">
        <v>477</v>
      </c>
      <c r="E1855" s="4" t="s">
        <v>1576</v>
      </c>
      <c r="F1855" s="4" t="s">
        <v>179</v>
      </c>
      <c r="G1855" s="4" t="s">
        <v>864</v>
      </c>
    </row>
    <row r="1856" spans="1:7" x14ac:dyDescent="0.25">
      <c r="A1856" s="4" t="s">
        <v>389</v>
      </c>
      <c r="B1856" s="4" t="s">
        <v>387</v>
      </c>
      <c r="C1856" s="4" t="s">
        <v>415</v>
      </c>
      <c r="D1856" s="4" t="s">
        <v>477</v>
      </c>
      <c r="E1856" s="4" t="s">
        <v>2594</v>
      </c>
      <c r="F1856" s="4" t="s">
        <v>179</v>
      </c>
      <c r="G1856" s="4" t="s">
        <v>864</v>
      </c>
    </row>
    <row r="1857" spans="1:7" x14ac:dyDescent="0.25">
      <c r="A1857" s="4" t="s">
        <v>389</v>
      </c>
      <c r="B1857" s="4" t="s">
        <v>387</v>
      </c>
      <c r="C1857" s="4" t="s">
        <v>415</v>
      </c>
      <c r="D1857" s="4" t="s">
        <v>477</v>
      </c>
      <c r="E1857" s="4" t="s">
        <v>2595</v>
      </c>
      <c r="F1857" s="4" t="s">
        <v>179</v>
      </c>
      <c r="G1857" s="4" t="s">
        <v>864</v>
      </c>
    </row>
    <row r="1858" spans="1:7" x14ac:dyDescent="0.25">
      <c r="A1858" s="4" t="s">
        <v>389</v>
      </c>
      <c r="B1858" s="4" t="s">
        <v>387</v>
      </c>
      <c r="C1858" s="4" t="s">
        <v>415</v>
      </c>
      <c r="D1858" s="4" t="s">
        <v>477</v>
      </c>
      <c r="E1858" s="4" t="s">
        <v>2596</v>
      </c>
      <c r="F1858" s="4" t="s">
        <v>136</v>
      </c>
      <c r="G1858" s="4" t="s">
        <v>865</v>
      </c>
    </row>
    <row r="1859" spans="1:7" x14ac:dyDescent="0.25">
      <c r="A1859" s="4" t="s">
        <v>389</v>
      </c>
      <c r="B1859" s="4" t="s">
        <v>387</v>
      </c>
      <c r="C1859" s="4" t="s">
        <v>415</v>
      </c>
      <c r="D1859" s="4" t="s">
        <v>477</v>
      </c>
      <c r="E1859" s="4" t="s">
        <v>2597</v>
      </c>
      <c r="F1859" s="4" t="s">
        <v>136</v>
      </c>
      <c r="G1859" s="4" t="s">
        <v>865</v>
      </c>
    </row>
    <row r="1860" spans="1:7" x14ac:dyDescent="0.25">
      <c r="A1860" s="4" t="s">
        <v>389</v>
      </c>
      <c r="B1860" s="4" t="s">
        <v>387</v>
      </c>
      <c r="C1860" s="4" t="s">
        <v>415</v>
      </c>
      <c r="D1860" s="4" t="s">
        <v>477</v>
      </c>
      <c r="E1860" s="4" t="s">
        <v>2598</v>
      </c>
      <c r="F1860" s="4" t="s">
        <v>136</v>
      </c>
      <c r="G1860" s="4" t="s">
        <v>865</v>
      </c>
    </row>
    <row r="1861" spans="1:7" x14ac:dyDescent="0.25">
      <c r="A1861" s="4" t="s">
        <v>389</v>
      </c>
      <c r="B1861" s="4" t="s">
        <v>387</v>
      </c>
      <c r="C1861" s="4" t="s">
        <v>417</v>
      </c>
      <c r="D1861" s="4" t="s">
        <v>548</v>
      </c>
      <c r="E1861" s="4" t="s">
        <v>2599</v>
      </c>
      <c r="F1861" s="4" t="s">
        <v>321</v>
      </c>
      <c r="G1861" s="4" t="s">
        <v>390</v>
      </c>
    </row>
    <row r="1862" spans="1:7" x14ac:dyDescent="0.25">
      <c r="A1862" s="4" t="s">
        <v>389</v>
      </c>
      <c r="B1862" s="4" t="s">
        <v>387</v>
      </c>
      <c r="C1862" s="4" t="s">
        <v>417</v>
      </c>
      <c r="D1862" s="4" t="s">
        <v>548</v>
      </c>
      <c r="E1862" s="4" t="s">
        <v>2600</v>
      </c>
      <c r="F1862" s="4" t="s">
        <v>321</v>
      </c>
      <c r="G1862" s="4" t="s">
        <v>390</v>
      </c>
    </row>
    <row r="1863" spans="1:7" x14ac:dyDescent="0.25">
      <c r="A1863" s="4" t="s">
        <v>389</v>
      </c>
      <c r="B1863" s="4" t="s">
        <v>387</v>
      </c>
      <c r="C1863" s="4" t="s">
        <v>417</v>
      </c>
      <c r="D1863" s="4" t="s">
        <v>548</v>
      </c>
      <c r="E1863" s="4" t="s">
        <v>2601</v>
      </c>
      <c r="F1863" s="4" t="s">
        <v>641</v>
      </c>
      <c r="G1863" s="4" t="s">
        <v>864</v>
      </c>
    </row>
    <row r="1864" spans="1:7" x14ac:dyDescent="0.25">
      <c r="A1864" s="4" t="s">
        <v>389</v>
      </c>
      <c r="B1864" s="4" t="s">
        <v>387</v>
      </c>
      <c r="C1864" s="4" t="s">
        <v>417</v>
      </c>
      <c r="D1864" s="4" t="s">
        <v>548</v>
      </c>
      <c r="E1864" s="4" t="s">
        <v>2602</v>
      </c>
      <c r="F1864" s="4" t="s">
        <v>641</v>
      </c>
      <c r="G1864" s="4" t="s">
        <v>864</v>
      </c>
    </row>
    <row r="1865" spans="1:7" x14ac:dyDescent="0.25">
      <c r="A1865" s="4" t="s">
        <v>389</v>
      </c>
      <c r="B1865" s="4" t="s">
        <v>387</v>
      </c>
      <c r="C1865" s="4" t="s">
        <v>417</v>
      </c>
      <c r="D1865" s="4" t="s">
        <v>548</v>
      </c>
      <c r="E1865" s="4" t="s">
        <v>2603</v>
      </c>
      <c r="F1865" s="4" t="s">
        <v>363</v>
      </c>
      <c r="G1865" s="4" t="s">
        <v>865</v>
      </c>
    </row>
    <row r="1866" spans="1:7" x14ac:dyDescent="0.25">
      <c r="A1866" s="4" t="s">
        <v>389</v>
      </c>
      <c r="B1866" s="4" t="s">
        <v>387</v>
      </c>
      <c r="C1866" s="4" t="s">
        <v>417</v>
      </c>
      <c r="D1866" s="4" t="s">
        <v>548</v>
      </c>
      <c r="E1866" s="4" t="s">
        <v>2604</v>
      </c>
      <c r="F1866" s="4" t="s">
        <v>363</v>
      </c>
      <c r="G1866" s="4" t="s">
        <v>865</v>
      </c>
    </row>
    <row r="1867" spans="1:7" x14ac:dyDescent="0.25">
      <c r="A1867" s="4" t="s">
        <v>389</v>
      </c>
      <c r="B1867" s="4" t="s">
        <v>394</v>
      </c>
      <c r="C1867" s="4" t="s">
        <v>417</v>
      </c>
      <c r="D1867" s="4" t="s">
        <v>549</v>
      </c>
      <c r="E1867" s="4" t="s">
        <v>2605</v>
      </c>
      <c r="F1867" s="4" t="s">
        <v>287</v>
      </c>
      <c r="G1867" s="4" t="s">
        <v>390</v>
      </c>
    </row>
    <row r="1868" spans="1:7" x14ac:dyDescent="0.25">
      <c r="A1868" s="4" t="s">
        <v>389</v>
      </c>
      <c r="B1868" s="4" t="s">
        <v>394</v>
      </c>
      <c r="C1868" s="4" t="s">
        <v>417</v>
      </c>
      <c r="D1868" s="4" t="s">
        <v>549</v>
      </c>
      <c r="E1868" s="4" t="s">
        <v>2606</v>
      </c>
      <c r="F1868" s="4" t="s">
        <v>287</v>
      </c>
      <c r="G1868" s="4" t="s">
        <v>390</v>
      </c>
    </row>
    <row r="1869" spans="1:7" x14ac:dyDescent="0.25">
      <c r="A1869" s="4" t="s">
        <v>389</v>
      </c>
      <c r="B1869" s="4" t="s">
        <v>394</v>
      </c>
      <c r="C1869" s="4" t="s">
        <v>417</v>
      </c>
      <c r="D1869" s="4" t="s">
        <v>549</v>
      </c>
      <c r="E1869" s="4" t="s">
        <v>2607</v>
      </c>
      <c r="F1869" s="4" t="s">
        <v>333</v>
      </c>
      <c r="G1869" s="4" t="s">
        <v>864</v>
      </c>
    </row>
    <row r="1870" spans="1:7" x14ac:dyDescent="0.25">
      <c r="A1870" s="4" t="s">
        <v>389</v>
      </c>
      <c r="B1870" s="4" t="s">
        <v>394</v>
      </c>
      <c r="C1870" s="4" t="s">
        <v>417</v>
      </c>
      <c r="D1870" s="4" t="s">
        <v>549</v>
      </c>
      <c r="E1870" s="4" t="s">
        <v>2608</v>
      </c>
      <c r="F1870" s="4" t="s">
        <v>333</v>
      </c>
      <c r="G1870" s="4" t="s">
        <v>864</v>
      </c>
    </row>
    <row r="1871" spans="1:7" x14ac:dyDescent="0.25">
      <c r="A1871" s="4" t="s">
        <v>389</v>
      </c>
      <c r="B1871" s="4" t="s">
        <v>394</v>
      </c>
      <c r="C1871" s="4" t="s">
        <v>417</v>
      </c>
      <c r="D1871" s="4" t="s">
        <v>549</v>
      </c>
      <c r="E1871" s="4" t="s">
        <v>2609</v>
      </c>
      <c r="F1871" s="4" t="s">
        <v>98</v>
      </c>
      <c r="G1871" s="4" t="s">
        <v>865</v>
      </c>
    </row>
    <row r="1872" spans="1:7" x14ac:dyDescent="0.25">
      <c r="A1872" s="4" t="s">
        <v>389</v>
      </c>
      <c r="B1872" s="4" t="s">
        <v>394</v>
      </c>
      <c r="C1872" s="4" t="s">
        <v>417</v>
      </c>
      <c r="D1872" s="4" t="s">
        <v>549</v>
      </c>
      <c r="E1872" s="4" t="s">
        <v>2610</v>
      </c>
      <c r="F1872" s="4" t="s">
        <v>98</v>
      </c>
      <c r="G1872" s="4" t="s">
        <v>865</v>
      </c>
    </row>
    <row r="1873" spans="1:7" x14ac:dyDescent="0.25">
      <c r="A1873" s="4" t="s">
        <v>389</v>
      </c>
      <c r="B1873" s="4" t="s">
        <v>399</v>
      </c>
      <c r="C1873" s="4" t="s">
        <v>417</v>
      </c>
      <c r="D1873" s="4" t="s">
        <v>550</v>
      </c>
      <c r="E1873" s="4" t="s">
        <v>2611</v>
      </c>
      <c r="F1873" s="4" t="s">
        <v>363</v>
      </c>
      <c r="G1873" s="4" t="s">
        <v>390</v>
      </c>
    </row>
    <row r="1874" spans="1:7" x14ac:dyDescent="0.25">
      <c r="A1874" s="4" t="s">
        <v>389</v>
      </c>
      <c r="B1874" s="4" t="s">
        <v>399</v>
      </c>
      <c r="C1874" s="4" t="s">
        <v>417</v>
      </c>
      <c r="D1874" s="4" t="s">
        <v>550</v>
      </c>
      <c r="E1874" s="4" t="s">
        <v>2604</v>
      </c>
      <c r="F1874" s="4" t="s">
        <v>363</v>
      </c>
      <c r="G1874" s="4" t="s">
        <v>390</v>
      </c>
    </row>
    <row r="1875" spans="1:7" x14ac:dyDescent="0.25">
      <c r="A1875" s="4" t="s">
        <v>389</v>
      </c>
      <c r="B1875" s="4" t="s">
        <v>399</v>
      </c>
      <c r="C1875" s="4" t="s">
        <v>417</v>
      </c>
      <c r="D1875" s="4" t="s">
        <v>550</v>
      </c>
      <c r="E1875" s="4" t="s">
        <v>2612</v>
      </c>
      <c r="F1875" s="4" t="s">
        <v>363</v>
      </c>
      <c r="G1875" s="4" t="s">
        <v>864</v>
      </c>
    </row>
    <row r="1876" spans="1:7" x14ac:dyDescent="0.25">
      <c r="A1876" s="4" t="s">
        <v>389</v>
      </c>
      <c r="B1876" s="4" t="s">
        <v>399</v>
      </c>
      <c r="C1876" s="4" t="s">
        <v>417</v>
      </c>
      <c r="D1876" s="4" t="s">
        <v>550</v>
      </c>
      <c r="E1876" s="4" t="s">
        <v>2613</v>
      </c>
      <c r="F1876" s="4" t="s">
        <v>363</v>
      </c>
      <c r="G1876" s="4" t="s">
        <v>864</v>
      </c>
    </row>
    <row r="1877" spans="1:7" x14ac:dyDescent="0.25">
      <c r="A1877" s="4" t="s">
        <v>389</v>
      </c>
      <c r="B1877" s="4" t="s">
        <v>399</v>
      </c>
      <c r="C1877" s="4" t="s">
        <v>417</v>
      </c>
      <c r="D1877" s="4" t="s">
        <v>550</v>
      </c>
      <c r="E1877" s="4" t="s">
        <v>2614</v>
      </c>
      <c r="F1877" s="4" t="s">
        <v>98</v>
      </c>
      <c r="G1877" s="4" t="s">
        <v>865</v>
      </c>
    </row>
    <row r="1878" spans="1:7" x14ac:dyDescent="0.25">
      <c r="A1878" s="4" t="s">
        <v>389</v>
      </c>
      <c r="B1878" s="4" t="s">
        <v>399</v>
      </c>
      <c r="C1878" s="4" t="s">
        <v>417</v>
      </c>
      <c r="D1878" s="4" t="s">
        <v>550</v>
      </c>
      <c r="E1878" s="4" t="s">
        <v>2615</v>
      </c>
      <c r="F1878" s="4" t="s">
        <v>98</v>
      </c>
      <c r="G1878" s="4" t="s">
        <v>865</v>
      </c>
    </row>
    <row r="1879" spans="1:7" x14ac:dyDescent="0.25">
      <c r="A1879" s="4" t="s">
        <v>389</v>
      </c>
      <c r="B1879" s="4" t="s">
        <v>387</v>
      </c>
      <c r="C1879" s="4" t="s">
        <v>419</v>
      </c>
      <c r="D1879" s="4" t="s">
        <v>387</v>
      </c>
      <c r="E1879" s="4" t="s">
        <v>2616</v>
      </c>
      <c r="F1879" s="4" t="s">
        <v>51</v>
      </c>
      <c r="G1879" s="4" t="s">
        <v>390</v>
      </c>
    </row>
    <row r="1880" spans="1:7" x14ac:dyDescent="0.25">
      <c r="A1880" s="4" t="s">
        <v>389</v>
      </c>
      <c r="B1880" s="4" t="s">
        <v>387</v>
      </c>
      <c r="C1880" s="4" t="s">
        <v>419</v>
      </c>
      <c r="D1880" s="4" t="s">
        <v>387</v>
      </c>
      <c r="E1880" s="4" t="s">
        <v>2617</v>
      </c>
      <c r="F1880" s="4" t="s">
        <v>51</v>
      </c>
      <c r="G1880" s="4" t="s">
        <v>390</v>
      </c>
    </row>
    <row r="1881" spans="1:7" x14ac:dyDescent="0.25">
      <c r="A1881" s="4" t="s">
        <v>389</v>
      </c>
      <c r="B1881" s="4" t="s">
        <v>387</v>
      </c>
      <c r="C1881" s="4" t="s">
        <v>419</v>
      </c>
      <c r="D1881" s="4" t="s">
        <v>387</v>
      </c>
      <c r="E1881" s="4" t="s">
        <v>2618</v>
      </c>
      <c r="F1881" s="4" t="s">
        <v>51</v>
      </c>
      <c r="G1881" s="4" t="s">
        <v>390</v>
      </c>
    </row>
    <row r="1882" spans="1:7" x14ac:dyDescent="0.25">
      <c r="A1882" s="4" t="s">
        <v>389</v>
      </c>
      <c r="B1882" s="4" t="s">
        <v>387</v>
      </c>
      <c r="C1882" s="4" t="s">
        <v>419</v>
      </c>
      <c r="D1882" s="4" t="s">
        <v>387</v>
      </c>
      <c r="E1882" s="4" t="s">
        <v>2619</v>
      </c>
      <c r="F1882" s="4" t="s">
        <v>51</v>
      </c>
      <c r="G1882" s="4" t="s">
        <v>390</v>
      </c>
    </row>
    <row r="1883" spans="1:7" x14ac:dyDescent="0.25">
      <c r="A1883" s="4" t="s">
        <v>389</v>
      </c>
      <c r="B1883" s="4" t="s">
        <v>387</v>
      </c>
      <c r="C1883" s="4" t="s">
        <v>419</v>
      </c>
      <c r="D1883" s="4" t="s">
        <v>387</v>
      </c>
      <c r="E1883" s="4" t="s">
        <v>2620</v>
      </c>
      <c r="F1883" s="4" t="s">
        <v>51</v>
      </c>
      <c r="G1883" s="4" t="s">
        <v>390</v>
      </c>
    </row>
    <row r="1884" spans="1:7" x14ac:dyDescent="0.25">
      <c r="A1884" s="4" t="s">
        <v>389</v>
      </c>
      <c r="B1884" s="4" t="s">
        <v>387</v>
      </c>
      <c r="C1884" s="4" t="s">
        <v>419</v>
      </c>
      <c r="D1884" s="4" t="s">
        <v>387</v>
      </c>
      <c r="E1884" s="4" t="s">
        <v>2621</v>
      </c>
      <c r="F1884" s="4" t="s">
        <v>51</v>
      </c>
      <c r="G1884" s="4" t="s">
        <v>390</v>
      </c>
    </row>
    <row r="1885" spans="1:7" x14ac:dyDescent="0.25">
      <c r="A1885" s="4" t="s">
        <v>389</v>
      </c>
      <c r="B1885" s="4" t="s">
        <v>387</v>
      </c>
      <c r="C1885" s="4" t="s">
        <v>419</v>
      </c>
      <c r="D1885" s="4" t="s">
        <v>387</v>
      </c>
      <c r="E1885" s="4" t="s">
        <v>2622</v>
      </c>
      <c r="F1885" s="4" t="s">
        <v>51</v>
      </c>
      <c r="G1885" s="4" t="s">
        <v>390</v>
      </c>
    </row>
    <row r="1886" spans="1:7" x14ac:dyDescent="0.25">
      <c r="A1886" s="4" t="s">
        <v>389</v>
      </c>
      <c r="B1886" s="4" t="s">
        <v>387</v>
      </c>
      <c r="C1886" s="4" t="s">
        <v>419</v>
      </c>
      <c r="D1886" s="4" t="s">
        <v>387</v>
      </c>
      <c r="E1886" s="4" t="s">
        <v>2623</v>
      </c>
      <c r="F1886" s="4" t="s">
        <v>51</v>
      </c>
      <c r="G1886" s="4" t="s">
        <v>390</v>
      </c>
    </row>
    <row r="1887" spans="1:7" x14ac:dyDescent="0.25">
      <c r="A1887" s="4" t="s">
        <v>389</v>
      </c>
      <c r="B1887" s="4" t="s">
        <v>387</v>
      </c>
      <c r="C1887" s="4" t="s">
        <v>419</v>
      </c>
      <c r="D1887" s="4" t="s">
        <v>387</v>
      </c>
      <c r="E1887" s="4" t="s">
        <v>2624</v>
      </c>
      <c r="F1887" s="4" t="s">
        <v>51</v>
      </c>
      <c r="G1887" s="4" t="s">
        <v>390</v>
      </c>
    </row>
    <row r="1888" spans="1:7" x14ac:dyDescent="0.25">
      <c r="A1888" s="4" t="s">
        <v>389</v>
      </c>
      <c r="B1888" s="4" t="s">
        <v>387</v>
      </c>
      <c r="C1888" s="4" t="s">
        <v>419</v>
      </c>
      <c r="D1888" s="4" t="s">
        <v>387</v>
      </c>
      <c r="E1888" s="4" t="s">
        <v>2625</v>
      </c>
      <c r="F1888" s="4" t="s">
        <v>51</v>
      </c>
      <c r="G1888" s="4" t="s">
        <v>390</v>
      </c>
    </row>
    <row r="1889" spans="1:7" x14ac:dyDescent="0.25">
      <c r="A1889" s="4" t="s">
        <v>389</v>
      </c>
      <c r="B1889" s="4" t="s">
        <v>387</v>
      </c>
      <c r="C1889" s="4" t="s">
        <v>419</v>
      </c>
      <c r="D1889" s="4" t="s">
        <v>387</v>
      </c>
      <c r="E1889" s="4" t="s">
        <v>2626</v>
      </c>
      <c r="F1889" s="4" t="s">
        <v>51</v>
      </c>
      <c r="G1889" s="4" t="s">
        <v>390</v>
      </c>
    </row>
    <row r="1890" spans="1:7" x14ac:dyDescent="0.25">
      <c r="A1890" s="4" t="s">
        <v>389</v>
      </c>
      <c r="B1890" s="4" t="s">
        <v>387</v>
      </c>
      <c r="C1890" s="4" t="s">
        <v>419</v>
      </c>
      <c r="D1890" s="4" t="s">
        <v>387</v>
      </c>
      <c r="E1890" s="4" t="s">
        <v>2627</v>
      </c>
      <c r="F1890" s="4" t="s">
        <v>51</v>
      </c>
      <c r="G1890" s="4" t="s">
        <v>390</v>
      </c>
    </row>
    <row r="1891" spans="1:7" x14ac:dyDescent="0.25">
      <c r="A1891" s="4" t="s">
        <v>389</v>
      </c>
      <c r="B1891" s="4" t="s">
        <v>387</v>
      </c>
      <c r="C1891" s="4" t="s">
        <v>419</v>
      </c>
      <c r="D1891" s="4" t="s">
        <v>387</v>
      </c>
      <c r="E1891" s="4" t="s">
        <v>2628</v>
      </c>
      <c r="F1891" s="4" t="s">
        <v>175</v>
      </c>
      <c r="G1891" s="4" t="s">
        <v>864</v>
      </c>
    </row>
    <row r="1892" spans="1:7" x14ac:dyDescent="0.25">
      <c r="A1892" s="4" t="s">
        <v>389</v>
      </c>
      <c r="B1892" s="4" t="s">
        <v>387</v>
      </c>
      <c r="C1892" s="4" t="s">
        <v>419</v>
      </c>
      <c r="D1892" s="4" t="s">
        <v>387</v>
      </c>
      <c r="E1892" s="4" t="s">
        <v>2629</v>
      </c>
      <c r="F1892" s="4" t="s">
        <v>175</v>
      </c>
      <c r="G1892" s="4" t="s">
        <v>864</v>
      </c>
    </row>
    <row r="1893" spans="1:7" x14ac:dyDescent="0.25">
      <c r="A1893" s="4" t="s">
        <v>389</v>
      </c>
      <c r="B1893" s="4" t="s">
        <v>387</v>
      </c>
      <c r="C1893" s="4" t="s">
        <v>419</v>
      </c>
      <c r="D1893" s="4" t="s">
        <v>387</v>
      </c>
      <c r="E1893" s="4" t="s">
        <v>2630</v>
      </c>
      <c r="F1893" s="4" t="s">
        <v>175</v>
      </c>
      <c r="G1893" s="4" t="s">
        <v>864</v>
      </c>
    </row>
    <row r="1894" spans="1:7" x14ac:dyDescent="0.25">
      <c r="A1894" s="4" t="s">
        <v>389</v>
      </c>
      <c r="B1894" s="4" t="s">
        <v>387</v>
      </c>
      <c r="C1894" s="4" t="s">
        <v>419</v>
      </c>
      <c r="D1894" s="4" t="s">
        <v>387</v>
      </c>
      <c r="E1894" s="4" t="s">
        <v>2631</v>
      </c>
      <c r="F1894" s="4" t="s">
        <v>175</v>
      </c>
      <c r="G1894" s="4" t="s">
        <v>864</v>
      </c>
    </row>
    <row r="1895" spans="1:7" x14ac:dyDescent="0.25">
      <c r="A1895" s="4" t="s">
        <v>389</v>
      </c>
      <c r="B1895" s="4" t="s">
        <v>387</v>
      </c>
      <c r="C1895" s="4" t="s">
        <v>419</v>
      </c>
      <c r="D1895" s="4" t="s">
        <v>387</v>
      </c>
      <c r="E1895" s="4" t="s">
        <v>2632</v>
      </c>
      <c r="F1895" s="4" t="s">
        <v>175</v>
      </c>
      <c r="G1895" s="4" t="s">
        <v>864</v>
      </c>
    </row>
    <row r="1896" spans="1:7" x14ac:dyDescent="0.25">
      <c r="A1896" s="4" t="s">
        <v>389</v>
      </c>
      <c r="B1896" s="4" t="s">
        <v>387</v>
      </c>
      <c r="C1896" s="4" t="s">
        <v>419</v>
      </c>
      <c r="D1896" s="4" t="s">
        <v>387</v>
      </c>
      <c r="E1896" s="4" t="s">
        <v>2633</v>
      </c>
      <c r="F1896" s="4" t="s">
        <v>175</v>
      </c>
      <c r="G1896" s="4" t="s">
        <v>864</v>
      </c>
    </row>
    <row r="1897" spans="1:7" x14ac:dyDescent="0.25">
      <c r="A1897" s="4" t="s">
        <v>389</v>
      </c>
      <c r="B1897" s="4" t="s">
        <v>387</v>
      </c>
      <c r="C1897" s="4" t="s">
        <v>419</v>
      </c>
      <c r="D1897" s="4" t="s">
        <v>387</v>
      </c>
      <c r="E1897" s="4" t="s">
        <v>2634</v>
      </c>
      <c r="F1897" s="4" t="s">
        <v>175</v>
      </c>
      <c r="G1897" s="4" t="s">
        <v>864</v>
      </c>
    </row>
    <row r="1898" spans="1:7" x14ac:dyDescent="0.25">
      <c r="A1898" s="4" t="s">
        <v>389</v>
      </c>
      <c r="B1898" s="4" t="s">
        <v>387</v>
      </c>
      <c r="C1898" s="4" t="s">
        <v>419</v>
      </c>
      <c r="D1898" s="4" t="s">
        <v>387</v>
      </c>
      <c r="E1898" s="4" t="s">
        <v>2635</v>
      </c>
      <c r="F1898" s="4" t="s">
        <v>175</v>
      </c>
      <c r="G1898" s="4" t="s">
        <v>864</v>
      </c>
    </row>
    <row r="1899" spans="1:7" x14ac:dyDescent="0.25">
      <c r="A1899" s="4" t="s">
        <v>389</v>
      </c>
      <c r="B1899" s="4" t="s">
        <v>387</v>
      </c>
      <c r="C1899" s="4" t="s">
        <v>419</v>
      </c>
      <c r="D1899" s="4" t="s">
        <v>387</v>
      </c>
      <c r="E1899" s="4" t="s">
        <v>2636</v>
      </c>
      <c r="F1899" s="4" t="s">
        <v>175</v>
      </c>
      <c r="G1899" s="4" t="s">
        <v>864</v>
      </c>
    </row>
    <row r="1900" spans="1:7" x14ac:dyDescent="0.25">
      <c r="A1900" s="4" t="s">
        <v>389</v>
      </c>
      <c r="B1900" s="4" t="s">
        <v>387</v>
      </c>
      <c r="C1900" s="4" t="s">
        <v>419</v>
      </c>
      <c r="D1900" s="4" t="s">
        <v>387</v>
      </c>
      <c r="E1900" s="4" t="s">
        <v>2637</v>
      </c>
      <c r="F1900" s="4" t="s">
        <v>175</v>
      </c>
      <c r="G1900" s="4" t="s">
        <v>864</v>
      </c>
    </row>
    <row r="1901" spans="1:7" x14ac:dyDescent="0.25">
      <c r="A1901" s="4" t="s">
        <v>389</v>
      </c>
      <c r="B1901" s="4" t="s">
        <v>387</v>
      </c>
      <c r="C1901" s="4" t="s">
        <v>419</v>
      </c>
      <c r="D1901" s="4" t="s">
        <v>387</v>
      </c>
      <c r="E1901" s="4" t="s">
        <v>2638</v>
      </c>
      <c r="F1901" s="4" t="s">
        <v>175</v>
      </c>
      <c r="G1901" s="4" t="s">
        <v>864</v>
      </c>
    </row>
    <row r="1902" spans="1:7" x14ac:dyDescent="0.25">
      <c r="A1902" s="4" t="s">
        <v>389</v>
      </c>
      <c r="B1902" s="4" t="s">
        <v>387</v>
      </c>
      <c r="C1902" s="4" t="s">
        <v>419</v>
      </c>
      <c r="D1902" s="4" t="s">
        <v>387</v>
      </c>
      <c r="E1902" s="4" t="s">
        <v>2639</v>
      </c>
      <c r="F1902" s="4" t="s">
        <v>175</v>
      </c>
      <c r="G1902" s="4" t="s">
        <v>864</v>
      </c>
    </row>
    <row r="1903" spans="1:7" x14ac:dyDescent="0.25">
      <c r="A1903" s="4" t="s">
        <v>389</v>
      </c>
      <c r="B1903" s="4" t="s">
        <v>387</v>
      </c>
      <c r="C1903" s="4" t="s">
        <v>419</v>
      </c>
      <c r="D1903" s="4" t="s">
        <v>387</v>
      </c>
      <c r="E1903" s="4" t="s">
        <v>2640</v>
      </c>
      <c r="F1903" s="4" t="s">
        <v>363</v>
      </c>
      <c r="G1903" s="4" t="s">
        <v>865</v>
      </c>
    </row>
    <row r="1904" spans="1:7" x14ac:dyDescent="0.25">
      <c r="A1904" s="4" t="s">
        <v>389</v>
      </c>
      <c r="B1904" s="4" t="s">
        <v>387</v>
      </c>
      <c r="C1904" s="4" t="s">
        <v>419</v>
      </c>
      <c r="D1904" s="4" t="s">
        <v>387</v>
      </c>
      <c r="E1904" s="4" t="s">
        <v>2641</v>
      </c>
      <c r="F1904" s="4" t="s">
        <v>363</v>
      </c>
      <c r="G1904" s="4" t="s">
        <v>865</v>
      </c>
    </row>
    <row r="1905" spans="1:7" x14ac:dyDescent="0.25">
      <c r="A1905" s="4" t="s">
        <v>389</v>
      </c>
      <c r="B1905" s="4" t="s">
        <v>387</v>
      </c>
      <c r="C1905" s="4" t="s">
        <v>419</v>
      </c>
      <c r="D1905" s="4" t="s">
        <v>387</v>
      </c>
      <c r="E1905" s="4" t="s">
        <v>2642</v>
      </c>
      <c r="F1905" s="4" t="s">
        <v>363</v>
      </c>
      <c r="G1905" s="4" t="s">
        <v>865</v>
      </c>
    </row>
    <row r="1906" spans="1:7" x14ac:dyDescent="0.25">
      <c r="A1906" s="4" t="s">
        <v>389</v>
      </c>
      <c r="B1906" s="4" t="s">
        <v>387</v>
      </c>
      <c r="C1906" s="4" t="s">
        <v>419</v>
      </c>
      <c r="D1906" s="4" t="s">
        <v>387</v>
      </c>
      <c r="E1906" s="4" t="s">
        <v>2643</v>
      </c>
      <c r="F1906" s="4" t="s">
        <v>363</v>
      </c>
      <c r="G1906" s="4" t="s">
        <v>865</v>
      </c>
    </row>
    <row r="1907" spans="1:7" x14ac:dyDescent="0.25">
      <c r="A1907" s="4" t="s">
        <v>389</v>
      </c>
      <c r="B1907" s="4" t="s">
        <v>387</v>
      </c>
      <c r="C1907" s="4" t="s">
        <v>419</v>
      </c>
      <c r="D1907" s="4" t="s">
        <v>387</v>
      </c>
      <c r="E1907" s="4" t="s">
        <v>2644</v>
      </c>
      <c r="F1907" s="4" t="s">
        <v>363</v>
      </c>
      <c r="G1907" s="4" t="s">
        <v>865</v>
      </c>
    </row>
    <row r="1908" spans="1:7" x14ac:dyDescent="0.25">
      <c r="A1908" s="4" t="s">
        <v>389</v>
      </c>
      <c r="B1908" s="4" t="s">
        <v>387</v>
      </c>
      <c r="C1908" s="4" t="s">
        <v>419</v>
      </c>
      <c r="D1908" s="4" t="s">
        <v>387</v>
      </c>
      <c r="E1908" s="4" t="s">
        <v>2645</v>
      </c>
      <c r="F1908" s="4" t="s">
        <v>363</v>
      </c>
      <c r="G1908" s="4" t="s">
        <v>865</v>
      </c>
    </row>
    <row r="1909" spans="1:7" x14ac:dyDescent="0.25">
      <c r="A1909" s="4" t="s">
        <v>389</v>
      </c>
      <c r="B1909" s="4" t="s">
        <v>387</v>
      </c>
      <c r="C1909" s="4" t="s">
        <v>419</v>
      </c>
      <c r="D1909" s="4" t="s">
        <v>387</v>
      </c>
      <c r="E1909" s="4" t="s">
        <v>2646</v>
      </c>
      <c r="F1909" s="4" t="s">
        <v>363</v>
      </c>
      <c r="G1909" s="4" t="s">
        <v>865</v>
      </c>
    </row>
    <row r="1910" spans="1:7" x14ac:dyDescent="0.25">
      <c r="A1910" s="4" t="s">
        <v>389</v>
      </c>
      <c r="B1910" s="4" t="s">
        <v>387</v>
      </c>
      <c r="C1910" s="4" t="s">
        <v>419</v>
      </c>
      <c r="D1910" s="4" t="s">
        <v>387</v>
      </c>
      <c r="E1910" s="4" t="s">
        <v>2647</v>
      </c>
      <c r="F1910" s="4" t="s">
        <v>363</v>
      </c>
      <c r="G1910" s="4" t="s">
        <v>865</v>
      </c>
    </row>
    <row r="1911" spans="1:7" x14ac:dyDescent="0.25">
      <c r="A1911" s="4" t="s">
        <v>389</v>
      </c>
      <c r="B1911" s="4" t="s">
        <v>387</v>
      </c>
      <c r="C1911" s="4" t="s">
        <v>419</v>
      </c>
      <c r="D1911" s="4" t="s">
        <v>387</v>
      </c>
      <c r="E1911" s="4" t="s">
        <v>2648</v>
      </c>
      <c r="F1911" s="4" t="s">
        <v>363</v>
      </c>
      <c r="G1911" s="4" t="s">
        <v>865</v>
      </c>
    </row>
    <row r="1912" spans="1:7" x14ac:dyDescent="0.25">
      <c r="A1912" s="4" t="s">
        <v>389</v>
      </c>
      <c r="B1912" s="4" t="s">
        <v>387</v>
      </c>
      <c r="C1912" s="4" t="s">
        <v>419</v>
      </c>
      <c r="D1912" s="4" t="s">
        <v>387</v>
      </c>
      <c r="E1912" s="4" t="s">
        <v>2649</v>
      </c>
      <c r="F1912" s="4" t="s">
        <v>363</v>
      </c>
      <c r="G1912" s="4" t="s">
        <v>865</v>
      </c>
    </row>
    <row r="1913" spans="1:7" x14ac:dyDescent="0.25">
      <c r="A1913" s="4" t="s">
        <v>389</v>
      </c>
      <c r="B1913" s="4" t="s">
        <v>387</v>
      </c>
      <c r="C1913" s="4" t="s">
        <v>419</v>
      </c>
      <c r="D1913" s="4" t="s">
        <v>387</v>
      </c>
      <c r="E1913" s="4" t="s">
        <v>2650</v>
      </c>
      <c r="F1913" s="4" t="s">
        <v>363</v>
      </c>
      <c r="G1913" s="4" t="s">
        <v>865</v>
      </c>
    </row>
    <row r="1914" spans="1:7" x14ac:dyDescent="0.25">
      <c r="A1914" s="4" t="s">
        <v>389</v>
      </c>
      <c r="B1914" s="4" t="s">
        <v>387</v>
      </c>
      <c r="C1914" s="4" t="s">
        <v>419</v>
      </c>
      <c r="D1914" s="4" t="s">
        <v>387</v>
      </c>
      <c r="E1914" s="4" t="s">
        <v>2651</v>
      </c>
      <c r="F1914" s="4" t="s">
        <v>363</v>
      </c>
      <c r="G1914" s="4" t="s">
        <v>865</v>
      </c>
    </row>
    <row r="1915" spans="1:7" x14ac:dyDescent="0.25">
      <c r="A1915" s="4" t="s">
        <v>389</v>
      </c>
      <c r="B1915" s="4" t="s">
        <v>394</v>
      </c>
      <c r="C1915" s="4" t="s">
        <v>419</v>
      </c>
      <c r="D1915" s="4" t="s">
        <v>394</v>
      </c>
      <c r="E1915" s="4" t="s">
        <v>2652</v>
      </c>
      <c r="F1915" s="4" t="s">
        <v>77</v>
      </c>
      <c r="G1915" s="4" t="s">
        <v>390</v>
      </c>
    </row>
    <row r="1916" spans="1:7" x14ac:dyDescent="0.25">
      <c r="A1916" s="4" t="s">
        <v>389</v>
      </c>
      <c r="B1916" s="4" t="s">
        <v>394</v>
      </c>
      <c r="C1916" s="4" t="s">
        <v>419</v>
      </c>
      <c r="D1916" s="4" t="s">
        <v>394</v>
      </c>
      <c r="E1916" s="4" t="s">
        <v>2653</v>
      </c>
      <c r="F1916" s="4" t="s">
        <v>77</v>
      </c>
      <c r="G1916" s="4" t="s">
        <v>390</v>
      </c>
    </row>
    <row r="1917" spans="1:7" x14ac:dyDescent="0.25">
      <c r="A1917" s="4" t="s">
        <v>389</v>
      </c>
      <c r="B1917" s="4" t="s">
        <v>394</v>
      </c>
      <c r="C1917" s="4" t="s">
        <v>419</v>
      </c>
      <c r="D1917" s="4" t="s">
        <v>394</v>
      </c>
      <c r="E1917" s="4" t="s">
        <v>2654</v>
      </c>
      <c r="F1917" s="4" t="s">
        <v>77</v>
      </c>
      <c r="G1917" s="4" t="s">
        <v>390</v>
      </c>
    </row>
    <row r="1918" spans="1:7" x14ac:dyDescent="0.25">
      <c r="A1918" s="4" t="s">
        <v>389</v>
      </c>
      <c r="B1918" s="4" t="s">
        <v>394</v>
      </c>
      <c r="C1918" s="4" t="s">
        <v>419</v>
      </c>
      <c r="D1918" s="4" t="s">
        <v>394</v>
      </c>
      <c r="E1918" s="4" t="s">
        <v>2655</v>
      </c>
      <c r="F1918" s="4" t="s">
        <v>77</v>
      </c>
      <c r="G1918" s="4" t="s">
        <v>390</v>
      </c>
    </row>
    <row r="1919" spans="1:7" x14ac:dyDescent="0.25">
      <c r="A1919" s="4" t="s">
        <v>389</v>
      </c>
      <c r="B1919" s="4" t="s">
        <v>394</v>
      </c>
      <c r="C1919" s="4" t="s">
        <v>419</v>
      </c>
      <c r="D1919" s="4" t="s">
        <v>394</v>
      </c>
      <c r="E1919" s="4" t="s">
        <v>2656</v>
      </c>
      <c r="F1919" s="4" t="s">
        <v>77</v>
      </c>
      <c r="G1919" s="4" t="s">
        <v>390</v>
      </c>
    </row>
    <row r="1920" spans="1:7" x14ac:dyDescent="0.25">
      <c r="A1920" s="4" t="s">
        <v>389</v>
      </c>
      <c r="B1920" s="4" t="s">
        <v>394</v>
      </c>
      <c r="C1920" s="4" t="s">
        <v>419</v>
      </c>
      <c r="D1920" s="4" t="s">
        <v>394</v>
      </c>
      <c r="E1920" s="4" t="s">
        <v>2657</v>
      </c>
      <c r="F1920" s="4" t="s">
        <v>77</v>
      </c>
      <c r="G1920" s="4" t="s">
        <v>390</v>
      </c>
    </row>
    <row r="1921" spans="1:7" x14ac:dyDescent="0.25">
      <c r="A1921" s="4" t="s">
        <v>389</v>
      </c>
      <c r="B1921" s="4" t="s">
        <v>394</v>
      </c>
      <c r="C1921" s="4" t="s">
        <v>419</v>
      </c>
      <c r="D1921" s="4" t="s">
        <v>394</v>
      </c>
      <c r="E1921" s="4" t="s">
        <v>2658</v>
      </c>
      <c r="F1921" s="4" t="s">
        <v>77</v>
      </c>
      <c r="G1921" s="4" t="s">
        <v>390</v>
      </c>
    </row>
    <row r="1922" spans="1:7" x14ac:dyDescent="0.25">
      <c r="A1922" s="4" t="s">
        <v>389</v>
      </c>
      <c r="B1922" s="4" t="s">
        <v>394</v>
      </c>
      <c r="C1922" s="4" t="s">
        <v>419</v>
      </c>
      <c r="D1922" s="4" t="s">
        <v>394</v>
      </c>
      <c r="E1922" s="4" t="s">
        <v>2659</v>
      </c>
      <c r="F1922" s="4" t="s">
        <v>77</v>
      </c>
      <c r="G1922" s="4" t="s">
        <v>390</v>
      </c>
    </row>
    <row r="1923" spans="1:7" x14ac:dyDescent="0.25">
      <c r="A1923" s="4" t="s">
        <v>389</v>
      </c>
      <c r="B1923" s="4" t="s">
        <v>394</v>
      </c>
      <c r="C1923" s="4" t="s">
        <v>419</v>
      </c>
      <c r="D1923" s="4" t="s">
        <v>394</v>
      </c>
      <c r="E1923" s="4" t="s">
        <v>2660</v>
      </c>
      <c r="F1923" s="4" t="s">
        <v>77</v>
      </c>
      <c r="G1923" s="4" t="s">
        <v>390</v>
      </c>
    </row>
    <row r="1924" spans="1:7" x14ac:dyDescent="0.25">
      <c r="A1924" s="4" t="s">
        <v>389</v>
      </c>
      <c r="B1924" s="4" t="s">
        <v>394</v>
      </c>
      <c r="C1924" s="4" t="s">
        <v>419</v>
      </c>
      <c r="D1924" s="4" t="s">
        <v>394</v>
      </c>
      <c r="E1924" s="4" t="s">
        <v>2661</v>
      </c>
      <c r="F1924" s="4" t="s">
        <v>77</v>
      </c>
      <c r="G1924" s="4" t="s">
        <v>390</v>
      </c>
    </row>
    <row r="1925" spans="1:7" x14ac:dyDescent="0.25">
      <c r="A1925" s="4" t="s">
        <v>389</v>
      </c>
      <c r="B1925" s="4" t="s">
        <v>394</v>
      </c>
      <c r="C1925" s="4" t="s">
        <v>419</v>
      </c>
      <c r="D1925" s="4" t="s">
        <v>394</v>
      </c>
      <c r="E1925" s="4" t="s">
        <v>2662</v>
      </c>
      <c r="F1925" s="4" t="s">
        <v>77</v>
      </c>
      <c r="G1925" s="4" t="s">
        <v>390</v>
      </c>
    </row>
    <row r="1926" spans="1:7" x14ac:dyDescent="0.25">
      <c r="A1926" s="4" t="s">
        <v>389</v>
      </c>
      <c r="B1926" s="4" t="s">
        <v>394</v>
      </c>
      <c r="C1926" s="4" t="s">
        <v>419</v>
      </c>
      <c r="D1926" s="4" t="s">
        <v>394</v>
      </c>
      <c r="E1926" s="4" t="s">
        <v>2663</v>
      </c>
      <c r="F1926" s="4" t="s">
        <v>77</v>
      </c>
      <c r="G1926" s="4" t="s">
        <v>390</v>
      </c>
    </row>
    <row r="1927" spans="1:7" x14ac:dyDescent="0.25">
      <c r="A1927" s="4" t="s">
        <v>389</v>
      </c>
      <c r="B1927" s="4" t="s">
        <v>394</v>
      </c>
      <c r="C1927" s="4" t="s">
        <v>419</v>
      </c>
      <c r="D1927" s="4" t="s">
        <v>394</v>
      </c>
      <c r="E1927" s="4" t="s">
        <v>2664</v>
      </c>
      <c r="F1927" s="4" t="s">
        <v>536</v>
      </c>
      <c r="G1927" s="4" t="s">
        <v>864</v>
      </c>
    </row>
    <row r="1928" spans="1:7" x14ac:dyDescent="0.25">
      <c r="A1928" s="4" t="s">
        <v>389</v>
      </c>
      <c r="B1928" s="4" t="s">
        <v>394</v>
      </c>
      <c r="C1928" s="4" t="s">
        <v>419</v>
      </c>
      <c r="D1928" s="4" t="s">
        <v>394</v>
      </c>
      <c r="E1928" s="4" t="s">
        <v>2665</v>
      </c>
      <c r="F1928" s="4" t="s">
        <v>536</v>
      </c>
      <c r="G1928" s="4" t="s">
        <v>864</v>
      </c>
    </row>
    <row r="1929" spans="1:7" x14ac:dyDescent="0.25">
      <c r="A1929" s="4" t="s">
        <v>389</v>
      </c>
      <c r="B1929" s="4" t="s">
        <v>394</v>
      </c>
      <c r="C1929" s="4" t="s">
        <v>419</v>
      </c>
      <c r="D1929" s="4" t="s">
        <v>394</v>
      </c>
      <c r="E1929" s="4" t="s">
        <v>2666</v>
      </c>
      <c r="F1929" s="4" t="s">
        <v>536</v>
      </c>
      <c r="G1929" s="4" t="s">
        <v>864</v>
      </c>
    </row>
    <row r="1930" spans="1:7" x14ac:dyDescent="0.25">
      <c r="A1930" s="4" t="s">
        <v>389</v>
      </c>
      <c r="B1930" s="4" t="s">
        <v>394</v>
      </c>
      <c r="C1930" s="4" t="s">
        <v>419</v>
      </c>
      <c r="D1930" s="4" t="s">
        <v>394</v>
      </c>
      <c r="E1930" s="4" t="s">
        <v>2667</v>
      </c>
      <c r="F1930" s="4" t="s">
        <v>536</v>
      </c>
      <c r="G1930" s="4" t="s">
        <v>864</v>
      </c>
    </row>
    <row r="1931" spans="1:7" x14ac:dyDescent="0.25">
      <c r="A1931" s="4" t="s">
        <v>389</v>
      </c>
      <c r="B1931" s="4" t="s">
        <v>394</v>
      </c>
      <c r="C1931" s="4" t="s">
        <v>419</v>
      </c>
      <c r="D1931" s="4" t="s">
        <v>394</v>
      </c>
      <c r="E1931" s="4" t="s">
        <v>2668</v>
      </c>
      <c r="F1931" s="4" t="s">
        <v>536</v>
      </c>
      <c r="G1931" s="4" t="s">
        <v>864</v>
      </c>
    </row>
    <row r="1932" spans="1:7" x14ac:dyDescent="0.25">
      <c r="A1932" s="4" t="s">
        <v>389</v>
      </c>
      <c r="B1932" s="4" t="s">
        <v>394</v>
      </c>
      <c r="C1932" s="4" t="s">
        <v>419</v>
      </c>
      <c r="D1932" s="4" t="s">
        <v>394</v>
      </c>
      <c r="E1932" s="4" t="s">
        <v>2669</v>
      </c>
      <c r="F1932" s="4" t="s">
        <v>536</v>
      </c>
      <c r="G1932" s="4" t="s">
        <v>864</v>
      </c>
    </row>
    <row r="1933" spans="1:7" x14ac:dyDescent="0.25">
      <c r="A1933" s="4" t="s">
        <v>389</v>
      </c>
      <c r="B1933" s="4" t="s">
        <v>394</v>
      </c>
      <c r="C1933" s="4" t="s">
        <v>419</v>
      </c>
      <c r="D1933" s="4" t="s">
        <v>394</v>
      </c>
      <c r="E1933" s="4" t="s">
        <v>2670</v>
      </c>
      <c r="F1933" s="4" t="s">
        <v>536</v>
      </c>
      <c r="G1933" s="4" t="s">
        <v>864</v>
      </c>
    </row>
    <row r="1934" spans="1:7" x14ac:dyDescent="0.25">
      <c r="A1934" s="4" t="s">
        <v>389</v>
      </c>
      <c r="B1934" s="4" t="s">
        <v>394</v>
      </c>
      <c r="C1934" s="4" t="s">
        <v>419</v>
      </c>
      <c r="D1934" s="4" t="s">
        <v>394</v>
      </c>
      <c r="E1934" s="4" t="s">
        <v>2671</v>
      </c>
      <c r="F1934" s="4" t="s">
        <v>536</v>
      </c>
      <c r="G1934" s="4" t="s">
        <v>864</v>
      </c>
    </row>
    <row r="1935" spans="1:7" x14ac:dyDescent="0.25">
      <c r="A1935" s="4" t="s">
        <v>389</v>
      </c>
      <c r="B1935" s="4" t="s">
        <v>394</v>
      </c>
      <c r="C1935" s="4" t="s">
        <v>419</v>
      </c>
      <c r="D1935" s="4" t="s">
        <v>394</v>
      </c>
      <c r="E1935" s="4" t="s">
        <v>2672</v>
      </c>
      <c r="F1935" s="4" t="s">
        <v>536</v>
      </c>
      <c r="G1935" s="4" t="s">
        <v>864</v>
      </c>
    </row>
    <row r="1936" spans="1:7" x14ac:dyDescent="0.25">
      <c r="A1936" s="4" t="s">
        <v>389</v>
      </c>
      <c r="B1936" s="4" t="s">
        <v>394</v>
      </c>
      <c r="C1936" s="4" t="s">
        <v>419</v>
      </c>
      <c r="D1936" s="4" t="s">
        <v>394</v>
      </c>
      <c r="E1936" s="4" t="s">
        <v>2673</v>
      </c>
      <c r="F1936" s="4" t="s">
        <v>536</v>
      </c>
      <c r="G1936" s="4" t="s">
        <v>864</v>
      </c>
    </row>
    <row r="1937" spans="1:7" x14ac:dyDescent="0.25">
      <c r="A1937" s="4" t="s">
        <v>389</v>
      </c>
      <c r="B1937" s="4" t="s">
        <v>394</v>
      </c>
      <c r="C1937" s="4" t="s">
        <v>419</v>
      </c>
      <c r="D1937" s="4" t="s">
        <v>394</v>
      </c>
      <c r="E1937" s="4" t="s">
        <v>2674</v>
      </c>
      <c r="F1937" s="4" t="s">
        <v>536</v>
      </c>
      <c r="G1937" s="4" t="s">
        <v>864</v>
      </c>
    </row>
    <row r="1938" spans="1:7" x14ac:dyDescent="0.25">
      <c r="A1938" s="4" t="s">
        <v>389</v>
      </c>
      <c r="B1938" s="4" t="s">
        <v>394</v>
      </c>
      <c r="C1938" s="4" t="s">
        <v>419</v>
      </c>
      <c r="D1938" s="4" t="s">
        <v>394</v>
      </c>
      <c r="E1938" s="4" t="s">
        <v>2675</v>
      </c>
      <c r="F1938" s="4" t="s">
        <v>536</v>
      </c>
      <c r="G1938" s="4" t="s">
        <v>864</v>
      </c>
    </row>
    <row r="1939" spans="1:7" x14ac:dyDescent="0.25">
      <c r="A1939" s="4" t="s">
        <v>389</v>
      </c>
      <c r="B1939" s="4" t="s">
        <v>394</v>
      </c>
      <c r="C1939" s="4" t="s">
        <v>419</v>
      </c>
      <c r="D1939" s="4" t="s">
        <v>394</v>
      </c>
      <c r="E1939" s="4" t="s">
        <v>2676</v>
      </c>
      <c r="F1939" s="4" t="s">
        <v>363</v>
      </c>
      <c r="G1939" s="4" t="s">
        <v>865</v>
      </c>
    </row>
    <row r="1940" spans="1:7" x14ac:dyDescent="0.25">
      <c r="A1940" s="4" t="s">
        <v>389</v>
      </c>
      <c r="B1940" s="4" t="s">
        <v>394</v>
      </c>
      <c r="C1940" s="4" t="s">
        <v>419</v>
      </c>
      <c r="D1940" s="4" t="s">
        <v>394</v>
      </c>
      <c r="E1940" s="4" t="s">
        <v>2677</v>
      </c>
      <c r="F1940" s="4" t="s">
        <v>363</v>
      </c>
      <c r="G1940" s="4" t="s">
        <v>865</v>
      </c>
    </row>
    <row r="1941" spans="1:7" x14ac:dyDescent="0.25">
      <c r="A1941" s="4" t="s">
        <v>389</v>
      </c>
      <c r="B1941" s="4" t="s">
        <v>394</v>
      </c>
      <c r="C1941" s="4" t="s">
        <v>419</v>
      </c>
      <c r="D1941" s="4" t="s">
        <v>394</v>
      </c>
      <c r="E1941" s="4" t="s">
        <v>2678</v>
      </c>
      <c r="F1941" s="4" t="s">
        <v>363</v>
      </c>
      <c r="G1941" s="4" t="s">
        <v>865</v>
      </c>
    </row>
    <row r="1942" spans="1:7" x14ac:dyDescent="0.25">
      <c r="A1942" s="4" t="s">
        <v>389</v>
      </c>
      <c r="B1942" s="4" t="s">
        <v>394</v>
      </c>
      <c r="C1942" s="4" t="s">
        <v>419</v>
      </c>
      <c r="D1942" s="4" t="s">
        <v>394</v>
      </c>
      <c r="E1942" s="4" t="s">
        <v>2679</v>
      </c>
      <c r="F1942" s="4" t="s">
        <v>363</v>
      </c>
      <c r="G1942" s="4" t="s">
        <v>865</v>
      </c>
    </row>
    <row r="1943" spans="1:7" x14ac:dyDescent="0.25">
      <c r="A1943" s="4" t="s">
        <v>389</v>
      </c>
      <c r="B1943" s="4" t="s">
        <v>394</v>
      </c>
      <c r="C1943" s="4" t="s">
        <v>419</v>
      </c>
      <c r="D1943" s="4" t="s">
        <v>394</v>
      </c>
      <c r="E1943" s="4" t="s">
        <v>2680</v>
      </c>
      <c r="F1943" s="4" t="s">
        <v>363</v>
      </c>
      <c r="G1943" s="4" t="s">
        <v>865</v>
      </c>
    </row>
    <row r="1944" spans="1:7" x14ac:dyDescent="0.25">
      <c r="A1944" s="4" t="s">
        <v>389</v>
      </c>
      <c r="B1944" s="4" t="s">
        <v>394</v>
      </c>
      <c r="C1944" s="4" t="s">
        <v>419</v>
      </c>
      <c r="D1944" s="4" t="s">
        <v>394</v>
      </c>
      <c r="E1944" s="4" t="s">
        <v>2681</v>
      </c>
      <c r="F1944" s="4" t="s">
        <v>363</v>
      </c>
      <c r="G1944" s="4" t="s">
        <v>865</v>
      </c>
    </row>
    <row r="1945" spans="1:7" x14ac:dyDescent="0.25">
      <c r="A1945" s="4" t="s">
        <v>389</v>
      </c>
      <c r="B1945" s="4" t="s">
        <v>394</v>
      </c>
      <c r="C1945" s="4" t="s">
        <v>419</v>
      </c>
      <c r="D1945" s="4" t="s">
        <v>394</v>
      </c>
      <c r="E1945" s="4" t="s">
        <v>2682</v>
      </c>
      <c r="F1945" s="4" t="s">
        <v>363</v>
      </c>
      <c r="G1945" s="4" t="s">
        <v>865</v>
      </c>
    </row>
    <row r="1946" spans="1:7" x14ac:dyDescent="0.25">
      <c r="A1946" s="4" t="s">
        <v>389</v>
      </c>
      <c r="B1946" s="4" t="s">
        <v>394</v>
      </c>
      <c r="C1946" s="4" t="s">
        <v>419</v>
      </c>
      <c r="D1946" s="4" t="s">
        <v>394</v>
      </c>
      <c r="E1946" s="4" t="s">
        <v>2683</v>
      </c>
      <c r="F1946" s="4" t="s">
        <v>363</v>
      </c>
      <c r="G1946" s="4" t="s">
        <v>865</v>
      </c>
    </row>
    <row r="1947" spans="1:7" x14ac:dyDescent="0.25">
      <c r="A1947" s="4" t="s">
        <v>389</v>
      </c>
      <c r="B1947" s="4" t="s">
        <v>394</v>
      </c>
      <c r="C1947" s="4" t="s">
        <v>419</v>
      </c>
      <c r="D1947" s="4" t="s">
        <v>394</v>
      </c>
      <c r="E1947" s="4" t="s">
        <v>2684</v>
      </c>
      <c r="F1947" s="4" t="s">
        <v>363</v>
      </c>
      <c r="G1947" s="4" t="s">
        <v>865</v>
      </c>
    </row>
    <row r="1948" spans="1:7" x14ac:dyDescent="0.25">
      <c r="A1948" s="4" t="s">
        <v>389</v>
      </c>
      <c r="B1948" s="4" t="s">
        <v>394</v>
      </c>
      <c r="C1948" s="4" t="s">
        <v>419</v>
      </c>
      <c r="D1948" s="4" t="s">
        <v>394</v>
      </c>
      <c r="E1948" s="4" t="s">
        <v>2685</v>
      </c>
      <c r="F1948" s="4" t="s">
        <v>363</v>
      </c>
      <c r="G1948" s="4" t="s">
        <v>865</v>
      </c>
    </row>
    <row r="1949" spans="1:7" x14ac:dyDescent="0.25">
      <c r="A1949" s="4" t="s">
        <v>389</v>
      </c>
      <c r="B1949" s="4" t="s">
        <v>394</v>
      </c>
      <c r="C1949" s="4" t="s">
        <v>419</v>
      </c>
      <c r="D1949" s="4" t="s">
        <v>394</v>
      </c>
      <c r="E1949" s="4" t="s">
        <v>2686</v>
      </c>
      <c r="F1949" s="4" t="s">
        <v>363</v>
      </c>
      <c r="G1949" s="4" t="s">
        <v>865</v>
      </c>
    </row>
    <row r="1950" spans="1:7" x14ac:dyDescent="0.25">
      <c r="A1950" s="4" t="s">
        <v>389</v>
      </c>
      <c r="B1950" s="4" t="s">
        <v>394</v>
      </c>
      <c r="C1950" s="4" t="s">
        <v>419</v>
      </c>
      <c r="D1950" s="4" t="s">
        <v>394</v>
      </c>
      <c r="E1950" s="4" t="s">
        <v>2687</v>
      </c>
      <c r="F1950" s="4" t="s">
        <v>363</v>
      </c>
      <c r="G1950" s="4" t="s">
        <v>865</v>
      </c>
    </row>
    <row r="1951" spans="1:7" x14ac:dyDescent="0.25">
      <c r="A1951" s="4" t="s">
        <v>389</v>
      </c>
      <c r="B1951" s="4" t="s">
        <v>387</v>
      </c>
      <c r="C1951" s="4" t="s">
        <v>420</v>
      </c>
      <c r="D1951" s="4" t="s">
        <v>387</v>
      </c>
      <c r="E1951" s="4" t="s">
        <v>2688</v>
      </c>
      <c r="F1951" s="4" t="s">
        <v>536</v>
      </c>
      <c r="G1951" s="4" t="s">
        <v>390</v>
      </c>
    </row>
    <row r="1952" spans="1:7" x14ac:dyDescent="0.25">
      <c r="A1952" s="4" t="s">
        <v>389</v>
      </c>
      <c r="B1952" s="4" t="s">
        <v>387</v>
      </c>
      <c r="C1952" s="4" t="s">
        <v>420</v>
      </c>
      <c r="D1952" s="4" t="s">
        <v>387</v>
      </c>
      <c r="E1952" s="4" t="s">
        <v>2689</v>
      </c>
      <c r="F1952" s="4" t="s">
        <v>536</v>
      </c>
      <c r="G1952" s="4" t="s">
        <v>390</v>
      </c>
    </row>
    <row r="1953" spans="1:7" x14ac:dyDescent="0.25">
      <c r="A1953" s="4" t="s">
        <v>389</v>
      </c>
      <c r="B1953" s="4" t="s">
        <v>387</v>
      </c>
      <c r="C1953" s="4" t="s">
        <v>420</v>
      </c>
      <c r="D1953" s="4" t="s">
        <v>387</v>
      </c>
      <c r="E1953" s="4" t="s">
        <v>2690</v>
      </c>
      <c r="F1953" s="4" t="s">
        <v>536</v>
      </c>
      <c r="G1953" s="4" t="s">
        <v>390</v>
      </c>
    </row>
    <row r="1954" spans="1:7" x14ac:dyDescent="0.25">
      <c r="A1954" s="4" t="s">
        <v>389</v>
      </c>
      <c r="B1954" s="4" t="s">
        <v>387</v>
      </c>
      <c r="C1954" s="4" t="s">
        <v>420</v>
      </c>
      <c r="D1954" s="4" t="s">
        <v>387</v>
      </c>
      <c r="E1954" s="4" t="s">
        <v>2691</v>
      </c>
      <c r="F1954" s="4" t="s">
        <v>536</v>
      </c>
      <c r="G1954" s="4" t="s">
        <v>390</v>
      </c>
    </row>
    <row r="1955" spans="1:7" x14ac:dyDescent="0.25">
      <c r="A1955" s="4" t="s">
        <v>389</v>
      </c>
      <c r="B1955" s="4" t="s">
        <v>387</v>
      </c>
      <c r="C1955" s="4" t="s">
        <v>420</v>
      </c>
      <c r="D1955" s="4" t="s">
        <v>387</v>
      </c>
      <c r="E1955" s="4" t="s">
        <v>2692</v>
      </c>
      <c r="F1955" s="4" t="s">
        <v>536</v>
      </c>
      <c r="G1955" s="4" t="s">
        <v>390</v>
      </c>
    </row>
    <row r="1956" spans="1:7" x14ac:dyDescent="0.25">
      <c r="A1956" s="4" t="s">
        <v>389</v>
      </c>
      <c r="B1956" s="4" t="s">
        <v>387</v>
      </c>
      <c r="C1956" s="4" t="s">
        <v>420</v>
      </c>
      <c r="D1956" s="4" t="s">
        <v>387</v>
      </c>
      <c r="E1956" s="4" t="s">
        <v>2693</v>
      </c>
      <c r="F1956" s="4" t="s">
        <v>536</v>
      </c>
      <c r="G1956" s="4" t="s">
        <v>390</v>
      </c>
    </row>
    <row r="1957" spans="1:7" x14ac:dyDescent="0.25">
      <c r="A1957" s="4" t="s">
        <v>389</v>
      </c>
      <c r="B1957" s="4" t="s">
        <v>387</v>
      </c>
      <c r="C1957" s="4" t="s">
        <v>420</v>
      </c>
      <c r="D1957" s="4" t="s">
        <v>387</v>
      </c>
      <c r="E1957" s="4" t="s">
        <v>2694</v>
      </c>
      <c r="F1957" s="4" t="s">
        <v>536</v>
      </c>
      <c r="G1957" s="4" t="s">
        <v>390</v>
      </c>
    </row>
    <row r="1958" spans="1:7" x14ac:dyDescent="0.25">
      <c r="A1958" s="4" t="s">
        <v>389</v>
      </c>
      <c r="B1958" s="4" t="s">
        <v>387</v>
      </c>
      <c r="C1958" s="4" t="s">
        <v>420</v>
      </c>
      <c r="D1958" s="4" t="s">
        <v>387</v>
      </c>
      <c r="E1958" s="4" t="s">
        <v>2695</v>
      </c>
      <c r="F1958" s="4" t="s">
        <v>536</v>
      </c>
      <c r="G1958" s="4" t="s">
        <v>390</v>
      </c>
    </row>
    <row r="1959" spans="1:7" x14ac:dyDescent="0.25">
      <c r="A1959" s="4" t="s">
        <v>389</v>
      </c>
      <c r="B1959" s="4" t="s">
        <v>387</v>
      </c>
      <c r="C1959" s="4" t="s">
        <v>420</v>
      </c>
      <c r="D1959" s="4" t="s">
        <v>387</v>
      </c>
      <c r="E1959" s="4" t="s">
        <v>2696</v>
      </c>
      <c r="F1959" s="4" t="s">
        <v>536</v>
      </c>
      <c r="G1959" s="4" t="s">
        <v>390</v>
      </c>
    </row>
    <row r="1960" spans="1:7" x14ac:dyDescent="0.25">
      <c r="A1960" s="4" t="s">
        <v>389</v>
      </c>
      <c r="B1960" s="4" t="s">
        <v>387</v>
      </c>
      <c r="C1960" s="4" t="s">
        <v>420</v>
      </c>
      <c r="D1960" s="4" t="s">
        <v>387</v>
      </c>
      <c r="E1960" s="4" t="s">
        <v>2697</v>
      </c>
      <c r="F1960" s="4" t="s">
        <v>536</v>
      </c>
      <c r="G1960" s="4" t="s">
        <v>390</v>
      </c>
    </row>
    <row r="1961" spans="1:7" x14ac:dyDescent="0.25">
      <c r="A1961" s="4" t="s">
        <v>389</v>
      </c>
      <c r="B1961" s="4" t="s">
        <v>387</v>
      </c>
      <c r="C1961" s="4" t="s">
        <v>420</v>
      </c>
      <c r="D1961" s="4" t="s">
        <v>387</v>
      </c>
      <c r="E1961" s="4" t="s">
        <v>2698</v>
      </c>
      <c r="F1961" s="4" t="s">
        <v>536</v>
      </c>
      <c r="G1961" s="4" t="s">
        <v>390</v>
      </c>
    </row>
    <row r="1962" spans="1:7" x14ac:dyDescent="0.25">
      <c r="A1962" s="4" t="s">
        <v>389</v>
      </c>
      <c r="B1962" s="4" t="s">
        <v>387</v>
      </c>
      <c r="C1962" s="4" t="s">
        <v>420</v>
      </c>
      <c r="D1962" s="4" t="s">
        <v>387</v>
      </c>
      <c r="E1962" s="4" t="s">
        <v>2699</v>
      </c>
      <c r="F1962" s="4" t="s">
        <v>536</v>
      </c>
      <c r="G1962" s="4" t="s">
        <v>390</v>
      </c>
    </row>
    <row r="1963" spans="1:7" x14ac:dyDescent="0.25">
      <c r="A1963" s="4" t="s">
        <v>389</v>
      </c>
      <c r="B1963" s="4" t="s">
        <v>387</v>
      </c>
      <c r="C1963" s="4" t="s">
        <v>420</v>
      </c>
      <c r="D1963" s="4" t="s">
        <v>387</v>
      </c>
      <c r="E1963" s="4" t="s">
        <v>2700</v>
      </c>
      <c r="F1963" s="4" t="s">
        <v>536</v>
      </c>
      <c r="G1963" s="4" t="s">
        <v>390</v>
      </c>
    </row>
    <row r="1964" spans="1:7" x14ac:dyDescent="0.25">
      <c r="A1964" s="4" t="s">
        <v>389</v>
      </c>
      <c r="B1964" s="4" t="s">
        <v>387</v>
      </c>
      <c r="C1964" s="4" t="s">
        <v>420</v>
      </c>
      <c r="D1964" s="4" t="s">
        <v>387</v>
      </c>
      <c r="E1964" s="4" t="s">
        <v>2701</v>
      </c>
      <c r="F1964" s="4" t="s">
        <v>92</v>
      </c>
      <c r="G1964" s="4" t="s">
        <v>864</v>
      </c>
    </row>
    <row r="1965" spans="1:7" x14ac:dyDescent="0.25">
      <c r="A1965" s="4" t="s">
        <v>389</v>
      </c>
      <c r="B1965" s="4" t="s">
        <v>387</v>
      </c>
      <c r="C1965" s="4" t="s">
        <v>420</v>
      </c>
      <c r="D1965" s="4" t="s">
        <v>387</v>
      </c>
      <c r="E1965" s="4" t="s">
        <v>2702</v>
      </c>
      <c r="F1965" s="4" t="s">
        <v>92</v>
      </c>
      <c r="G1965" s="4" t="s">
        <v>864</v>
      </c>
    </row>
    <row r="1966" spans="1:7" x14ac:dyDescent="0.25">
      <c r="A1966" s="4" t="s">
        <v>389</v>
      </c>
      <c r="B1966" s="4" t="s">
        <v>387</v>
      </c>
      <c r="C1966" s="4" t="s">
        <v>420</v>
      </c>
      <c r="D1966" s="4" t="s">
        <v>387</v>
      </c>
      <c r="E1966" s="4" t="s">
        <v>2703</v>
      </c>
      <c r="F1966" s="4" t="s">
        <v>92</v>
      </c>
      <c r="G1966" s="4" t="s">
        <v>864</v>
      </c>
    </row>
    <row r="1967" spans="1:7" x14ac:dyDescent="0.25">
      <c r="A1967" s="4" t="s">
        <v>389</v>
      </c>
      <c r="B1967" s="4" t="s">
        <v>387</v>
      </c>
      <c r="C1967" s="4" t="s">
        <v>420</v>
      </c>
      <c r="D1967" s="4" t="s">
        <v>387</v>
      </c>
      <c r="E1967" s="4" t="s">
        <v>2704</v>
      </c>
      <c r="F1967" s="4" t="s">
        <v>92</v>
      </c>
      <c r="G1967" s="4" t="s">
        <v>864</v>
      </c>
    </row>
    <row r="1968" spans="1:7" x14ac:dyDescent="0.25">
      <c r="A1968" s="4" t="s">
        <v>389</v>
      </c>
      <c r="B1968" s="4" t="s">
        <v>387</v>
      </c>
      <c r="C1968" s="4" t="s">
        <v>420</v>
      </c>
      <c r="D1968" s="4" t="s">
        <v>387</v>
      </c>
      <c r="E1968" s="4" t="s">
        <v>2705</v>
      </c>
      <c r="F1968" s="4" t="s">
        <v>92</v>
      </c>
      <c r="G1968" s="4" t="s">
        <v>864</v>
      </c>
    </row>
    <row r="1969" spans="1:7" x14ac:dyDescent="0.25">
      <c r="A1969" s="4" t="s">
        <v>389</v>
      </c>
      <c r="B1969" s="4" t="s">
        <v>387</v>
      </c>
      <c r="C1969" s="4" t="s">
        <v>420</v>
      </c>
      <c r="D1969" s="4" t="s">
        <v>387</v>
      </c>
      <c r="E1969" s="4" t="s">
        <v>2706</v>
      </c>
      <c r="F1969" s="4" t="s">
        <v>92</v>
      </c>
      <c r="G1969" s="4" t="s">
        <v>864</v>
      </c>
    </row>
    <row r="1970" spans="1:7" x14ac:dyDescent="0.25">
      <c r="A1970" s="4" t="s">
        <v>389</v>
      </c>
      <c r="B1970" s="4" t="s">
        <v>387</v>
      </c>
      <c r="C1970" s="4" t="s">
        <v>420</v>
      </c>
      <c r="D1970" s="4" t="s">
        <v>387</v>
      </c>
      <c r="E1970" s="4" t="s">
        <v>2707</v>
      </c>
      <c r="F1970" s="4" t="s">
        <v>92</v>
      </c>
      <c r="G1970" s="4" t="s">
        <v>864</v>
      </c>
    </row>
    <row r="1971" spans="1:7" x14ac:dyDescent="0.25">
      <c r="A1971" s="4" t="s">
        <v>389</v>
      </c>
      <c r="B1971" s="4" t="s">
        <v>387</v>
      </c>
      <c r="C1971" s="4" t="s">
        <v>420</v>
      </c>
      <c r="D1971" s="4" t="s">
        <v>387</v>
      </c>
      <c r="E1971" s="4" t="s">
        <v>2708</v>
      </c>
      <c r="F1971" s="4" t="s">
        <v>92</v>
      </c>
      <c r="G1971" s="4" t="s">
        <v>864</v>
      </c>
    </row>
    <row r="1972" spans="1:7" x14ac:dyDescent="0.25">
      <c r="A1972" s="4" t="s">
        <v>389</v>
      </c>
      <c r="B1972" s="4" t="s">
        <v>387</v>
      </c>
      <c r="C1972" s="4" t="s">
        <v>420</v>
      </c>
      <c r="D1972" s="4" t="s">
        <v>387</v>
      </c>
      <c r="E1972" s="4" t="s">
        <v>2709</v>
      </c>
      <c r="F1972" s="4" t="s">
        <v>92</v>
      </c>
      <c r="G1972" s="4" t="s">
        <v>864</v>
      </c>
    </row>
    <row r="1973" spans="1:7" x14ac:dyDescent="0.25">
      <c r="A1973" s="4" t="s">
        <v>389</v>
      </c>
      <c r="B1973" s="4" t="s">
        <v>387</v>
      </c>
      <c r="C1973" s="4" t="s">
        <v>420</v>
      </c>
      <c r="D1973" s="4" t="s">
        <v>387</v>
      </c>
      <c r="E1973" s="4" t="s">
        <v>2710</v>
      </c>
      <c r="F1973" s="4" t="s">
        <v>92</v>
      </c>
      <c r="G1973" s="4" t="s">
        <v>864</v>
      </c>
    </row>
    <row r="1974" spans="1:7" x14ac:dyDescent="0.25">
      <c r="A1974" s="4" t="s">
        <v>389</v>
      </c>
      <c r="B1974" s="4" t="s">
        <v>387</v>
      </c>
      <c r="C1974" s="4" t="s">
        <v>420</v>
      </c>
      <c r="D1974" s="4" t="s">
        <v>387</v>
      </c>
      <c r="E1974" s="4" t="s">
        <v>2711</v>
      </c>
      <c r="F1974" s="4" t="s">
        <v>92</v>
      </c>
      <c r="G1974" s="4" t="s">
        <v>864</v>
      </c>
    </row>
    <row r="1975" spans="1:7" x14ac:dyDescent="0.25">
      <c r="A1975" s="4" t="s">
        <v>389</v>
      </c>
      <c r="B1975" s="4" t="s">
        <v>387</v>
      </c>
      <c r="C1975" s="4" t="s">
        <v>420</v>
      </c>
      <c r="D1975" s="4" t="s">
        <v>387</v>
      </c>
      <c r="E1975" s="4" t="s">
        <v>2712</v>
      </c>
      <c r="F1975" s="4" t="s">
        <v>92</v>
      </c>
      <c r="G1975" s="4" t="s">
        <v>864</v>
      </c>
    </row>
    <row r="1976" spans="1:7" x14ac:dyDescent="0.25">
      <c r="A1976" s="4" t="s">
        <v>389</v>
      </c>
      <c r="B1976" s="4" t="s">
        <v>387</v>
      </c>
      <c r="C1976" s="4" t="s">
        <v>420</v>
      </c>
      <c r="D1976" s="4" t="s">
        <v>387</v>
      </c>
      <c r="E1976" s="4" t="s">
        <v>2713</v>
      </c>
      <c r="F1976" s="4" t="s">
        <v>92</v>
      </c>
      <c r="G1976" s="4" t="s">
        <v>864</v>
      </c>
    </row>
    <row r="1977" spans="1:7" x14ac:dyDescent="0.25">
      <c r="A1977" s="4" t="s">
        <v>389</v>
      </c>
      <c r="B1977" s="4" t="s">
        <v>387</v>
      </c>
      <c r="C1977" s="4" t="s">
        <v>420</v>
      </c>
      <c r="D1977" s="4" t="s">
        <v>387</v>
      </c>
      <c r="E1977" s="4" t="s">
        <v>2714</v>
      </c>
      <c r="F1977" s="4" t="s">
        <v>175</v>
      </c>
      <c r="G1977" s="4" t="s">
        <v>865</v>
      </c>
    </row>
    <row r="1978" spans="1:7" x14ac:dyDescent="0.25">
      <c r="A1978" s="4" t="s">
        <v>389</v>
      </c>
      <c r="B1978" s="4" t="s">
        <v>387</v>
      </c>
      <c r="C1978" s="4" t="s">
        <v>420</v>
      </c>
      <c r="D1978" s="4" t="s">
        <v>387</v>
      </c>
      <c r="E1978" s="4" t="s">
        <v>2715</v>
      </c>
      <c r="F1978" s="4" t="s">
        <v>175</v>
      </c>
      <c r="G1978" s="4" t="s">
        <v>865</v>
      </c>
    </row>
    <row r="1979" spans="1:7" x14ac:dyDescent="0.25">
      <c r="A1979" s="4" t="s">
        <v>389</v>
      </c>
      <c r="B1979" s="4" t="s">
        <v>387</v>
      </c>
      <c r="C1979" s="4" t="s">
        <v>420</v>
      </c>
      <c r="D1979" s="4" t="s">
        <v>387</v>
      </c>
      <c r="E1979" s="4" t="s">
        <v>2716</v>
      </c>
      <c r="F1979" s="4" t="s">
        <v>175</v>
      </c>
      <c r="G1979" s="4" t="s">
        <v>865</v>
      </c>
    </row>
    <row r="1980" spans="1:7" x14ac:dyDescent="0.25">
      <c r="A1980" s="4" t="s">
        <v>389</v>
      </c>
      <c r="B1980" s="4" t="s">
        <v>387</v>
      </c>
      <c r="C1980" s="4" t="s">
        <v>420</v>
      </c>
      <c r="D1980" s="4" t="s">
        <v>387</v>
      </c>
      <c r="E1980" s="4" t="s">
        <v>2717</v>
      </c>
      <c r="F1980" s="4" t="s">
        <v>175</v>
      </c>
      <c r="G1980" s="4" t="s">
        <v>865</v>
      </c>
    </row>
    <row r="1981" spans="1:7" x14ac:dyDescent="0.25">
      <c r="A1981" s="4" t="s">
        <v>389</v>
      </c>
      <c r="B1981" s="4" t="s">
        <v>387</v>
      </c>
      <c r="C1981" s="4" t="s">
        <v>420</v>
      </c>
      <c r="D1981" s="4" t="s">
        <v>387</v>
      </c>
      <c r="E1981" s="4" t="s">
        <v>2718</v>
      </c>
      <c r="F1981" s="4" t="s">
        <v>175</v>
      </c>
      <c r="G1981" s="4" t="s">
        <v>865</v>
      </c>
    </row>
    <row r="1982" spans="1:7" x14ac:dyDescent="0.25">
      <c r="A1982" s="4" t="s">
        <v>389</v>
      </c>
      <c r="B1982" s="4" t="s">
        <v>387</v>
      </c>
      <c r="C1982" s="4" t="s">
        <v>420</v>
      </c>
      <c r="D1982" s="4" t="s">
        <v>387</v>
      </c>
      <c r="E1982" s="4" t="s">
        <v>2719</v>
      </c>
      <c r="F1982" s="4" t="s">
        <v>175</v>
      </c>
      <c r="G1982" s="4" t="s">
        <v>865</v>
      </c>
    </row>
    <row r="1983" spans="1:7" x14ac:dyDescent="0.25">
      <c r="A1983" s="4" t="s">
        <v>389</v>
      </c>
      <c r="B1983" s="4" t="s">
        <v>387</v>
      </c>
      <c r="C1983" s="4" t="s">
        <v>420</v>
      </c>
      <c r="D1983" s="4" t="s">
        <v>387</v>
      </c>
      <c r="E1983" s="4" t="s">
        <v>2720</v>
      </c>
      <c r="F1983" s="4" t="s">
        <v>175</v>
      </c>
      <c r="G1983" s="4" t="s">
        <v>865</v>
      </c>
    </row>
    <row r="1984" spans="1:7" x14ac:dyDescent="0.25">
      <c r="A1984" s="4" t="s">
        <v>389</v>
      </c>
      <c r="B1984" s="4" t="s">
        <v>387</v>
      </c>
      <c r="C1984" s="4" t="s">
        <v>420</v>
      </c>
      <c r="D1984" s="4" t="s">
        <v>387</v>
      </c>
      <c r="E1984" s="4" t="s">
        <v>2721</v>
      </c>
      <c r="F1984" s="4" t="s">
        <v>175</v>
      </c>
      <c r="G1984" s="4" t="s">
        <v>865</v>
      </c>
    </row>
    <row r="1985" spans="1:7" x14ac:dyDescent="0.25">
      <c r="A1985" s="4" t="s">
        <v>389</v>
      </c>
      <c r="B1985" s="4" t="s">
        <v>387</v>
      </c>
      <c r="C1985" s="4" t="s">
        <v>420</v>
      </c>
      <c r="D1985" s="4" t="s">
        <v>387</v>
      </c>
      <c r="E1985" s="4" t="s">
        <v>2722</v>
      </c>
      <c r="F1985" s="4" t="s">
        <v>175</v>
      </c>
      <c r="G1985" s="4" t="s">
        <v>865</v>
      </c>
    </row>
    <row r="1986" spans="1:7" x14ac:dyDescent="0.25">
      <c r="A1986" s="4" t="s">
        <v>389</v>
      </c>
      <c r="B1986" s="4" t="s">
        <v>387</v>
      </c>
      <c r="C1986" s="4" t="s">
        <v>420</v>
      </c>
      <c r="D1986" s="4" t="s">
        <v>387</v>
      </c>
      <c r="E1986" s="4" t="s">
        <v>2781</v>
      </c>
      <c r="F1986" s="4" t="s">
        <v>175</v>
      </c>
      <c r="G1986" s="4" t="s">
        <v>865</v>
      </c>
    </row>
    <row r="1987" spans="1:7" x14ac:dyDescent="0.25">
      <c r="A1987" s="4" t="s">
        <v>389</v>
      </c>
      <c r="B1987" s="4" t="s">
        <v>387</v>
      </c>
      <c r="C1987" s="4" t="s">
        <v>420</v>
      </c>
      <c r="D1987" s="4" t="s">
        <v>387</v>
      </c>
      <c r="E1987" s="4" t="s">
        <v>2723</v>
      </c>
      <c r="F1987" s="4" t="s">
        <v>175</v>
      </c>
      <c r="G1987" s="4" t="s">
        <v>865</v>
      </c>
    </row>
    <row r="1988" spans="1:7" x14ac:dyDescent="0.25">
      <c r="A1988" s="4" t="s">
        <v>389</v>
      </c>
      <c r="B1988" s="4" t="s">
        <v>387</v>
      </c>
      <c r="C1988" s="4" t="s">
        <v>420</v>
      </c>
      <c r="D1988" s="4" t="s">
        <v>387</v>
      </c>
      <c r="E1988" s="4" t="s">
        <v>2724</v>
      </c>
      <c r="F1988" s="4" t="s">
        <v>175</v>
      </c>
      <c r="G1988" s="4" t="s">
        <v>865</v>
      </c>
    </row>
    <row r="1989" spans="1:7" x14ac:dyDescent="0.25">
      <c r="A1989" s="4" t="s">
        <v>389</v>
      </c>
      <c r="B1989" s="4" t="s">
        <v>387</v>
      </c>
      <c r="C1989" s="4" t="s">
        <v>420</v>
      </c>
      <c r="D1989" s="4" t="s">
        <v>387</v>
      </c>
      <c r="E1989" s="4" t="s">
        <v>2725</v>
      </c>
      <c r="F1989" s="4" t="s">
        <v>175</v>
      </c>
      <c r="G1989" s="4" t="s">
        <v>865</v>
      </c>
    </row>
    <row r="1990" spans="1:7" x14ac:dyDescent="0.25">
      <c r="A1990" s="4" t="s">
        <v>389</v>
      </c>
      <c r="B1990" s="4" t="s">
        <v>394</v>
      </c>
      <c r="C1990" s="4" t="s">
        <v>420</v>
      </c>
      <c r="D1990" s="4" t="s">
        <v>394</v>
      </c>
      <c r="E1990" s="4" t="s">
        <v>2726</v>
      </c>
      <c r="F1990" s="4" t="s">
        <v>363</v>
      </c>
      <c r="G1990" s="4" t="s">
        <v>390</v>
      </c>
    </row>
    <row r="1991" spans="1:7" x14ac:dyDescent="0.25">
      <c r="A1991" s="4" t="s">
        <v>389</v>
      </c>
      <c r="B1991" s="4" t="s">
        <v>394</v>
      </c>
      <c r="C1991" s="4" t="s">
        <v>420</v>
      </c>
      <c r="D1991" s="4" t="s">
        <v>394</v>
      </c>
      <c r="E1991" s="4" t="s">
        <v>2727</v>
      </c>
      <c r="F1991" s="4" t="s">
        <v>363</v>
      </c>
      <c r="G1991" s="4" t="s">
        <v>390</v>
      </c>
    </row>
    <row r="1992" spans="1:7" x14ac:dyDescent="0.25">
      <c r="A1992" s="4" t="s">
        <v>389</v>
      </c>
      <c r="B1992" s="4" t="s">
        <v>394</v>
      </c>
      <c r="C1992" s="4" t="s">
        <v>420</v>
      </c>
      <c r="D1992" s="4" t="s">
        <v>394</v>
      </c>
      <c r="E1992" s="4" t="s">
        <v>2728</v>
      </c>
      <c r="F1992" s="4" t="s">
        <v>363</v>
      </c>
      <c r="G1992" s="4" t="s">
        <v>390</v>
      </c>
    </row>
    <row r="1993" spans="1:7" x14ac:dyDescent="0.25">
      <c r="A1993" s="4" t="s">
        <v>389</v>
      </c>
      <c r="B1993" s="4" t="s">
        <v>394</v>
      </c>
      <c r="C1993" s="4" t="s">
        <v>420</v>
      </c>
      <c r="D1993" s="4" t="s">
        <v>394</v>
      </c>
      <c r="E1993" s="4" t="s">
        <v>2729</v>
      </c>
      <c r="F1993" s="4" t="s">
        <v>363</v>
      </c>
      <c r="G1993" s="4" t="s">
        <v>390</v>
      </c>
    </row>
    <row r="1994" spans="1:7" x14ac:dyDescent="0.25">
      <c r="A1994" s="4" t="s">
        <v>389</v>
      </c>
      <c r="B1994" s="4" t="s">
        <v>394</v>
      </c>
      <c r="C1994" s="4" t="s">
        <v>420</v>
      </c>
      <c r="D1994" s="4" t="s">
        <v>394</v>
      </c>
      <c r="E1994" s="4" t="s">
        <v>2730</v>
      </c>
      <c r="F1994" s="4" t="s">
        <v>363</v>
      </c>
      <c r="G1994" s="4" t="s">
        <v>390</v>
      </c>
    </row>
    <row r="1995" spans="1:7" x14ac:dyDescent="0.25">
      <c r="A1995" s="4" t="s">
        <v>389</v>
      </c>
      <c r="B1995" s="4" t="s">
        <v>394</v>
      </c>
      <c r="C1995" s="4" t="s">
        <v>420</v>
      </c>
      <c r="D1995" s="4" t="s">
        <v>394</v>
      </c>
      <c r="E1995" s="4" t="s">
        <v>2731</v>
      </c>
      <c r="F1995" s="4" t="s">
        <v>363</v>
      </c>
      <c r="G1995" s="4" t="s">
        <v>390</v>
      </c>
    </row>
    <row r="1996" spans="1:7" x14ac:dyDescent="0.25">
      <c r="A1996" s="4" t="s">
        <v>389</v>
      </c>
      <c r="B1996" s="4" t="s">
        <v>394</v>
      </c>
      <c r="C1996" s="4" t="s">
        <v>420</v>
      </c>
      <c r="D1996" s="4" t="s">
        <v>394</v>
      </c>
      <c r="E1996" s="4" t="s">
        <v>2732</v>
      </c>
      <c r="F1996" s="4" t="s">
        <v>363</v>
      </c>
      <c r="G1996" s="4" t="s">
        <v>390</v>
      </c>
    </row>
    <row r="1997" spans="1:7" x14ac:dyDescent="0.25">
      <c r="A1997" s="4" t="s">
        <v>389</v>
      </c>
      <c r="B1997" s="4" t="s">
        <v>394</v>
      </c>
      <c r="C1997" s="4" t="s">
        <v>420</v>
      </c>
      <c r="D1997" s="4" t="s">
        <v>394</v>
      </c>
      <c r="E1997" s="4" t="s">
        <v>2733</v>
      </c>
      <c r="F1997" s="4" t="s">
        <v>363</v>
      </c>
      <c r="G1997" s="4" t="s">
        <v>390</v>
      </c>
    </row>
    <row r="1998" spans="1:7" x14ac:dyDescent="0.25">
      <c r="A1998" s="4" t="s">
        <v>389</v>
      </c>
      <c r="B1998" s="4" t="s">
        <v>394</v>
      </c>
      <c r="C1998" s="4" t="s">
        <v>420</v>
      </c>
      <c r="D1998" s="4" t="s">
        <v>394</v>
      </c>
      <c r="E1998" s="4" t="s">
        <v>2734</v>
      </c>
      <c r="F1998" s="4" t="s">
        <v>363</v>
      </c>
      <c r="G1998" s="4" t="s">
        <v>390</v>
      </c>
    </row>
    <row r="1999" spans="1:7" x14ac:dyDescent="0.25">
      <c r="A1999" s="4" t="s">
        <v>389</v>
      </c>
      <c r="B1999" s="4" t="s">
        <v>394</v>
      </c>
      <c r="C1999" s="4" t="s">
        <v>420</v>
      </c>
      <c r="D1999" s="4" t="s">
        <v>394</v>
      </c>
      <c r="E1999" s="4" t="s">
        <v>2735</v>
      </c>
      <c r="F1999" s="4" t="s">
        <v>363</v>
      </c>
      <c r="G1999" s="4" t="s">
        <v>390</v>
      </c>
    </row>
    <row r="2000" spans="1:7" x14ac:dyDescent="0.25">
      <c r="A2000" s="4" t="s">
        <v>389</v>
      </c>
      <c r="B2000" s="4" t="s">
        <v>394</v>
      </c>
      <c r="C2000" s="4" t="s">
        <v>420</v>
      </c>
      <c r="D2000" s="4" t="s">
        <v>394</v>
      </c>
      <c r="E2000" s="4" t="s">
        <v>2736</v>
      </c>
      <c r="F2000" s="4" t="s">
        <v>363</v>
      </c>
      <c r="G2000" s="4" t="s">
        <v>390</v>
      </c>
    </row>
    <row r="2001" spans="1:7" x14ac:dyDescent="0.25">
      <c r="A2001" s="4" t="s">
        <v>389</v>
      </c>
      <c r="B2001" s="4" t="s">
        <v>394</v>
      </c>
      <c r="C2001" s="4" t="s">
        <v>420</v>
      </c>
      <c r="D2001" s="4" t="s">
        <v>394</v>
      </c>
      <c r="E2001" s="4" t="s">
        <v>2737</v>
      </c>
      <c r="F2001" s="4" t="s">
        <v>363</v>
      </c>
      <c r="G2001" s="4" t="s">
        <v>390</v>
      </c>
    </row>
    <row r="2002" spans="1:7" x14ac:dyDescent="0.25">
      <c r="A2002" s="4" t="s">
        <v>389</v>
      </c>
      <c r="B2002" s="4" t="s">
        <v>394</v>
      </c>
      <c r="C2002" s="4" t="s">
        <v>420</v>
      </c>
      <c r="D2002" s="4" t="s">
        <v>394</v>
      </c>
      <c r="E2002" s="4" t="s">
        <v>2738</v>
      </c>
      <c r="F2002" s="4" t="s">
        <v>363</v>
      </c>
      <c r="G2002" s="4" t="s">
        <v>390</v>
      </c>
    </row>
    <row r="2003" spans="1:7" x14ac:dyDescent="0.25">
      <c r="A2003" s="4" t="s">
        <v>389</v>
      </c>
      <c r="B2003" s="4" t="s">
        <v>394</v>
      </c>
      <c r="C2003" s="4" t="s">
        <v>420</v>
      </c>
      <c r="D2003" s="4" t="s">
        <v>394</v>
      </c>
      <c r="E2003" s="4" t="s">
        <v>2739</v>
      </c>
      <c r="F2003" s="4" t="s">
        <v>175</v>
      </c>
      <c r="G2003" s="4" t="s">
        <v>864</v>
      </c>
    </row>
    <row r="2004" spans="1:7" x14ac:dyDescent="0.25">
      <c r="A2004" s="4" t="s">
        <v>389</v>
      </c>
      <c r="B2004" s="4" t="s">
        <v>394</v>
      </c>
      <c r="C2004" s="4" t="s">
        <v>420</v>
      </c>
      <c r="D2004" s="4" t="s">
        <v>394</v>
      </c>
      <c r="E2004" s="4" t="s">
        <v>2740</v>
      </c>
      <c r="F2004" s="4" t="s">
        <v>175</v>
      </c>
      <c r="G2004" s="4" t="s">
        <v>864</v>
      </c>
    </row>
    <row r="2005" spans="1:7" x14ac:dyDescent="0.25">
      <c r="A2005" s="4" t="s">
        <v>389</v>
      </c>
      <c r="B2005" s="4" t="s">
        <v>394</v>
      </c>
      <c r="C2005" s="4" t="s">
        <v>420</v>
      </c>
      <c r="D2005" s="4" t="s">
        <v>394</v>
      </c>
      <c r="E2005" s="4" t="s">
        <v>2741</v>
      </c>
      <c r="F2005" s="4" t="s">
        <v>175</v>
      </c>
      <c r="G2005" s="4" t="s">
        <v>864</v>
      </c>
    </row>
    <row r="2006" spans="1:7" x14ac:dyDescent="0.25">
      <c r="A2006" s="4" t="s">
        <v>389</v>
      </c>
      <c r="B2006" s="4" t="s">
        <v>394</v>
      </c>
      <c r="C2006" s="4" t="s">
        <v>420</v>
      </c>
      <c r="D2006" s="4" t="s">
        <v>394</v>
      </c>
      <c r="E2006" s="4" t="s">
        <v>2742</v>
      </c>
      <c r="F2006" s="4" t="s">
        <v>175</v>
      </c>
      <c r="G2006" s="4" t="s">
        <v>864</v>
      </c>
    </row>
    <row r="2007" spans="1:7" x14ac:dyDescent="0.25">
      <c r="A2007" s="4" t="s">
        <v>389</v>
      </c>
      <c r="B2007" s="4" t="s">
        <v>394</v>
      </c>
      <c r="C2007" s="4" t="s">
        <v>420</v>
      </c>
      <c r="D2007" s="4" t="s">
        <v>394</v>
      </c>
      <c r="E2007" s="4" t="s">
        <v>2743</v>
      </c>
      <c r="F2007" s="4" t="s">
        <v>175</v>
      </c>
      <c r="G2007" s="4" t="s">
        <v>864</v>
      </c>
    </row>
    <row r="2008" spans="1:7" x14ac:dyDescent="0.25">
      <c r="A2008" s="4" t="s">
        <v>389</v>
      </c>
      <c r="B2008" s="4" t="s">
        <v>394</v>
      </c>
      <c r="C2008" s="4" t="s">
        <v>420</v>
      </c>
      <c r="D2008" s="4" t="s">
        <v>394</v>
      </c>
      <c r="E2008" s="4" t="s">
        <v>2744</v>
      </c>
      <c r="F2008" s="4" t="s">
        <v>175</v>
      </c>
      <c r="G2008" s="4" t="s">
        <v>864</v>
      </c>
    </row>
    <row r="2009" spans="1:7" x14ac:dyDescent="0.25">
      <c r="A2009" s="4" t="s">
        <v>389</v>
      </c>
      <c r="B2009" s="4" t="s">
        <v>394</v>
      </c>
      <c r="C2009" s="4" t="s">
        <v>420</v>
      </c>
      <c r="D2009" s="4" t="s">
        <v>394</v>
      </c>
      <c r="E2009" s="4" t="s">
        <v>2745</v>
      </c>
      <c r="F2009" s="4" t="s">
        <v>175</v>
      </c>
      <c r="G2009" s="4" t="s">
        <v>864</v>
      </c>
    </row>
    <row r="2010" spans="1:7" x14ac:dyDescent="0.25">
      <c r="A2010" s="4" t="s">
        <v>389</v>
      </c>
      <c r="B2010" s="4" t="s">
        <v>394</v>
      </c>
      <c r="C2010" s="4" t="s">
        <v>420</v>
      </c>
      <c r="D2010" s="4" t="s">
        <v>394</v>
      </c>
      <c r="E2010" s="4" t="s">
        <v>2746</v>
      </c>
      <c r="F2010" s="4" t="s">
        <v>175</v>
      </c>
      <c r="G2010" s="4" t="s">
        <v>864</v>
      </c>
    </row>
    <row r="2011" spans="1:7" x14ac:dyDescent="0.25">
      <c r="A2011" s="4" t="s">
        <v>389</v>
      </c>
      <c r="B2011" s="4" t="s">
        <v>394</v>
      </c>
      <c r="C2011" s="4" t="s">
        <v>420</v>
      </c>
      <c r="D2011" s="4" t="s">
        <v>394</v>
      </c>
      <c r="E2011" s="4" t="s">
        <v>2747</v>
      </c>
      <c r="F2011" s="4" t="s">
        <v>175</v>
      </c>
      <c r="G2011" s="4" t="s">
        <v>864</v>
      </c>
    </row>
    <row r="2012" spans="1:7" x14ac:dyDescent="0.25">
      <c r="A2012" s="4" t="s">
        <v>389</v>
      </c>
      <c r="B2012" s="4" t="s">
        <v>394</v>
      </c>
      <c r="C2012" s="4" t="s">
        <v>420</v>
      </c>
      <c r="D2012" s="4" t="s">
        <v>394</v>
      </c>
      <c r="E2012" s="4" t="s">
        <v>2748</v>
      </c>
      <c r="F2012" s="4" t="s">
        <v>175</v>
      </c>
      <c r="G2012" s="4" t="s">
        <v>864</v>
      </c>
    </row>
    <row r="2013" spans="1:7" x14ac:dyDescent="0.25">
      <c r="A2013" s="4" t="s">
        <v>389</v>
      </c>
      <c r="B2013" s="4" t="s">
        <v>394</v>
      </c>
      <c r="C2013" s="4" t="s">
        <v>420</v>
      </c>
      <c r="D2013" s="4" t="s">
        <v>394</v>
      </c>
      <c r="E2013" s="4" t="s">
        <v>2749</v>
      </c>
      <c r="F2013" s="4" t="s">
        <v>175</v>
      </c>
      <c r="G2013" s="4" t="s">
        <v>864</v>
      </c>
    </row>
    <row r="2014" spans="1:7" x14ac:dyDescent="0.25">
      <c r="A2014" s="4" t="s">
        <v>389</v>
      </c>
      <c r="B2014" s="4" t="s">
        <v>394</v>
      </c>
      <c r="C2014" s="4" t="s">
        <v>420</v>
      </c>
      <c r="D2014" s="4" t="s">
        <v>394</v>
      </c>
      <c r="E2014" s="4" t="s">
        <v>2750</v>
      </c>
      <c r="F2014" s="4" t="s">
        <v>175</v>
      </c>
      <c r="G2014" s="4" t="s">
        <v>864</v>
      </c>
    </row>
    <row r="2015" spans="1:7" x14ac:dyDescent="0.25">
      <c r="A2015" s="4" t="s">
        <v>389</v>
      </c>
      <c r="B2015" s="4" t="s">
        <v>394</v>
      </c>
      <c r="C2015" s="4" t="s">
        <v>420</v>
      </c>
      <c r="D2015" s="4" t="s">
        <v>394</v>
      </c>
      <c r="E2015" s="4" t="s">
        <v>2751</v>
      </c>
      <c r="F2015" s="4" t="s">
        <v>175</v>
      </c>
      <c r="G2015" s="4" t="s">
        <v>864</v>
      </c>
    </row>
    <row r="2016" spans="1:7" x14ac:dyDescent="0.25">
      <c r="A2016" s="4" t="s">
        <v>389</v>
      </c>
      <c r="B2016" s="4" t="s">
        <v>394</v>
      </c>
      <c r="C2016" s="4" t="s">
        <v>420</v>
      </c>
      <c r="D2016" s="4" t="s">
        <v>394</v>
      </c>
      <c r="E2016" s="4" t="s">
        <v>2752</v>
      </c>
      <c r="F2016" s="4" t="s">
        <v>287</v>
      </c>
      <c r="G2016" s="4" t="s">
        <v>865</v>
      </c>
    </row>
    <row r="2017" spans="1:7" x14ac:dyDescent="0.25">
      <c r="A2017" s="4" t="s">
        <v>389</v>
      </c>
      <c r="B2017" s="4" t="s">
        <v>394</v>
      </c>
      <c r="C2017" s="4" t="s">
        <v>420</v>
      </c>
      <c r="D2017" s="4" t="s">
        <v>394</v>
      </c>
      <c r="E2017" s="4" t="s">
        <v>2753</v>
      </c>
      <c r="F2017" s="4" t="s">
        <v>287</v>
      </c>
      <c r="G2017" s="4" t="s">
        <v>865</v>
      </c>
    </row>
    <row r="2018" spans="1:7" x14ac:dyDescent="0.25">
      <c r="A2018" s="4" t="s">
        <v>389</v>
      </c>
      <c r="B2018" s="4" t="s">
        <v>394</v>
      </c>
      <c r="C2018" s="4" t="s">
        <v>420</v>
      </c>
      <c r="D2018" s="4" t="s">
        <v>394</v>
      </c>
      <c r="E2018" s="4" t="s">
        <v>2754</v>
      </c>
      <c r="F2018" s="4" t="s">
        <v>287</v>
      </c>
      <c r="G2018" s="4" t="s">
        <v>865</v>
      </c>
    </row>
    <row r="2019" spans="1:7" x14ac:dyDescent="0.25">
      <c r="A2019" s="4" t="s">
        <v>389</v>
      </c>
      <c r="B2019" s="4" t="s">
        <v>394</v>
      </c>
      <c r="C2019" s="4" t="s">
        <v>420</v>
      </c>
      <c r="D2019" s="4" t="s">
        <v>394</v>
      </c>
      <c r="E2019" s="4" t="s">
        <v>2755</v>
      </c>
      <c r="F2019" s="4" t="s">
        <v>287</v>
      </c>
      <c r="G2019" s="4" t="s">
        <v>865</v>
      </c>
    </row>
    <row r="2020" spans="1:7" x14ac:dyDescent="0.25">
      <c r="A2020" s="4" t="s">
        <v>389</v>
      </c>
      <c r="B2020" s="4" t="s">
        <v>394</v>
      </c>
      <c r="C2020" s="4" t="s">
        <v>420</v>
      </c>
      <c r="D2020" s="4" t="s">
        <v>394</v>
      </c>
      <c r="E2020" s="4" t="s">
        <v>2756</v>
      </c>
      <c r="F2020" s="4" t="s">
        <v>287</v>
      </c>
      <c r="G2020" s="4" t="s">
        <v>865</v>
      </c>
    </row>
    <row r="2021" spans="1:7" x14ac:dyDescent="0.25">
      <c r="A2021" s="4" t="s">
        <v>389</v>
      </c>
      <c r="B2021" s="4" t="s">
        <v>394</v>
      </c>
      <c r="C2021" s="4" t="s">
        <v>420</v>
      </c>
      <c r="D2021" s="4" t="s">
        <v>394</v>
      </c>
      <c r="E2021" s="4" t="s">
        <v>2757</v>
      </c>
      <c r="F2021" s="4" t="s">
        <v>287</v>
      </c>
      <c r="G2021" s="4" t="s">
        <v>865</v>
      </c>
    </row>
    <row r="2022" spans="1:7" x14ac:dyDescent="0.25">
      <c r="A2022" s="4" t="s">
        <v>389</v>
      </c>
      <c r="B2022" s="4" t="s">
        <v>394</v>
      </c>
      <c r="C2022" s="4" t="s">
        <v>420</v>
      </c>
      <c r="D2022" s="4" t="s">
        <v>394</v>
      </c>
      <c r="E2022" s="4" t="s">
        <v>2758</v>
      </c>
      <c r="F2022" s="4" t="s">
        <v>287</v>
      </c>
      <c r="G2022" s="4" t="s">
        <v>865</v>
      </c>
    </row>
    <row r="2023" spans="1:7" x14ac:dyDescent="0.25">
      <c r="A2023" s="4" t="s">
        <v>389</v>
      </c>
      <c r="B2023" s="4" t="s">
        <v>394</v>
      </c>
      <c r="C2023" s="4" t="s">
        <v>420</v>
      </c>
      <c r="D2023" s="4" t="s">
        <v>394</v>
      </c>
      <c r="E2023" s="4" t="s">
        <v>2759</v>
      </c>
      <c r="F2023" s="4" t="s">
        <v>287</v>
      </c>
      <c r="G2023" s="4" t="s">
        <v>865</v>
      </c>
    </row>
    <row r="2024" spans="1:7" x14ac:dyDescent="0.25">
      <c r="A2024" s="4" t="s">
        <v>389</v>
      </c>
      <c r="B2024" s="4" t="s">
        <v>394</v>
      </c>
      <c r="C2024" s="4" t="s">
        <v>420</v>
      </c>
      <c r="D2024" s="4" t="s">
        <v>394</v>
      </c>
      <c r="E2024" s="4" t="s">
        <v>2760</v>
      </c>
      <c r="F2024" s="4" t="s">
        <v>287</v>
      </c>
      <c r="G2024" s="4" t="s">
        <v>865</v>
      </c>
    </row>
    <row r="2025" spans="1:7" x14ac:dyDescent="0.25">
      <c r="A2025" s="4" t="s">
        <v>389</v>
      </c>
      <c r="B2025" s="4" t="s">
        <v>394</v>
      </c>
      <c r="C2025" s="4" t="s">
        <v>420</v>
      </c>
      <c r="D2025" s="4" t="s">
        <v>394</v>
      </c>
      <c r="E2025" s="4" t="s">
        <v>2761</v>
      </c>
      <c r="F2025" s="4" t="s">
        <v>287</v>
      </c>
      <c r="G2025" s="4" t="s">
        <v>865</v>
      </c>
    </row>
    <row r="2026" spans="1:7" x14ac:dyDescent="0.25">
      <c r="A2026" s="4" t="s">
        <v>389</v>
      </c>
      <c r="B2026" s="4" t="s">
        <v>394</v>
      </c>
      <c r="C2026" s="4" t="s">
        <v>420</v>
      </c>
      <c r="D2026" s="4" t="s">
        <v>394</v>
      </c>
      <c r="E2026" s="4" t="s">
        <v>2762</v>
      </c>
      <c r="F2026" s="4" t="s">
        <v>287</v>
      </c>
      <c r="G2026" s="4" t="s">
        <v>865</v>
      </c>
    </row>
    <row r="2027" spans="1:7" x14ac:dyDescent="0.25">
      <c r="A2027" s="4" t="s">
        <v>389</v>
      </c>
      <c r="B2027" s="4" t="s">
        <v>394</v>
      </c>
      <c r="C2027" s="4" t="s">
        <v>420</v>
      </c>
      <c r="D2027" s="4" t="s">
        <v>394</v>
      </c>
      <c r="E2027" s="4" t="s">
        <v>2763</v>
      </c>
      <c r="F2027" s="4" t="s">
        <v>287</v>
      </c>
      <c r="G2027" s="4" t="s">
        <v>865</v>
      </c>
    </row>
    <row r="2028" spans="1:7" x14ac:dyDescent="0.25">
      <c r="A2028" s="4" t="s">
        <v>389</v>
      </c>
      <c r="B2028" s="4" t="s">
        <v>394</v>
      </c>
      <c r="C2028" s="4" t="s">
        <v>420</v>
      </c>
      <c r="D2028" s="4" t="s">
        <v>394</v>
      </c>
      <c r="E2028" s="4" t="s">
        <v>2764</v>
      </c>
      <c r="F2028" s="4" t="s">
        <v>287</v>
      </c>
      <c r="G2028" s="4" t="s">
        <v>865</v>
      </c>
    </row>
  </sheetData>
  <pageMargins left="0.7" right="0.7" top="0.75" bottom="0.75" header="0.3" footer="0.3"/>
  <pageSetup orientation="portrait" horizontalDpi="4294967293" verticalDpi="0"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4" baseType="variant">
      <vt:variant>
        <vt:lpstr>Worksheets</vt:lpstr>
      </vt:variant>
      <vt:variant>
        <vt:i4>9</vt:i4>
      </vt:variant>
      <vt:variant>
        <vt:lpstr>Named Ranges</vt:lpstr>
      </vt:variant>
      <vt:variant>
        <vt:i4>263</vt:i4>
      </vt:variant>
    </vt:vector>
  </HeadingPairs>
  <TitlesOfParts>
    <vt:vector size="272" baseType="lpstr">
      <vt:lpstr>WELCOME</vt:lpstr>
      <vt:lpstr>2016_RIO_OLYMPICS_DASHBOARD</vt:lpstr>
      <vt:lpstr>CALC_COUNTRIES</vt:lpstr>
      <vt:lpstr>INPUT_COUNTRIES</vt:lpstr>
      <vt:lpstr>INPUT_SPORTS</vt:lpstr>
      <vt:lpstr>ATHLETES</vt:lpstr>
      <vt:lpstr>H</vt:lpstr>
      <vt:lpstr>2016_Events_Results</vt:lpstr>
      <vt:lpstr>2016_Athletes_Medals</vt:lpstr>
      <vt:lpstr>AFG</vt:lpstr>
      <vt:lpstr>AHO</vt:lpstr>
      <vt:lpstr>ALB</vt:lpstr>
      <vt:lpstr>ALG</vt:lpstr>
      <vt:lpstr>AND</vt:lpstr>
      <vt:lpstr>ANG</vt:lpstr>
      <vt:lpstr>ANT</vt:lpstr>
      <vt:lpstr>ARC</vt:lpstr>
      <vt:lpstr>ARG</vt:lpstr>
      <vt:lpstr>ARM</vt:lpstr>
      <vt:lpstr>ART</vt:lpstr>
      <vt:lpstr>ARU</vt:lpstr>
      <vt:lpstr>ASA</vt:lpstr>
      <vt:lpstr>ATH</vt:lpstr>
      <vt:lpstr>AUS</vt:lpstr>
      <vt:lpstr>AUT</vt:lpstr>
      <vt:lpstr>AZE</vt:lpstr>
      <vt:lpstr>BAD</vt:lpstr>
      <vt:lpstr>BAH</vt:lpstr>
      <vt:lpstr>BAN</vt:lpstr>
      <vt:lpstr>BAR</vt:lpstr>
      <vt:lpstr>BAS</vt:lpstr>
      <vt:lpstr>BDI</vt:lpstr>
      <vt:lpstr>BEA</vt:lpstr>
      <vt:lpstr>BEL</vt:lpstr>
      <vt:lpstr>BEN</vt:lpstr>
      <vt:lpstr>BER</vt:lpstr>
      <vt:lpstr>BHU</vt:lpstr>
      <vt:lpstr>BIH</vt:lpstr>
      <vt:lpstr>BIZ</vt:lpstr>
      <vt:lpstr>BLNK</vt:lpstr>
      <vt:lpstr>BLNKW</vt:lpstr>
      <vt:lpstr>BLR</vt:lpstr>
      <vt:lpstr>BOL</vt:lpstr>
      <vt:lpstr>BOT</vt:lpstr>
      <vt:lpstr>BOX</vt:lpstr>
      <vt:lpstr>BRA</vt:lpstr>
      <vt:lpstr>BRN</vt:lpstr>
      <vt:lpstr>BRU</vt:lpstr>
      <vt:lpstr>BUL</vt:lpstr>
      <vt:lpstr>BUR</vt:lpstr>
      <vt:lpstr>C_EVENTNAME_ROW</vt:lpstr>
      <vt:lpstr>CAF</vt:lpstr>
      <vt:lpstr>CAM</vt:lpstr>
      <vt:lpstr>CAN</vt:lpstr>
      <vt:lpstr>CAY</vt:lpstr>
      <vt:lpstr>CBM</vt:lpstr>
      <vt:lpstr>CGO</vt:lpstr>
      <vt:lpstr>CHA</vt:lpstr>
      <vt:lpstr>CHI</vt:lpstr>
      <vt:lpstr>CHN</vt:lpstr>
      <vt:lpstr>CIV</vt:lpstr>
      <vt:lpstr>CMB</vt:lpstr>
      <vt:lpstr>CMR</vt:lpstr>
      <vt:lpstr>COD</vt:lpstr>
      <vt:lpstr>COK</vt:lpstr>
      <vt:lpstr>COL</vt:lpstr>
      <vt:lpstr>COM</vt:lpstr>
      <vt:lpstr>CPV</vt:lpstr>
      <vt:lpstr>CRC</vt:lpstr>
      <vt:lpstr>CRD</vt:lpstr>
      <vt:lpstr>CRO</vt:lpstr>
      <vt:lpstr>CSL</vt:lpstr>
      <vt:lpstr>CSP</vt:lpstr>
      <vt:lpstr>CTR</vt:lpstr>
      <vt:lpstr>CUB</vt:lpstr>
      <vt:lpstr>CYP</vt:lpstr>
      <vt:lpstr>CZE</vt:lpstr>
      <vt:lpstr>DEN</vt:lpstr>
      <vt:lpstr>DIV</vt:lpstr>
      <vt:lpstr>DJI</vt:lpstr>
      <vt:lpstr>DMA</vt:lpstr>
      <vt:lpstr>DOM</vt:lpstr>
      <vt:lpstr>ECU</vt:lpstr>
      <vt:lpstr>EGY</vt:lpstr>
      <vt:lpstr>EQU</vt:lpstr>
      <vt:lpstr>ERI</vt:lpstr>
      <vt:lpstr>ESA</vt:lpstr>
      <vt:lpstr>ESP</vt:lpstr>
      <vt:lpstr>EST</vt:lpstr>
      <vt:lpstr>ETH</vt:lpstr>
      <vt:lpstr>FEN</vt:lpstr>
      <vt:lpstr>FIJ</vt:lpstr>
      <vt:lpstr>FIN</vt:lpstr>
      <vt:lpstr>FOO</vt:lpstr>
      <vt:lpstr>FRA</vt:lpstr>
      <vt:lpstr>FSM</vt:lpstr>
      <vt:lpstr>GAB</vt:lpstr>
      <vt:lpstr>GAM</vt:lpstr>
      <vt:lpstr>GBR</vt:lpstr>
      <vt:lpstr>GBS</vt:lpstr>
      <vt:lpstr>GEO</vt:lpstr>
      <vt:lpstr>GEQ</vt:lpstr>
      <vt:lpstr>GER</vt:lpstr>
      <vt:lpstr>GHA</vt:lpstr>
      <vt:lpstr>GOL</vt:lpstr>
      <vt:lpstr>GRE</vt:lpstr>
      <vt:lpstr>GRN</vt:lpstr>
      <vt:lpstr>GUA</vt:lpstr>
      <vt:lpstr>GUI</vt:lpstr>
      <vt:lpstr>GUM</vt:lpstr>
      <vt:lpstr>GUY</vt:lpstr>
      <vt:lpstr>HAI</vt:lpstr>
      <vt:lpstr>HAN</vt:lpstr>
      <vt:lpstr>HKG</vt:lpstr>
      <vt:lpstr>HOC</vt:lpstr>
      <vt:lpstr>HON</vt:lpstr>
      <vt:lpstr>HUN</vt:lpstr>
      <vt:lpstr>I_CV_CNTRY</vt:lpstr>
      <vt:lpstr>I_CV_COUNTRY</vt:lpstr>
      <vt:lpstr>I_RANK_METHOD</vt:lpstr>
      <vt:lpstr>I_SV_EVENTNAME</vt:lpstr>
      <vt:lpstr>I_SV_SPORT</vt:lpstr>
      <vt:lpstr>I_SV_SPORT_LOGO</vt:lpstr>
      <vt:lpstr>I_VIEW</vt:lpstr>
      <vt:lpstr>INA</vt:lpstr>
      <vt:lpstr>IND</vt:lpstr>
      <vt:lpstr>IOA</vt:lpstr>
      <vt:lpstr>IRI</vt:lpstr>
      <vt:lpstr>IRL</vt:lpstr>
      <vt:lpstr>IRQ</vt:lpstr>
      <vt:lpstr>ISL</vt:lpstr>
      <vt:lpstr>ISR</vt:lpstr>
      <vt:lpstr>ISV</vt:lpstr>
      <vt:lpstr>ITA</vt:lpstr>
      <vt:lpstr>IVB</vt:lpstr>
      <vt:lpstr>JAM</vt:lpstr>
      <vt:lpstr>JOR</vt:lpstr>
      <vt:lpstr>JPN</vt:lpstr>
      <vt:lpstr>JUD</vt:lpstr>
      <vt:lpstr>KAZ</vt:lpstr>
      <vt:lpstr>KEN</vt:lpstr>
      <vt:lpstr>KGZ</vt:lpstr>
      <vt:lpstr>KIR</vt:lpstr>
      <vt:lpstr>KOR</vt:lpstr>
      <vt:lpstr>KOS</vt:lpstr>
      <vt:lpstr>KSA</vt:lpstr>
      <vt:lpstr>KUW</vt:lpstr>
      <vt:lpstr>L_COUNTRIES</vt:lpstr>
      <vt:lpstr>'2016_Athletes_Medals'!L_SPORTS</vt:lpstr>
      <vt:lpstr>L_SPORTS</vt:lpstr>
      <vt:lpstr>LAO</vt:lpstr>
      <vt:lpstr>LAT</vt:lpstr>
      <vt:lpstr>LBA</vt:lpstr>
      <vt:lpstr>LBR</vt:lpstr>
      <vt:lpstr>LCA</vt:lpstr>
      <vt:lpstr>LES</vt:lpstr>
      <vt:lpstr>LIB</vt:lpstr>
      <vt:lpstr>LIE</vt:lpstr>
      <vt:lpstr>LTU</vt:lpstr>
      <vt:lpstr>LUX</vt:lpstr>
      <vt:lpstr>MAD</vt:lpstr>
      <vt:lpstr>MAR</vt:lpstr>
      <vt:lpstr>MAS</vt:lpstr>
      <vt:lpstr>MAW</vt:lpstr>
      <vt:lpstr>MDA</vt:lpstr>
      <vt:lpstr>MDV</vt:lpstr>
      <vt:lpstr>MEX</vt:lpstr>
      <vt:lpstr>MGL</vt:lpstr>
      <vt:lpstr>MHL</vt:lpstr>
      <vt:lpstr>MKD</vt:lpstr>
      <vt:lpstr>MLI</vt:lpstr>
      <vt:lpstr>MLT</vt:lpstr>
      <vt:lpstr>MNE</vt:lpstr>
      <vt:lpstr>MON</vt:lpstr>
      <vt:lpstr>MOZ</vt:lpstr>
      <vt:lpstr>MPE</vt:lpstr>
      <vt:lpstr>MRI</vt:lpstr>
      <vt:lpstr>MSW</vt:lpstr>
      <vt:lpstr>MTN</vt:lpstr>
      <vt:lpstr>MYA</vt:lpstr>
      <vt:lpstr>NAM</vt:lpstr>
      <vt:lpstr>NCA</vt:lpstr>
      <vt:lpstr>NED</vt:lpstr>
      <vt:lpstr>NEP</vt:lpstr>
      <vt:lpstr>NGR</vt:lpstr>
      <vt:lpstr>NIG</vt:lpstr>
      <vt:lpstr>NOR</vt:lpstr>
      <vt:lpstr>NRU</vt:lpstr>
      <vt:lpstr>NZL</vt:lpstr>
      <vt:lpstr>OLY_LOGO</vt:lpstr>
      <vt:lpstr>OMA</vt:lpstr>
      <vt:lpstr>PAK</vt:lpstr>
      <vt:lpstr>PAN</vt:lpstr>
      <vt:lpstr>PAR</vt:lpstr>
      <vt:lpstr>PER</vt:lpstr>
      <vt:lpstr>PHI</vt:lpstr>
      <vt:lpstr>PLE</vt:lpstr>
      <vt:lpstr>PLW</vt:lpstr>
      <vt:lpstr>PNG</vt:lpstr>
      <vt:lpstr>POL</vt:lpstr>
      <vt:lpstr>POR</vt:lpstr>
      <vt:lpstr>'2016_RIO_OLYMPICS_DASHBOARD'!Print_Area</vt:lpstr>
      <vt:lpstr>PRK</vt:lpstr>
      <vt:lpstr>PUR</vt:lpstr>
      <vt:lpstr>QAT</vt:lpstr>
      <vt:lpstr>RHG</vt:lpstr>
      <vt:lpstr>ROT</vt:lpstr>
      <vt:lpstr>ROU</vt:lpstr>
      <vt:lpstr>ROW</vt:lpstr>
      <vt:lpstr>RSA</vt:lpstr>
      <vt:lpstr>RUG</vt:lpstr>
      <vt:lpstr>RUS</vt:lpstr>
      <vt:lpstr>RWA</vt:lpstr>
      <vt:lpstr>SAI</vt:lpstr>
      <vt:lpstr>SAM</vt:lpstr>
      <vt:lpstr>SEN</vt:lpstr>
      <vt:lpstr>SEY</vt:lpstr>
      <vt:lpstr>SHO</vt:lpstr>
      <vt:lpstr>SIN</vt:lpstr>
      <vt:lpstr>SKN</vt:lpstr>
      <vt:lpstr>SLE</vt:lpstr>
      <vt:lpstr>SLO</vt:lpstr>
      <vt:lpstr>SMR</vt:lpstr>
      <vt:lpstr>SOL</vt:lpstr>
      <vt:lpstr>SOM</vt:lpstr>
      <vt:lpstr>SRB</vt:lpstr>
      <vt:lpstr>SRI</vt:lpstr>
      <vt:lpstr>SSD</vt:lpstr>
      <vt:lpstr>SSW</vt:lpstr>
      <vt:lpstr>STP</vt:lpstr>
      <vt:lpstr>SUD</vt:lpstr>
      <vt:lpstr>SUI</vt:lpstr>
      <vt:lpstr>SUR</vt:lpstr>
      <vt:lpstr>SVK</vt:lpstr>
      <vt:lpstr>SWE</vt:lpstr>
      <vt:lpstr>SWI</vt:lpstr>
      <vt:lpstr>SWZ</vt:lpstr>
      <vt:lpstr>SYR</vt:lpstr>
      <vt:lpstr>TAE</vt:lpstr>
      <vt:lpstr>TAN</vt:lpstr>
      <vt:lpstr>TBT</vt:lpstr>
      <vt:lpstr>TEN</vt:lpstr>
      <vt:lpstr>TGA</vt:lpstr>
      <vt:lpstr>THA</vt:lpstr>
      <vt:lpstr>TJK</vt:lpstr>
      <vt:lpstr>TKM</vt:lpstr>
      <vt:lpstr>TLS</vt:lpstr>
      <vt:lpstr>TOG</vt:lpstr>
      <vt:lpstr>TON</vt:lpstr>
      <vt:lpstr>TPE</vt:lpstr>
      <vt:lpstr>TRG</vt:lpstr>
      <vt:lpstr>TTO</vt:lpstr>
      <vt:lpstr>TUN</vt:lpstr>
      <vt:lpstr>TUR</vt:lpstr>
      <vt:lpstr>TUV</vt:lpstr>
      <vt:lpstr>UAE</vt:lpstr>
      <vt:lpstr>UGA</vt:lpstr>
      <vt:lpstr>UKR</vt:lpstr>
      <vt:lpstr>URU</vt:lpstr>
      <vt:lpstr>USA</vt:lpstr>
      <vt:lpstr>UZB</vt:lpstr>
      <vt:lpstr>VAN</vt:lpstr>
      <vt:lpstr>VEN</vt:lpstr>
      <vt:lpstr>VIE</vt:lpstr>
      <vt:lpstr>VIN</vt:lpstr>
      <vt:lpstr>VOL</vt:lpstr>
      <vt:lpstr>WEI</vt:lpstr>
      <vt:lpstr>WPO</vt:lpstr>
      <vt:lpstr>WRE</vt:lpstr>
      <vt:lpstr>YEM</vt:lpstr>
      <vt:lpstr>ZAM</vt:lpstr>
      <vt:lpstr>ZIM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ind zara</dc:creator>
  <cp:lastModifiedBy>ind zara</cp:lastModifiedBy>
  <cp:lastPrinted>2016-08-24T18:49:36Z</cp:lastPrinted>
  <dcterms:created xsi:type="dcterms:W3CDTF">2016-07-21T01:53:59Z</dcterms:created>
  <dcterms:modified xsi:type="dcterms:W3CDTF">2016-08-27T12:59:11Z</dcterms:modified>
</cp:coreProperties>
</file>