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90" windowWidth="8970" windowHeight="9495"/>
  </bookViews>
  <sheets>
    <sheet name="進球率試算" sheetId="1" r:id="rId1"/>
    <sheet name="賠率" sheetId="3" r:id="rId2"/>
    <sheet name="Team Statistic" sheetId="4" r:id="rId3"/>
  </sheets>
  <definedNames>
    <definedName name="_xlnm._FilterDatabase" localSheetId="2" hidden="1">'Team Statistic'!$A$36:$G$99</definedName>
    <definedName name="_xlnm._FilterDatabase" localSheetId="0" hidden="1">進球率試算!$A$1:$I$17</definedName>
    <definedName name="_xlnm._FilterDatabase" localSheetId="1" hidden="1">'Team Statistic'!$A$36:$G$99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/>
  <c r="C6" i="1"/>
  <c r="C3" i="1"/>
  <c r="B10" i="1"/>
  <c r="B7" i="1"/>
  <c r="B6" i="1"/>
  <c r="B3" i="1"/>
  <c r="B4" i="1"/>
  <c r="B2" i="1"/>
  <c r="N10" i="1"/>
  <c r="N7" i="1"/>
  <c r="N6" i="1"/>
  <c r="N3" i="1"/>
  <c r="R3" i="1"/>
  <c r="M10" i="1"/>
  <c r="M7" i="1"/>
  <c r="M6" i="1"/>
  <c r="M3" i="1"/>
  <c r="Q2" i="1"/>
  <c r="Q3" i="1"/>
  <c r="X18" i="1" l="1"/>
  <c r="AE10" i="1"/>
  <c r="AE7" i="1"/>
  <c r="AE6" i="1"/>
  <c r="AE3" i="1"/>
  <c r="AP10" i="1"/>
  <c r="AP7" i="1"/>
  <c r="AP6" i="1"/>
  <c r="AP3" i="1"/>
  <c r="AP18" i="1" s="1"/>
  <c r="AD15" i="1" l="1"/>
  <c r="AD12" i="1"/>
  <c r="AD10" i="1"/>
  <c r="AD9" i="1"/>
  <c r="AD7" i="1"/>
  <c r="AD6" i="1"/>
  <c r="AD3" i="1"/>
  <c r="AD2" i="1"/>
  <c r="AN15" i="1"/>
  <c r="AN12" i="1"/>
  <c r="AN10" i="1"/>
  <c r="AN9" i="1"/>
  <c r="AN7" i="1"/>
  <c r="AN6" i="1"/>
  <c r="AN3" i="1"/>
  <c r="AN2" i="1"/>
  <c r="AN18" i="1" l="1"/>
  <c r="X5" i="1"/>
  <c r="Z5" i="1"/>
  <c r="Q9" i="1" l="1"/>
  <c r="Q15" i="1"/>
  <c r="Q7" i="1"/>
  <c r="Q12" i="1"/>
  <c r="Q6" i="1"/>
  <c r="Q10" i="1"/>
  <c r="Z17" i="1"/>
  <c r="Z16" i="1"/>
  <c r="Z15" i="1"/>
  <c r="Z14" i="1"/>
  <c r="Z13" i="1"/>
  <c r="Z12" i="1"/>
  <c r="Z11" i="1"/>
  <c r="Z10" i="1"/>
  <c r="Z9" i="1"/>
  <c r="Z8" i="1"/>
  <c r="Z7" i="1"/>
  <c r="Z6" i="1"/>
  <c r="Z4" i="1"/>
  <c r="Z3" i="1"/>
  <c r="Z2" i="1"/>
  <c r="X17" i="1"/>
  <c r="X16" i="1"/>
  <c r="X15" i="1"/>
  <c r="X14" i="1"/>
  <c r="X13" i="1"/>
  <c r="X12" i="1"/>
  <c r="X11" i="1"/>
  <c r="X10" i="1"/>
  <c r="X9" i="1"/>
  <c r="X8" i="1"/>
  <c r="X7" i="1"/>
  <c r="X6" i="1"/>
  <c r="X4" i="1"/>
  <c r="X3" i="1"/>
  <c r="X2" i="1"/>
  <c r="AJ15" i="1"/>
  <c r="AJ7" i="1"/>
  <c r="E3" i="3"/>
  <c r="AI15" i="1" s="1"/>
  <c r="E4" i="3"/>
  <c r="AI16" i="1" s="1"/>
  <c r="E5" i="3"/>
  <c r="AI8" i="1" s="1"/>
  <c r="E6" i="3"/>
  <c r="AI10" i="1" s="1"/>
  <c r="E7" i="3"/>
  <c r="AI7" i="1" s="1"/>
  <c r="E8" i="3"/>
  <c r="AK6" i="1" s="1"/>
  <c r="E9" i="3"/>
  <c r="AI4" i="1" s="1"/>
  <c r="E10" i="3"/>
  <c r="AK12" i="1" s="1"/>
  <c r="E11" i="3"/>
  <c r="AJ5" i="1" s="1"/>
  <c r="E12" i="3"/>
  <c r="AK17" i="1" s="1"/>
  <c r="E13" i="3"/>
  <c r="AI9" i="1" s="1"/>
  <c r="E14" i="3"/>
  <c r="AI11" i="1" s="1"/>
  <c r="E15" i="3"/>
  <c r="AI2" i="1" s="1"/>
  <c r="E16" i="3"/>
  <c r="E17" i="3"/>
  <c r="AI14" i="1" s="1"/>
  <c r="E18" i="3"/>
  <c r="AK3" i="1" s="1"/>
  <c r="E19" i="3"/>
  <c r="AJ17" i="1" s="1"/>
  <c r="E20" i="3"/>
  <c r="AJ12" i="1" s="1"/>
  <c r="E21" i="3"/>
  <c r="AJ13" i="1" s="1"/>
  <c r="E22" i="3"/>
  <c r="AK16" i="1" s="1"/>
  <c r="E23" i="3"/>
  <c r="AI5" i="1" s="1"/>
  <c r="E24" i="3"/>
  <c r="AK5" i="1" s="1"/>
  <c r="E25" i="3"/>
  <c r="AK11" i="1" s="1"/>
  <c r="E26" i="3"/>
  <c r="AJ16" i="1" s="1"/>
  <c r="E27" i="3"/>
  <c r="AJ2" i="1" s="1"/>
  <c r="E28" i="3"/>
  <c r="AJ8" i="1" s="1"/>
  <c r="E29" i="3"/>
  <c r="AK8" i="1" s="1"/>
  <c r="E30" i="3"/>
  <c r="AK15" i="1" s="1"/>
  <c r="E31" i="3"/>
  <c r="AJ6" i="1" s="1"/>
  <c r="E32" i="3"/>
  <c r="AI6" i="1" s="1"/>
  <c r="E33" i="3"/>
  <c r="AI12" i="1" s="1"/>
  <c r="E2" i="3"/>
  <c r="AK13" i="1" s="1"/>
  <c r="R10" i="1" l="1"/>
  <c r="C15" i="1"/>
  <c r="R15" i="1"/>
  <c r="Y3" i="1"/>
  <c r="R6" i="1"/>
  <c r="C2" i="1"/>
  <c r="R2" i="1"/>
  <c r="R7" i="1"/>
  <c r="C12" i="1"/>
  <c r="R12" i="1"/>
  <c r="R9" i="1"/>
  <c r="C9" i="1"/>
  <c r="AI13" i="1"/>
  <c r="AL13" i="1" s="1"/>
  <c r="AK7" i="1"/>
  <c r="AL7" i="1" s="1"/>
  <c r="AK14" i="1"/>
  <c r="AJ10" i="1"/>
  <c r="AJ11" i="1"/>
  <c r="AL11" i="1" s="1"/>
  <c r="AK4" i="1"/>
  <c r="AL5" i="1"/>
  <c r="AL12" i="1"/>
  <c r="AL8" i="1"/>
  <c r="Z18" i="1"/>
  <c r="AL16" i="1"/>
  <c r="AL15" i="1"/>
  <c r="AJ3" i="1"/>
  <c r="AL6" i="1"/>
  <c r="AJ14" i="1"/>
  <c r="AI17" i="1"/>
  <c r="AL17" i="1" s="1"/>
  <c r="AK2" i="1"/>
  <c r="AL2" i="1" s="1"/>
  <c r="AJ9" i="1"/>
  <c r="AK10" i="1"/>
  <c r="AI3" i="1"/>
  <c r="AJ4" i="1"/>
  <c r="AK9" i="1"/>
  <c r="AL14" i="1" l="1"/>
  <c r="AL10" i="1"/>
  <c r="AL4" i="1"/>
  <c r="AA4" i="1"/>
  <c r="AA5" i="1"/>
  <c r="Y4" i="1"/>
  <c r="Y5" i="1"/>
  <c r="Y7" i="1"/>
  <c r="Y6" i="1"/>
  <c r="Y9" i="1"/>
  <c r="Y8" i="1"/>
  <c r="AA6" i="1"/>
  <c r="AA15" i="1"/>
  <c r="Y15" i="1"/>
  <c r="AA14" i="1"/>
  <c r="Y14" i="1"/>
  <c r="AA17" i="1"/>
  <c r="Y17" i="1"/>
  <c r="AA16" i="1"/>
  <c r="Y16" i="1"/>
  <c r="AA11" i="1"/>
  <c r="Y11" i="1"/>
  <c r="AA10" i="1"/>
  <c r="Y10" i="1"/>
  <c r="AA13" i="1"/>
  <c r="Y13" i="1"/>
  <c r="AA12" i="1"/>
  <c r="Y12" i="1"/>
  <c r="AA7" i="1"/>
  <c r="AA9" i="1"/>
  <c r="AA8" i="1"/>
  <c r="AA3" i="1"/>
  <c r="AA2" i="1"/>
  <c r="Y2" i="1"/>
  <c r="AL3" i="1"/>
  <c r="AL18" i="1" s="1"/>
  <c r="AL9" i="1"/>
  <c r="B15" i="1" l="1"/>
  <c r="B12" i="1"/>
  <c r="B9" i="1"/>
  <c r="U2" i="1"/>
  <c r="V2" i="1" l="1"/>
  <c r="U11" i="1"/>
  <c r="V11" i="1" s="1"/>
  <c r="B11" i="1" s="1"/>
  <c r="U5" i="1"/>
  <c r="U7" i="1"/>
  <c r="U17" i="1"/>
  <c r="U4" i="1"/>
  <c r="U16" i="1"/>
  <c r="U9" i="1"/>
  <c r="U12" i="1"/>
  <c r="U6" i="1"/>
  <c r="U14" i="1"/>
  <c r="U3" i="1"/>
  <c r="U13" i="1"/>
  <c r="U10" i="1"/>
  <c r="U15" i="1"/>
  <c r="U8" i="1"/>
  <c r="C11" i="1" l="1"/>
  <c r="V5" i="1"/>
  <c r="B5" i="1" s="1"/>
  <c r="C5" i="1"/>
  <c r="V10" i="1"/>
  <c r="V6" i="1"/>
  <c r="V4" i="1"/>
  <c r="C4" i="1"/>
  <c r="V8" i="1"/>
  <c r="B8" i="1" s="1"/>
  <c r="C8" i="1"/>
  <c r="V13" i="1"/>
  <c r="B13" i="1" s="1"/>
  <c r="C13" i="1"/>
  <c r="V12" i="1"/>
  <c r="V17" i="1"/>
  <c r="B17" i="1" s="1"/>
  <c r="C17" i="1"/>
  <c r="V15" i="1"/>
  <c r="V3" i="1"/>
  <c r="V9" i="1"/>
  <c r="V7" i="1"/>
  <c r="V14" i="1"/>
  <c r="B14" i="1" s="1"/>
  <c r="C14" i="1"/>
  <c r="V16" i="1"/>
  <c r="B16" i="1" s="1"/>
  <c r="C16" i="1"/>
</calcChain>
</file>

<file path=xl/sharedStrings.xml><?xml version="1.0" encoding="utf-8"?>
<sst xmlns="http://schemas.openxmlformats.org/spreadsheetml/2006/main" count="239" uniqueCount="124">
  <si>
    <t>巴西</t>
  </si>
  <si>
    <t>德國</t>
  </si>
  <si>
    <t>法國</t>
  </si>
  <si>
    <t>西班牙</t>
  </si>
  <si>
    <t>阿根廷</t>
  </si>
  <si>
    <t>比利時</t>
  </si>
  <si>
    <t>英格蘭</t>
  </si>
  <si>
    <t>葡萄牙</t>
  </si>
  <si>
    <t>烏拉圭</t>
  </si>
  <si>
    <t>克羅埃西亞</t>
  </si>
  <si>
    <t>哥倫比亞</t>
  </si>
  <si>
    <t>俄羅斯</t>
  </si>
  <si>
    <t>波蘭</t>
  </si>
  <si>
    <t>瑞士</t>
  </si>
  <si>
    <t>墨西哥</t>
  </si>
  <si>
    <t>瑞典</t>
  </si>
  <si>
    <t>丹麥</t>
  </si>
  <si>
    <t>埃及</t>
  </si>
  <si>
    <t>祕魯</t>
  </si>
  <si>
    <t>冰島</t>
  </si>
  <si>
    <t>日本</t>
  </si>
  <si>
    <t>澳洲</t>
  </si>
  <si>
    <t>伊朗</t>
  </si>
  <si>
    <t>南韓</t>
  </si>
  <si>
    <t>Russia</t>
  </si>
  <si>
    <t>Saudi Arabia</t>
  </si>
  <si>
    <t>Egypt</t>
  </si>
  <si>
    <t>Uruguay</t>
  </si>
  <si>
    <t>Morocco</t>
  </si>
  <si>
    <t>Iran</t>
  </si>
  <si>
    <t>Portugal</t>
  </si>
  <si>
    <t>Spain</t>
  </si>
  <si>
    <t>France</t>
  </si>
  <si>
    <t>Australia</t>
  </si>
  <si>
    <t>Argentina</t>
  </si>
  <si>
    <t>Iceland</t>
  </si>
  <si>
    <t>Peru</t>
  </si>
  <si>
    <t>Denmark</t>
  </si>
  <si>
    <t>Croatia</t>
  </si>
  <si>
    <t>Nigeria</t>
  </si>
  <si>
    <t>Costa Rica</t>
  </si>
  <si>
    <t>Serbia</t>
  </si>
  <si>
    <t>Germany</t>
  </si>
  <si>
    <t>Mexico</t>
  </si>
  <si>
    <t>Brazil</t>
  </si>
  <si>
    <t>Switzerland</t>
  </si>
  <si>
    <t>Sweden</t>
  </si>
  <si>
    <t>Korea</t>
  </si>
  <si>
    <t>Belgium</t>
  </si>
  <si>
    <t>Panama</t>
  </si>
  <si>
    <t>Tunisia</t>
  </si>
  <si>
    <t>England</t>
  </si>
  <si>
    <t>Columbia</t>
  </si>
  <si>
    <t>Japan</t>
  </si>
  <si>
    <t>Poland</t>
  </si>
  <si>
    <t>Senegal</t>
  </si>
  <si>
    <t>Serbia</t>
    <phoneticPr fontId="1" type="noConversion"/>
  </si>
  <si>
    <t>TEAM</t>
  </si>
  <si>
    <t>MATCHES PLAYED</t>
  </si>
  <si>
    <t>SHOTS</t>
  </si>
  <si>
    <t>ATTEMPTS ON TARGET</t>
  </si>
  <si>
    <t>ATTEMPTS OFF-TARGET</t>
  </si>
  <si>
    <t>SHOTS BLOCKED</t>
  </si>
  <si>
    <t>Korea Republic</t>
  </si>
  <si>
    <t>IR Iran</t>
  </si>
  <si>
    <t>Brazil</t>
    <phoneticPr fontId="1" type="noConversion"/>
  </si>
  <si>
    <t>Brazil</t>
    <phoneticPr fontId="1" type="noConversion"/>
  </si>
  <si>
    <r>
      <rPr>
        <sz val="9"/>
        <color theme="1"/>
        <rFont val="微軟正黑體"/>
        <family val="2"/>
        <charset val="136"/>
      </rPr>
      <t>進球率</t>
    </r>
    <phoneticPr fontId="1" type="noConversion"/>
  </si>
  <si>
    <r>
      <rPr>
        <sz val="9"/>
        <color theme="1"/>
        <rFont val="微軟正黑體"/>
        <family val="2"/>
        <charset val="136"/>
      </rPr>
      <t>失球率</t>
    </r>
    <phoneticPr fontId="1" type="noConversion"/>
  </si>
  <si>
    <r>
      <rPr>
        <sz val="9"/>
        <color theme="1"/>
        <rFont val="細明體"/>
        <family val="3"/>
        <charset val="136"/>
      </rPr>
      <t>進球率</t>
    </r>
    <r>
      <rPr>
        <sz val="9"/>
        <color theme="1"/>
        <rFont val="Calibri"/>
        <family val="2"/>
      </rPr>
      <t>-8</t>
    </r>
    <phoneticPr fontId="1" type="noConversion"/>
  </si>
  <si>
    <r>
      <rPr>
        <sz val="9"/>
        <color theme="1"/>
        <rFont val="細明體"/>
        <family val="3"/>
        <charset val="136"/>
      </rPr>
      <t>失球率</t>
    </r>
    <r>
      <rPr>
        <sz val="9"/>
        <color theme="1"/>
        <rFont val="Calibri"/>
        <family val="2"/>
      </rPr>
      <t>-8</t>
    </r>
    <phoneticPr fontId="1" type="noConversion"/>
  </si>
  <si>
    <r>
      <rPr>
        <sz val="9"/>
        <color theme="1"/>
        <rFont val="微軟正黑體"/>
        <family val="2"/>
        <charset val="136"/>
      </rPr>
      <t>進球率</t>
    </r>
    <r>
      <rPr>
        <sz val="9"/>
        <color theme="1"/>
        <rFont val="Calibri"/>
        <family val="2"/>
      </rPr>
      <t>-16</t>
    </r>
    <phoneticPr fontId="1" type="noConversion"/>
  </si>
  <si>
    <r>
      <rPr>
        <sz val="9"/>
        <color theme="1"/>
        <rFont val="微軟正黑體"/>
        <family val="2"/>
        <charset val="136"/>
      </rPr>
      <t>失球率</t>
    </r>
    <r>
      <rPr>
        <sz val="9"/>
        <color theme="1"/>
        <rFont val="Calibri"/>
        <family val="2"/>
      </rPr>
      <t>-16</t>
    </r>
    <phoneticPr fontId="1" type="noConversion"/>
  </si>
  <si>
    <r>
      <rPr>
        <sz val="9"/>
        <color theme="1"/>
        <rFont val="微軟正黑體"/>
        <family val="2"/>
        <charset val="136"/>
      </rPr>
      <t>進球率</t>
    </r>
    <r>
      <rPr>
        <sz val="9"/>
        <color theme="1"/>
        <rFont val="Calibri"/>
        <family val="2"/>
      </rPr>
      <t>-old</t>
    </r>
    <phoneticPr fontId="1" type="noConversion"/>
  </si>
  <si>
    <r>
      <rPr>
        <sz val="9"/>
        <color theme="1"/>
        <rFont val="微軟正黑體"/>
        <family val="2"/>
        <charset val="136"/>
      </rPr>
      <t>失球率</t>
    </r>
    <r>
      <rPr>
        <sz val="9"/>
        <color theme="1"/>
        <rFont val="Calibri"/>
        <family val="2"/>
      </rPr>
      <t>-old</t>
    </r>
    <phoneticPr fontId="1" type="noConversion"/>
  </si>
  <si>
    <r>
      <rPr>
        <sz val="9"/>
        <color theme="1"/>
        <rFont val="細明體"/>
        <family val="3"/>
        <charset val="136"/>
      </rPr>
      <t>中文隊名</t>
    </r>
    <phoneticPr fontId="1" type="noConversion"/>
  </si>
  <si>
    <r>
      <t>2018</t>
    </r>
    <r>
      <rPr>
        <sz val="9"/>
        <color theme="1"/>
        <rFont val="細明體"/>
        <family val="3"/>
        <charset val="136"/>
      </rPr>
      <t>進球</t>
    </r>
    <r>
      <rPr>
        <sz val="9"/>
        <color theme="1"/>
        <rFont val="Calibri"/>
        <family val="2"/>
      </rPr>
      <t>-16</t>
    </r>
    <phoneticPr fontId="1" type="noConversion"/>
  </si>
  <si>
    <r>
      <t>2018</t>
    </r>
    <r>
      <rPr>
        <sz val="9"/>
        <color theme="1"/>
        <rFont val="細明體"/>
        <family val="3"/>
        <charset val="136"/>
      </rPr>
      <t>失球</t>
    </r>
    <r>
      <rPr>
        <sz val="9"/>
        <color theme="1"/>
        <rFont val="Calibri"/>
        <family val="2"/>
      </rPr>
      <t>-16</t>
    </r>
    <phoneticPr fontId="1" type="noConversion"/>
  </si>
  <si>
    <r>
      <rPr>
        <sz val="9"/>
        <color theme="1"/>
        <rFont val="細明體"/>
        <family val="3"/>
        <charset val="136"/>
      </rPr>
      <t>對戰弱隊係數</t>
    </r>
    <r>
      <rPr>
        <sz val="9"/>
        <color theme="1"/>
        <rFont val="Calibri"/>
        <family val="2"/>
      </rPr>
      <t>-16</t>
    </r>
    <phoneticPr fontId="1" type="noConversion"/>
  </si>
  <si>
    <r>
      <t>2018</t>
    </r>
    <r>
      <rPr>
        <sz val="9"/>
        <color theme="1"/>
        <rFont val="細明體"/>
        <family val="3"/>
        <charset val="136"/>
      </rPr>
      <t>進球</t>
    </r>
    <r>
      <rPr>
        <sz val="9"/>
        <color theme="1"/>
        <rFont val="Calibri"/>
        <family val="2"/>
      </rPr>
      <t>-</t>
    </r>
    <r>
      <rPr>
        <sz val="9"/>
        <color theme="1"/>
        <rFont val="細明體"/>
        <family val="3"/>
        <charset val="136"/>
      </rPr>
      <t>預</t>
    </r>
    <phoneticPr fontId="1" type="noConversion"/>
  </si>
  <si>
    <r>
      <t>2018</t>
    </r>
    <r>
      <rPr>
        <sz val="9"/>
        <color theme="1"/>
        <rFont val="細明體"/>
        <family val="3"/>
        <charset val="136"/>
      </rPr>
      <t>失球</t>
    </r>
    <r>
      <rPr>
        <sz val="9"/>
        <color theme="1"/>
        <rFont val="Calibri"/>
        <family val="2"/>
      </rPr>
      <t>-</t>
    </r>
    <r>
      <rPr>
        <sz val="9"/>
        <color theme="1"/>
        <rFont val="細明體"/>
        <family val="3"/>
        <charset val="136"/>
      </rPr>
      <t>預</t>
    </r>
    <phoneticPr fontId="1" type="noConversion"/>
  </si>
  <si>
    <r>
      <rPr>
        <sz val="9"/>
        <color theme="1"/>
        <rFont val="細明體"/>
        <family val="3"/>
        <charset val="136"/>
      </rPr>
      <t>對戰弱隊係數</t>
    </r>
    <r>
      <rPr>
        <sz val="9"/>
        <color theme="1"/>
        <rFont val="Calibri"/>
        <family val="2"/>
      </rPr>
      <t>-</t>
    </r>
    <r>
      <rPr>
        <sz val="9"/>
        <color theme="1"/>
        <rFont val="細明體"/>
        <family val="3"/>
        <charset val="136"/>
      </rPr>
      <t>預</t>
    </r>
    <phoneticPr fontId="1" type="noConversion"/>
  </si>
  <si>
    <r>
      <rPr>
        <sz val="9"/>
        <color theme="1"/>
        <rFont val="細明體"/>
        <family val="3"/>
        <charset val="136"/>
      </rPr>
      <t>球星加分</t>
    </r>
    <phoneticPr fontId="1" type="noConversion"/>
  </si>
  <si>
    <r>
      <t>Attempt</t>
    </r>
    <r>
      <rPr>
        <sz val="9"/>
        <color theme="1"/>
        <rFont val="細明體"/>
        <family val="3"/>
        <charset val="136"/>
      </rPr>
      <t>加分</t>
    </r>
    <phoneticPr fontId="1" type="noConversion"/>
  </si>
  <si>
    <r>
      <t>Attempt</t>
    </r>
    <r>
      <rPr>
        <sz val="9"/>
        <color theme="1"/>
        <rFont val="細明體"/>
        <family val="3"/>
        <charset val="136"/>
      </rPr>
      <t>係數</t>
    </r>
    <phoneticPr fontId="1" type="noConversion"/>
  </si>
  <si>
    <r>
      <t>Shot</t>
    </r>
    <r>
      <rPr>
        <sz val="9"/>
        <color theme="1"/>
        <rFont val="細明體"/>
        <family val="3"/>
        <charset val="136"/>
      </rPr>
      <t>加分</t>
    </r>
    <phoneticPr fontId="1" type="noConversion"/>
  </si>
  <si>
    <r>
      <t>Shot</t>
    </r>
    <r>
      <rPr>
        <sz val="9"/>
        <color theme="1"/>
        <rFont val="細明體"/>
        <family val="3"/>
        <charset val="136"/>
      </rPr>
      <t>係數</t>
    </r>
    <phoneticPr fontId="1" type="noConversion"/>
  </si>
  <si>
    <r>
      <rPr>
        <sz val="9"/>
        <color theme="1"/>
        <rFont val="細明體"/>
        <family val="3"/>
        <charset val="136"/>
      </rPr>
      <t>賠率</t>
    </r>
    <r>
      <rPr>
        <sz val="9"/>
        <color theme="1"/>
        <rFont val="Calibri"/>
        <family val="2"/>
      </rPr>
      <t>1</t>
    </r>
    <phoneticPr fontId="1" type="noConversion"/>
  </si>
  <si>
    <r>
      <rPr>
        <sz val="9"/>
        <color theme="1"/>
        <rFont val="細明體"/>
        <family val="3"/>
        <charset val="136"/>
      </rPr>
      <t>賠率</t>
    </r>
    <r>
      <rPr>
        <sz val="9"/>
        <color theme="1"/>
        <rFont val="Calibri"/>
        <family val="2"/>
      </rPr>
      <t>2</t>
    </r>
    <phoneticPr fontId="1" type="noConversion"/>
  </si>
  <si>
    <r>
      <t>8</t>
    </r>
    <r>
      <rPr>
        <sz val="9"/>
        <color theme="1"/>
        <rFont val="細明體"/>
        <family val="3"/>
        <charset val="136"/>
      </rPr>
      <t>強賠率</t>
    </r>
    <phoneticPr fontId="1" type="noConversion"/>
  </si>
  <si>
    <r>
      <rPr>
        <sz val="9"/>
        <color theme="1"/>
        <rFont val="細明體"/>
        <family val="3"/>
        <charset val="136"/>
      </rPr>
      <t>小組</t>
    </r>
    <phoneticPr fontId="1" type="noConversion"/>
  </si>
  <si>
    <r>
      <rPr>
        <sz val="9"/>
        <color theme="1"/>
        <rFont val="細明體"/>
        <family val="3"/>
        <charset val="136"/>
      </rPr>
      <t>賠率</t>
    </r>
    <phoneticPr fontId="1" type="noConversion"/>
  </si>
  <si>
    <r>
      <t>16</t>
    </r>
    <r>
      <rPr>
        <sz val="9"/>
        <color theme="1"/>
        <rFont val="細明體"/>
        <family val="3"/>
        <charset val="136"/>
      </rPr>
      <t>強對手</t>
    </r>
    <phoneticPr fontId="1" type="noConversion"/>
  </si>
  <si>
    <r>
      <t>16</t>
    </r>
    <r>
      <rPr>
        <sz val="9"/>
        <color theme="1"/>
        <rFont val="細明體"/>
        <family val="3"/>
        <charset val="136"/>
      </rPr>
      <t>強對手賠率</t>
    </r>
    <phoneticPr fontId="1" type="noConversion"/>
  </si>
  <si>
    <r>
      <t>2018</t>
    </r>
    <r>
      <rPr>
        <sz val="9"/>
        <color theme="1"/>
        <rFont val="細明體"/>
        <family val="3"/>
        <charset val="136"/>
      </rPr>
      <t>進球</t>
    </r>
    <r>
      <rPr>
        <sz val="9"/>
        <color theme="1"/>
        <rFont val="Calibri"/>
        <family val="2"/>
      </rPr>
      <t>-8</t>
    </r>
    <phoneticPr fontId="1" type="noConversion"/>
  </si>
  <si>
    <r>
      <t>2018</t>
    </r>
    <r>
      <rPr>
        <sz val="9"/>
        <color theme="1"/>
        <rFont val="細明體"/>
        <family val="3"/>
        <charset val="136"/>
      </rPr>
      <t>失球</t>
    </r>
    <r>
      <rPr>
        <sz val="9"/>
        <color theme="1"/>
        <rFont val="Calibri"/>
        <family val="2"/>
      </rPr>
      <t>-8</t>
    </r>
    <phoneticPr fontId="1" type="noConversion"/>
  </si>
  <si>
    <r>
      <rPr>
        <sz val="9"/>
        <color theme="1"/>
        <rFont val="細明體"/>
        <family val="3"/>
        <charset val="136"/>
      </rPr>
      <t>對戰弱隊係數</t>
    </r>
    <r>
      <rPr>
        <sz val="9"/>
        <color theme="1"/>
        <rFont val="Calibri"/>
        <family val="2"/>
      </rPr>
      <t>-8</t>
    </r>
    <phoneticPr fontId="1" type="noConversion"/>
  </si>
  <si>
    <r>
      <t>8</t>
    </r>
    <r>
      <rPr>
        <sz val="9"/>
        <color theme="1"/>
        <rFont val="細明體"/>
        <family val="3"/>
        <charset val="136"/>
      </rPr>
      <t>強對手</t>
    </r>
    <phoneticPr fontId="1" type="noConversion"/>
  </si>
  <si>
    <r>
      <t>8</t>
    </r>
    <r>
      <rPr>
        <sz val="9"/>
        <color theme="1"/>
        <rFont val="細明體"/>
        <family val="3"/>
        <charset val="136"/>
      </rPr>
      <t>強對手賠率</t>
    </r>
    <phoneticPr fontId="1" type="noConversion"/>
  </si>
  <si>
    <r>
      <rPr>
        <sz val="12"/>
        <color theme="1"/>
        <rFont val="微軟正黑體"/>
        <family val="2"/>
        <charset val="136"/>
      </rPr>
      <t>賠率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</si>
  <si>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賠率</t>
    </r>
    <r>
      <rPr>
        <sz val="12"/>
        <color theme="1"/>
        <rFont val="Calibri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</si>
  <si>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賠率</t>
    </r>
    <r>
      <rPr>
        <sz val="12"/>
        <color theme="1"/>
        <rFont val="Calibri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</si>
  <si>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賠率</t>
    </r>
    <r>
      <rPr>
        <sz val="12"/>
        <color theme="1"/>
        <rFont val="Calibri"/>
        <family val="2"/>
      </rPr>
      <t>4</t>
    </r>
    <phoneticPr fontId="1" type="noConversion"/>
  </si>
  <si>
    <r>
      <rPr>
        <sz val="12"/>
        <color theme="1"/>
        <rFont val="新細明體"/>
        <family val="2"/>
        <charset val="136"/>
      </rPr>
      <t>賠率</t>
    </r>
    <r>
      <rPr>
        <sz val="12"/>
        <color theme="1"/>
        <rFont val="Calibri"/>
        <family val="2"/>
      </rPr>
      <t>5</t>
    </r>
    <phoneticPr fontId="1" type="noConversion"/>
  </si>
  <si>
    <r>
      <rPr>
        <sz val="12"/>
        <color theme="1"/>
        <rFont val="微軟正黑體"/>
        <family val="2"/>
        <charset val="136"/>
      </rPr>
      <t>西班牙</t>
    </r>
    <phoneticPr fontId="1" type="noConversion"/>
  </si>
  <si>
    <r>
      <rPr>
        <sz val="12"/>
        <color theme="1"/>
        <rFont val="微軟正黑體"/>
        <family val="2"/>
        <charset val="136"/>
      </rPr>
      <t>阿根廷</t>
    </r>
    <phoneticPr fontId="1" type="noConversion"/>
  </si>
  <si>
    <r>
      <rPr>
        <sz val="12"/>
        <color theme="1"/>
        <rFont val="微軟正黑體"/>
        <family val="2"/>
        <charset val="136"/>
      </rPr>
      <t>比利時</t>
    </r>
    <phoneticPr fontId="1" type="noConversion"/>
  </si>
  <si>
    <r>
      <rPr>
        <sz val="12"/>
        <color theme="1"/>
        <rFont val="微軟正黑體"/>
        <family val="2"/>
        <charset val="136"/>
      </rPr>
      <t>英格蘭</t>
    </r>
    <phoneticPr fontId="1" type="noConversion"/>
  </si>
  <si>
    <r>
      <rPr>
        <sz val="12"/>
        <color theme="1"/>
        <rFont val="微軟正黑體"/>
        <family val="2"/>
        <charset val="136"/>
      </rPr>
      <t>葡萄牙</t>
    </r>
    <phoneticPr fontId="1" type="noConversion"/>
  </si>
  <si>
    <r>
      <rPr>
        <sz val="12"/>
        <color theme="1"/>
        <rFont val="微軟正黑體"/>
        <family val="2"/>
        <charset val="136"/>
      </rPr>
      <t>烏拉圭</t>
    </r>
    <phoneticPr fontId="1" type="noConversion"/>
  </si>
  <si>
    <r>
      <rPr>
        <sz val="12"/>
        <color theme="1"/>
        <rFont val="微軟正黑體"/>
        <family val="2"/>
        <charset val="136"/>
      </rPr>
      <t>克羅埃西亞</t>
    </r>
    <phoneticPr fontId="1" type="noConversion"/>
  </si>
  <si>
    <r>
      <rPr>
        <sz val="12"/>
        <color theme="1"/>
        <rFont val="微軟正黑體"/>
        <family val="2"/>
        <charset val="136"/>
      </rPr>
      <t>哥倫比亞</t>
    </r>
    <phoneticPr fontId="1" type="noConversion"/>
  </si>
  <si>
    <r>
      <rPr>
        <sz val="12"/>
        <color theme="1"/>
        <rFont val="微軟正黑體"/>
        <family val="2"/>
        <charset val="136"/>
      </rPr>
      <t>俄羅斯</t>
    </r>
    <phoneticPr fontId="1" type="noConversion"/>
  </si>
  <si>
    <r>
      <rPr>
        <sz val="12"/>
        <color theme="1"/>
        <rFont val="微軟正黑體"/>
        <family val="2"/>
        <charset val="136"/>
      </rPr>
      <t>墨西哥</t>
    </r>
    <phoneticPr fontId="1" type="noConversion"/>
  </si>
  <si>
    <r>
      <rPr>
        <sz val="12"/>
        <color theme="1"/>
        <rFont val="微軟正黑體"/>
        <family val="2"/>
        <charset val="136"/>
      </rPr>
      <t>塞內加爾</t>
    </r>
    <phoneticPr fontId="1" type="noConversion"/>
  </si>
  <si>
    <r>
      <rPr>
        <sz val="12"/>
        <color theme="1"/>
        <rFont val="微軟正黑體"/>
        <family val="2"/>
        <charset val="136"/>
      </rPr>
      <t>塞爾維亞</t>
    </r>
    <phoneticPr fontId="1" type="noConversion"/>
  </si>
  <si>
    <r>
      <rPr>
        <sz val="12"/>
        <color theme="1"/>
        <rFont val="微軟正黑體"/>
        <family val="2"/>
        <charset val="136"/>
      </rPr>
      <t>奈及利亞</t>
    </r>
    <phoneticPr fontId="1" type="noConversion"/>
  </si>
  <si>
    <r>
      <rPr>
        <sz val="12"/>
        <color theme="1"/>
        <rFont val="微軟正黑體"/>
        <family val="2"/>
        <charset val="136"/>
      </rPr>
      <t>哥斯大黎加</t>
    </r>
    <phoneticPr fontId="1" type="noConversion"/>
  </si>
  <si>
    <r>
      <rPr>
        <sz val="12"/>
        <color theme="1"/>
        <rFont val="微軟正黑體"/>
        <family val="2"/>
        <charset val="136"/>
      </rPr>
      <t>摩洛哥</t>
    </r>
    <phoneticPr fontId="1" type="noConversion"/>
  </si>
  <si>
    <r>
      <rPr>
        <sz val="12"/>
        <color theme="1"/>
        <rFont val="微軟正黑體"/>
        <family val="2"/>
        <charset val="136"/>
      </rPr>
      <t>突尼西亞</t>
    </r>
    <phoneticPr fontId="1" type="noConversion"/>
  </si>
  <si>
    <r>
      <rPr>
        <sz val="12"/>
        <color theme="1"/>
        <rFont val="微軟正黑體"/>
        <family val="2"/>
        <charset val="136"/>
      </rPr>
      <t>巴拿馬</t>
    </r>
    <phoneticPr fontId="1" type="noConversion"/>
  </si>
  <si>
    <r>
      <rPr>
        <sz val="12"/>
        <color theme="1"/>
        <rFont val="新細明體"/>
        <family val="2"/>
        <charset val="136"/>
      </rPr>
      <t>沙烏地阿拉伯</t>
    </r>
    <phoneticPr fontId="1" type="noConversion"/>
  </si>
  <si>
    <t>Brazil</t>
    <phoneticPr fontId="1" type="noConversion"/>
  </si>
  <si>
    <r>
      <t>4</t>
    </r>
    <r>
      <rPr>
        <sz val="9"/>
        <color theme="1"/>
        <rFont val="細明體"/>
        <family val="3"/>
        <charset val="136"/>
      </rPr>
      <t>強賠率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</si>
</sst>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-* #,##0_-;\-* #,##0_-;_-* &quot;-&quot;??_-;_-@_-"/>
    <numFmt numFmtId="177" formatCode="_-* #,##0.0000_-;\-* #,##0.0000_-;_-* &quot;-&quot;??_-;_-@_-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Calibri"/>
      <family val="2"/>
    </font>
    <font>
      <sz val="12"/>
      <color theme="1"/>
      <name val="新細明體"/>
      <family val="2"/>
      <charset val="136"/>
      <scheme val="minor"/>
    </font>
    <font>
      <sz val="9"/>
      <color theme="1"/>
      <name val="Calibri"/>
      <family val="2"/>
    </font>
    <font>
      <sz val="9"/>
      <color theme="1"/>
      <name val="微軟正黑體"/>
      <family val="2"/>
      <charset val="136"/>
    </font>
    <font>
      <sz val="9"/>
      <color theme="1"/>
      <name val="細明體"/>
      <family val="3"/>
      <charset val="136"/>
    </font>
    <font>
      <sz val="12"/>
      <color theme="1"/>
      <name val="新細明體"/>
      <family val="2"/>
      <charset val="136"/>
    </font>
    <font>
      <sz val="9"/>
      <color theme="0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6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43" fontId="10" fillId="0" borderId="0" xfId="0" applyNumberFormat="1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76" fontId="10" fillId="0" borderId="0" xfId="1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0" fontId="10" fillId="0" borderId="0" xfId="1" applyNumberFormat="1" applyFont="1" applyAlignme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abSelected="1" workbookViewId="0">
      <pane xSplit="1" topLeftCell="B1" activePane="topRight" state="frozen"/>
      <selection pane="topRight" activeCell="H24" sqref="H24"/>
    </sheetView>
  </sheetViews>
  <sheetFormatPr defaultColWidth="8.875" defaultRowHeight="15" customHeight="1" x14ac:dyDescent="0.25"/>
  <cols>
    <col min="1" max="1" width="9.5" style="5" customWidth="1"/>
    <col min="2" max="2" width="9.375" style="5" customWidth="1"/>
    <col min="3" max="7" width="9.125" style="5" customWidth="1"/>
    <col min="8" max="18" width="8.875" style="7"/>
    <col min="19" max="19" width="7.5" style="7" customWidth="1"/>
    <col min="20" max="20" width="6.5" style="7" customWidth="1"/>
    <col min="21" max="21" width="6.75" style="7" customWidth="1"/>
    <col min="22" max="22" width="7.25" style="7" customWidth="1"/>
    <col min="23" max="23" width="7" style="7" customWidth="1"/>
    <col min="24" max="27" width="10.625" style="7" customWidth="1"/>
    <col min="28" max="16384" width="8.875" style="7"/>
  </cols>
  <sheetData>
    <row r="1" spans="1:42" ht="15" customHeight="1" x14ac:dyDescent="0.25">
      <c r="B1" s="6" t="s">
        <v>67</v>
      </c>
      <c r="C1" s="6" t="s">
        <v>68</v>
      </c>
      <c r="D1" s="5" t="s">
        <v>69</v>
      </c>
      <c r="E1" s="5" t="s">
        <v>70</v>
      </c>
      <c r="F1" s="7" t="s">
        <v>71</v>
      </c>
      <c r="G1" s="7" t="s">
        <v>72</v>
      </c>
      <c r="H1" s="7" t="s">
        <v>73</v>
      </c>
      <c r="I1" s="7" t="s">
        <v>74</v>
      </c>
      <c r="J1" s="7" t="s">
        <v>75</v>
      </c>
      <c r="K1" s="7" t="s">
        <v>94</v>
      </c>
      <c r="L1" s="7" t="s">
        <v>95</v>
      </c>
      <c r="M1" s="7" t="s">
        <v>96</v>
      </c>
      <c r="N1" s="6" t="s">
        <v>94</v>
      </c>
      <c r="O1" s="7" t="s">
        <v>76</v>
      </c>
      <c r="P1" s="7" t="s">
        <v>77</v>
      </c>
      <c r="Q1" s="7" t="s">
        <v>78</v>
      </c>
      <c r="R1" s="6" t="s">
        <v>76</v>
      </c>
      <c r="S1" s="7" t="s">
        <v>79</v>
      </c>
      <c r="T1" s="7" t="s">
        <v>80</v>
      </c>
      <c r="U1" s="7" t="s">
        <v>81</v>
      </c>
      <c r="V1" s="6" t="s">
        <v>79</v>
      </c>
      <c r="W1" s="7" t="s">
        <v>82</v>
      </c>
      <c r="X1" s="7" t="s">
        <v>83</v>
      </c>
      <c r="Y1" s="7" t="s">
        <v>84</v>
      </c>
      <c r="Z1" s="7" t="s">
        <v>85</v>
      </c>
      <c r="AA1" s="7" t="s">
        <v>86</v>
      </c>
      <c r="AB1" s="7" t="s">
        <v>87</v>
      </c>
      <c r="AC1" s="7" t="s">
        <v>88</v>
      </c>
      <c r="AD1" s="7" t="s">
        <v>89</v>
      </c>
      <c r="AE1" s="7" t="s">
        <v>123</v>
      </c>
      <c r="AF1" s="7" t="s">
        <v>90</v>
      </c>
      <c r="AG1" s="7" t="s">
        <v>90</v>
      </c>
      <c r="AH1" s="7" t="s">
        <v>90</v>
      </c>
      <c r="AI1" s="7" t="s">
        <v>91</v>
      </c>
      <c r="AJ1" s="7" t="s">
        <v>91</v>
      </c>
      <c r="AK1" s="7" t="s">
        <v>91</v>
      </c>
      <c r="AM1" s="7" t="s">
        <v>92</v>
      </c>
      <c r="AN1" s="7" t="s">
        <v>93</v>
      </c>
      <c r="AO1" s="7" t="s">
        <v>97</v>
      </c>
      <c r="AP1" s="7" t="s">
        <v>98</v>
      </c>
    </row>
    <row r="2" spans="1:42" s="17" customFormat="1" ht="15" customHeight="1" x14ac:dyDescent="0.25">
      <c r="A2" s="14" t="s">
        <v>66</v>
      </c>
      <c r="B2" s="14">
        <f>8/64*F2+H2*48/64+(8/64*(R2*(1+Y2)*(1+AA2)+W2))+(1/AD2)</f>
        <v>2.5607726246759115</v>
      </c>
      <c r="C2" s="15">
        <f>G2*8/64+I2*48/64+P2*(1-Q2)*3*8/64</f>
        <v>0.30337044639934962</v>
      </c>
      <c r="D2" s="15">
        <v>2.5526011311557935</v>
      </c>
      <c r="E2" s="15">
        <v>0.30337044639934962</v>
      </c>
      <c r="F2" s="16">
        <v>2.6921193588472176</v>
      </c>
      <c r="G2" s="16">
        <v>0.32696357119479724</v>
      </c>
      <c r="H2" s="17">
        <v>2.060352</v>
      </c>
      <c r="I2" s="17">
        <v>0.35</v>
      </c>
      <c r="J2" s="4" t="s">
        <v>0</v>
      </c>
      <c r="K2" s="4">
        <v>1</v>
      </c>
      <c r="L2" s="4">
        <v>2</v>
      </c>
      <c r="M2" s="4"/>
      <c r="N2" s="4"/>
      <c r="O2" s="4">
        <v>2</v>
      </c>
      <c r="P2" s="4">
        <v>0</v>
      </c>
      <c r="Q2" s="4">
        <f>($AN$18-AN2)/$AN$18</f>
        <v>0.84205933682373468</v>
      </c>
      <c r="R2" s="4">
        <f>O2*Q2</f>
        <v>1.6841186736474694</v>
      </c>
      <c r="S2" s="18">
        <v>5</v>
      </c>
      <c r="T2" s="18">
        <v>1</v>
      </c>
      <c r="U2" s="17">
        <f>($AL$18-AL2)/$AL$18</f>
        <v>0.95785428477918888</v>
      </c>
      <c r="V2" s="19">
        <f>S2*U2</f>
        <v>4.7892714238959444</v>
      </c>
      <c r="W2" s="17">
        <v>1</v>
      </c>
      <c r="X2" s="17">
        <f>VLOOKUP(A2,'Team Statistic'!$A$2:$F$33,4,FALSE)</f>
        <v>38</v>
      </c>
      <c r="Y2" s="17">
        <f>X2/$X$18</f>
        <v>0.12258064516129032</v>
      </c>
      <c r="Z2" s="17">
        <f>VLOOKUP(A2,'Team Statistic'!$A$2:$F$33,3,FALSE)</f>
        <v>103</v>
      </c>
      <c r="AA2" s="17">
        <f>Z2/$Z$18</f>
        <v>0.10695742471443406</v>
      </c>
      <c r="AB2" s="17">
        <v>4.25</v>
      </c>
      <c r="AC2" s="17">
        <v>5.5</v>
      </c>
      <c r="AD2" s="17">
        <f>VLOOKUP(J2,賠率!$A$2:$H$33,8,FALSE)</f>
        <v>3.42</v>
      </c>
      <c r="AF2" s="17" t="s">
        <v>45</v>
      </c>
      <c r="AG2" s="17" t="s">
        <v>40</v>
      </c>
      <c r="AH2" s="17" t="s">
        <v>41</v>
      </c>
      <c r="AI2" s="17">
        <f>VLOOKUP(AF2,賠率!$B$2:$E$33,4,FALSE)</f>
        <v>88</v>
      </c>
      <c r="AJ2" s="17">
        <f>VLOOKUP(AG2,賠率!$B$2:$E$33,4,FALSE)</f>
        <v>275.5</v>
      </c>
      <c r="AK2" s="17">
        <f>VLOOKUP(AH2,賠率!$B$2:$E$33,4,FALSE)</f>
        <v>135.5</v>
      </c>
      <c r="AL2" s="20">
        <f t="shared" ref="AL2:AL17" si="0">SUM(AI2:AK2)/3</f>
        <v>166.33333333333334</v>
      </c>
      <c r="AM2" s="17" t="s">
        <v>43</v>
      </c>
      <c r="AN2" s="17">
        <f>VLOOKUP(AM2,賠率!$B$2:$E$33,4,FALSE)</f>
        <v>90.5</v>
      </c>
    </row>
    <row r="3" spans="1:42" ht="15" customHeight="1" x14ac:dyDescent="0.25">
      <c r="A3" s="8" t="s">
        <v>32</v>
      </c>
      <c r="B3" s="9">
        <f>8/64*D3+8/64*F3+40/64*H3+8/64*(R3*(1+Y3)*(1+AA3))+(1/AE3)</f>
        <v>2.7555112411048039</v>
      </c>
      <c r="C3" s="9">
        <f>E3*8/64+G3*8/64+I3*40/64+8/64*(L3*(1-M3))</f>
        <v>0.60098094307318095</v>
      </c>
      <c r="D3" s="9">
        <v>2.6908447926111387</v>
      </c>
      <c r="E3" s="9">
        <v>0.63368172252229238</v>
      </c>
      <c r="F3" s="10">
        <v>2.0590308254886764</v>
      </c>
      <c r="G3" s="10">
        <v>0.42416582206315523</v>
      </c>
      <c r="H3" s="7">
        <v>2.0398239999999999</v>
      </c>
      <c r="I3" s="7">
        <v>0.75</v>
      </c>
      <c r="J3" s="3" t="s">
        <v>2</v>
      </c>
      <c r="K3" s="3">
        <v>2</v>
      </c>
      <c r="L3" s="3">
        <v>0</v>
      </c>
      <c r="M3" s="3">
        <f>($AP$18-AP3)/$AP$18</f>
        <v>0.77087576374745415</v>
      </c>
      <c r="N3" s="3">
        <f>K3*M3</f>
        <v>1.5417515274949083</v>
      </c>
      <c r="O3" s="3">
        <v>4</v>
      </c>
      <c r="P3" s="3">
        <v>3</v>
      </c>
      <c r="Q3" s="3">
        <f>($AN$18-AN3)/$AN$18</f>
        <v>0.9838568935427574</v>
      </c>
      <c r="R3" s="3">
        <f>O3*Q3</f>
        <v>3.9354275741710296</v>
      </c>
      <c r="S3" s="11">
        <v>3</v>
      </c>
      <c r="T3" s="11">
        <v>1</v>
      </c>
      <c r="U3" s="7">
        <f>($AL$18-AL3)/$AL$18</f>
        <v>0.94666328825262092</v>
      </c>
      <c r="V3" s="12">
        <f t="shared" ref="V3:V17" si="1">S3*U3</f>
        <v>2.8399898647578627</v>
      </c>
      <c r="W3" s="7">
        <v>1</v>
      </c>
      <c r="X3" s="7">
        <f>VLOOKUP(A3,'Team Statistic'!$A$2:$F$33,4,FALSE)</f>
        <v>19</v>
      </c>
      <c r="Y3" s="7">
        <f>X3/$X$18</f>
        <v>6.1290322580645158E-2</v>
      </c>
      <c r="Z3" s="7">
        <f>VLOOKUP(A3,'Team Statistic'!$A$2:$F$33,3,FALSE)</f>
        <v>56</v>
      </c>
      <c r="AA3" s="7">
        <f>Z3/$Z$18</f>
        <v>5.8151609553478714E-2</v>
      </c>
      <c r="AB3" s="7">
        <v>6</v>
      </c>
      <c r="AC3" s="7">
        <v>6.5</v>
      </c>
      <c r="AD3" s="7">
        <f>VLOOKUP(J3,賠率!$A$2:$H$33,8,FALSE)</f>
        <v>4.3650000000000002</v>
      </c>
      <c r="AE3" s="7">
        <f>VLOOKUP(A3,賠率!$B$4:$L$11,11,FALSE)</f>
        <v>2.99</v>
      </c>
      <c r="AF3" s="7" t="s">
        <v>33</v>
      </c>
      <c r="AG3" s="7" t="s">
        <v>36</v>
      </c>
      <c r="AH3" s="7" t="s">
        <v>37</v>
      </c>
      <c r="AI3" s="7">
        <f>VLOOKUP(AF3,賠率!$B$2:$E$33,4,FALSE)</f>
        <v>375.5</v>
      </c>
      <c r="AJ3" s="7">
        <f>VLOOKUP(AG3,賠率!$B$2:$E$33,4,FALSE)</f>
        <v>160.5</v>
      </c>
      <c r="AK3" s="7">
        <f>VLOOKUP(AH3,賠率!$B$2:$E$33,4,FALSE)</f>
        <v>95.5</v>
      </c>
      <c r="AL3" s="13">
        <f t="shared" si="0"/>
        <v>210.5</v>
      </c>
      <c r="AM3" s="7" t="s">
        <v>34</v>
      </c>
      <c r="AN3" s="7">
        <f>VLOOKUP(AM3,賠率!$B$2:$E$33,4,FALSE)</f>
        <v>9.25</v>
      </c>
      <c r="AO3" s="7" t="s">
        <v>27</v>
      </c>
      <c r="AP3" s="7">
        <f>VLOOKUP(AO3,賠率!$B$2:$H$17,7,FALSE)</f>
        <v>13.5</v>
      </c>
    </row>
    <row r="4" spans="1:42" s="17" customFormat="1" ht="15" customHeight="1" x14ac:dyDescent="0.25">
      <c r="A4" s="14" t="s">
        <v>31</v>
      </c>
      <c r="B4" s="14">
        <f>16/64*H4+(V4/3*(1+Y4)*(1+AA4)+W4)*48/64</f>
        <v>2.1675651600268933</v>
      </c>
      <c r="C4" s="15">
        <f t="shared" ref="C4:C17" si="2">I4*16/64+(T4*U4/3)*48/64</f>
        <v>1.3379002628828429</v>
      </c>
      <c r="D4" s="15">
        <v>2.1930004832933929</v>
      </c>
      <c r="E4" s="15">
        <v>1.3379002628828429</v>
      </c>
      <c r="F4" s="16">
        <v>2.1541459981579338</v>
      </c>
      <c r="G4" s="16">
        <v>1.3379002628828429</v>
      </c>
      <c r="H4" s="17">
        <v>2.2769759999999999</v>
      </c>
      <c r="I4" s="17">
        <v>0.7</v>
      </c>
      <c r="J4" s="4" t="s">
        <v>3</v>
      </c>
      <c r="K4" s="4"/>
      <c r="L4" s="4"/>
      <c r="M4" s="4"/>
      <c r="N4" s="4"/>
      <c r="O4" s="4"/>
      <c r="P4" s="4"/>
      <c r="Q4" s="4"/>
      <c r="R4" s="4"/>
      <c r="S4" s="18">
        <v>6</v>
      </c>
      <c r="T4" s="18">
        <v>5</v>
      </c>
      <c r="U4" s="17">
        <f>($AL$18-AL4)/$AL$18</f>
        <v>0.93032021030627432</v>
      </c>
      <c r="V4" s="19">
        <f t="shared" si="1"/>
        <v>5.5819212618376461</v>
      </c>
      <c r="W4" s="17">
        <v>0</v>
      </c>
      <c r="X4" s="17">
        <f>VLOOKUP(A4,'Team Statistic'!$A$2:$F$33,4,FALSE)</f>
        <v>21</v>
      </c>
      <c r="Y4" s="17">
        <f>X4/$X$18</f>
        <v>6.7741935483870974E-2</v>
      </c>
      <c r="Z4" s="17">
        <f>VLOOKUP(A4,'Team Statistic'!$A$2:$F$33,3,FALSE)</f>
        <v>70</v>
      </c>
      <c r="AA4" s="17">
        <f>Z4/$Z$18</f>
        <v>7.2689511941848389E-2</v>
      </c>
      <c r="AB4" s="17">
        <v>7.5</v>
      </c>
      <c r="AC4" s="17">
        <v>7</v>
      </c>
      <c r="AF4" s="17" t="s">
        <v>30</v>
      </c>
      <c r="AG4" s="17" t="s">
        <v>28</v>
      </c>
      <c r="AH4" s="17" t="s">
        <v>29</v>
      </c>
      <c r="AI4" s="17">
        <f>VLOOKUP(AF4,賠率!$B$2:$E$33,4,FALSE)</f>
        <v>24</v>
      </c>
      <c r="AJ4" s="17">
        <f>VLOOKUP(AG4,賠率!$B$2:$E$33,4,FALSE)</f>
        <v>325.5</v>
      </c>
      <c r="AK4" s="17">
        <f>VLOOKUP(AH4,賠率!$B$2:$E$33,4,FALSE)</f>
        <v>475.5</v>
      </c>
      <c r="AL4" s="20">
        <f t="shared" si="0"/>
        <v>275</v>
      </c>
    </row>
    <row r="5" spans="1:42" s="17" customFormat="1" ht="15" customHeight="1" x14ac:dyDescent="0.25">
      <c r="A5" s="14" t="s">
        <v>34</v>
      </c>
      <c r="B5" s="14">
        <f t="shared" ref="B4:B17" si="3">16/64*H5+(V5/3*(1+Y5)*(1+AA5)+W5)*48/64</f>
        <v>2.0513832476775749</v>
      </c>
      <c r="C5" s="15">
        <f t="shared" si="2"/>
        <v>1.4211144279394841</v>
      </c>
      <c r="D5" s="15">
        <v>2.0618771837030034</v>
      </c>
      <c r="E5" s="15">
        <v>1.4211144279394841</v>
      </c>
      <c r="F5" s="16">
        <v>2.0718178549587307</v>
      </c>
      <c r="G5" s="16">
        <v>1.4211144279394841</v>
      </c>
      <c r="H5" s="17">
        <v>1.9675199999999999</v>
      </c>
      <c r="I5" s="17">
        <v>0.85</v>
      </c>
      <c r="J5" s="4" t="s">
        <v>4</v>
      </c>
      <c r="K5" s="4"/>
      <c r="L5" s="4"/>
      <c r="M5" s="4"/>
      <c r="N5" s="4"/>
      <c r="O5" s="4"/>
      <c r="P5" s="4"/>
      <c r="Q5" s="4"/>
      <c r="R5" s="4"/>
      <c r="S5" s="18">
        <v>3</v>
      </c>
      <c r="T5" s="18">
        <v>5</v>
      </c>
      <c r="U5" s="17">
        <f t="shared" ref="U5" si="4">($AL$18-AL5)/$AL$18</f>
        <v>0.96689154235158736</v>
      </c>
      <c r="V5" s="19">
        <f t="shared" si="1"/>
        <v>2.9006746270547623</v>
      </c>
      <c r="W5" s="17">
        <v>1</v>
      </c>
      <c r="X5" s="17">
        <f>VLOOKUP(A5,'Team Statistic'!$A$2:$F$33,4,FALSE)</f>
        <v>18</v>
      </c>
      <c r="Y5" s="17">
        <f t="shared" ref="Y5" si="5">X5/$X$18</f>
        <v>5.8064516129032261E-2</v>
      </c>
      <c r="Z5" s="17">
        <f>VLOOKUP(A5,'Team Statistic'!$A$2:$F$33,3,FALSE)</f>
        <v>53</v>
      </c>
      <c r="AA5" s="17">
        <f t="shared" ref="AA5" si="6">Z5/$Z$18</f>
        <v>5.5036344755970926E-2</v>
      </c>
      <c r="AB5" s="17">
        <v>8.5</v>
      </c>
      <c r="AC5" s="17">
        <v>10</v>
      </c>
      <c r="AF5" s="17" t="s">
        <v>35</v>
      </c>
      <c r="AG5" s="17" t="s">
        <v>38</v>
      </c>
      <c r="AH5" s="17" t="s">
        <v>39</v>
      </c>
      <c r="AI5" s="17">
        <f>VLOOKUP(AF5,賠率!$B$2:$E$33,4,FALSE)</f>
        <v>200.5</v>
      </c>
      <c r="AJ5" s="17">
        <f>VLOOKUP(AG5,賠率!$B$2:$E$33,4,FALSE)</f>
        <v>28.5</v>
      </c>
      <c r="AK5" s="17">
        <f>VLOOKUP(AH5,賠率!$B$2:$E$33,4,FALSE)</f>
        <v>163</v>
      </c>
      <c r="AL5" s="20">
        <f t="shared" si="0"/>
        <v>130.66666666666666</v>
      </c>
    </row>
    <row r="6" spans="1:42" ht="15" customHeight="1" x14ac:dyDescent="0.25">
      <c r="A6" s="8" t="s">
        <v>48</v>
      </c>
      <c r="B6" s="9">
        <f>8/64*D6+8/64*F6+40/64*H6+8/64*(R6*(1+Y6)*(1+AA6))+(1/AE6)</f>
        <v>2.373839664302106</v>
      </c>
      <c r="C6" s="9">
        <f>E6*8/64+G6*8/64+I6*40/64+8/64*(L6*(1-M6))</f>
        <v>0.82091949103513573</v>
      </c>
      <c r="D6" s="9">
        <v>2.2305133400667896</v>
      </c>
      <c r="E6" s="9">
        <v>1.0911741851407102</v>
      </c>
      <c r="F6" s="10">
        <v>2.8105763002688713</v>
      </c>
      <c r="G6" s="10">
        <v>0.66813693662306406</v>
      </c>
      <c r="H6" s="7">
        <v>1.921672</v>
      </c>
      <c r="I6" s="7">
        <v>0.95</v>
      </c>
      <c r="J6" s="3" t="s">
        <v>5</v>
      </c>
      <c r="K6" s="3">
        <v>2</v>
      </c>
      <c r="L6" s="3">
        <v>1</v>
      </c>
      <c r="M6" s="3">
        <f>($AP$18-AP6)/$AP$18</f>
        <v>0.94195519348268841</v>
      </c>
      <c r="N6" s="3">
        <f>K6*M6</f>
        <v>1.8839103869653768</v>
      </c>
      <c r="O6" s="3">
        <v>3</v>
      </c>
      <c r="P6" s="3">
        <v>2</v>
      </c>
      <c r="Q6" s="3">
        <f t="shared" ref="Q6:Q7" si="7">($AN$18-AN6)/$AN$18</f>
        <v>0.60645724258289702</v>
      </c>
      <c r="R6" s="3">
        <f>O6*Q6</f>
        <v>1.8193717277486909</v>
      </c>
      <c r="S6" s="11">
        <v>9</v>
      </c>
      <c r="T6" s="11">
        <v>2</v>
      </c>
      <c r="U6" s="7">
        <f t="shared" ref="U6:U17" si="8">($AL$18-AL6)/$AL$18</f>
        <v>0.86127387324612803</v>
      </c>
      <c r="V6" s="12">
        <f t="shared" si="1"/>
        <v>7.7514648592151527</v>
      </c>
      <c r="W6" s="7">
        <v>0</v>
      </c>
      <c r="X6" s="7">
        <f>VLOOKUP(A6,'Team Statistic'!$A$2:$F$33,4,FALSE)</f>
        <v>33</v>
      </c>
      <c r="Y6" s="7">
        <f t="shared" ref="Y6:Y17" si="9">X6/$X$18</f>
        <v>0.1064516129032258</v>
      </c>
      <c r="Z6" s="7">
        <f>VLOOKUP(A6,'Team Statistic'!$A$2:$F$33,3,FALSE)</f>
        <v>85</v>
      </c>
      <c r="AA6" s="7">
        <f t="shared" ref="AA6:AA17" si="10">Z6/$Z$18</f>
        <v>8.8265835929387332E-2</v>
      </c>
      <c r="AB6" s="7">
        <v>11</v>
      </c>
      <c r="AC6" s="7">
        <v>12</v>
      </c>
      <c r="AD6" s="7">
        <f>VLOOKUP(J6,賠率!$A$2:$H$33,8,FALSE)</f>
        <v>6.125</v>
      </c>
      <c r="AE6" s="7">
        <f>VLOOKUP(A6,賠率!$B$4:$L$11,11,FALSE)</f>
        <v>3.72</v>
      </c>
      <c r="AF6" s="7" t="s">
        <v>49</v>
      </c>
      <c r="AG6" s="7" t="s">
        <v>50</v>
      </c>
      <c r="AH6" s="7" t="s">
        <v>51</v>
      </c>
      <c r="AI6" s="7">
        <f>VLOOKUP(AF6,賠率!$B$2:$E$33,4,FALSE)</f>
        <v>950.5</v>
      </c>
      <c r="AJ6" s="7">
        <f>VLOOKUP(AG6,賠率!$B$2:$E$33,4,FALSE)</f>
        <v>675.5</v>
      </c>
      <c r="AK6" s="7">
        <f>VLOOKUP(AH6,賠率!$B$2:$E$33,4,FALSE)</f>
        <v>16.5</v>
      </c>
      <c r="AL6" s="13">
        <f t="shared" si="0"/>
        <v>547.5</v>
      </c>
      <c r="AM6" s="7" t="s">
        <v>53</v>
      </c>
      <c r="AN6" s="7">
        <f>VLOOKUP(AM6,賠率!$B$2:$E$33,4,FALSE)</f>
        <v>225.5</v>
      </c>
      <c r="AO6" s="7" t="s">
        <v>122</v>
      </c>
      <c r="AP6" s="7">
        <f>VLOOKUP(AO6,賠率!$B$2:$H$17,7,FALSE)</f>
        <v>3.42</v>
      </c>
    </row>
    <row r="7" spans="1:42" ht="15" customHeight="1" x14ac:dyDescent="0.25">
      <c r="A7" s="8" t="s">
        <v>51</v>
      </c>
      <c r="B7" s="9">
        <f>8/64*D7+8/64*F7+40/64*H7+8/64*(R7*(1+Y7)*(1+AA7))+(1/AE7)</f>
        <v>2.0304575395597406</v>
      </c>
      <c r="C7" s="9">
        <f>E7*8/64+G7*8/64+I7*40/64+8/64*(L7*(1-M7))</f>
        <v>0.5533266821346603</v>
      </c>
      <c r="D7" s="9">
        <v>2.0359853563797321</v>
      </c>
      <c r="E7" s="9">
        <v>0.58326536957635899</v>
      </c>
      <c r="F7" s="10">
        <v>3.1159877294820393</v>
      </c>
      <c r="G7" s="10">
        <v>0.59334808750092383</v>
      </c>
      <c r="H7" s="7">
        <v>1.562384</v>
      </c>
      <c r="I7" s="7">
        <v>0.65</v>
      </c>
      <c r="J7" s="3" t="s">
        <v>6</v>
      </c>
      <c r="K7" s="3">
        <v>2</v>
      </c>
      <c r="L7" s="3">
        <v>0</v>
      </c>
      <c r="M7" s="3">
        <f>($AP$18-AP7)/$AP$18</f>
        <v>0.59266802443991851</v>
      </c>
      <c r="N7" s="3">
        <f>K7*M7</f>
        <v>1.185336048879837</v>
      </c>
      <c r="O7" s="3">
        <v>1</v>
      </c>
      <c r="P7" s="3">
        <v>1</v>
      </c>
      <c r="Q7" s="3">
        <f t="shared" si="7"/>
        <v>0.94240837696335078</v>
      </c>
      <c r="R7" s="3">
        <f>O7*Q7</f>
        <v>0.94240837696335078</v>
      </c>
      <c r="S7" s="11">
        <v>8</v>
      </c>
      <c r="T7" s="11">
        <v>2</v>
      </c>
      <c r="U7" s="7">
        <f t="shared" si="8"/>
        <v>0.86169617500184759</v>
      </c>
      <c r="V7" s="12">
        <f t="shared" si="1"/>
        <v>6.8935694000147807</v>
      </c>
      <c r="W7" s="7">
        <v>1</v>
      </c>
      <c r="X7" s="7">
        <f>VLOOKUP(A7,'Team Statistic'!$A$2:$F$33,4,FALSE)</f>
        <v>19</v>
      </c>
      <c r="Y7" s="7">
        <f t="shared" si="9"/>
        <v>6.1290322580645158E-2</v>
      </c>
      <c r="Z7" s="7">
        <f>VLOOKUP(A7,'Team Statistic'!$A$2:$F$33,3,FALSE)</f>
        <v>70</v>
      </c>
      <c r="AA7" s="7">
        <f t="shared" si="10"/>
        <v>7.2689511941848389E-2</v>
      </c>
      <c r="AB7" s="7">
        <v>16</v>
      </c>
      <c r="AC7" s="7">
        <v>17</v>
      </c>
      <c r="AD7" s="7">
        <f>VLOOKUP(J7,賠率!$A$2:$H$33,8,FALSE)</f>
        <v>4.625</v>
      </c>
      <c r="AE7" s="7">
        <f>VLOOKUP(A7,賠率!$B$4:$L$11,11,FALSE)</f>
        <v>3.625</v>
      </c>
      <c r="AF7" s="7" t="s">
        <v>48</v>
      </c>
      <c r="AG7" s="7" t="s">
        <v>49</v>
      </c>
      <c r="AH7" s="7" t="s">
        <v>50</v>
      </c>
      <c r="AI7" s="7">
        <f>VLOOKUP(AF7,賠率!$B$2:$E$33,4,FALSE)</f>
        <v>11.5</v>
      </c>
      <c r="AJ7" s="7">
        <f>VLOOKUP(AG7,賠率!$B$2:$E$33,4,FALSE)</f>
        <v>950.5</v>
      </c>
      <c r="AK7" s="7">
        <f>VLOOKUP(AH7,賠率!$B$2:$E$33,4,FALSE)</f>
        <v>675.5</v>
      </c>
      <c r="AL7" s="13">
        <f t="shared" si="0"/>
        <v>545.83333333333337</v>
      </c>
      <c r="AM7" s="7" t="s">
        <v>52</v>
      </c>
      <c r="AN7" s="7">
        <f>VLOOKUP(AM7,賠率!$B$2:$E$33,4,FALSE)</f>
        <v>33</v>
      </c>
      <c r="AO7" s="7" t="s">
        <v>46</v>
      </c>
      <c r="AP7" s="7">
        <f>VLOOKUP(AO7,賠率!$B$2:$H$17,7,FALSE)</f>
        <v>24</v>
      </c>
    </row>
    <row r="8" spans="1:42" s="17" customFormat="1" ht="15" customHeight="1" x14ac:dyDescent="0.25">
      <c r="A8" s="14" t="s">
        <v>30</v>
      </c>
      <c r="B8" s="14">
        <f t="shared" si="3"/>
        <v>2.5443184584039473</v>
      </c>
      <c r="C8" s="15">
        <f t="shared" si="2"/>
        <v>1.0692349211879348</v>
      </c>
      <c r="D8" s="15">
        <v>2.5590082723305869</v>
      </c>
      <c r="E8" s="15">
        <v>1.0692349211879348</v>
      </c>
      <c r="F8" s="16">
        <v>2.5401785468643272</v>
      </c>
      <c r="G8" s="16">
        <v>1.0692349211879348</v>
      </c>
      <c r="H8" s="17">
        <v>2.0452880000000002</v>
      </c>
      <c r="I8" s="17">
        <v>0.55000000000000004</v>
      </c>
      <c r="J8" s="4" t="s">
        <v>7</v>
      </c>
      <c r="K8" s="4"/>
      <c r="L8" s="4"/>
      <c r="M8" s="4"/>
      <c r="N8" s="4"/>
      <c r="O8" s="4"/>
      <c r="P8" s="4"/>
      <c r="Q8" s="4"/>
      <c r="R8" s="4"/>
      <c r="S8" s="18">
        <v>5</v>
      </c>
      <c r="T8" s="18">
        <v>4</v>
      </c>
      <c r="U8" s="17">
        <f t="shared" si="8"/>
        <v>0.93173492118793488</v>
      </c>
      <c r="V8" s="19">
        <f t="shared" si="1"/>
        <v>4.6586746059396749</v>
      </c>
      <c r="W8" s="17">
        <v>1</v>
      </c>
      <c r="X8" s="17">
        <f>VLOOKUP(A8,'Team Statistic'!$A$2:$F$33,4,FALSE)</f>
        <v>14</v>
      </c>
      <c r="Y8" s="17">
        <f t="shared" si="9"/>
        <v>4.5161290322580643E-2</v>
      </c>
      <c r="Z8" s="17">
        <f>VLOOKUP(A8,'Team Statistic'!$A$2:$F$33,3,FALSE)</f>
        <v>52</v>
      </c>
      <c r="AA8" s="17">
        <f t="shared" si="10"/>
        <v>5.3997923156801658E-2</v>
      </c>
      <c r="AB8" s="17">
        <v>22</v>
      </c>
      <c r="AC8" s="17">
        <v>26</v>
      </c>
      <c r="AF8" s="17" t="s">
        <v>31</v>
      </c>
      <c r="AG8" s="17" t="s">
        <v>28</v>
      </c>
      <c r="AH8" s="17" t="s">
        <v>29</v>
      </c>
      <c r="AI8" s="17">
        <f>VLOOKUP(AF8,賠率!$B$2:$E$33,4,FALSE)</f>
        <v>7.25</v>
      </c>
      <c r="AJ8" s="17">
        <f>VLOOKUP(AG8,賠率!$B$2:$E$33,4,FALSE)</f>
        <v>325.5</v>
      </c>
      <c r="AK8" s="17">
        <f>VLOOKUP(AH8,賠率!$B$2:$E$33,4,FALSE)</f>
        <v>475.5</v>
      </c>
      <c r="AL8" s="20">
        <f t="shared" si="0"/>
        <v>269.41666666666669</v>
      </c>
    </row>
    <row r="9" spans="1:42" s="17" customFormat="1" ht="15" customHeight="1" x14ac:dyDescent="0.25">
      <c r="A9" s="14" t="s">
        <v>27</v>
      </c>
      <c r="B9" s="14">
        <f>8/64*F9+H9*48/64+(8/64*(R9*(1+Y9)*(1+AA9)+W9))+(1/AD9)</f>
        <v>1.6903474385322501</v>
      </c>
      <c r="C9" s="15">
        <f>G9*8/64+I9*48/64+P9*(1-Q9)*3*8/64</f>
        <v>1.1485193062827226</v>
      </c>
      <c r="D9" s="15">
        <v>1.6875298647898624</v>
      </c>
      <c r="E9" s="15">
        <v>1.1485193062827226</v>
      </c>
      <c r="F9" s="16">
        <v>1.6781787054500121</v>
      </c>
      <c r="G9" s="16">
        <v>0.36249999999999999</v>
      </c>
      <c r="H9" s="17">
        <v>1.5116320000000001</v>
      </c>
      <c r="I9" s="17">
        <v>1.45</v>
      </c>
      <c r="J9" s="4" t="s">
        <v>8</v>
      </c>
      <c r="K9" s="4">
        <v>0</v>
      </c>
      <c r="L9" s="4">
        <v>2</v>
      </c>
      <c r="M9" s="4"/>
      <c r="N9" s="4"/>
      <c r="O9" s="4">
        <v>2</v>
      </c>
      <c r="P9" s="4">
        <v>1</v>
      </c>
      <c r="Q9" s="4">
        <f t="shared" ref="Q9:Q10" si="11">($AN$18-AN9)/$AN$18</f>
        <v>0.95811518324607325</v>
      </c>
      <c r="R9" s="4">
        <f>O9*Q9</f>
        <v>1.9162303664921465</v>
      </c>
      <c r="S9" s="18">
        <v>5</v>
      </c>
      <c r="T9" s="18">
        <v>0</v>
      </c>
      <c r="U9" s="17">
        <f t="shared" si="8"/>
        <v>0.90477095408524155</v>
      </c>
      <c r="V9" s="19">
        <f t="shared" si="1"/>
        <v>4.5238547704262082</v>
      </c>
      <c r="W9" s="17">
        <v>0</v>
      </c>
      <c r="X9" s="17">
        <f>VLOOKUP(A9,'Team Statistic'!$A$2:$F$33,4,FALSE)</f>
        <v>22</v>
      </c>
      <c r="Y9" s="17">
        <f t="shared" si="9"/>
        <v>7.0967741935483872E-2</v>
      </c>
      <c r="Z9" s="17">
        <f>VLOOKUP(A9,'Team Statistic'!$A$2:$F$33,3,FALSE)</f>
        <v>61</v>
      </c>
      <c r="AA9" s="17">
        <f t="shared" si="10"/>
        <v>6.3343717549325024E-2</v>
      </c>
      <c r="AB9" s="17">
        <v>28</v>
      </c>
      <c r="AC9" s="17">
        <v>26</v>
      </c>
      <c r="AD9" s="17">
        <f>VLOOKUP(J9,賠率!$A$2:$H$33,8,FALSE)</f>
        <v>13.5</v>
      </c>
      <c r="AF9" s="17" t="s">
        <v>24</v>
      </c>
      <c r="AG9" s="17" t="s">
        <v>25</v>
      </c>
      <c r="AH9" s="17" t="s">
        <v>26</v>
      </c>
      <c r="AI9" s="17">
        <f>VLOOKUP(AF9,賠率!$B$2:$E$33,4,FALSE)</f>
        <v>41.5</v>
      </c>
      <c r="AJ9" s="17">
        <f>VLOOKUP(AG9,賠率!$B$2:$E$33,4,FALSE)</f>
        <v>950.5</v>
      </c>
      <c r="AK9" s="17">
        <f>VLOOKUP(AH9,賠率!$B$2:$E$33,4,FALSE)</f>
        <v>135.5</v>
      </c>
      <c r="AL9" s="20">
        <f t="shared" si="0"/>
        <v>375.83333333333331</v>
      </c>
      <c r="AM9" s="17" t="s">
        <v>30</v>
      </c>
      <c r="AN9" s="17">
        <f>VLOOKUP(AM9,賠率!$B$2:$E$33,4,FALSE)</f>
        <v>24</v>
      </c>
    </row>
    <row r="10" spans="1:42" ht="15" customHeight="1" x14ac:dyDescent="0.25">
      <c r="A10" s="8" t="s">
        <v>38</v>
      </c>
      <c r="B10" s="9">
        <f>8/64*D10+8/64*F10+40/64*H10+8/64*(R10*(1+Y10)*(1+AA10))+(1/AE10)</f>
        <v>1.7314002656736813</v>
      </c>
      <c r="C10" s="9">
        <f>E10*8/64+G10*8/64+I10*40/64+8/64*(L10*(1-M10))</f>
        <v>0.60778368769703872</v>
      </c>
      <c r="D10" s="9">
        <v>1.6797760733707405</v>
      </c>
      <c r="E10" s="9">
        <v>0.639641168878472</v>
      </c>
      <c r="F10" s="10">
        <v>2.2564387667532437</v>
      </c>
      <c r="G10" s="10">
        <v>0.41712935102777687</v>
      </c>
      <c r="H10" s="7">
        <v>1.501144</v>
      </c>
      <c r="I10" s="7">
        <v>0.7</v>
      </c>
      <c r="J10" s="3" t="s">
        <v>9</v>
      </c>
      <c r="K10" s="3">
        <v>1</v>
      </c>
      <c r="L10" s="3">
        <v>1</v>
      </c>
      <c r="M10" s="3">
        <f>($AP$18-AP10)/$AP$18</f>
        <v>0.69450101832993894</v>
      </c>
      <c r="N10" s="3">
        <f>K10*M10</f>
        <v>0.69450101832993894</v>
      </c>
      <c r="O10" s="3">
        <v>1</v>
      </c>
      <c r="P10" s="3">
        <v>1</v>
      </c>
      <c r="Q10" s="3">
        <f t="shared" si="11"/>
        <v>0.83333333333333337</v>
      </c>
      <c r="R10" s="3">
        <f>O10*Q10</f>
        <v>0.83333333333333337</v>
      </c>
      <c r="S10" s="11">
        <v>7</v>
      </c>
      <c r="T10" s="11">
        <v>1</v>
      </c>
      <c r="U10" s="7">
        <f t="shared" si="8"/>
        <v>0.96851740411110754</v>
      </c>
      <c r="V10" s="12">
        <f t="shared" si="1"/>
        <v>6.7796218287777528</v>
      </c>
      <c r="W10" s="7">
        <v>0</v>
      </c>
      <c r="X10" s="7">
        <f>VLOOKUP(A10,'Team Statistic'!$A$2:$F$33,4,FALSE)</f>
        <v>19</v>
      </c>
      <c r="Y10" s="7">
        <f t="shared" si="9"/>
        <v>6.1290322580645158E-2</v>
      </c>
      <c r="Z10" s="7">
        <f>VLOOKUP(A10,'Team Statistic'!$A$2:$F$33,3,FALSE)</f>
        <v>78</v>
      </c>
      <c r="AA10" s="7">
        <f t="shared" si="10"/>
        <v>8.0996884735202487E-2</v>
      </c>
      <c r="AB10" s="7">
        <v>28</v>
      </c>
      <c r="AC10" s="7">
        <v>29</v>
      </c>
      <c r="AD10" s="7">
        <f>VLOOKUP(J10,賠率!$A$2:$H$33,8,FALSE)</f>
        <v>6.5</v>
      </c>
      <c r="AE10" s="7">
        <f>VLOOKUP(A10,賠率!$B$4:$L$11,11,FALSE)</f>
        <v>5.5049999999999999</v>
      </c>
      <c r="AF10" s="7" t="s">
        <v>34</v>
      </c>
      <c r="AG10" s="7" t="s">
        <v>35</v>
      </c>
      <c r="AH10" s="7" t="s">
        <v>39</v>
      </c>
      <c r="AI10" s="7">
        <f>VLOOKUP(AF10,賠率!$B$2:$E$33,4,FALSE)</f>
        <v>9.25</v>
      </c>
      <c r="AJ10" s="7">
        <f>VLOOKUP(AG10,賠率!$B$2:$E$33,4,FALSE)</f>
        <v>200.5</v>
      </c>
      <c r="AK10" s="7">
        <f>VLOOKUP(AH10,賠率!$B$2:$E$33,4,FALSE)</f>
        <v>163</v>
      </c>
      <c r="AL10" s="13">
        <f t="shared" si="0"/>
        <v>124.25</v>
      </c>
      <c r="AM10" s="7" t="s">
        <v>37</v>
      </c>
      <c r="AN10" s="7">
        <f>VLOOKUP(AM10,賠率!$B$2:$E$33,4,FALSE)</f>
        <v>95.5</v>
      </c>
      <c r="AO10" s="7" t="s">
        <v>24</v>
      </c>
      <c r="AP10" s="7">
        <f>VLOOKUP(AO10,賠率!$B$2:$H$17,7,FALSE)</f>
        <v>18</v>
      </c>
    </row>
    <row r="11" spans="1:42" s="17" customFormat="1" ht="15" customHeight="1" x14ac:dyDescent="0.25">
      <c r="A11" s="14" t="s">
        <v>52</v>
      </c>
      <c r="B11" s="14">
        <f t="shared" si="3"/>
        <v>1.6573299864170763</v>
      </c>
      <c r="C11" s="15">
        <f t="shared" si="2"/>
        <v>0.76293900906893031</v>
      </c>
      <c r="D11" s="15">
        <v>1.6693662676736047</v>
      </c>
      <c r="E11" s="15">
        <v>0.76293900906893031</v>
      </c>
      <c r="F11" s="16">
        <v>1.6577506776720548</v>
      </c>
      <c r="G11" s="16">
        <v>0.76293900906893031</v>
      </c>
      <c r="H11" s="17">
        <v>1.409832</v>
      </c>
      <c r="I11" s="17">
        <v>1.1200000000000001</v>
      </c>
      <c r="J11" s="4" t="s">
        <v>10</v>
      </c>
      <c r="K11" s="4"/>
      <c r="L11" s="4"/>
      <c r="M11" s="4"/>
      <c r="N11" s="4"/>
      <c r="O11" s="4"/>
      <c r="P11" s="4"/>
      <c r="Q11" s="4"/>
      <c r="R11" s="4"/>
      <c r="S11" s="18">
        <v>5</v>
      </c>
      <c r="T11" s="18">
        <v>2</v>
      </c>
      <c r="U11" s="17">
        <f t="shared" si="8"/>
        <v>0.96587801813786045</v>
      </c>
      <c r="V11" s="19">
        <f t="shared" si="1"/>
        <v>4.8293900906893024</v>
      </c>
      <c r="W11" s="17">
        <v>0</v>
      </c>
      <c r="X11" s="17">
        <f>VLOOKUP(A11,'Team Statistic'!$A$2:$F$33,4,FALSE)</f>
        <v>12</v>
      </c>
      <c r="Y11" s="17">
        <f t="shared" si="9"/>
        <v>3.870967741935484E-2</v>
      </c>
      <c r="Z11" s="17">
        <f>VLOOKUP(A11,'Team Statistic'!$A$2:$F$33,3,FALSE)</f>
        <v>39</v>
      </c>
      <c r="AA11" s="17">
        <f t="shared" si="10"/>
        <v>4.0498442367601244E-2</v>
      </c>
      <c r="AB11" s="17">
        <v>32</v>
      </c>
      <c r="AC11" s="17">
        <v>34</v>
      </c>
      <c r="AF11" s="17" t="s">
        <v>54</v>
      </c>
      <c r="AG11" s="17" t="s">
        <v>55</v>
      </c>
      <c r="AH11" s="17" t="s">
        <v>53</v>
      </c>
      <c r="AI11" s="17">
        <f>VLOOKUP(AF11,賠率!$B$2:$E$33,4,FALSE)</f>
        <v>43</v>
      </c>
      <c r="AJ11" s="17">
        <f>VLOOKUP(AG11,賠率!$B$2:$E$33,4,FALSE)</f>
        <v>135.5</v>
      </c>
      <c r="AK11" s="17">
        <f>VLOOKUP(AH11,賠率!$B$2:$E$33,4,FALSE)</f>
        <v>225.5</v>
      </c>
      <c r="AL11" s="20">
        <f t="shared" si="0"/>
        <v>134.66666666666666</v>
      </c>
    </row>
    <row r="12" spans="1:42" s="17" customFormat="1" ht="15" customHeight="1" x14ac:dyDescent="0.25">
      <c r="A12" s="14" t="s">
        <v>24</v>
      </c>
      <c r="B12" s="14">
        <f>8/64*F12+H12*48/64+(8/64*(R12*(1+Y12)*(1+AA12)+W12))+(1/AD12)</f>
        <v>1.6074784988952047</v>
      </c>
      <c r="C12" s="15">
        <f>G12*8/64+I12*48/64+P12*(1-Q12)*3*8/64</f>
        <v>0.99299421804500931</v>
      </c>
      <c r="D12" s="15">
        <v>1.6039565875064927</v>
      </c>
      <c r="E12" s="15">
        <v>0.99299421804500931</v>
      </c>
      <c r="F12" s="16">
        <v>2.3657557748509865</v>
      </c>
      <c r="G12" s="16">
        <v>1.1859956291768283</v>
      </c>
      <c r="H12" s="17">
        <v>1.4919519999999999</v>
      </c>
      <c r="I12" s="17">
        <v>1.1200000000000001</v>
      </c>
      <c r="J12" s="4" t="s">
        <v>11</v>
      </c>
      <c r="K12" s="4">
        <v>1</v>
      </c>
      <c r="L12" s="4">
        <v>1</v>
      </c>
      <c r="M12" s="4"/>
      <c r="N12" s="4"/>
      <c r="O12" s="4">
        <v>1</v>
      </c>
      <c r="P12" s="4">
        <v>1</v>
      </c>
      <c r="Q12" s="4">
        <f>($AN$18-AN12)/$AN$18</f>
        <v>0.98734729493891793</v>
      </c>
      <c r="R12" s="4">
        <f>O12*Q12</f>
        <v>0.98734729493891793</v>
      </c>
      <c r="S12" s="18">
        <v>8</v>
      </c>
      <c r="T12" s="18">
        <v>4</v>
      </c>
      <c r="U12" s="17">
        <f t="shared" si="8"/>
        <v>0.9059956291768283</v>
      </c>
      <c r="V12" s="19">
        <f t="shared" si="1"/>
        <v>7.2479650334146264</v>
      </c>
      <c r="W12" s="17">
        <v>0</v>
      </c>
      <c r="X12" s="17">
        <f>VLOOKUP(A12,'Team Statistic'!$A$2:$F$33,4,FALSE)</f>
        <v>19</v>
      </c>
      <c r="Y12" s="17">
        <f t="shared" si="9"/>
        <v>6.1290322580645158E-2</v>
      </c>
      <c r="Z12" s="17">
        <f>VLOOKUP(A12,'Team Statistic'!$A$2:$F$33,3,FALSE)</f>
        <v>46</v>
      </c>
      <c r="AA12" s="17">
        <f t="shared" si="10"/>
        <v>4.7767393561786088E-2</v>
      </c>
      <c r="AB12" s="17">
        <v>32</v>
      </c>
      <c r="AC12" s="17">
        <v>51</v>
      </c>
      <c r="AD12" s="17">
        <f>VLOOKUP(J12,賠率!$A$2:$H$33,8,FALSE)</f>
        <v>18</v>
      </c>
      <c r="AF12" s="17" t="s">
        <v>25</v>
      </c>
      <c r="AG12" s="17" t="s">
        <v>26</v>
      </c>
      <c r="AH12" s="17" t="s">
        <v>27</v>
      </c>
      <c r="AI12" s="17">
        <f>VLOOKUP(AF12,賠率!$B$2:$E$33,4,FALSE)</f>
        <v>950.5</v>
      </c>
      <c r="AJ12" s="17">
        <f>VLOOKUP(AG12,賠率!$B$2:$E$33,4,FALSE)</f>
        <v>135.5</v>
      </c>
      <c r="AK12" s="17">
        <f>VLOOKUP(AH12,賠率!$B$2:$E$33,4,FALSE)</f>
        <v>27</v>
      </c>
      <c r="AL12" s="20">
        <f t="shared" si="0"/>
        <v>371</v>
      </c>
      <c r="AM12" s="17" t="s">
        <v>31</v>
      </c>
      <c r="AN12" s="17">
        <f>VLOOKUP(AM12,賠率!$B$2:$E$33,4,FALSE)</f>
        <v>7.25</v>
      </c>
    </row>
    <row r="13" spans="1:42" s="17" customFormat="1" ht="15" customHeight="1" x14ac:dyDescent="0.25">
      <c r="A13" s="14" t="s">
        <v>45</v>
      </c>
      <c r="B13" s="14">
        <f t="shared" si="3"/>
        <v>1.7175663094683855</v>
      </c>
      <c r="C13" s="15">
        <f t="shared" si="2"/>
        <v>1.1398750514680265</v>
      </c>
      <c r="D13" s="15">
        <v>1.7334496325681674</v>
      </c>
      <c r="E13" s="15">
        <v>1.1398750514680265</v>
      </c>
      <c r="F13" s="16">
        <v>1.7265324418210146</v>
      </c>
      <c r="G13" s="16">
        <v>1.1398750514680265</v>
      </c>
      <c r="H13" s="17">
        <v>1.5347999999999999</v>
      </c>
      <c r="I13" s="17">
        <v>0.7</v>
      </c>
      <c r="J13" s="4" t="s">
        <v>13</v>
      </c>
      <c r="K13" s="4"/>
      <c r="L13" s="4"/>
      <c r="M13" s="4"/>
      <c r="N13" s="4"/>
      <c r="O13" s="4"/>
      <c r="P13" s="4"/>
      <c r="Q13" s="4"/>
      <c r="R13" s="4"/>
      <c r="S13" s="18">
        <v>5</v>
      </c>
      <c r="T13" s="18">
        <v>4</v>
      </c>
      <c r="U13" s="17">
        <f t="shared" si="8"/>
        <v>0.96487505146802643</v>
      </c>
      <c r="V13" s="19">
        <f t="shared" si="1"/>
        <v>4.8243752573401322</v>
      </c>
      <c r="W13" s="17">
        <v>0</v>
      </c>
      <c r="X13" s="17">
        <f>VLOOKUP(A13,'Team Statistic'!$A$2:$F$33,4,FALSE)</f>
        <v>14</v>
      </c>
      <c r="Y13" s="17">
        <f t="shared" si="9"/>
        <v>4.5161290322580643E-2</v>
      </c>
      <c r="Z13" s="17">
        <f>VLOOKUP(A13,'Team Statistic'!$A$2:$F$33,3,FALSE)</f>
        <v>56</v>
      </c>
      <c r="AA13" s="17">
        <f t="shared" si="10"/>
        <v>5.8151609553478714E-2</v>
      </c>
      <c r="AB13" s="17">
        <v>75</v>
      </c>
      <c r="AC13" s="17">
        <v>101</v>
      </c>
      <c r="AF13" s="17" t="s">
        <v>40</v>
      </c>
      <c r="AG13" s="17" t="s">
        <v>41</v>
      </c>
      <c r="AH13" s="17" t="s">
        <v>44</v>
      </c>
      <c r="AI13" s="17">
        <f>VLOOKUP(AF13,賠率!$B$2:$E$33,4,FALSE)</f>
        <v>275.5</v>
      </c>
      <c r="AJ13" s="17">
        <f>VLOOKUP(AG13,賠率!$B$2:$E$33,4,FALSE)</f>
        <v>135.5</v>
      </c>
      <c r="AK13" s="17">
        <f>VLOOKUP(AH13,賠率!$B$2:$E$33,4,FALSE)</f>
        <v>4.875</v>
      </c>
      <c r="AL13" s="20">
        <f t="shared" si="0"/>
        <v>138.625</v>
      </c>
    </row>
    <row r="14" spans="1:42" s="17" customFormat="1" ht="15" customHeight="1" x14ac:dyDescent="0.25">
      <c r="A14" s="14" t="s">
        <v>43</v>
      </c>
      <c r="B14" s="14">
        <f t="shared" si="3"/>
        <v>1.1914879535871274</v>
      </c>
      <c r="C14" s="15">
        <f t="shared" si="2"/>
        <v>1.2100395643957389</v>
      </c>
      <c r="D14" s="15">
        <v>1.2006377160523889</v>
      </c>
      <c r="E14" s="15">
        <v>1.2100395643957389</v>
      </c>
      <c r="F14" s="16">
        <v>1.2131033111726586</v>
      </c>
      <c r="G14" s="16">
        <v>1.2100395643957389</v>
      </c>
      <c r="H14" s="17">
        <v>1.628816</v>
      </c>
      <c r="I14" s="17">
        <v>1.05</v>
      </c>
      <c r="J14" s="4" t="s">
        <v>14</v>
      </c>
      <c r="K14" s="4"/>
      <c r="L14" s="4"/>
      <c r="M14" s="4"/>
      <c r="N14" s="4"/>
      <c r="O14" s="4"/>
      <c r="P14" s="4"/>
      <c r="Q14" s="4"/>
      <c r="R14" s="4"/>
      <c r="S14" s="18">
        <v>3</v>
      </c>
      <c r="T14" s="18">
        <v>4</v>
      </c>
      <c r="U14" s="17">
        <f t="shared" si="8"/>
        <v>0.94753956439573905</v>
      </c>
      <c r="V14" s="19">
        <f t="shared" si="1"/>
        <v>2.8426186931872173</v>
      </c>
      <c r="W14" s="17">
        <v>0</v>
      </c>
      <c r="X14" s="17">
        <f>VLOOKUP(A14,'Team Statistic'!$A$2:$F$33,4,FALSE)</f>
        <v>13</v>
      </c>
      <c r="Y14" s="17">
        <f t="shared" si="9"/>
        <v>4.1935483870967745E-2</v>
      </c>
      <c r="Z14" s="17">
        <f>VLOOKUP(A14,'Team Statistic'!$A$2:$F$33,3,FALSE)</f>
        <v>57</v>
      </c>
      <c r="AA14" s="17">
        <f t="shared" si="10"/>
        <v>5.9190031152647975E-2</v>
      </c>
      <c r="AB14" s="17">
        <v>80</v>
      </c>
      <c r="AC14" s="17">
        <v>101</v>
      </c>
      <c r="AF14" s="17" t="s">
        <v>46</v>
      </c>
      <c r="AG14" s="17" t="s">
        <v>47</v>
      </c>
      <c r="AH14" s="17" t="s">
        <v>42</v>
      </c>
      <c r="AI14" s="17">
        <f>VLOOKUP(AF14,賠率!$B$2:$E$33,4,FALSE)</f>
        <v>115.5</v>
      </c>
      <c r="AJ14" s="17">
        <f>VLOOKUP(AG14,賠率!$B$2:$E$33,4,FALSE)</f>
        <v>500.5</v>
      </c>
      <c r="AK14" s="17">
        <f>VLOOKUP(AH14,賠率!$B$2:$E$33,4,FALSE)</f>
        <v>5.125</v>
      </c>
      <c r="AL14" s="20">
        <f t="shared" si="0"/>
        <v>207.04166666666666</v>
      </c>
    </row>
    <row r="15" spans="1:42" s="17" customFormat="1" ht="15" customHeight="1" x14ac:dyDescent="0.25">
      <c r="A15" s="14" t="s">
        <v>46</v>
      </c>
      <c r="B15" s="14">
        <f>8/64*F15+H15*48/64+(8/64*(R15*(1+Y15)*(1+AA15)+W15))+(1/AD15)</f>
        <v>1.6455890142137197</v>
      </c>
      <c r="C15" s="15">
        <f>G15*8/64+I15*48/64+P15*(1-Q15)*3*8/64</f>
        <v>0.72341569207339596</v>
      </c>
      <c r="D15" s="15">
        <v>1.6451485865904587</v>
      </c>
      <c r="E15" s="15">
        <v>0.72341569207339596</v>
      </c>
      <c r="F15" s="16">
        <v>1.7693615038564379</v>
      </c>
      <c r="G15" s="16">
        <v>0.68732553658716833</v>
      </c>
      <c r="H15" s="17">
        <v>1.6844400000000002</v>
      </c>
      <c r="I15" s="17">
        <v>0.85</v>
      </c>
      <c r="J15" s="4" t="s">
        <v>15</v>
      </c>
      <c r="K15" s="4">
        <v>0</v>
      </c>
      <c r="L15" s="4">
        <v>2</v>
      </c>
      <c r="M15" s="4"/>
      <c r="N15" s="4"/>
      <c r="O15" s="4">
        <v>1</v>
      </c>
      <c r="P15" s="4">
        <v>0</v>
      </c>
      <c r="Q15" s="4">
        <f>($AN$18-AN15)/$AN$18</f>
        <v>0.84642233856893545</v>
      </c>
      <c r="R15" s="4">
        <f>O15*Q15</f>
        <v>0.84642233856893545</v>
      </c>
      <c r="S15" s="18">
        <v>5</v>
      </c>
      <c r="T15" s="18">
        <v>2</v>
      </c>
      <c r="U15" s="17">
        <f t="shared" si="8"/>
        <v>0.94965107317433672</v>
      </c>
      <c r="V15" s="19">
        <f t="shared" si="1"/>
        <v>4.7482553658716835</v>
      </c>
      <c r="W15" s="17">
        <v>0</v>
      </c>
      <c r="X15" s="17">
        <f>VLOOKUP(A15,'Team Statistic'!$A$2:$F$33,4,FALSE)</f>
        <v>21</v>
      </c>
      <c r="Y15" s="17">
        <f t="shared" si="9"/>
        <v>6.7741935483870974E-2</v>
      </c>
      <c r="Z15" s="17">
        <f>VLOOKUP(A15,'Team Statistic'!$A$2:$F$33,3,FALSE)</f>
        <v>55</v>
      </c>
      <c r="AA15" s="17">
        <f t="shared" si="10"/>
        <v>5.7113187954309447E-2</v>
      </c>
      <c r="AB15" s="17">
        <v>80</v>
      </c>
      <c r="AC15" s="17">
        <v>151</v>
      </c>
      <c r="AD15" s="17">
        <f>VLOOKUP(J15,賠率!$A$2:$H$33,8,FALSE)</f>
        <v>24</v>
      </c>
      <c r="AF15" s="17" t="s">
        <v>42</v>
      </c>
      <c r="AG15" s="17" t="s">
        <v>43</v>
      </c>
      <c r="AH15" s="17" t="s">
        <v>47</v>
      </c>
      <c r="AI15" s="17">
        <f>VLOOKUP(AF15,賠率!$B$2:$E$33,4,FALSE)</f>
        <v>5.125</v>
      </c>
      <c r="AJ15" s="17">
        <f>VLOOKUP(AG15,賠率!$B$2:$E$33,4,FALSE)</f>
        <v>90.5</v>
      </c>
      <c r="AK15" s="17">
        <f>VLOOKUP(AH15,賠率!$B$2:$E$33,4,FALSE)</f>
        <v>500.5</v>
      </c>
      <c r="AL15" s="20">
        <f t="shared" si="0"/>
        <v>198.70833333333334</v>
      </c>
      <c r="AM15" s="17" t="s">
        <v>45</v>
      </c>
      <c r="AN15" s="17">
        <f>VLOOKUP(AM15,賠率!$B$2:$E$33,4,FALSE)</f>
        <v>88</v>
      </c>
    </row>
    <row r="16" spans="1:42" s="17" customFormat="1" ht="15" customHeight="1" x14ac:dyDescent="0.25">
      <c r="A16" s="14" t="s">
        <v>37</v>
      </c>
      <c r="B16" s="14">
        <f t="shared" si="3"/>
        <v>0.97248748733217649</v>
      </c>
      <c r="C16" s="15">
        <f t="shared" si="2"/>
        <v>0.45105034364805374</v>
      </c>
      <c r="D16" s="15">
        <v>0.97730933752602556</v>
      </c>
      <c r="E16" s="15">
        <v>0.45105034364805374</v>
      </c>
      <c r="F16" s="16">
        <v>0.9745607401370725</v>
      </c>
      <c r="G16" s="16">
        <v>0.45105034364805374</v>
      </c>
      <c r="H16" s="17">
        <v>1.8253360000000001</v>
      </c>
      <c r="I16" s="17">
        <v>0.85</v>
      </c>
      <c r="J16" s="4" t="s">
        <v>16</v>
      </c>
      <c r="K16" s="4"/>
      <c r="L16" s="4"/>
      <c r="M16" s="4"/>
      <c r="N16" s="4"/>
      <c r="O16" s="4"/>
      <c r="P16" s="4"/>
      <c r="Q16" s="4"/>
      <c r="R16" s="4"/>
      <c r="S16" s="18">
        <v>2</v>
      </c>
      <c r="T16" s="18">
        <v>1</v>
      </c>
      <c r="U16" s="17">
        <f t="shared" si="8"/>
        <v>0.95420137459221488</v>
      </c>
      <c r="V16" s="19">
        <f t="shared" si="1"/>
        <v>1.9084027491844298</v>
      </c>
      <c r="W16" s="17">
        <v>0</v>
      </c>
      <c r="X16" s="17">
        <f>VLOOKUP(A16,'Team Statistic'!$A$2:$F$33,4,FALSE)</f>
        <v>12</v>
      </c>
      <c r="Y16" s="17">
        <f t="shared" si="9"/>
        <v>3.870967741935484E-2</v>
      </c>
      <c r="Z16" s="17">
        <f>VLOOKUP(A16,'Team Statistic'!$A$2:$F$33,3,FALSE)</f>
        <v>40</v>
      </c>
      <c r="AA16" s="17">
        <f t="shared" si="10"/>
        <v>4.1536863966770511E-2</v>
      </c>
      <c r="AB16" s="17">
        <v>90</v>
      </c>
      <c r="AC16" s="17">
        <v>101</v>
      </c>
      <c r="AF16" s="17" t="s">
        <v>32</v>
      </c>
      <c r="AG16" s="17" t="s">
        <v>33</v>
      </c>
      <c r="AH16" s="17" t="s">
        <v>36</v>
      </c>
      <c r="AI16" s="17">
        <f>VLOOKUP(AF16,賠率!$B$2:$E$33,4,FALSE)</f>
        <v>6.25</v>
      </c>
      <c r="AJ16" s="17">
        <f>VLOOKUP(AG16,賠率!$B$2:$E$33,4,FALSE)</f>
        <v>375.5</v>
      </c>
      <c r="AK16" s="17">
        <f>VLOOKUP(AH16,賠率!$B$2:$E$33,4,FALSE)</f>
        <v>160.5</v>
      </c>
      <c r="AL16" s="20">
        <f t="shared" si="0"/>
        <v>180.75</v>
      </c>
    </row>
    <row r="17" spans="1:42" s="17" customFormat="1" ht="15" customHeight="1" x14ac:dyDescent="0.25">
      <c r="A17" s="14" t="s">
        <v>53</v>
      </c>
      <c r="B17" s="14">
        <f t="shared" si="3"/>
        <v>1.4675249975721818</v>
      </c>
      <c r="C17" s="15">
        <f t="shared" si="2"/>
        <v>1.3071366357330632</v>
      </c>
      <c r="D17" s="15">
        <v>1.4793721570389065</v>
      </c>
      <c r="E17" s="15">
        <v>1.3071366357330632</v>
      </c>
      <c r="F17" s="16">
        <v>1.4815136845494754</v>
      </c>
      <c r="G17" s="16">
        <v>1.3071366357330632</v>
      </c>
      <c r="H17" s="17">
        <v>1.558608</v>
      </c>
      <c r="I17" s="17">
        <v>1.3</v>
      </c>
      <c r="J17" s="4" t="s">
        <v>20</v>
      </c>
      <c r="K17" s="4"/>
      <c r="L17" s="4"/>
      <c r="M17" s="4"/>
      <c r="N17" s="4"/>
      <c r="O17" s="4"/>
      <c r="P17" s="4"/>
      <c r="Q17" s="4"/>
      <c r="R17" s="4"/>
      <c r="S17" s="18">
        <v>4</v>
      </c>
      <c r="T17" s="18">
        <v>4</v>
      </c>
      <c r="U17" s="17">
        <f t="shared" si="8"/>
        <v>0.98213663573306309</v>
      </c>
      <c r="V17" s="19">
        <f t="shared" si="1"/>
        <v>3.9285465429322524</v>
      </c>
      <c r="W17" s="17">
        <v>0</v>
      </c>
      <c r="X17" s="17">
        <f>VLOOKUP(A17,'Team Statistic'!$A$2:$F$33,4,FALSE)</f>
        <v>16</v>
      </c>
      <c r="Y17" s="17">
        <f t="shared" si="9"/>
        <v>5.1612903225806452E-2</v>
      </c>
      <c r="Z17" s="17">
        <f>VLOOKUP(A17,'Team Statistic'!$A$2:$F$33,3,FALSE)</f>
        <v>42</v>
      </c>
      <c r="AA17" s="17">
        <f t="shared" si="10"/>
        <v>4.3613707165109032E-2</v>
      </c>
      <c r="AB17" s="17">
        <v>200</v>
      </c>
      <c r="AC17" s="17">
        <v>251</v>
      </c>
      <c r="AF17" s="17" t="s">
        <v>54</v>
      </c>
      <c r="AG17" s="17" t="s">
        <v>55</v>
      </c>
      <c r="AH17" s="17" t="s">
        <v>52</v>
      </c>
      <c r="AI17" s="17">
        <f>VLOOKUP(AF17,賠率!$B$2:$E$33,4,FALSE)</f>
        <v>43</v>
      </c>
      <c r="AJ17" s="17">
        <f>VLOOKUP(AG17,賠率!$B$2:$E$33,4,FALSE)</f>
        <v>135.5</v>
      </c>
      <c r="AK17" s="17">
        <f>VLOOKUP(AH17,賠率!$B$2:$E$33,4,FALSE)</f>
        <v>33</v>
      </c>
      <c r="AL17" s="20">
        <f t="shared" si="0"/>
        <v>70.5</v>
      </c>
    </row>
    <row r="18" spans="1:42" ht="15" customHeight="1" x14ac:dyDescent="0.25">
      <c r="X18" s="7">
        <f>SUM(X2:X17)</f>
        <v>310</v>
      </c>
      <c r="Z18" s="7">
        <f t="shared" ref="Z18" si="12">SUM(Z2:Z17)</f>
        <v>963</v>
      </c>
      <c r="AL18" s="13">
        <f>SUM(AL2:AL17)</f>
        <v>3946.625</v>
      </c>
      <c r="AN18" s="7">
        <f>SUM(AN2:AN17)</f>
        <v>573</v>
      </c>
      <c r="AP18" s="7">
        <f>SUM(AP2:AP17)</f>
        <v>58.92</v>
      </c>
    </row>
    <row r="22" spans="1:42" ht="15" customHeight="1" x14ac:dyDescent="0.25">
      <c r="B22" s="7"/>
      <c r="C22" s="7"/>
      <c r="D22" s="7"/>
      <c r="E22" s="7"/>
      <c r="F22" s="7"/>
      <c r="G22" s="7"/>
    </row>
    <row r="23" spans="1:42" ht="15" customHeight="1" x14ac:dyDescent="0.25">
      <c r="B23" s="7"/>
      <c r="C23" s="7"/>
      <c r="D23" s="7"/>
      <c r="E23" s="7"/>
      <c r="F23" s="7"/>
      <c r="G23" s="7"/>
    </row>
    <row r="24" spans="1:42" ht="15" customHeight="1" x14ac:dyDescent="0.25">
      <c r="B24" s="7"/>
      <c r="C24" s="7"/>
      <c r="D24" s="7"/>
      <c r="E24" s="7"/>
      <c r="F24" s="7"/>
      <c r="G24" s="7"/>
    </row>
    <row r="25" spans="1:42" ht="15" customHeight="1" x14ac:dyDescent="0.25">
      <c r="B25" s="7"/>
      <c r="C25" s="7"/>
      <c r="D25" s="7"/>
      <c r="E25" s="7"/>
      <c r="F25" s="7"/>
      <c r="G25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3" sqref="L3"/>
    </sheetView>
  </sheetViews>
  <sheetFormatPr defaultColWidth="8.875" defaultRowHeight="15.75" x14ac:dyDescent="0.25"/>
  <cols>
    <col min="1" max="1" width="18.875" style="1" customWidth="1"/>
    <col min="2" max="2" width="12.5" style="1" customWidth="1"/>
    <col min="3" max="4" width="8.875" style="1"/>
    <col min="5" max="5" width="12.5" style="1" customWidth="1"/>
    <col min="6" max="16384" width="8.875" style="1"/>
  </cols>
  <sheetData>
    <row r="1" spans="1:12" ht="16.5" x14ac:dyDescent="0.25">
      <c r="C1" s="1" t="s">
        <v>99</v>
      </c>
      <c r="D1" s="1" t="s">
        <v>100</v>
      </c>
      <c r="F1" s="1" t="s">
        <v>101</v>
      </c>
      <c r="G1" s="1" t="s">
        <v>102</v>
      </c>
      <c r="J1" s="1" t="s">
        <v>103</v>
      </c>
    </row>
    <row r="2" spans="1:12" x14ac:dyDescent="0.25">
      <c r="A2" s="1" t="s">
        <v>0</v>
      </c>
      <c r="B2" s="1" t="s">
        <v>65</v>
      </c>
      <c r="C2" s="1">
        <v>4.25</v>
      </c>
      <c r="D2" s="1">
        <v>5.5</v>
      </c>
      <c r="E2" s="1">
        <f t="shared" ref="E2:E33" si="0">(C2+D2)/2</f>
        <v>4.875</v>
      </c>
      <c r="F2" s="1">
        <v>3.1</v>
      </c>
      <c r="G2" s="1">
        <v>3.74</v>
      </c>
      <c r="H2" s="1">
        <v>3.42</v>
      </c>
    </row>
    <row r="3" spans="1:12" ht="17.25" customHeight="1" x14ac:dyDescent="0.25">
      <c r="A3" s="1" t="s">
        <v>1</v>
      </c>
      <c r="B3" s="1" t="s">
        <v>42</v>
      </c>
      <c r="C3" s="1">
        <v>4.75</v>
      </c>
      <c r="D3" s="1">
        <v>5.5</v>
      </c>
      <c r="E3" s="1">
        <f t="shared" si="0"/>
        <v>5.125</v>
      </c>
    </row>
    <row r="4" spans="1:12" x14ac:dyDescent="0.25">
      <c r="A4" s="1" t="s">
        <v>2</v>
      </c>
      <c r="B4" s="1" t="s">
        <v>32</v>
      </c>
      <c r="C4" s="1">
        <v>6</v>
      </c>
      <c r="D4" s="1">
        <v>6.5</v>
      </c>
      <c r="E4" s="1">
        <f t="shared" si="0"/>
        <v>6.25</v>
      </c>
      <c r="F4" s="1">
        <v>3.75</v>
      </c>
      <c r="G4" s="1">
        <v>4.9800000000000004</v>
      </c>
      <c r="H4" s="1">
        <v>4.3650000000000002</v>
      </c>
      <c r="J4" s="1">
        <v>2.99</v>
      </c>
      <c r="K4" s="1">
        <v>2.99</v>
      </c>
      <c r="L4" s="1">
        <v>2.99</v>
      </c>
    </row>
    <row r="5" spans="1:12" ht="17.25" customHeight="1" x14ac:dyDescent="0.25">
      <c r="A5" s="1" t="s">
        <v>104</v>
      </c>
      <c r="B5" s="1" t="s">
        <v>31</v>
      </c>
      <c r="C5" s="1">
        <v>7.5</v>
      </c>
      <c r="D5" s="1">
        <v>7</v>
      </c>
      <c r="E5" s="1">
        <f t="shared" si="0"/>
        <v>7.25</v>
      </c>
    </row>
    <row r="6" spans="1:12" x14ac:dyDescent="0.25">
      <c r="A6" s="1" t="s">
        <v>105</v>
      </c>
      <c r="B6" s="1" t="s">
        <v>34</v>
      </c>
      <c r="C6" s="1">
        <v>8.5</v>
      </c>
      <c r="D6" s="1">
        <v>10</v>
      </c>
      <c r="E6" s="1">
        <f t="shared" si="0"/>
        <v>9.25</v>
      </c>
    </row>
    <row r="7" spans="1:12" ht="17.25" customHeight="1" x14ac:dyDescent="0.25">
      <c r="A7" s="1" t="s">
        <v>106</v>
      </c>
      <c r="B7" s="1" t="s">
        <v>48</v>
      </c>
      <c r="C7" s="1">
        <v>11</v>
      </c>
      <c r="D7" s="1">
        <v>12</v>
      </c>
      <c r="E7" s="1">
        <f t="shared" si="0"/>
        <v>11.5</v>
      </c>
      <c r="F7" s="1">
        <v>5.25</v>
      </c>
      <c r="G7" s="1">
        <v>7</v>
      </c>
      <c r="H7" s="1">
        <v>6.125</v>
      </c>
      <c r="J7" s="1">
        <v>3.74</v>
      </c>
      <c r="K7" s="1">
        <v>3.7</v>
      </c>
      <c r="L7" s="1">
        <v>3.72</v>
      </c>
    </row>
    <row r="8" spans="1:12" x14ac:dyDescent="0.25">
      <c r="A8" s="1" t="s">
        <v>107</v>
      </c>
      <c r="B8" s="1" t="s">
        <v>51</v>
      </c>
      <c r="C8" s="1">
        <v>16</v>
      </c>
      <c r="D8" s="1">
        <v>17</v>
      </c>
      <c r="E8" s="1">
        <f t="shared" si="0"/>
        <v>16.5</v>
      </c>
      <c r="F8" s="1">
        <v>4.25</v>
      </c>
      <c r="G8" s="1">
        <v>5</v>
      </c>
      <c r="H8" s="1">
        <v>4.625</v>
      </c>
      <c r="J8" s="1">
        <v>3.5</v>
      </c>
      <c r="K8" s="1">
        <v>3.75</v>
      </c>
      <c r="L8" s="1">
        <v>3.625</v>
      </c>
    </row>
    <row r="9" spans="1:12" ht="17.25" customHeight="1" x14ac:dyDescent="0.25">
      <c r="A9" s="1" t="s">
        <v>108</v>
      </c>
      <c r="B9" s="1" t="s">
        <v>30</v>
      </c>
      <c r="C9" s="1">
        <v>22</v>
      </c>
      <c r="D9" s="1">
        <v>26</v>
      </c>
      <c r="E9" s="1">
        <f t="shared" si="0"/>
        <v>24</v>
      </c>
    </row>
    <row r="10" spans="1:12" x14ac:dyDescent="0.25">
      <c r="A10" s="1" t="s">
        <v>109</v>
      </c>
      <c r="B10" s="1" t="s">
        <v>27</v>
      </c>
      <c r="C10" s="1">
        <v>28</v>
      </c>
      <c r="D10" s="1">
        <v>26</v>
      </c>
      <c r="E10" s="1">
        <f t="shared" si="0"/>
        <v>27</v>
      </c>
      <c r="F10" s="1">
        <v>12</v>
      </c>
      <c r="G10" s="1">
        <v>15</v>
      </c>
      <c r="H10" s="1">
        <v>13.5</v>
      </c>
    </row>
    <row r="11" spans="1:12" ht="17.25" customHeight="1" x14ac:dyDescent="0.25">
      <c r="A11" s="1" t="s">
        <v>110</v>
      </c>
      <c r="B11" s="1" t="s">
        <v>38</v>
      </c>
      <c r="C11" s="1">
        <v>28</v>
      </c>
      <c r="D11" s="1">
        <v>29</v>
      </c>
      <c r="E11" s="1">
        <f t="shared" si="0"/>
        <v>28.5</v>
      </c>
      <c r="F11" s="1">
        <v>6</v>
      </c>
      <c r="G11" s="1">
        <v>7</v>
      </c>
      <c r="H11" s="1">
        <v>6.5</v>
      </c>
      <c r="J11" s="1">
        <v>5.5</v>
      </c>
      <c r="K11" s="1">
        <v>5.51</v>
      </c>
      <c r="L11" s="1">
        <v>5.5049999999999999</v>
      </c>
    </row>
    <row r="12" spans="1:12" x14ac:dyDescent="0.25">
      <c r="A12" s="1" t="s">
        <v>111</v>
      </c>
      <c r="B12" s="1" t="s">
        <v>52</v>
      </c>
      <c r="C12" s="1">
        <v>32</v>
      </c>
      <c r="D12" s="1">
        <v>34</v>
      </c>
      <c r="E12" s="1">
        <f t="shared" si="0"/>
        <v>33</v>
      </c>
    </row>
    <row r="13" spans="1:12" ht="17.25" customHeight="1" x14ac:dyDescent="0.25">
      <c r="A13" s="1" t="s">
        <v>112</v>
      </c>
      <c r="B13" s="1" t="s">
        <v>24</v>
      </c>
      <c r="C13" s="1">
        <v>32</v>
      </c>
      <c r="D13" s="1">
        <v>51</v>
      </c>
      <c r="E13" s="1">
        <f t="shared" si="0"/>
        <v>41.5</v>
      </c>
      <c r="F13" s="1">
        <v>18</v>
      </c>
      <c r="G13" s="1">
        <v>18</v>
      </c>
      <c r="H13" s="1">
        <v>18</v>
      </c>
    </row>
    <row r="14" spans="1:12" x14ac:dyDescent="0.25">
      <c r="A14" s="1" t="s">
        <v>12</v>
      </c>
      <c r="B14" s="1" t="s">
        <v>54</v>
      </c>
      <c r="C14" s="1">
        <v>35</v>
      </c>
      <c r="D14" s="1">
        <v>51</v>
      </c>
      <c r="E14" s="1">
        <f t="shared" si="0"/>
        <v>43</v>
      </c>
    </row>
    <row r="15" spans="1:12" ht="17.25" customHeight="1" x14ac:dyDescent="0.25">
      <c r="A15" s="1" t="s">
        <v>13</v>
      </c>
      <c r="B15" s="1" t="s">
        <v>45</v>
      </c>
      <c r="C15" s="1">
        <v>75</v>
      </c>
      <c r="D15" s="1">
        <v>101</v>
      </c>
      <c r="E15" s="1">
        <f t="shared" si="0"/>
        <v>88</v>
      </c>
    </row>
    <row r="16" spans="1:12" x14ac:dyDescent="0.25">
      <c r="A16" s="1" t="s">
        <v>113</v>
      </c>
      <c r="B16" s="1" t="s">
        <v>43</v>
      </c>
      <c r="C16" s="1">
        <v>80</v>
      </c>
      <c r="D16" s="1">
        <v>101</v>
      </c>
      <c r="E16" s="1">
        <f t="shared" si="0"/>
        <v>90.5</v>
      </c>
    </row>
    <row r="17" spans="1:8" ht="17.25" customHeight="1" x14ac:dyDescent="0.25">
      <c r="A17" s="1" t="s">
        <v>15</v>
      </c>
      <c r="B17" s="1" t="s">
        <v>46</v>
      </c>
      <c r="C17" s="1">
        <v>80</v>
      </c>
      <c r="D17" s="1">
        <v>151</v>
      </c>
      <c r="E17" s="1">
        <f t="shared" si="0"/>
        <v>115.5</v>
      </c>
      <c r="F17" s="1">
        <v>22</v>
      </c>
      <c r="G17" s="1">
        <v>26</v>
      </c>
      <c r="H17" s="1">
        <v>24</v>
      </c>
    </row>
    <row r="18" spans="1:8" x14ac:dyDescent="0.25">
      <c r="A18" s="1" t="s">
        <v>16</v>
      </c>
      <c r="B18" s="1" t="s">
        <v>37</v>
      </c>
      <c r="C18" s="1">
        <v>90</v>
      </c>
      <c r="D18" s="1">
        <v>101</v>
      </c>
      <c r="E18" s="1">
        <f t="shared" si="0"/>
        <v>95.5</v>
      </c>
    </row>
    <row r="19" spans="1:8" ht="17.25" customHeight="1" x14ac:dyDescent="0.25">
      <c r="A19" s="1" t="s">
        <v>114</v>
      </c>
      <c r="B19" s="1" t="s">
        <v>55</v>
      </c>
      <c r="C19" s="1">
        <v>120</v>
      </c>
      <c r="D19" s="1">
        <v>151</v>
      </c>
      <c r="E19" s="1">
        <f t="shared" si="0"/>
        <v>135.5</v>
      </c>
    </row>
    <row r="20" spans="1:8" x14ac:dyDescent="0.25">
      <c r="A20" s="1" t="s">
        <v>17</v>
      </c>
      <c r="B20" s="1" t="s">
        <v>26</v>
      </c>
      <c r="C20" s="1">
        <v>120</v>
      </c>
      <c r="D20" s="1">
        <v>151</v>
      </c>
      <c r="E20" s="1">
        <f t="shared" si="0"/>
        <v>135.5</v>
      </c>
    </row>
    <row r="21" spans="1:8" ht="17.25" customHeight="1" x14ac:dyDescent="0.25">
      <c r="A21" s="1" t="s">
        <v>115</v>
      </c>
      <c r="B21" s="1" t="s">
        <v>56</v>
      </c>
      <c r="C21" s="1">
        <v>120</v>
      </c>
      <c r="D21" s="1">
        <v>151</v>
      </c>
      <c r="E21" s="1">
        <f t="shared" si="0"/>
        <v>135.5</v>
      </c>
    </row>
    <row r="22" spans="1:8" x14ac:dyDescent="0.25">
      <c r="A22" s="1" t="s">
        <v>18</v>
      </c>
      <c r="B22" s="1" t="s">
        <v>36</v>
      </c>
      <c r="C22" s="1">
        <v>120</v>
      </c>
      <c r="D22" s="1">
        <v>201</v>
      </c>
      <c r="E22" s="1">
        <f t="shared" si="0"/>
        <v>160.5</v>
      </c>
    </row>
    <row r="23" spans="1:8" x14ac:dyDescent="0.25">
      <c r="A23" s="1" t="s">
        <v>19</v>
      </c>
      <c r="B23" s="1" t="s">
        <v>35</v>
      </c>
      <c r="C23" s="1">
        <v>150</v>
      </c>
      <c r="D23" s="1">
        <v>251</v>
      </c>
      <c r="E23" s="1">
        <f t="shared" si="0"/>
        <v>200.5</v>
      </c>
    </row>
    <row r="24" spans="1:8" x14ac:dyDescent="0.25">
      <c r="A24" s="1" t="s">
        <v>116</v>
      </c>
      <c r="B24" s="1" t="s">
        <v>39</v>
      </c>
      <c r="C24" s="1">
        <v>175</v>
      </c>
      <c r="D24" s="1">
        <v>151</v>
      </c>
      <c r="E24" s="1">
        <f t="shared" si="0"/>
        <v>163</v>
      </c>
    </row>
    <row r="25" spans="1:8" ht="17.25" customHeight="1" x14ac:dyDescent="0.25">
      <c r="A25" s="1" t="s">
        <v>20</v>
      </c>
      <c r="B25" s="1" t="s">
        <v>53</v>
      </c>
      <c r="C25" s="1">
        <v>200</v>
      </c>
      <c r="D25" s="1">
        <v>251</v>
      </c>
      <c r="E25" s="1">
        <f t="shared" si="0"/>
        <v>225.5</v>
      </c>
    </row>
    <row r="26" spans="1:8" x14ac:dyDescent="0.25">
      <c r="A26" s="1" t="s">
        <v>21</v>
      </c>
      <c r="B26" s="1" t="s">
        <v>33</v>
      </c>
      <c r="C26" s="1">
        <v>250</v>
      </c>
      <c r="D26" s="1">
        <v>501</v>
      </c>
      <c r="E26" s="1">
        <f t="shared" si="0"/>
        <v>375.5</v>
      </c>
    </row>
    <row r="27" spans="1:8" ht="17.25" customHeight="1" x14ac:dyDescent="0.25">
      <c r="A27" s="1" t="s">
        <v>117</v>
      </c>
      <c r="B27" s="1" t="s">
        <v>40</v>
      </c>
      <c r="C27" s="1">
        <v>250</v>
      </c>
      <c r="D27" s="1">
        <v>301</v>
      </c>
      <c r="E27" s="1">
        <f t="shared" si="0"/>
        <v>275.5</v>
      </c>
    </row>
    <row r="28" spans="1:8" x14ac:dyDescent="0.25">
      <c r="A28" s="1" t="s">
        <v>118</v>
      </c>
      <c r="B28" s="1" t="s">
        <v>28</v>
      </c>
      <c r="C28" s="1">
        <v>350</v>
      </c>
      <c r="D28" s="1">
        <v>301</v>
      </c>
      <c r="E28" s="1">
        <f t="shared" si="0"/>
        <v>325.5</v>
      </c>
    </row>
    <row r="29" spans="1:8" ht="17.25" customHeight="1" x14ac:dyDescent="0.25">
      <c r="A29" s="1" t="s">
        <v>22</v>
      </c>
      <c r="B29" s="1" t="s">
        <v>29</v>
      </c>
      <c r="C29" s="1">
        <v>450</v>
      </c>
      <c r="D29" s="1">
        <v>501</v>
      </c>
      <c r="E29" s="1">
        <f t="shared" si="0"/>
        <v>475.5</v>
      </c>
    </row>
    <row r="30" spans="1:8" x14ac:dyDescent="0.25">
      <c r="A30" s="1" t="s">
        <v>23</v>
      </c>
      <c r="B30" s="1" t="s">
        <v>47</v>
      </c>
      <c r="C30" s="1">
        <v>600</v>
      </c>
      <c r="D30" s="1">
        <v>401</v>
      </c>
      <c r="E30" s="1">
        <f t="shared" si="0"/>
        <v>500.5</v>
      </c>
    </row>
    <row r="31" spans="1:8" ht="17.25" customHeight="1" x14ac:dyDescent="0.25">
      <c r="A31" s="1" t="s">
        <v>119</v>
      </c>
      <c r="B31" s="1" t="s">
        <v>50</v>
      </c>
      <c r="C31" s="1">
        <v>600</v>
      </c>
      <c r="D31" s="1">
        <v>751</v>
      </c>
      <c r="E31" s="1">
        <f t="shared" si="0"/>
        <v>675.5</v>
      </c>
    </row>
    <row r="32" spans="1:8" x14ac:dyDescent="0.25">
      <c r="A32" s="1" t="s">
        <v>120</v>
      </c>
      <c r="B32" s="1" t="s">
        <v>49</v>
      </c>
      <c r="C32" s="1">
        <v>900</v>
      </c>
      <c r="D32" s="1">
        <v>1001</v>
      </c>
      <c r="E32" s="1">
        <f t="shared" si="0"/>
        <v>950.5</v>
      </c>
    </row>
    <row r="33" spans="1:5" ht="16.5" x14ac:dyDescent="0.25">
      <c r="A33" s="1" t="s">
        <v>121</v>
      </c>
      <c r="B33" s="1" t="s">
        <v>25</v>
      </c>
      <c r="C33" s="1">
        <v>900</v>
      </c>
      <c r="D33" s="1">
        <v>1001</v>
      </c>
      <c r="E33" s="1">
        <f t="shared" si="0"/>
        <v>950.5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A4" sqref="A4"/>
    </sheetView>
  </sheetViews>
  <sheetFormatPr defaultRowHeight="16.5" x14ac:dyDescent="0.25"/>
  <cols>
    <col min="1" max="1" width="13.25" style="1" customWidth="1"/>
    <col min="2" max="6" width="9" style="1"/>
  </cols>
  <sheetData>
    <row r="1" spans="1:7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</row>
    <row r="2" spans="1:7" x14ac:dyDescent="0.25">
      <c r="A2" s="1" t="s">
        <v>42</v>
      </c>
      <c r="B2" s="1">
        <v>3</v>
      </c>
      <c r="C2" s="1">
        <v>67</v>
      </c>
      <c r="D2" s="1">
        <v>20</v>
      </c>
      <c r="E2" s="1">
        <v>24</v>
      </c>
      <c r="F2" s="1">
        <v>23</v>
      </c>
      <c r="G2" s="1"/>
    </row>
    <row r="3" spans="1:7" x14ac:dyDescent="0.25">
      <c r="A3" s="1" t="s">
        <v>44</v>
      </c>
      <c r="B3" s="1">
        <v>5</v>
      </c>
      <c r="C3" s="1">
        <v>103</v>
      </c>
      <c r="D3" s="1">
        <v>38</v>
      </c>
      <c r="E3" s="1">
        <v>35</v>
      </c>
      <c r="F3" s="1">
        <v>30</v>
      </c>
    </row>
    <row r="4" spans="1:7" x14ac:dyDescent="0.25">
      <c r="A4" s="1" t="s">
        <v>48</v>
      </c>
      <c r="B4" s="1">
        <v>5</v>
      </c>
      <c r="C4" s="1">
        <v>85</v>
      </c>
      <c r="D4" s="1">
        <v>33</v>
      </c>
      <c r="E4" s="1">
        <v>32</v>
      </c>
      <c r="F4" s="1">
        <v>20</v>
      </c>
    </row>
    <row r="5" spans="1:7" x14ac:dyDescent="0.25">
      <c r="A5" s="1" t="s">
        <v>31</v>
      </c>
      <c r="B5" s="1">
        <v>4</v>
      </c>
      <c r="C5" s="1">
        <v>70</v>
      </c>
      <c r="D5" s="1">
        <v>21</v>
      </c>
      <c r="E5" s="1">
        <v>28</v>
      </c>
      <c r="F5" s="1">
        <v>21</v>
      </c>
    </row>
    <row r="6" spans="1:7" x14ac:dyDescent="0.25">
      <c r="A6" s="1" t="s">
        <v>27</v>
      </c>
      <c r="B6" s="1">
        <v>5</v>
      </c>
      <c r="C6" s="1">
        <v>61</v>
      </c>
      <c r="D6" s="1">
        <v>22</v>
      </c>
      <c r="E6" s="1">
        <v>26</v>
      </c>
      <c r="F6" s="1">
        <v>13</v>
      </c>
    </row>
    <row r="7" spans="1:7" x14ac:dyDescent="0.25">
      <c r="A7" s="1" t="s">
        <v>34</v>
      </c>
      <c r="B7" s="1">
        <v>4</v>
      </c>
      <c r="C7" s="1">
        <v>53</v>
      </c>
      <c r="D7" s="1">
        <v>18</v>
      </c>
      <c r="E7" s="1">
        <v>16</v>
      </c>
      <c r="F7" s="1">
        <v>19</v>
      </c>
    </row>
    <row r="8" spans="1:7" x14ac:dyDescent="0.25">
      <c r="A8" s="1" t="s">
        <v>43</v>
      </c>
      <c r="B8" s="1">
        <v>4</v>
      </c>
      <c r="C8" s="1">
        <v>57</v>
      </c>
      <c r="D8" s="1">
        <v>13</v>
      </c>
      <c r="E8" s="1">
        <v>24</v>
      </c>
      <c r="F8" s="1">
        <v>20</v>
      </c>
    </row>
    <row r="9" spans="1:7" x14ac:dyDescent="0.25">
      <c r="A9" s="1" t="s">
        <v>51</v>
      </c>
      <c r="B9" s="1">
        <v>5</v>
      </c>
      <c r="C9" s="1">
        <v>70</v>
      </c>
      <c r="D9" s="1">
        <v>19</v>
      </c>
      <c r="E9" s="1">
        <v>30</v>
      </c>
      <c r="F9" s="1">
        <v>21</v>
      </c>
    </row>
    <row r="10" spans="1:7" x14ac:dyDescent="0.25">
      <c r="A10" s="1" t="s">
        <v>38</v>
      </c>
      <c r="B10" s="1">
        <v>5</v>
      </c>
      <c r="C10" s="1">
        <v>78</v>
      </c>
      <c r="D10" s="1">
        <v>19</v>
      </c>
      <c r="E10" s="1">
        <v>39</v>
      </c>
      <c r="F10" s="1">
        <v>20</v>
      </c>
    </row>
    <row r="11" spans="1:7" x14ac:dyDescent="0.25">
      <c r="A11" s="1" t="s">
        <v>39</v>
      </c>
      <c r="B11" s="1">
        <v>3</v>
      </c>
      <c r="C11" s="1">
        <v>39</v>
      </c>
      <c r="D11" s="1">
        <v>9</v>
      </c>
      <c r="E11" s="1">
        <v>16</v>
      </c>
      <c r="F11" s="1">
        <v>14</v>
      </c>
    </row>
    <row r="12" spans="1:7" x14ac:dyDescent="0.25">
      <c r="A12" s="1" t="s">
        <v>45</v>
      </c>
      <c r="B12" s="1">
        <v>4</v>
      </c>
      <c r="C12" s="1">
        <v>56</v>
      </c>
      <c r="D12" s="1">
        <v>14</v>
      </c>
      <c r="E12" s="1">
        <v>22</v>
      </c>
      <c r="F12" s="1">
        <v>20</v>
      </c>
    </row>
    <row r="13" spans="1:7" x14ac:dyDescent="0.25">
      <c r="A13" s="1" t="s">
        <v>46</v>
      </c>
      <c r="B13" s="1">
        <v>5</v>
      </c>
      <c r="C13" s="1">
        <v>55</v>
      </c>
      <c r="D13" s="1">
        <v>21</v>
      </c>
      <c r="E13" s="1">
        <v>22</v>
      </c>
      <c r="F13" s="1">
        <v>12</v>
      </c>
    </row>
    <row r="14" spans="1:7" x14ac:dyDescent="0.25">
      <c r="A14" s="1" t="s">
        <v>50</v>
      </c>
      <c r="B14" s="1">
        <v>3</v>
      </c>
      <c r="C14" s="1">
        <v>36</v>
      </c>
      <c r="D14" s="1">
        <v>13</v>
      </c>
      <c r="E14" s="1">
        <v>13</v>
      </c>
      <c r="F14" s="1">
        <v>10</v>
      </c>
    </row>
    <row r="15" spans="1:7" x14ac:dyDescent="0.25">
      <c r="A15" s="1" t="s">
        <v>32</v>
      </c>
      <c r="B15" s="1">
        <v>5</v>
      </c>
      <c r="C15" s="1">
        <v>56</v>
      </c>
      <c r="D15" s="1">
        <v>19</v>
      </c>
      <c r="E15" s="1">
        <v>27</v>
      </c>
      <c r="F15" s="1">
        <v>10</v>
      </c>
    </row>
    <row r="16" spans="1:7" x14ac:dyDescent="0.25">
      <c r="A16" s="1" t="s">
        <v>35</v>
      </c>
      <c r="B16" s="1">
        <v>3</v>
      </c>
      <c r="C16" s="1">
        <v>36</v>
      </c>
      <c r="D16" s="1">
        <v>12</v>
      </c>
      <c r="E16" s="1">
        <v>19</v>
      </c>
      <c r="F16" s="1">
        <v>5</v>
      </c>
    </row>
    <row r="17" spans="1:6" x14ac:dyDescent="0.25">
      <c r="A17" s="1" t="s">
        <v>25</v>
      </c>
      <c r="B17" s="1">
        <v>3</v>
      </c>
      <c r="C17" s="1">
        <v>36</v>
      </c>
      <c r="D17" s="1">
        <v>10</v>
      </c>
      <c r="E17" s="1">
        <v>16</v>
      </c>
      <c r="F17" s="1">
        <v>10</v>
      </c>
    </row>
    <row r="18" spans="1:6" x14ac:dyDescent="0.25">
      <c r="A18" s="1" t="s">
        <v>28</v>
      </c>
      <c r="B18" s="1">
        <v>3</v>
      </c>
      <c r="C18" s="1">
        <v>35</v>
      </c>
      <c r="D18" s="1">
        <v>10</v>
      </c>
      <c r="E18" s="1">
        <v>18</v>
      </c>
      <c r="F18" s="1">
        <v>7</v>
      </c>
    </row>
    <row r="19" spans="1:6" x14ac:dyDescent="0.25">
      <c r="A19" s="1" t="s">
        <v>63</v>
      </c>
      <c r="B19" s="1">
        <v>3</v>
      </c>
      <c r="C19" s="1">
        <v>33</v>
      </c>
      <c r="D19" s="1">
        <v>11</v>
      </c>
      <c r="E19" s="1">
        <v>9</v>
      </c>
      <c r="F19" s="1">
        <v>13</v>
      </c>
    </row>
    <row r="20" spans="1:6" x14ac:dyDescent="0.25">
      <c r="A20" s="1" t="s">
        <v>36</v>
      </c>
      <c r="B20" s="1">
        <v>3</v>
      </c>
      <c r="C20" s="1">
        <v>32</v>
      </c>
      <c r="D20" s="1">
        <v>11</v>
      </c>
      <c r="E20" s="1">
        <v>14</v>
      </c>
      <c r="F20" s="1">
        <v>7</v>
      </c>
    </row>
    <row r="21" spans="1:6" x14ac:dyDescent="0.25">
      <c r="A21" s="1" t="s">
        <v>30</v>
      </c>
      <c r="B21" s="1">
        <v>4</v>
      </c>
      <c r="C21" s="1">
        <v>52</v>
      </c>
      <c r="D21" s="1">
        <v>14</v>
      </c>
      <c r="E21" s="1">
        <v>20</v>
      </c>
      <c r="F21" s="1">
        <v>18</v>
      </c>
    </row>
    <row r="22" spans="1:6" x14ac:dyDescent="0.25">
      <c r="A22" s="1" t="s">
        <v>33</v>
      </c>
      <c r="B22" s="1">
        <v>3</v>
      </c>
      <c r="C22" s="1">
        <v>32</v>
      </c>
      <c r="D22" s="1">
        <v>8</v>
      </c>
      <c r="E22" s="1">
        <v>14</v>
      </c>
      <c r="F22" s="1">
        <v>10</v>
      </c>
    </row>
    <row r="23" spans="1:6" x14ac:dyDescent="0.25">
      <c r="A23" s="1" t="s">
        <v>41</v>
      </c>
      <c r="B23" s="1">
        <v>3</v>
      </c>
      <c r="C23" s="1">
        <v>32</v>
      </c>
      <c r="D23" s="1">
        <v>7</v>
      </c>
      <c r="E23" s="1">
        <v>17</v>
      </c>
      <c r="F23" s="1">
        <v>8</v>
      </c>
    </row>
    <row r="24" spans="1:6" x14ac:dyDescent="0.25">
      <c r="A24" s="1" t="s">
        <v>53</v>
      </c>
      <c r="B24" s="1">
        <v>4</v>
      </c>
      <c r="C24" s="1">
        <v>42</v>
      </c>
      <c r="D24" s="1">
        <v>16</v>
      </c>
      <c r="E24" s="1">
        <v>15</v>
      </c>
      <c r="F24" s="1">
        <v>11</v>
      </c>
    </row>
    <row r="25" spans="1:6" x14ac:dyDescent="0.25">
      <c r="A25" s="1" t="s">
        <v>55</v>
      </c>
      <c r="B25" s="1">
        <v>3</v>
      </c>
      <c r="C25" s="1">
        <v>30</v>
      </c>
      <c r="D25" s="1">
        <v>12</v>
      </c>
      <c r="E25" s="1">
        <v>13</v>
      </c>
      <c r="F25" s="1">
        <v>5</v>
      </c>
    </row>
    <row r="26" spans="1:6" x14ac:dyDescent="0.25">
      <c r="A26" s="1" t="s">
        <v>54</v>
      </c>
      <c r="B26" s="1">
        <v>3</v>
      </c>
      <c r="C26" s="1">
        <v>30</v>
      </c>
      <c r="D26" s="1">
        <v>8</v>
      </c>
      <c r="E26" s="1">
        <v>13</v>
      </c>
      <c r="F26" s="1">
        <v>9</v>
      </c>
    </row>
    <row r="27" spans="1:6" x14ac:dyDescent="0.25">
      <c r="A27" s="1" t="s">
        <v>26</v>
      </c>
      <c r="B27" s="1">
        <v>3</v>
      </c>
      <c r="C27" s="1">
        <v>29</v>
      </c>
      <c r="D27" s="1">
        <v>5</v>
      </c>
      <c r="E27" s="1">
        <v>17</v>
      </c>
      <c r="F27" s="1">
        <v>7</v>
      </c>
    </row>
    <row r="28" spans="1:6" x14ac:dyDescent="0.25">
      <c r="A28" s="1" t="s">
        <v>40</v>
      </c>
      <c r="B28" s="1">
        <v>3</v>
      </c>
      <c r="C28" s="1">
        <v>28</v>
      </c>
      <c r="D28" s="1">
        <v>9</v>
      </c>
      <c r="E28" s="1">
        <v>13</v>
      </c>
      <c r="F28" s="1">
        <v>6</v>
      </c>
    </row>
    <row r="29" spans="1:6" x14ac:dyDescent="0.25">
      <c r="A29" s="1" t="s">
        <v>24</v>
      </c>
      <c r="B29" s="1">
        <v>5</v>
      </c>
      <c r="C29" s="1">
        <v>46</v>
      </c>
      <c r="D29" s="1">
        <v>19</v>
      </c>
      <c r="E29" s="1">
        <v>16</v>
      </c>
      <c r="F29" s="1">
        <v>11</v>
      </c>
    </row>
    <row r="30" spans="1:6" x14ac:dyDescent="0.25">
      <c r="A30" s="1" t="s">
        <v>37</v>
      </c>
      <c r="B30" s="1">
        <v>4</v>
      </c>
      <c r="C30" s="1">
        <v>40</v>
      </c>
      <c r="D30" s="1">
        <v>12</v>
      </c>
      <c r="E30" s="1">
        <v>22</v>
      </c>
      <c r="F30" s="1">
        <v>6</v>
      </c>
    </row>
    <row r="31" spans="1:6" x14ac:dyDescent="0.2">
      <c r="A31" s="2" t="s">
        <v>52</v>
      </c>
      <c r="B31" s="1">
        <v>4</v>
      </c>
      <c r="C31" s="1">
        <v>39</v>
      </c>
      <c r="D31" s="1">
        <v>12</v>
      </c>
      <c r="E31" s="1">
        <v>14</v>
      </c>
      <c r="F31" s="1">
        <v>13</v>
      </c>
    </row>
    <row r="32" spans="1:6" x14ac:dyDescent="0.25">
      <c r="A32" s="1" t="s">
        <v>49</v>
      </c>
      <c r="B32" s="1">
        <v>3</v>
      </c>
      <c r="C32" s="1">
        <v>23</v>
      </c>
      <c r="D32" s="1">
        <v>8</v>
      </c>
      <c r="E32" s="1">
        <v>13</v>
      </c>
      <c r="F32" s="1">
        <v>2</v>
      </c>
    </row>
    <row r="33" spans="1:7" x14ac:dyDescent="0.25">
      <c r="A33" s="1" t="s">
        <v>64</v>
      </c>
      <c r="B33" s="1">
        <v>3</v>
      </c>
      <c r="C33" s="1">
        <v>21</v>
      </c>
      <c r="D33" s="1">
        <v>4</v>
      </c>
      <c r="E33" s="1">
        <v>15</v>
      </c>
      <c r="F33" s="1">
        <v>2</v>
      </c>
    </row>
    <row r="36" spans="1:7" x14ac:dyDescent="0.25">
      <c r="G36" s="1"/>
    </row>
    <row r="37" spans="1:7" x14ac:dyDescent="0.25">
      <c r="G37" s="1"/>
    </row>
    <row r="38" spans="1:7" x14ac:dyDescent="0.25">
      <c r="G38" s="1"/>
    </row>
    <row r="39" spans="1:7" x14ac:dyDescent="0.25">
      <c r="G39" s="1"/>
    </row>
    <row r="40" spans="1:7" x14ac:dyDescent="0.25">
      <c r="G40" s="1"/>
    </row>
    <row r="41" spans="1:7" x14ac:dyDescent="0.25">
      <c r="G41" s="1"/>
    </row>
    <row r="42" spans="1:7" x14ac:dyDescent="0.25">
      <c r="G42" s="1"/>
    </row>
    <row r="43" spans="1:7" x14ac:dyDescent="0.25">
      <c r="G43" s="1"/>
    </row>
    <row r="44" spans="1:7" x14ac:dyDescent="0.25">
      <c r="G44" s="1"/>
    </row>
    <row r="45" spans="1:7" x14ac:dyDescent="0.25">
      <c r="G45" s="1"/>
    </row>
    <row r="46" spans="1:7" x14ac:dyDescent="0.25">
      <c r="G46" s="1"/>
    </row>
    <row r="47" spans="1:7" x14ac:dyDescent="0.25">
      <c r="G47" s="1"/>
    </row>
    <row r="48" spans="1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  <row r="60" spans="7:7" x14ac:dyDescent="0.25">
      <c r="G60" s="1"/>
    </row>
    <row r="61" spans="7:7" x14ac:dyDescent="0.25">
      <c r="G61" s="1"/>
    </row>
    <row r="62" spans="7:7" x14ac:dyDescent="0.25">
      <c r="G62" s="1"/>
    </row>
    <row r="63" spans="7:7" x14ac:dyDescent="0.25">
      <c r="G63" s="1"/>
    </row>
    <row r="64" spans="7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進球率試算</vt:lpstr>
      <vt:lpstr>賠率</vt:lpstr>
      <vt:lpstr>Team Statistic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VicLin</dc:creator>
  <cp:lastModifiedBy>Vic Lin</cp:lastModifiedBy>
  <dcterms:created xsi:type="dcterms:W3CDTF">2018-06-10T06:17:20Z</dcterms:created>
  <dcterms:modified xsi:type="dcterms:W3CDTF">2018-07-10T07:04:06Z</dcterms:modified>
</cp:coreProperties>
</file>