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170420001847\Desktop\Analysis Proyects\Crowdfunding Analysis\"/>
    </mc:Choice>
  </mc:AlternateContent>
  <bookViews>
    <workbookView xWindow="0" yWindow="0" windowWidth="20490" windowHeight="7620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9" r:id="rId4"/>
    <sheet name="Category Statistics" sheetId="2" r:id="rId5"/>
    <sheet name="Subcategory Statistics" sheetId="3" r:id="rId6"/>
    <sheet name="Outcomes Based on Launch Date" sheetId="4" r:id="rId7"/>
    <sheet name="Edinburgh Research" sheetId="6" r:id="rId8"/>
  </sheets>
  <definedNames>
    <definedName name="_xlnm._FilterDatabase" localSheetId="0" hidden="1">Kickstarter!$A$1:$T$4115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9" i="13" l="1"/>
  <c r="G9" i="13" s="1"/>
  <c r="E7" i="13"/>
  <c r="H7" i="13" s="1"/>
  <c r="E5" i="13"/>
  <c r="G5" i="13" s="1"/>
  <c r="E4" i="13"/>
  <c r="F4" i="13" s="1"/>
  <c r="E13" i="13"/>
  <c r="E12" i="13"/>
  <c r="E11" i="13"/>
  <c r="F11" i="13" s="1"/>
  <c r="E10" i="13"/>
  <c r="F10" i="13" s="1"/>
  <c r="E8" i="13"/>
  <c r="E6" i="13"/>
  <c r="H4" i="13"/>
  <c r="E3" i="13"/>
  <c r="E2" i="13"/>
  <c r="B3" i="1"/>
  <c r="H9" i="13" l="1"/>
  <c r="F5" i="13"/>
  <c r="H5" i="13"/>
  <c r="F9" i="13"/>
  <c r="F7" i="13"/>
  <c r="G7" i="13"/>
  <c r="G4" i="13"/>
  <c r="H13" i="13"/>
  <c r="G13" i="13"/>
  <c r="F13" i="13"/>
  <c r="G12" i="13"/>
  <c r="H12" i="13"/>
  <c r="F12" i="13"/>
  <c r="H11" i="13"/>
  <c r="G11" i="13"/>
  <c r="G10" i="13"/>
  <c r="H10" i="13"/>
  <c r="G8" i="13"/>
  <c r="H8" i="13"/>
  <c r="F8" i="13"/>
  <c r="G6" i="13"/>
  <c r="H6" i="13"/>
  <c r="F6" i="13"/>
  <c r="G3" i="13"/>
  <c r="H3" i="13"/>
  <c r="F3" i="13"/>
  <c r="G2" i="13"/>
  <c r="F2" i="13"/>
  <c r="H2" i="13"/>
  <c r="C15" i="9"/>
  <c r="B15" i="9"/>
  <c r="C14" i="9"/>
  <c r="C16" i="9" s="1"/>
  <c r="B14" i="9"/>
  <c r="B16" i="9" s="1"/>
  <c r="C13" i="9"/>
  <c r="B13" i="9"/>
  <c r="C6" i="9"/>
  <c r="C5" i="9"/>
  <c r="C7" i="9" s="1"/>
  <c r="C4" i="9"/>
  <c r="B4" i="9"/>
  <c r="B6" i="9"/>
  <c r="B5" i="9"/>
  <c r="B7" i="9" s="1"/>
  <c r="C12" i="9"/>
  <c r="B12" i="9"/>
  <c r="C11" i="9"/>
  <c r="B11" i="9"/>
  <c r="C3" i="9"/>
  <c r="B3" i="9"/>
  <c r="C2" i="9"/>
  <c r="B2" i="9"/>
  <c r="E3" i="6"/>
  <c r="E4" i="6"/>
  <c r="E5" i="6"/>
  <c r="E6" i="6"/>
  <c r="E2" i="6"/>
  <c r="C3" i="6"/>
  <c r="C4" i="6"/>
  <c r="C5" i="6"/>
  <c r="C6" i="6"/>
  <c r="C2" i="6"/>
  <c r="B3" i="6"/>
  <c r="B4" i="6"/>
  <c r="B5" i="6"/>
  <c r="B6" i="6"/>
  <c r="B2" i="6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D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D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D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D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<sst xmlns="http://schemas.openxmlformats.org/spreadsheetml/2006/main" count="33052" uniqueCount="8417">
  <si>
    <t>id</t>
  </si>
  <si>
    <t>name</t>
  </si>
  <si>
    <t>GIRLS STATE a new musical comedy TV project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</si>
  <si>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</si>
  <si>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</si>
  <si>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</si>
  <si>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</si>
  <si>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</si>
  <si>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</si>
  <si>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</si>
  <si>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</si>
  <si>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</si>
  <si>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</si>
  <si>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</si>
  <si>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</si>
  <si>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</si>
  <si>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</si>
  <si>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</si>
  <si>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</si>
  <si>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</si>
  <si>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</si>
  <si>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</si>
  <si>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</si>
  <si>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</si>
  <si>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</si>
  <si>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</si>
  <si>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</si>
  <si>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</si>
  <si>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</si>
  <si>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</si>
  <si>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</si>
  <si>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</si>
  <si>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</si>
  <si>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</si>
  <si>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</si>
  <si>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</si>
  <si>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</si>
  <si>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</si>
  <si>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</si>
  <si>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</si>
  <si>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</si>
  <si>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</si>
  <si>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</si>
  <si>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</si>
  <si>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</si>
  <si>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</si>
  <si>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</si>
  <si>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</si>
  <si>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</si>
  <si>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</si>
  <si>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</si>
  <si>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</si>
  <si>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</si>
  <si>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</si>
  <si>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</si>
  <si>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</si>
  <si>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</si>
  <si>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</si>
  <si>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</si>
  <si>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</si>
  <si>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</si>
  <si>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</si>
  <si>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</si>
  <si>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</si>
  <si>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</si>
  <si>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</si>
  <si>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</si>
  <si>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</si>
  <si>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</si>
  <si>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</si>
  <si>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</si>
  <si>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</si>
  <si>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</si>
  <si>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</si>
  <si>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</si>
  <si>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</si>
  <si>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</si>
  <si>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</si>
  <si>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</si>
  <si>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</si>
  <si>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</si>
  <si>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</si>
  <si>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</si>
  <si>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</si>
  <si>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</si>
  <si>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</si>
  <si>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</si>
  <si>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</si>
  <si>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</si>
  <si>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</si>
  <si>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</si>
  <si>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</si>
  <si>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</si>
  <si>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</si>
  <si>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</si>
  <si>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</si>
  <si>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</si>
  <si>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</si>
  <si>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</si>
  <si>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</si>
  <si>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</si>
  <si>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</si>
  <si>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</si>
  <si>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</si>
  <si>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</si>
  <si>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</si>
  <si>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</si>
  <si>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</si>
  <si>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</si>
  <si>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</si>
  <si>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</si>
  <si>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</si>
  <si>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</si>
  <si>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</si>
  <si>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</si>
  <si>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</si>
  <si>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</si>
  <si>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</si>
  <si>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</si>
  <si>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</si>
  <si>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</si>
  <si>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</si>
  <si>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</si>
  <si>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</si>
  <si>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</si>
  <si>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</si>
  <si>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</si>
  <si>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</si>
  <si>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</si>
  <si>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</si>
  <si>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</si>
  <si>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</si>
  <si>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</si>
  <si>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</si>
  <si>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</si>
  <si>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</si>
  <si>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</si>
  <si>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</si>
  <si>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</si>
  <si>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</si>
  <si>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</si>
  <si>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</si>
  <si>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</si>
  <si>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</si>
  <si>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</si>
  <si>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</si>
  <si>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</si>
  <si>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</si>
  <si>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</si>
  <si>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</si>
  <si>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</si>
  <si>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</si>
  <si>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</si>
  <si>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</si>
  <si>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</si>
  <si>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</si>
  <si>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</si>
  <si>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</si>
  <si>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</si>
  <si>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</si>
  <si>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</si>
  <si>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</si>
  <si>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</si>
  <si>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</si>
  <si>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</si>
  <si>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</si>
  <si>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</si>
  <si>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</si>
  <si>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</si>
  <si>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</si>
  <si>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</si>
  <si>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</si>
  <si>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</si>
  <si>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</si>
  <si>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</si>
  <si>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</si>
  <si>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</si>
  <si>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</si>
  <si>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</si>
  <si>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</si>
  <si>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</si>
  <si>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</si>
  <si>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</si>
  <si>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</si>
  <si>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</si>
  <si>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</si>
  <si>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</si>
  <si>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</si>
  <si>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</si>
  <si>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</si>
  <si>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</si>
  <si>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</si>
  <si>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</si>
  <si>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</si>
  <si>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</si>
  <si>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</si>
  <si>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</si>
  <si>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</si>
  <si>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</si>
  <si>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</si>
  <si>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</si>
  <si>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</si>
  <si>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</si>
  <si>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</si>
  <si>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</si>
  <si>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</si>
  <si>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</si>
  <si>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</si>
  <si>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</si>
  <si>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</si>
  <si>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</si>
  <si>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</si>
  <si>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</si>
  <si>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</si>
  <si>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</si>
  <si>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</si>
  <si>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</si>
  <si>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</si>
  <si>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</si>
  <si>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</si>
  <si>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</si>
  <si>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</si>
  <si>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</si>
  <si>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</si>
  <si>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</si>
  <si>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</si>
  <si>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</si>
  <si>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</si>
  <si>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</si>
  <si>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</si>
  <si>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</si>
  <si>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</si>
  <si>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</si>
  <si>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</si>
  <si>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</si>
  <si>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</si>
  <si>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</si>
  <si>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</si>
  <si>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</si>
  <si>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</si>
  <si>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</si>
  <si>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</si>
  <si>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</si>
  <si>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</si>
  <si>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</si>
  <si>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</si>
  <si>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</si>
  <si>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</si>
  <si>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</si>
  <si>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</si>
  <si>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</si>
  <si>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</si>
  <si>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</si>
  <si>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</si>
  <si>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</si>
  <si>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</si>
  <si>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</si>
  <si>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</si>
  <si>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</si>
  <si>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</si>
  <si>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</si>
  <si>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</si>
  <si>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</si>
  <si>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</si>
  <si>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</si>
  <si>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</si>
  <si>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</si>
  <si>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</si>
  <si>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</si>
  <si>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</si>
  <si>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</si>
  <si>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</si>
  <si>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</si>
  <si>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</si>
  <si>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</si>
  <si>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</si>
  <si>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</si>
  <si>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</si>
  <si>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</si>
  <si>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</si>
  <si>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</si>
  <si>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</si>
  <si>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</si>
  <si>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</si>
  <si>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</si>
  <si>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</si>
  <si>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</si>
  <si>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</si>
  <si>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</si>
  <si>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</si>
  <si>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</si>
  <si>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</si>
  <si>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</si>
  <si>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</si>
  <si>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</si>
  <si>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</si>
  <si>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</si>
  <si>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</si>
  <si>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</si>
  <si>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</si>
  <si>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</si>
  <si>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</si>
  <si>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</si>
  <si>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</si>
  <si>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</si>
  <si>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</si>
  <si>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</si>
  <si>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</si>
  <si>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</si>
  <si>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</si>
  <si>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</si>
  <si>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</si>
  <si>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</si>
  <si>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</si>
  <si>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</si>
  <si>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</si>
  <si>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</si>
  <si>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</si>
  <si>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</si>
  <si>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</si>
  <si>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</si>
  <si>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</si>
  <si>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</si>
  <si>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</si>
  <si>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</si>
  <si>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</si>
  <si>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</si>
  <si>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</si>
  <si>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</si>
  <si>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</si>
  <si>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</si>
  <si>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</si>
  <si>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</si>
  <si>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</si>
  <si>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</si>
  <si>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</si>
  <si>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</si>
  <si>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</si>
  <si>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</si>
  <si>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</si>
  <si>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</si>
  <si>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</si>
  <si>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</si>
  <si>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</si>
  <si>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</si>
  <si>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</si>
  <si>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</si>
  <si>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</si>
  <si>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</si>
  <si>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</si>
  <si>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</si>
  <si>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</si>
  <si>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</si>
  <si>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</si>
  <si>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</si>
  <si>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</si>
  <si>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</si>
  <si>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</si>
  <si>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</si>
  <si>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</si>
  <si>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</si>
  <si>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</si>
  <si>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</si>
  <si>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</si>
  <si>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</si>
  <si>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</si>
  <si>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</si>
  <si>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</si>
  <si>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</si>
  <si>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</si>
  <si>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</si>
  <si>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</si>
  <si>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</si>
  <si>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</si>
  <si>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</si>
  <si>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</si>
  <si>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</si>
  <si>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</si>
  <si>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</si>
  <si>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</si>
  <si>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</si>
  <si>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</si>
  <si>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</si>
  <si>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</si>
  <si>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</si>
  <si>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</si>
  <si>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</si>
  <si>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</si>
  <si>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</si>
  <si>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</si>
  <si>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</si>
  <si>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</si>
  <si>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</si>
  <si>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</si>
  <si>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</si>
  <si>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</si>
  <si>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</si>
  <si>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</si>
  <si>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</si>
  <si>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</si>
  <si>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</si>
  <si>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</si>
  <si>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</si>
  <si>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</si>
  <si>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</si>
  <si>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</si>
  <si>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</si>
  <si>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</si>
  <si>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</si>
  <si>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</si>
  <si>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</si>
  <si>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</si>
  <si>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</si>
  <si>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</si>
  <si>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</si>
  <si>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</si>
  <si>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</si>
  <si>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</si>
  <si>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</si>
  <si>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</si>
  <si>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</si>
  <si>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</si>
  <si>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</si>
  <si>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</si>
  <si>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</si>
  <si>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</si>
  <si>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</si>
  <si>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</si>
  <si>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</si>
  <si>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</si>
  <si>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</si>
  <si>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</si>
  <si>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</si>
  <si>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</si>
  <si>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</si>
  <si>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</si>
  <si>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</si>
  <si>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</si>
  <si>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</si>
  <si>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</si>
  <si>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</si>
  <si>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</si>
  <si>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</si>
  <si>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</si>
  <si>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</si>
  <si>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</si>
  <si>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</si>
  <si>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</si>
  <si>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</si>
  <si>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</si>
  <si>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</si>
  <si>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</si>
  <si>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</si>
  <si>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</si>
  <si>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</si>
  <si>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</si>
  <si>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</si>
  <si>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</si>
  <si>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</si>
  <si>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</si>
  <si>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</si>
  <si>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</si>
  <si>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</si>
  <si>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</si>
  <si>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</si>
  <si>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</si>
  <si>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</si>
  <si>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</si>
  <si>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</si>
  <si>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</si>
  <si>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</si>
  <si>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</si>
  <si>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</si>
  <si>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</si>
  <si>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</si>
  <si>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</si>
  <si>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</si>
  <si>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</si>
  <si>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</si>
  <si>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</si>
  <si>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</si>
  <si>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</si>
  <si>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</si>
  <si>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</si>
  <si>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</si>
  <si>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</si>
  <si>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</si>
  <si>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</si>
  <si>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</si>
  <si>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</si>
  <si>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</si>
  <si>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</si>
  <si>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</si>
  <si>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</si>
  <si>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</si>
  <si>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</si>
  <si>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</si>
  <si>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</si>
  <si>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</si>
  <si>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</si>
  <si>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</si>
  <si>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</si>
  <si>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</si>
  <si>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</si>
  <si>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</si>
  <si>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</si>
  <si>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</si>
  <si>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</si>
  <si>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</si>
  <si>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</si>
  <si>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</si>
  <si>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</si>
  <si>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</si>
  <si>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</si>
  <si>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</si>
  <si>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</si>
  <si>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</si>
  <si>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</si>
  <si>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</si>
  <si>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</si>
  <si>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</si>
  <si>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</si>
  <si>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</si>
  <si>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</si>
  <si>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</si>
  <si>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</si>
  <si>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</si>
  <si>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</si>
  <si>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</si>
  <si>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</si>
  <si>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</si>
  <si>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</si>
  <si>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</si>
  <si>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</si>
  <si>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</si>
  <si>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</si>
  <si>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</si>
  <si>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</si>
  <si>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</si>
  <si>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</si>
  <si>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</si>
  <si>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</si>
  <si>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</si>
  <si>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</si>
  <si>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</si>
  <si>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</si>
  <si>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</si>
  <si>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</si>
  <si>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</si>
  <si>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</si>
  <si>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</si>
  <si>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</si>
  <si>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</si>
  <si>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</si>
  <si>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</si>
  <si>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</si>
  <si>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</si>
  <si>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</si>
  <si>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</si>
  <si>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</si>
  <si>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</si>
  <si>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</si>
  <si>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</si>
  <si>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</si>
  <si>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</si>
  <si>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</si>
  <si>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</si>
  <si>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</si>
  <si>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</si>
  <si>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</si>
  <si>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</si>
  <si>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</si>
  <si>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</si>
  <si>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</si>
  <si>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</si>
  <si>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</si>
  <si>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</si>
  <si>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</si>
  <si>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</si>
  <si>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</si>
  <si>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</si>
  <si>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</si>
  <si>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</si>
  <si>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</si>
  <si>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</si>
  <si>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</si>
  <si>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</si>
  <si>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</si>
  <si>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</si>
  <si>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</si>
  <si>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</si>
  <si>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</si>
  <si>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</si>
  <si>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</si>
  <si>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</si>
  <si>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</si>
  <si>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</si>
  <si>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</si>
  <si>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</si>
  <si>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</si>
  <si>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</si>
  <si>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</si>
  <si>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</si>
  <si>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</si>
  <si>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</si>
  <si>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</si>
  <si>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</si>
  <si>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</si>
  <si>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</si>
  <si>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</si>
  <si>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</si>
  <si>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</si>
  <si>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</si>
  <si>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</si>
  <si>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</si>
  <si>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</si>
  <si>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</si>
  <si>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</si>
  <si>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</si>
  <si>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</si>
  <si>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</si>
  <si>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</si>
  <si>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</si>
  <si>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</si>
  <si>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</si>
  <si>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</si>
  <si>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</si>
  <si>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</si>
  <si>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</si>
  <si>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</si>
  <si>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</si>
  <si>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</si>
  <si>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</si>
  <si>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</si>
  <si>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</si>
  <si>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</si>
  <si>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</si>
  <si>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</si>
  <si>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</si>
  <si>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</si>
  <si>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</si>
  <si>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</si>
  <si>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</si>
  <si>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</si>
  <si>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</si>
  <si>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</si>
  <si>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</si>
  <si>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</si>
  <si>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</si>
  <si>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</si>
  <si>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</si>
  <si>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</si>
  <si>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</si>
  <si>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</si>
  <si>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</si>
  <si>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</si>
  <si>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</si>
  <si>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</si>
  <si>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</si>
  <si>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</si>
  <si>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</si>
  <si>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</si>
  <si>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</si>
  <si>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</si>
  <si>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</si>
  <si>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</si>
  <si>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</si>
  <si>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</si>
  <si>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</si>
  <si>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</si>
  <si>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</si>
  <si>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</si>
  <si>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</si>
  <si>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</si>
  <si>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</si>
  <si>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</si>
  <si>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</si>
  <si>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</si>
  <si>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</si>
  <si>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</si>
  <si>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</si>
  <si>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</si>
  <si>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</si>
  <si>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</si>
  <si>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</si>
  <si>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</si>
  <si>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</si>
  <si>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</si>
  <si>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</si>
  <si>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</si>
  <si>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</si>
  <si>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</si>
  <si>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</si>
  <si>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</si>
  <si>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</si>
  <si>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</si>
  <si>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</si>
  <si>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</si>
  <si>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</si>
  <si>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</si>
  <si>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</si>
  <si>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</si>
  <si>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</si>
  <si>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</si>
  <si>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</si>
  <si>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</si>
  <si>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</si>
  <si>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</si>
  <si>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</si>
  <si>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</si>
  <si>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</si>
  <si>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</si>
  <si>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</si>
  <si>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</si>
  <si>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</si>
  <si>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</si>
  <si>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</si>
  <si>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</si>
  <si>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</si>
  <si>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</si>
  <si>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</si>
  <si>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</si>
  <si>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</si>
  <si>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</si>
  <si>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</si>
  <si>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</si>
  <si>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</si>
  <si>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</si>
  <si>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</si>
  <si>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</si>
  <si>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</si>
  <si>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</si>
  <si>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</si>
  <si>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</si>
  <si>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</si>
  <si>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</si>
  <si>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</si>
  <si>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</si>
  <si>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</si>
  <si>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</si>
  <si>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</si>
  <si>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</si>
  <si>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</si>
  <si>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</si>
  <si>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</si>
  <si>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</si>
  <si>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</si>
  <si>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</si>
  <si>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</si>
  <si>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</si>
  <si>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</si>
  <si>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</si>
  <si>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</si>
  <si>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</si>
  <si>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</si>
  <si>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</si>
  <si>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</si>
  <si>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</si>
  <si>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</si>
  <si>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</si>
  <si>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</si>
  <si>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</si>
  <si>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</si>
  <si>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</si>
  <si>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</si>
  <si>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</si>
  <si>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</si>
  <si>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</si>
  <si>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</si>
  <si>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</si>
  <si>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</si>
  <si>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</si>
  <si>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</si>
  <si>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</si>
  <si>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</si>
  <si>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</si>
  <si>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</si>
  <si>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</si>
  <si>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</si>
  <si>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</si>
  <si>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</si>
  <si>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</si>
  <si>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</si>
  <si>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</si>
  <si>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</si>
  <si>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</si>
  <si>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</si>
  <si>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</si>
  <si>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</si>
  <si>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</si>
  <si>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</si>
  <si>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</si>
  <si>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</si>
  <si>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</si>
  <si>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</si>
  <si>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</si>
  <si>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</si>
  <si>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</si>
  <si>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</si>
  <si>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</si>
  <si>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</si>
  <si>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</si>
  <si>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</si>
  <si>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</si>
  <si>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</si>
  <si>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</si>
  <si>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</si>
  <si>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</si>
  <si>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</si>
  <si>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</si>
  <si>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</si>
  <si>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</si>
  <si>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</si>
  <si>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</si>
  <si>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</si>
  <si>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</si>
  <si>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</si>
  <si>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</si>
  <si>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</si>
  <si>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</si>
  <si>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</si>
  <si>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</si>
  <si>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</si>
  <si>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</si>
  <si>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</si>
  <si>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</si>
  <si>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</si>
  <si>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</si>
  <si>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</si>
  <si>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</si>
  <si>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</si>
  <si>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</si>
  <si>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</si>
  <si>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</si>
  <si>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</si>
  <si>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</si>
  <si>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</si>
  <si>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</si>
  <si>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</si>
  <si>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</si>
  <si>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</si>
  <si>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</si>
  <si>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</si>
  <si>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</si>
  <si>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</si>
  <si>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</si>
  <si>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</si>
  <si>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</si>
  <si>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</si>
  <si>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</si>
  <si>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</si>
  <si>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</si>
  <si>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</si>
  <si>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</si>
  <si>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</si>
  <si>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</si>
  <si>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</si>
  <si>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</si>
  <si>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</si>
  <si>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</si>
  <si>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</si>
  <si>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</si>
  <si>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</si>
  <si>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</si>
  <si>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</si>
  <si>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</si>
  <si>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</si>
  <si>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</si>
  <si>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</si>
  <si>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</si>
  <si>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</si>
  <si>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</si>
  <si>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</si>
  <si>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</si>
  <si>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</si>
  <si>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</si>
  <si>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</si>
  <si>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</si>
  <si>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</si>
  <si>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</si>
  <si>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</si>
  <si>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</si>
  <si>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</si>
  <si>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</si>
  <si>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</si>
  <si>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</si>
  <si>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</si>
  <si>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</si>
  <si>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</si>
  <si>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</si>
  <si>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</si>
  <si>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</si>
  <si>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</si>
  <si>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</si>
  <si>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</si>
  <si>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</si>
  <si>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</si>
  <si>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</si>
  <si>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</si>
  <si>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</si>
  <si>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</si>
  <si>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</si>
  <si>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</si>
  <si>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</si>
  <si>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</si>
  <si>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</si>
  <si>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</si>
  <si>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</si>
  <si>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</si>
  <si>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</si>
  <si>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</si>
  <si>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</si>
  <si>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</si>
  <si>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</si>
  <si>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</si>
  <si>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</si>
  <si>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</si>
  <si>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</si>
  <si>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</si>
  <si>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</si>
  <si>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</si>
  <si>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</si>
  <si>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</si>
  <si>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</si>
  <si>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</si>
  <si>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</si>
  <si>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</si>
  <si>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</si>
  <si>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</si>
  <si>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</si>
  <si>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</si>
  <si>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</si>
  <si>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</si>
  <si>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</si>
  <si>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</si>
  <si>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</si>
  <si>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</si>
  <si>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</si>
  <si>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</si>
  <si>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</si>
  <si>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</si>
  <si>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</si>
  <si>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</si>
  <si>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</si>
  <si>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</si>
  <si>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</si>
  <si>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</si>
  <si>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</si>
  <si>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</si>
  <si>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</si>
  <si>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</si>
  <si>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</si>
  <si>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</si>
  <si>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</si>
  <si>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</si>
  <si>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</si>
  <si>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</si>
  <si>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</si>
  <si>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</si>
  <si>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</si>
  <si>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</si>
  <si>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</si>
  <si>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</si>
  <si>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</si>
  <si>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</si>
  <si>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</si>
  <si>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</si>
  <si>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</si>
  <si>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</si>
  <si>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</si>
  <si>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</si>
  <si>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</si>
  <si>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</si>
  <si>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</si>
  <si>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</si>
  <si>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</si>
  <si>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</si>
  <si>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</si>
  <si>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</si>
  <si>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</si>
  <si>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</si>
  <si>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</si>
  <si>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</si>
  <si>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</si>
  <si>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</si>
  <si>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</si>
  <si>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</si>
  <si>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</si>
  <si>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</si>
  <si>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</si>
  <si>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</si>
  <si>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</si>
  <si>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</si>
  <si>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</si>
  <si>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</si>
  <si>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</si>
  <si>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</si>
  <si>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</si>
  <si>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</si>
  <si>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</si>
  <si>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</si>
  <si>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</si>
  <si>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</si>
  <si>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</si>
  <si>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</si>
  <si>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</si>
  <si>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</si>
  <si>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</si>
  <si>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</si>
  <si>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</si>
  <si>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</si>
  <si>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</si>
  <si>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</si>
  <si>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</si>
  <si>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</si>
  <si>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</si>
  <si>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</si>
  <si>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</si>
  <si>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</si>
  <si>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</si>
  <si>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</si>
  <si>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</si>
  <si>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</si>
  <si>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</si>
  <si>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</si>
  <si>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</si>
  <si>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</si>
  <si>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</si>
  <si>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</si>
  <si>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</si>
  <si>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</si>
  <si>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</si>
  <si>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</si>
  <si>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</si>
  <si>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</si>
  <si>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</si>
  <si>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</si>
  <si>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</si>
  <si>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</si>
  <si>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</si>
  <si>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</si>
  <si>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</si>
  <si>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</si>
  <si>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</si>
  <si>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</si>
  <si>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</si>
  <si>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</si>
  <si>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</si>
  <si>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</si>
  <si>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</si>
  <si>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</si>
  <si>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</si>
  <si>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</si>
  <si>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</si>
  <si>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</si>
  <si>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</si>
  <si>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</si>
  <si>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</si>
  <si>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</si>
  <si>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</si>
  <si>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</si>
  <si>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</si>
  <si>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</si>
  <si>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</si>
  <si>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</si>
  <si>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</si>
  <si>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</si>
  <si>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</si>
  <si>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</si>
  <si>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</si>
  <si>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</si>
  <si>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</si>
  <si>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</si>
  <si>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</si>
  <si>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</si>
  <si>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</si>
  <si>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</si>
  <si>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</si>
  <si>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</si>
  <si>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</si>
  <si>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</si>
  <si>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</si>
  <si>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</si>
  <si>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</si>
  <si>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</si>
  <si>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</si>
  <si>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</si>
  <si>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</si>
  <si>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</si>
  <si>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</si>
  <si>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</si>
  <si>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</si>
  <si>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</si>
  <si>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</si>
  <si>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</si>
  <si>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</si>
  <si>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</si>
  <si>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</si>
  <si>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</si>
  <si>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</si>
  <si>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</si>
  <si>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</si>
  <si>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</si>
  <si>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</si>
  <si>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</si>
  <si>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</si>
  <si>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</si>
  <si>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</si>
  <si>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</si>
  <si>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</si>
  <si>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</si>
  <si>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</si>
  <si>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</si>
  <si>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</si>
  <si>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</si>
  <si>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</si>
  <si>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</si>
  <si>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</si>
  <si>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</si>
  <si>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</si>
  <si>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</si>
  <si>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</si>
  <si>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</si>
  <si>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</si>
  <si>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</si>
  <si>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</si>
  <si>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</si>
  <si>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</si>
  <si>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</si>
  <si>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</si>
  <si>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</si>
  <si>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</si>
  <si>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</si>
  <si>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</si>
  <si>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</si>
  <si>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</si>
  <si>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</si>
  <si>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</si>
  <si>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</si>
  <si>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</si>
  <si>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</si>
  <si>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</si>
  <si>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</si>
  <si>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</si>
  <si>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</si>
  <si>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</si>
  <si>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</si>
  <si>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</si>
  <si>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</si>
  <si>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</si>
  <si>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</si>
  <si>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</si>
  <si>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</si>
  <si>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</si>
  <si>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</si>
  <si>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</si>
  <si>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</si>
  <si>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</si>
  <si>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</si>
  <si>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</si>
  <si>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</si>
  <si>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</si>
  <si>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</si>
  <si>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</si>
  <si>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</si>
  <si>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</si>
  <si>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</si>
  <si>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</si>
  <si>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</si>
  <si>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</si>
  <si>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</si>
  <si>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</si>
  <si>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</si>
  <si>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</si>
  <si>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</si>
  <si>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</si>
  <si>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</si>
  <si>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</si>
  <si>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</si>
  <si>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</si>
  <si>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</si>
  <si>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</si>
  <si>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</si>
  <si>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</si>
  <si>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</si>
  <si>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</si>
  <si>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</si>
  <si>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</si>
  <si>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</si>
  <si>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</si>
  <si>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</si>
  <si>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</si>
  <si>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</si>
  <si>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</si>
  <si>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</si>
  <si>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</si>
  <si>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</si>
  <si>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</si>
  <si>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</si>
  <si>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</si>
  <si>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</si>
  <si>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</si>
  <si>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</si>
  <si>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</si>
  <si>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</si>
  <si>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</si>
  <si>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</si>
  <si>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</si>
  <si>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</si>
  <si>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</si>
  <si>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</si>
  <si>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</si>
  <si>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</si>
  <si>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</si>
  <si>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</si>
  <si>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</si>
  <si>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</si>
  <si>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</si>
  <si>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</si>
  <si>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</si>
  <si>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</si>
  <si>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</si>
  <si>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</si>
  <si>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</si>
  <si>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</si>
  <si>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</si>
  <si>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</si>
  <si>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</si>
  <si>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</si>
  <si>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</si>
  <si>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</si>
  <si>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</si>
  <si>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</si>
  <si>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</si>
  <si>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</si>
  <si>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</si>
  <si>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</si>
  <si>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</si>
  <si>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</si>
  <si>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</si>
  <si>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</si>
  <si>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</si>
  <si>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</si>
  <si>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</si>
  <si>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</si>
  <si>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</si>
  <si>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</si>
  <si>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</si>
  <si>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</si>
  <si>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</si>
  <si>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</si>
  <si>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</si>
  <si>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</si>
  <si>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</si>
  <si>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</si>
  <si>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</si>
  <si>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</si>
  <si>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</si>
  <si>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</si>
  <si>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</si>
  <si>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</si>
  <si>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</si>
  <si>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</si>
  <si>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</si>
  <si>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</si>
  <si>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</si>
  <si>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</si>
  <si>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</si>
  <si>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</si>
  <si>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</si>
  <si>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</si>
  <si>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</si>
  <si>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</si>
  <si>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</si>
  <si>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</si>
  <si>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</si>
  <si>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</si>
  <si>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</si>
  <si>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</si>
  <si>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</si>
  <si>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</si>
  <si>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</si>
  <si>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</si>
  <si>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</si>
  <si>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</si>
  <si>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</si>
  <si>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</si>
  <si>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</si>
  <si>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</si>
  <si>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</si>
  <si>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</si>
  <si>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</si>
  <si>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</si>
  <si>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</si>
  <si>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</si>
  <si>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</si>
  <si>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</si>
  <si>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</si>
  <si>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</si>
  <si>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</si>
  <si>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</si>
  <si>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</si>
  <si>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</si>
  <si>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</si>
  <si>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</si>
  <si>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</si>
  <si>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</si>
  <si>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</si>
  <si>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</si>
  <si>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</si>
  <si>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</si>
  <si>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</si>
  <si>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</si>
  <si>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</si>
  <si>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</si>
  <si>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</si>
  <si>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</si>
  <si>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</si>
  <si>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</si>
  <si>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</si>
  <si>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</si>
  <si>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</si>
  <si>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</si>
  <si>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</si>
  <si>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</si>
  <si>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</si>
  <si>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</si>
  <si>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</si>
  <si>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</si>
  <si>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</si>
  <si>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</si>
  <si>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</si>
  <si>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</si>
  <si>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</si>
  <si>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</si>
  <si>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</si>
  <si>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</si>
  <si>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</si>
  <si>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</si>
  <si>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</si>
  <si>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</si>
  <si>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</si>
  <si>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</si>
  <si>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</si>
  <si>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</si>
  <si>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</si>
  <si>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</si>
  <si>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</si>
  <si>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</si>
  <si>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</si>
  <si>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</si>
  <si>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</si>
  <si>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</si>
  <si>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</si>
  <si>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</si>
  <si>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</si>
  <si>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</si>
  <si>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</si>
  <si>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</si>
  <si>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</si>
  <si>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</si>
  <si>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</si>
  <si>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</si>
  <si>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</si>
  <si>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</si>
  <si>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</si>
  <si>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</si>
  <si>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</si>
  <si>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</si>
  <si>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</si>
  <si>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</si>
  <si>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</si>
  <si>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</si>
  <si>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</si>
  <si>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</si>
  <si>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</si>
  <si>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</si>
  <si>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</si>
  <si>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</si>
  <si>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</si>
  <si>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</si>
  <si>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</si>
  <si>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</si>
  <si>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</si>
  <si>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</si>
  <si>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</si>
  <si>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</si>
  <si>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</si>
  <si>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</si>
  <si>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</si>
  <si>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</si>
  <si>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</si>
  <si>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</si>
  <si>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</si>
  <si>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</si>
  <si>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</si>
  <si>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</si>
  <si>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</si>
  <si>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</si>
  <si>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</si>
  <si>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</si>
  <si>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</si>
  <si>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</si>
  <si>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</si>
  <si>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</si>
  <si>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</si>
  <si>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</si>
  <si>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</si>
  <si>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</si>
  <si>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</si>
  <si>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</si>
  <si>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</si>
  <si>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</si>
  <si>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</si>
  <si>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</si>
  <si>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</si>
  <si>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</si>
  <si>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</si>
  <si>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</si>
  <si>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</si>
  <si>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</si>
  <si>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</si>
  <si>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</si>
  <si>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</si>
  <si>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</si>
  <si>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</si>
  <si>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</si>
  <si>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</si>
  <si>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</si>
  <si>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</si>
  <si>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</si>
  <si>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</si>
  <si>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</si>
  <si>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</si>
  <si>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</si>
  <si>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</si>
  <si>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</si>
  <si>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</si>
  <si>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</si>
  <si>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</si>
  <si>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</si>
  <si>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</si>
  <si>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</si>
  <si>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</si>
  <si>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</si>
  <si>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</si>
  <si>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</si>
  <si>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</si>
  <si>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</si>
  <si>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</si>
  <si>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</si>
  <si>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</si>
  <si>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</si>
  <si>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</si>
  <si>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</si>
  <si>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</si>
  <si>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</si>
  <si>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</si>
  <si>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</si>
  <si>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</si>
  <si>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</si>
  <si>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</si>
  <si>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</si>
  <si>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</si>
  <si>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</si>
  <si>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</si>
  <si>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</si>
  <si>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</si>
  <si>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</si>
  <si>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</si>
  <si>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</si>
  <si>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</si>
  <si>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</si>
  <si>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</si>
  <si>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</si>
  <si>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</si>
  <si>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</si>
  <si>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</si>
  <si>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</si>
  <si>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</si>
  <si>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</si>
  <si>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</si>
  <si>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</si>
  <si>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</si>
  <si>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</si>
  <si>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</si>
  <si>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</si>
  <si>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</si>
  <si>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</si>
  <si>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</si>
  <si>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</si>
  <si>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</si>
  <si>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</si>
  <si>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</si>
  <si>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</si>
  <si>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</si>
  <si>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</si>
  <si>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</si>
  <si>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</si>
  <si>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</si>
  <si>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</si>
  <si>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</si>
  <si>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</si>
  <si>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</si>
  <si>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</si>
  <si>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</si>
  <si>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</si>
  <si>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</si>
  <si>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</si>
  <si>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</si>
  <si>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</si>
  <si>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</si>
  <si>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</si>
  <si>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</si>
  <si>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</si>
  <si>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</si>
  <si>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</si>
  <si>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</si>
  <si>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</si>
  <si>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</si>
  <si>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</si>
  <si>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</si>
  <si>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</si>
  <si>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</si>
  <si>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</si>
  <si>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</si>
  <si>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</si>
  <si>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</si>
  <si>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</si>
  <si>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</si>
  <si>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</si>
  <si>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</si>
  <si>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</si>
  <si>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</si>
  <si>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</si>
  <si>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</si>
  <si>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</si>
  <si>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</si>
  <si>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</si>
  <si>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</si>
  <si>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</si>
  <si>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</si>
  <si>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</si>
  <si>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</si>
  <si>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</si>
  <si>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</si>
  <si>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</si>
  <si>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</si>
  <si>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</si>
  <si>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</si>
  <si>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</si>
  <si>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</si>
  <si>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</si>
  <si>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</si>
  <si>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</si>
  <si>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</si>
  <si>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</si>
  <si>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</si>
  <si>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</si>
  <si>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</si>
  <si>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</si>
  <si>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</si>
  <si>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</si>
  <si>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</si>
  <si>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</si>
  <si>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</si>
  <si>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</si>
  <si>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</si>
  <si>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</si>
  <si>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</si>
  <si>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</si>
  <si>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</si>
  <si>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</si>
  <si>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</si>
  <si>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</si>
  <si>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</si>
  <si>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</si>
  <si>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</si>
  <si>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</si>
  <si>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</si>
  <si>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</si>
  <si>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</si>
  <si>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</si>
  <si>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</si>
  <si>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</si>
  <si>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</si>
  <si>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</si>
  <si>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</si>
  <si>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</si>
  <si>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</si>
  <si>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</si>
  <si>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</si>
  <si>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</si>
  <si>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</si>
  <si>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</si>
  <si>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</si>
  <si>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</si>
  <si>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</si>
  <si>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</si>
  <si>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</si>
  <si>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</si>
  <si>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</si>
  <si>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</si>
  <si>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</si>
  <si>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</si>
  <si>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</si>
  <si>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</si>
  <si>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</si>
  <si>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</si>
  <si>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</si>
  <si>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</si>
  <si>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</si>
  <si>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</si>
  <si>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</si>
  <si>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</si>
  <si>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</si>
  <si>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</si>
  <si>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</si>
  <si>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</si>
  <si>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</si>
  <si>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</si>
  <si>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</si>
  <si>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</si>
  <si>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</si>
  <si>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</si>
  <si>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</si>
  <si>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</si>
  <si>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</si>
  <si>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</si>
  <si>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</si>
  <si>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</si>
  <si>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</si>
  <si>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</si>
  <si>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</si>
  <si>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</si>
  <si>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</si>
  <si>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</si>
  <si>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</si>
  <si>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</si>
  <si>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</si>
  <si>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</si>
  <si>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</si>
  <si>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</si>
  <si>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</si>
  <si>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</si>
  <si>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</si>
  <si>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</si>
  <si>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</si>
  <si>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</si>
  <si>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</si>
  <si>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</si>
  <si>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</si>
  <si>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</si>
  <si>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</si>
  <si>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</si>
  <si>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</si>
  <si>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</si>
  <si>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</si>
  <si>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</si>
  <si>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</si>
  <si>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</si>
  <si>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</si>
  <si>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</si>
  <si>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</si>
  <si>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</si>
  <si>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</si>
  <si>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</si>
  <si>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</si>
  <si>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</si>
  <si>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</si>
  <si>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</si>
  <si>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</si>
  <si>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</si>
  <si>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</si>
  <si>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</si>
  <si>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</si>
  <si>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</si>
  <si>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</si>
  <si>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</si>
  <si>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</si>
  <si>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</si>
  <si>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</si>
  <si>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</si>
  <si>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</si>
  <si>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</si>
  <si>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</si>
  <si>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</si>
  <si>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</si>
  <si>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</si>
  <si>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</si>
  <si>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</si>
  <si>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</si>
  <si>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</si>
  <si>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</si>
  <si>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</si>
  <si>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</si>
  <si>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</si>
  <si>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</si>
  <si>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</si>
  <si>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</si>
  <si>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</si>
  <si>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</si>
  <si>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</si>
  <si>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</si>
  <si>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</si>
  <si>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</si>
  <si>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</si>
  <si>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</si>
  <si>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</si>
  <si>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</si>
  <si>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</si>
  <si>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</si>
  <si>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</si>
  <si>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</si>
  <si>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</si>
  <si>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</si>
  <si>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</si>
  <si>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</si>
  <si>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</si>
  <si>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</si>
  <si>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</si>
  <si>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</si>
  <si>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</si>
  <si>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</si>
  <si>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</si>
  <si>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</si>
  <si>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</si>
  <si>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</si>
  <si>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</si>
  <si>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</si>
  <si>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</si>
  <si>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</si>
  <si>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</si>
  <si>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</si>
  <si>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</si>
  <si>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</si>
  <si>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</si>
  <si>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</si>
  <si>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</si>
  <si>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</si>
  <si>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</si>
  <si>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</si>
  <si>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</si>
  <si>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</si>
  <si>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</si>
  <si>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</si>
  <si>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</si>
  <si>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</si>
  <si>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</si>
  <si>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</si>
  <si>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</si>
  <si>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</si>
  <si>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</si>
  <si>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</si>
  <si>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</si>
  <si>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</si>
  <si>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</si>
  <si>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</si>
  <si>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</si>
  <si>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</si>
  <si>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</si>
  <si>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</si>
  <si>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</si>
  <si>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</si>
  <si>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</si>
  <si>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</si>
  <si>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</si>
  <si>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</si>
  <si>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</si>
  <si>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</si>
  <si>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</si>
  <si>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</si>
  <si>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</si>
  <si>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</si>
  <si>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</si>
  <si>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</si>
  <si>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</si>
  <si>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</si>
  <si>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</si>
  <si>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</si>
  <si>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</si>
  <si>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</si>
  <si>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</si>
  <si>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</si>
  <si>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</si>
  <si>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</si>
  <si>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</si>
  <si>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</si>
  <si>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</si>
  <si>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</si>
  <si>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</si>
  <si>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</si>
  <si>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</si>
  <si>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</si>
  <si>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</si>
  <si>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</si>
  <si>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</si>
  <si>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</si>
  <si>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</si>
  <si>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</si>
  <si>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</si>
  <si>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</si>
  <si>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</si>
  <si>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</si>
  <si>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</si>
  <si>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</si>
  <si>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</si>
  <si>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</si>
  <si>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</si>
  <si>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</si>
  <si>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</si>
  <si>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</si>
  <si>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</si>
  <si>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</si>
  <si>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</si>
  <si>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</si>
  <si>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</si>
  <si>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</si>
  <si>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</si>
  <si>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</si>
  <si>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</si>
  <si>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</si>
  <si>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</si>
  <si>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</si>
  <si>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</si>
  <si>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</si>
  <si>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</si>
  <si>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</si>
  <si>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</si>
  <si>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</si>
  <si>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</si>
  <si>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</si>
  <si>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</si>
  <si>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</si>
  <si>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</si>
  <si>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</si>
  <si>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</si>
  <si>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</si>
  <si>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</si>
  <si>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</si>
  <si>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</si>
  <si>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</si>
  <si>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</si>
  <si>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</si>
  <si>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</si>
  <si>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</si>
  <si>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</si>
  <si>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</si>
  <si>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</si>
  <si>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</si>
  <si>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</si>
  <si>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</si>
  <si>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</si>
  <si>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</si>
  <si>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</si>
  <si>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</si>
  <si>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</si>
  <si>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</si>
  <si>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</si>
  <si>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</si>
  <si>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</si>
  <si>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</si>
  <si>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</si>
  <si>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</si>
  <si>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</si>
  <si>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</si>
  <si>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</si>
  <si>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</si>
  <si>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</si>
  <si>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</si>
  <si>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</si>
  <si>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</si>
  <si>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</si>
  <si>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</si>
  <si>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</si>
  <si>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</si>
  <si>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</si>
  <si>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</si>
  <si>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</si>
  <si>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</si>
  <si>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</si>
  <si>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</si>
  <si>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</si>
  <si>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</si>
  <si>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</si>
  <si>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</si>
  <si>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</si>
  <si>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</si>
  <si>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</si>
  <si>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</si>
  <si>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</si>
  <si>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</si>
  <si>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</si>
  <si>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</si>
  <si>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</si>
  <si>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</si>
  <si>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</si>
  <si>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</si>
  <si>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</si>
  <si>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</si>
  <si>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</si>
  <si>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</si>
  <si>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</si>
  <si>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</si>
  <si>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</si>
  <si>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</si>
  <si>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</si>
  <si>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</si>
  <si>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</si>
  <si>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</si>
  <si>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</si>
  <si>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</si>
  <si>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</si>
  <si>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</si>
  <si>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</si>
  <si>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</si>
  <si>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</si>
  <si>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</si>
  <si>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</si>
  <si>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</si>
  <si>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</si>
  <si>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</si>
  <si>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</si>
  <si>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</si>
  <si>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</si>
  <si>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</si>
  <si>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</si>
  <si>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</si>
  <si>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</si>
  <si>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</si>
  <si>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</si>
  <si>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</si>
  <si>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</si>
  <si>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</si>
  <si>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</si>
  <si>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</si>
  <si>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</si>
  <si>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</si>
  <si>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</si>
  <si>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</si>
  <si>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</si>
  <si>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</si>
  <si>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</si>
  <si>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</si>
  <si>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</si>
  <si>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</si>
  <si>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</si>
  <si>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</si>
  <si>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</si>
  <si>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</si>
  <si>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</si>
  <si>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</si>
  <si>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</si>
  <si>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</si>
  <si>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</si>
  <si>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</si>
  <si>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</si>
  <si>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</si>
  <si>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</si>
  <si>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</si>
  <si>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</si>
  <si>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</si>
  <si>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</si>
  <si>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</si>
  <si>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</si>
  <si>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</si>
  <si>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</si>
  <si>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</si>
  <si>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</si>
  <si>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</si>
  <si>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</si>
  <si>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</si>
  <si>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</si>
  <si>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</si>
  <si>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</si>
  <si>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</si>
  <si>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</si>
  <si>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</si>
  <si>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</si>
  <si>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</si>
  <si>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</si>
  <si>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</si>
  <si>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</si>
  <si>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</si>
  <si>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</si>
  <si>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</si>
  <si>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</si>
  <si>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</si>
  <si>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</si>
  <si>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</si>
  <si>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</si>
  <si>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</si>
  <si>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</si>
  <si>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</si>
  <si>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</si>
  <si>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</si>
  <si>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</si>
  <si>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</si>
  <si>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</si>
  <si>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</si>
  <si>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</si>
  <si>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</si>
  <si>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</si>
  <si>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</si>
  <si>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</si>
  <si>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</si>
  <si>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</si>
  <si>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</si>
  <si>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</si>
  <si>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</si>
  <si>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</si>
  <si>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</si>
  <si>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</si>
  <si>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</si>
  <si>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</si>
  <si>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</si>
  <si>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</si>
  <si>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</si>
  <si>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</si>
  <si>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</si>
  <si>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</si>
  <si>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</si>
  <si>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</si>
  <si>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</si>
  <si>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</si>
  <si>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</si>
  <si>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</si>
  <si>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</si>
  <si>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</si>
  <si>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</si>
  <si>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</si>
  <si>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</si>
  <si>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</si>
  <si>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</si>
  <si>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</si>
  <si>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</si>
  <si>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</si>
  <si>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</si>
  <si>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</si>
  <si>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</si>
  <si>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</si>
  <si>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</si>
  <si>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</si>
  <si>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</si>
  <si>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</si>
  <si>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</si>
  <si>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</si>
  <si>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</si>
  <si>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</si>
  <si>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</si>
  <si>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</si>
  <si>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</si>
  <si>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</si>
  <si>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</si>
  <si>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</si>
  <si>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</si>
  <si>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</si>
  <si>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</si>
  <si>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</si>
  <si>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</si>
  <si>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</si>
  <si>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</si>
  <si>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</si>
  <si>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</si>
  <si>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</si>
  <si>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</si>
  <si>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</si>
  <si>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</si>
  <si>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</si>
  <si>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</si>
  <si>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</si>
  <si>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</si>
  <si>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</si>
  <si>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</si>
  <si>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</si>
  <si>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</si>
  <si>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</si>
  <si>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</si>
  <si>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</si>
  <si>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</si>
  <si>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</si>
  <si>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</si>
  <si>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</si>
  <si>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</si>
  <si>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</si>
  <si>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</si>
  <si>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</si>
  <si>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</si>
  <si>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</si>
  <si>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</si>
  <si>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</si>
  <si>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</si>
  <si>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</si>
  <si>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</si>
  <si>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</si>
  <si>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</si>
  <si>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</si>
  <si>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</si>
  <si>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</si>
  <si>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</si>
  <si>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</si>
  <si>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</si>
  <si>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</si>
  <si>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</si>
  <si>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</si>
  <si>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</si>
  <si>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</si>
  <si>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</si>
  <si>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</si>
  <si>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</si>
  <si>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</si>
  <si>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</si>
  <si>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</si>
  <si>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</si>
  <si>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</si>
  <si>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</si>
  <si>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</si>
  <si>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</si>
  <si>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</si>
  <si>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</si>
  <si>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</si>
  <si>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</si>
  <si>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</si>
  <si>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</si>
  <si>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</si>
  <si>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</si>
  <si>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</si>
  <si>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</si>
  <si>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</si>
  <si>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</si>
  <si>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</si>
  <si>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</si>
  <si>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</si>
  <si>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</si>
  <si>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</si>
  <si>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</si>
  <si>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</si>
  <si>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</si>
  <si>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</si>
  <si>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</si>
  <si>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</si>
  <si>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</si>
  <si>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</si>
  <si>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</si>
  <si>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</si>
  <si>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</si>
  <si>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</si>
  <si>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</si>
  <si>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</si>
  <si>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</si>
  <si>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</si>
  <si>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</si>
  <si>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</si>
  <si>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</si>
  <si>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</si>
  <si>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</si>
  <si>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</si>
  <si>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</si>
  <si>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</si>
  <si>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</si>
  <si>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</si>
  <si>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</si>
  <si>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</si>
  <si>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</si>
  <si>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</si>
  <si>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</si>
  <si>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</si>
  <si>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</si>
  <si>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</si>
  <si>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</si>
  <si>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</si>
  <si>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</si>
  <si>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</si>
  <si>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</si>
  <si>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</si>
  <si>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</si>
  <si>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</si>
  <si>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</si>
  <si>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</si>
  <si>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</si>
  <si>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</si>
  <si>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</si>
  <si>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</si>
  <si>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</si>
  <si>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</si>
  <si>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</si>
  <si>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</si>
  <si>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</si>
  <si>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</si>
  <si>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</si>
  <si>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</si>
  <si>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</si>
  <si>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</si>
  <si>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</si>
  <si>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</si>
  <si>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</si>
  <si>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</si>
  <si>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</si>
  <si>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</si>
  <si>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</si>
  <si>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</si>
  <si>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</si>
  <si>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</si>
  <si>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</si>
  <si>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</si>
  <si>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</si>
  <si>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</si>
  <si>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</si>
  <si>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</si>
  <si>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</si>
  <si>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</si>
  <si>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</si>
  <si>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</si>
  <si>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</si>
  <si>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</si>
  <si>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</si>
  <si>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</si>
  <si>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</si>
  <si>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</si>
  <si>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</si>
  <si>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</si>
  <si>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</si>
  <si>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</si>
  <si>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</si>
  <si>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</si>
  <si>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</si>
  <si>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</si>
  <si>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</si>
  <si>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</si>
  <si>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</si>
  <si>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</si>
  <si>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</si>
  <si>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</si>
  <si>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</si>
  <si>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</si>
  <si>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</si>
  <si>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</si>
  <si>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</si>
  <si>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</si>
  <si>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</si>
  <si>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</si>
  <si>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</si>
  <si>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</si>
  <si>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</si>
  <si>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</si>
  <si>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</si>
  <si>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</si>
  <si>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</si>
  <si>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</si>
  <si>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</si>
  <si>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</si>
  <si>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</si>
  <si>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</si>
  <si>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</si>
  <si>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</si>
  <si>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</si>
  <si>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</si>
  <si>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</si>
  <si>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</si>
  <si>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</si>
  <si>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</si>
  <si>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</si>
  <si>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</si>
  <si>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</si>
  <si>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</si>
  <si>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</si>
  <si>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</si>
  <si>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</si>
  <si>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</si>
  <si>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</si>
  <si>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</si>
  <si>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</si>
  <si>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</si>
  <si>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</si>
  <si>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</si>
  <si>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</si>
  <si>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</si>
  <si>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</si>
  <si>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</si>
  <si>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</si>
  <si>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</si>
  <si>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</si>
  <si>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</si>
  <si>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</si>
  <si>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</si>
  <si>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</si>
  <si>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</si>
  <si>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</si>
  <si>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</si>
  <si>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</si>
  <si>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</si>
  <si>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</si>
  <si>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</si>
  <si>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</si>
  <si>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</si>
  <si>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</si>
  <si>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</si>
  <si>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</si>
  <si>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</si>
  <si>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</si>
  <si>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</si>
  <si>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</si>
  <si>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</si>
  <si>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</si>
  <si>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</si>
  <si>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</si>
  <si>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</si>
  <si>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</si>
  <si>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</si>
  <si>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</si>
  <si>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</si>
  <si>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</si>
  <si>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</si>
  <si>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</si>
  <si>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</si>
  <si>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</si>
  <si>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</si>
  <si>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</si>
  <si>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</si>
  <si>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</si>
  <si>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</si>
  <si>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</si>
  <si>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</si>
  <si>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</si>
  <si>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</si>
  <si>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</si>
  <si>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</si>
  <si>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</si>
  <si>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</si>
  <si>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</si>
  <si>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</si>
  <si>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</si>
  <si>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</si>
  <si>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</si>
  <si>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</si>
  <si>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</si>
  <si>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</si>
  <si>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</si>
  <si>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</si>
  <si>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</si>
  <si>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</si>
  <si>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</si>
  <si>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</si>
  <si>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</si>
  <si>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</si>
  <si>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</si>
  <si>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</si>
  <si>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</si>
  <si>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</si>
  <si>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</si>
  <si>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</si>
  <si>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</si>
  <si>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</si>
  <si>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</si>
  <si>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</si>
  <si>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</si>
  <si>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</si>
  <si>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</si>
  <si>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</si>
  <si>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</si>
  <si>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</si>
  <si>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</si>
  <si>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</si>
  <si>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</si>
  <si>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</si>
  <si>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</si>
  <si>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</si>
  <si>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</si>
  <si>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</si>
  <si>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</si>
  <si>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</si>
  <si>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</si>
  <si>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</si>
  <si>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</si>
  <si>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</si>
  <si>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</si>
  <si>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</si>
  <si>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</si>
  <si>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</si>
  <si>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</si>
  <si>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</si>
  <si>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</si>
  <si>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</si>
  <si>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</si>
  <si>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</si>
  <si>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</si>
  <si>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</si>
  <si>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</si>
  <si>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</si>
  <si>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</si>
  <si>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</si>
  <si>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</si>
  <si>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</si>
  <si>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</si>
  <si>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</si>
  <si>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</si>
  <si>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</si>
  <si>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</si>
  <si>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</si>
  <si>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</si>
  <si>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</si>
  <si>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</si>
  <si>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</si>
  <si>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</si>
  <si>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</si>
  <si>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</si>
  <si>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</si>
  <si>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</si>
  <si>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</si>
  <si>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</si>
  <si>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</si>
  <si>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</si>
  <si>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</si>
  <si>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</si>
  <si>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</si>
  <si>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</si>
  <si>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</si>
  <si>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</si>
  <si>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</si>
  <si>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</si>
  <si>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</si>
  <si>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</si>
  <si>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</si>
  <si>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</si>
  <si>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</si>
  <si>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</si>
  <si>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</si>
  <si>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</si>
  <si>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</si>
  <si>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</si>
  <si>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</si>
  <si>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</si>
  <si>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</si>
  <si>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</si>
  <si>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</si>
  <si>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</si>
  <si>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</si>
  <si>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</si>
  <si>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</si>
  <si>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</si>
  <si>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</si>
  <si>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</si>
  <si>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</si>
  <si>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</si>
  <si>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</si>
  <si>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</si>
  <si>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</si>
  <si>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</si>
  <si>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</si>
  <si>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</si>
  <si>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</si>
  <si>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</si>
  <si>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</si>
  <si>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</si>
  <si>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</si>
  <si>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</si>
  <si>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</si>
  <si>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</si>
  <si>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</si>
  <si>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</si>
  <si>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</si>
  <si>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</si>
  <si>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</si>
  <si>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</si>
  <si>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</si>
  <si>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</si>
  <si>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</si>
  <si>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</si>
  <si>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</si>
  <si>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</si>
  <si>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</si>
  <si>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</si>
  <si>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</si>
  <si>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</si>
  <si>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</si>
  <si>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</si>
  <si>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</si>
  <si>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</si>
  <si>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</si>
  <si>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</si>
  <si>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</si>
  <si>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</si>
  <si>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</si>
  <si>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</si>
  <si>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</si>
  <si>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</si>
  <si>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</si>
  <si>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</si>
  <si>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</si>
  <si>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</si>
  <si>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</si>
  <si>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</si>
  <si>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</si>
  <si>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</si>
  <si>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</si>
  <si>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</si>
  <si>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</si>
  <si>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</si>
  <si>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</si>
  <si>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</si>
  <si>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</si>
  <si>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</si>
  <si>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</si>
  <si>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</si>
  <si>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</si>
  <si>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</si>
  <si>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</si>
  <si>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</si>
  <si>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</si>
  <si>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</si>
  <si>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</si>
  <si>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</si>
  <si>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</si>
  <si>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</si>
  <si>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</si>
  <si>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</si>
  <si>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</si>
  <si>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</si>
  <si>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</si>
  <si>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</si>
  <si>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</si>
  <si>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</si>
  <si>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</si>
  <si>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</si>
  <si>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</si>
  <si>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</si>
  <si>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</si>
  <si>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</si>
  <si>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</si>
  <si>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</si>
  <si>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</si>
  <si>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</si>
  <si>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</si>
  <si>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</si>
  <si>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</si>
  <si>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</si>
  <si>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</si>
  <si>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</si>
  <si>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</si>
  <si>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</si>
  <si>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</si>
  <si>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</si>
  <si>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</si>
  <si>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</si>
  <si>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</si>
  <si>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</si>
  <si>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</si>
  <si>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</si>
  <si>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</si>
  <si>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</si>
  <si>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</si>
  <si>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</si>
  <si>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</si>
  <si>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</si>
  <si>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</si>
  <si>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</si>
  <si>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</si>
  <si>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</si>
  <si>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</si>
  <si>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</si>
  <si>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</si>
  <si>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</si>
  <si>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</si>
  <si>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</si>
  <si>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</si>
  <si>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</si>
  <si>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</si>
  <si>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</si>
  <si>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</si>
  <si>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</si>
  <si>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</si>
  <si>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</si>
  <si>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</si>
  <si>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</si>
  <si>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</si>
  <si>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</si>
  <si>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</si>
  <si>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</si>
  <si>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</si>
  <si>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</si>
  <si>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</si>
  <si>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</si>
  <si>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</si>
  <si>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</si>
  <si>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</si>
  <si>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</si>
  <si>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</si>
  <si>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</si>
  <si>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</si>
  <si>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</si>
  <si>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</si>
  <si>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</si>
  <si>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</si>
  <si>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</si>
  <si>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</si>
  <si>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</si>
  <si>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</si>
  <si>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</si>
  <si>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</si>
  <si>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</si>
  <si>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</si>
  <si>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</si>
  <si>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</si>
  <si>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</si>
  <si>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</si>
  <si>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</si>
  <si>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</si>
  <si>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</si>
  <si>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</si>
  <si>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</si>
  <si>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</si>
  <si>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</si>
  <si>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</si>
  <si>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</si>
  <si>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</si>
  <si>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</si>
  <si>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</si>
  <si>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</si>
  <si>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</si>
  <si>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</si>
  <si>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</si>
  <si>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</si>
  <si>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</si>
  <si>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</si>
  <si>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</si>
  <si>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</si>
  <si>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</si>
  <si>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</si>
  <si>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</si>
  <si>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</si>
  <si>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</si>
  <si>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</si>
  <si>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</si>
  <si>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</si>
  <si>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</si>
  <si>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</si>
  <si>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</si>
  <si>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</si>
  <si>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</si>
  <si>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</si>
  <si>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</si>
  <si>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</si>
  <si>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</si>
  <si>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</si>
  <si>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</si>
  <si>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</si>
  <si>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</si>
  <si>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</si>
  <si>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</si>
  <si>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</si>
  <si>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</si>
  <si>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</si>
  <si>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</si>
  <si>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</si>
  <si>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</si>
  <si>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</si>
  <si>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</si>
  <si>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</si>
  <si>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</si>
  <si>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</si>
  <si>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</si>
  <si>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</si>
  <si>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</si>
  <si>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</si>
  <si>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</si>
  <si>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</si>
  <si>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</si>
  <si>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</si>
  <si>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</si>
  <si>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</si>
  <si>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</si>
  <si>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</si>
  <si>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</si>
  <si>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</si>
  <si>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</si>
  <si>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</si>
  <si>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</si>
  <si>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</si>
  <si>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</si>
  <si>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</si>
  <si>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</si>
  <si>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</si>
  <si>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</si>
  <si>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</si>
  <si>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</si>
  <si>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</si>
  <si>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</si>
  <si>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</si>
  <si>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</si>
  <si>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</si>
  <si>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</si>
  <si>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</si>
  <si>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</si>
  <si>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</si>
  <si>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</si>
  <si>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</si>
  <si>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</si>
  <si>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</si>
  <si>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</si>
  <si>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</si>
  <si>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</si>
  <si>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</si>
  <si>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</si>
  <si>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</si>
  <si>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</si>
  <si>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</si>
  <si>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</si>
  <si>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</si>
  <si>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</si>
  <si>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</si>
  <si>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</si>
  <si>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</si>
  <si>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</si>
  <si>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</si>
  <si>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</si>
  <si>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</si>
  <si>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</si>
  <si>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</si>
  <si>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</si>
  <si>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</si>
  <si>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</si>
  <si>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</si>
  <si>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</si>
  <si>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</si>
  <si>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</si>
  <si>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</si>
  <si>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</si>
  <si>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</si>
  <si>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</si>
  <si>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</si>
  <si>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</si>
  <si>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</si>
  <si>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</si>
  <si>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</si>
  <si>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</si>
  <si>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</si>
  <si>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</si>
  <si>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</si>
  <si>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</si>
  <si>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</si>
  <si>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</si>
  <si>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</si>
  <si>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</si>
  <si>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</si>
  <si>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</si>
  <si>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</si>
  <si>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</si>
  <si>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</si>
  <si>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</si>
  <si>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</si>
  <si>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</si>
  <si>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</si>
  <si>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</si>
  <si>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</si>
  <si>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</si>
  <si>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</si>
  <si>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</si>
  <si>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</si>
  <si>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</si>
  <si>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</si>
  <si>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</si>
  <si>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</si>
  <si>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</si>
  <si>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</si>
  <si>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</si>
  <si>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</si>
  <si>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</si>
  <si>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</si>
  <si>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</si>
  <si>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</si>
  <si>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</si>
  <si>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</si>
  <si>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</si>
  <si>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</si>
  <si>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</si>
  <si>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</si>
  <si>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</si>
  <si>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</si>
  <si>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</si>
  <si>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</si>
  <si>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</si>
  <si>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</si>
  <si>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</si>
  <si>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</si>
  <si>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</si>
  <si>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</si>
  <si>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</si>
  <si>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</si>
  <si>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</si>
  <si>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</si>
  <si>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</si>
  <si>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</si>
  <si>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</si>
  <si>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</si>
  <si>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</si>
  <si>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</si>
  <si>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</si>
  <si>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</si>
  <si>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</si>
  <si>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</si>
  <si>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</si>
  <si>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</si>
  <si>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</si>
  <si>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</si>
  <si>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</si>
  <si>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</si>
  <si>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</si>
  <si>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</si>
  <si>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</si>
  <si>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</si>
  <si>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</si>
  <si>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</si>
  <si>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</si>
  <si>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</si>
  <si>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</si>
  <si>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</si>
  <si>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</si>
  <si>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</si>
  <si>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</si>
  <si>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</si>
  <si>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</si>
  <si>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</si>
  <si>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</si>
  <si>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</si>
  <si>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</si>
  <si>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</si>
  <si>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</si>
  <si>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</si>
  <si>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</si>
  <si>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</si>
  <si>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</si>
  <si>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</si>
  <si>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</si>
  <si>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</si>
  <si>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</si>
  <si>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</si>
  <si>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</si>
  <si>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</si>
  <si>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</si>
  <si>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</si>
  <si>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</si>
  <si>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</si>
  <si>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</si>
  <si>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</si>
  <si>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</si>
  <si>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</si>
  <si>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</si>
  <si>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</si>
  <si>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</si>
  <si>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</si>
  <si>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</si>
  <si>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</si>
  <si>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</si>
  <si>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</si>
  <si>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</si>
  <si>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</si>
  <si>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</si>
  <si>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</si>
  <si>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</si>
  <si>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</si>
  <si>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</si>
  <si>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</si>
  <si>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</si>
  <si>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</si>
  <si>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</si>
  <si>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</si>
  <si>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</si>
  <si>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</si>
  <si>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</si>
  <si>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</si>
  <si>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</si>
  <si>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</si>
  <si>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</si>
  <si>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</si>
  <si>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</si>
  <si>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</si>
  <si>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</si>
  <si>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</si>
  <si>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</si>
  <si>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</si>
  <si>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</si>
  <si>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</si>
  <si>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</si>
  <si>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</si>
  <si>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</si>
  <si>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</si>
  <si>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</si>
  <si>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</si>
  <si>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</si>
  <si>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</si>
  <si>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</si>
  <si>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</si>
  <si>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</si>
  <si>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</si>
  <si>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</si>
  <si>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</si>
  <si>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</si>
  <si>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</si>
  <si>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</si>
  <si>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</si>
  <si>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</si>
  <si>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</si>
  <si>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</si>
  <si>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</si>
  <si>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</si>
  <si>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</si>
  <si>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</si>
  <si>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</si>
  <si>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</si>
  <si>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</si>
  <si>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</si>
  <si>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</si>
  <si>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</si>
  <si>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</si>
  <si>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</si>
  <si>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</si>
  <si>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</si>
  <si>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</si>
  <si>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</si>
  <si>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</si>
  <si>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</si>
  <si>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</si>
  <si>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</si>
  <si>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</si>
  <si>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</si>
  <si>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</si>
  <si>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</si>
  <si>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</si>
  <si>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</si>
  <si>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</si>
  <si>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</si>
  <si>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</si>
  <si>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</si>
  <si>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</si>
  <si>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</si>
  <si>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</si>
  <si>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</si>
  <si>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</si>
  <si>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</si>
  <si>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</si>
  <si>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</si>
  <si>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</si>
  <si>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</si>
  <si>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</si>
  <si>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</si>
  <si>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</si>
  <si>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</si>
  <si>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</si>
  <si>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</si>
  <si>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</si>
  <si>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</si>
  <si>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</si>
  <si>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</si>
  <si>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</si>
  <si>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</si>
  <si>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</si>
  <si>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</si>
  <si>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</si>
  <si>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</si>
  <si>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</si>
  <si>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</si>
  <si>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</si>
  <si>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</si>
  <si>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</si>
  <si>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</si>
  <si>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</si>
  <si>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</si>
  <si>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</si>
  <si>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</si>
  <si>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</si>
  <si>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</si>
  <si>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</si>
  <si>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</si>
  <si>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</si>
  <si>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</si>
  <si>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</si>
  <si>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</si>
  <si>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</si>
  <si>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</si>
  <si>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</si>
  <si>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</si>
  <si>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</si>
  <si>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</si>
  <si>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</si>
  <si>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</si>
  <si>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</si>
  <si>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</si>
  <si>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</si>
  <si>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</si>
  <si>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</si>
  <si>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</si>
  <si>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</si>
  <si>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</si>
  <si>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</si>
  <si>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</si>
  <si>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</si>
  <si>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</si>
  <si>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</si>
  <si>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</si>
  <si>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</si>
  <si>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</si>
  <si>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</si>
  <si>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</si>
  <si>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</si>
  <si>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</si>
  <si>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</si>
  <si>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</si>
  <si>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</si>
  <si>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</si>
  <si>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</si>
  <si>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</si>
  <si>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</si>
  <si>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</si>
  <si>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</si>
  <si>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</si>
  <si>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</si>
  <si>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</si>
  <si>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</si>
  <si>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</si>
  <si>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</si>
  <si>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</si>
  <si>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</si>
  <si>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</si>
  <si>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</si>
  <si>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</si>
  <si>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</si>
  <si>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</si>
  <si>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</si>
  <si>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</si>
  <si>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</si>
  <si>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</si>
  <si>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</si>
  <si>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</si>
  <si>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</si>
  <si>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</si>
  <si>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</si>
  <si>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</si>
  <si>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</si>
  <si>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</si>
  <si>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</si>
  <si>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</si>
  <si>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</si>
  <si>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</si>
  <si>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</si>
  <si>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</si>
  <si>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</si>
  <si>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</si>
  <si>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</si>
  <si>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</si>
  <si>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</si>
  <si>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</si>
  <si>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</si>
  <si>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</si>
  <si>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</si>
  <si>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</si>
  <si>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</si>
  <si>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</si>
  <si>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</si>
  <si>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</si>
  <si>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</si>
  <si>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</si>
  <si>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</si>
  <si>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</si>
  <si>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</si>
  <si>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</si>
  <si>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</si>
  <si>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</si>
  <si>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</si>
  <si>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</si>
  <si>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</si>
  <si>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</si>
  <si>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</si>
  <si>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</si>
  <si>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</si>
  <si>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</si>
  <si>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</si>
  <si>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</si>
  <si>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</si>
  <si>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</si>
  <si>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</si>
  <si>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</si>
  <si>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</si>
  <si>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</si>
  <si>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</si>
  <si>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</si>
  <si>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</si>
  <si>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</si>
  <si>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</si>
  <si>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</si>
  <si>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</si>
  <si>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</si>
  <si>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</si>
  <si>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</si>
  <si>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</si>
  <si>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</si>
  <si>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</si>
  <si>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</si>
  <si>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</si>
  <si>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</si>
  <si>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</si>
  <si>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</si>
  <si>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</si>
  <si>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</si>
  <si>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</si>
  <si>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</si>
  <si>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</si>
  <si>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</si>
  <si>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</si>
  <si>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</si>
  <si>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</si>
  <si>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</si>
  <si>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</si>
  <si>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</si>
  <si>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</si>
  <si>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</si>
  <si>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</si>
  <si>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</si>
  <si>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</si>
  <si>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</si>
  <si>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</si>
  <si>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</si>
  <si>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</si>
  <si>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</si>
  <si>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</si>
  <si>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</si>
  <si>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</si>
  <si>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</si>
  <si>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</si>
  <si>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</si>
  <si>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</si>
  <si>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</si>
  <si>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</si>
  <si>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</si>
  <si>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</si>
  <si>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</si>
  <si>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</si>
  <si>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</si>
  <si>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</si>
  <si>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</si>
  <si>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</si>
  <si>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</si>
  <si>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</si>
  <si>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</si>
  <si>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</si>
  <si>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</si>
  <si>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</si>
  <si>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</si>
  <si>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</si>
  <si>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</si>
  <si>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</si>
  <si>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</si>
  <si>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</si>
  <si>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</si>
  <si>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</si>
  <si>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</si>
  <si>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</si>
  <si>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</si>
  <si>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</si>
  <si>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</si>
  <si>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</si>
  <si>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</si>
  <si>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</si>
  <si>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</si>
  <si>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</si>
  <si>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</si>
  <si>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</si>
  <si>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</si>
  <si>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</si>
  <si>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</si>
  <si>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</si>
  <si>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</si>
  <si>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</si>
  <si>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</si>
  <si>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</si>
  <si>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</si>
  <si>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</si>
  <si>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</si>
  <si>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</si>
  <si>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</si>
  <si>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</si>
  <si>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</si>
  <si>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</si>
  <si>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</si>
  <si>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</si>
  <si>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</si>
  <si>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</si>
  <si>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</si>
  <si>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</si>
  <si>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</si>
  <si>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</si>
  <si>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</si>
  <si>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</si>
  <si>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</si>
  <si>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</si>
  <si>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</si>
  <si>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</si>
  <si>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</si>
  <si>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</si>
  <si>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</si>
  <si>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</si>
  <si>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</si>
  <si>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</si>
  <si>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</si>
  <si>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</si>
  <si>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</si>
  <si>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</si>
  <si>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</si>
  <si>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</si>
  <si>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</si>
  <si>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</si>
  <si>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</si>
  <si>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</si>
  <si>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</si>
  <si>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</si>
  <si>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</si>
  <si>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</si>
  <si>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</si>
  <si>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</si>
  <si>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</si>
  <si>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</si>
  <si>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</si>
  <si>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</si>
  <si>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</si>
  <si>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</si>
  <si>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</si>
  <si>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</si>
  <si>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</si>
  <si>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</si>
  <si>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</si>
  <si>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</si>
  <si>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</si>
  <si>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</si>
  <si>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</si>
  <si>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</si>
  <si>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</si>
  <si>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</si>
  <si>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</si>
  <si>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</si>
  <si>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</si>
  <si>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</si>
  <si>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</si>
  <si>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</si>
  <si>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</si>
  <si>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</si>
  <si>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</si>
  <si>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</si>
  <si>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</si>
  <si>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</si>
  <si>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</si>
  <si>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</si>
  <si>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</si>
  <si>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</si>
  <si>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</si>
  <si>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</si>
  <si>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</si>
  <si>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</si>
  <si>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</si>
  <si>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</si>
  <si>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</si>
  <si>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</si>
  <si>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</si>
  <si>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</si>
  <si>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</si>
  <si>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</si>
  <si>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</si>
  <si>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</si>
  <si>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</si>
  <si>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</si>
  <si>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</si>
  <si>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</si>
  <si>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</si>
  <si>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</si>
  <si>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</si>
  <si>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</si>
  <si>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</si>
  <si>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</si>
  <si>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</si>
  <si>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</si>
  <si>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</si>
  <si>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</si>
  <si>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</si>
  <si>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</si>
  <si>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</si>
  <si>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</si>
  <si>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</si>
  <si>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</si>
  <si>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</si>
  <si>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</si>
  <si>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</si>
  <si>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</si>
  <si>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</si>
  <si>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</si>
  <si>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</si>
  <si>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</si>
  <si>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</si>
  <si>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</si>
  <si>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</si>
  <si>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</si>
  <si>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</si>
  <si>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</si>
  <si>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</si>
  <si>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</si>
  <si>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</si>
  <si>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</si>
  <si>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</si>
  <si>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</si>
  <si>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</si>
  <si>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</si>
  <si>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</si>
  <si>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</si>
  <si>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</si>
  <si>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</si>
  <si>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</si>
  <si>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</si>
  <si>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</si>
  <si>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</si>
  <si>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</si>
  <si>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</si>
  <si>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</si>
  <si>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</si>
  <si>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</si>
  <si>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</si>
  <si>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</si>
  <si>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</si>
  <si>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</si>
  <si>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</si>
  <si>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</si>
  <si>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</si>
  <si>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</si>
  <si>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</si>
  <si>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</si>
  <si>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</si>
  <si>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</si>
  <si>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</si>
  <si>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</si>
  <si>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</si>
  <si>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</si>
  <si>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</si>
  <si>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</si>
  <si>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</si>
  <si>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</si>
  <si>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</si>
  <si>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</si>
  <si>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</si>
  <si>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</si>
  <si>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</si>
  <si>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</si>
  <si>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</si>
  <si>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</si>
  <si>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</si>
  <si>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</si>
  <si>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</si>
  <si>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</si>
  <si>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</si>
  <si>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</si>
  <si>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</si>
  <si>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</si>
  <si>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</si>
  <si>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</si>
  <si>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</si>
  <si>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</si>
  <si>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</si>
  <si>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</si>
  <si>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</si>
  <si>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</si>
  <si>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</si>
  <si>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</si>
  <si>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</si>
  <si>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</si>
  <si>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</si>
  <si>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</si>
  <si>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</si>
  <si>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</si>
  <si>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</si>
  <si>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</si>
  <si>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</si>
  <si>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</si>
  <si>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</si>
  <si>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</si>
  <si>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</si>
  <si>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</si>
  <si>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</si>
  <si>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</si>
  <si>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</si>
  <si>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</si>
  <si>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</si>
  <si>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</si>
  <si>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</si>
  <si>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</si>
  <si>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</si>
  <si>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</si>
  <si>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</si>
  <si>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</si>
  <si>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</si>
  <si>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</si>
  <si>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</si>
  <si>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</si>
  <si>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</si>
  <si>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</si>
  <si>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</si>
  <si>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</si>
  <si>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</si>
  <si>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</si>
  <si>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</si>
  <si>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</si>
  <si>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</si>
  <si>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</si>
  <si>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</si>
  <si>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</si>
  <si>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</si>
  <si>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</si>
  <si>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</si>
  <si>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</si>
  <si>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</si>
  <si>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</si>
  <si>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</si>
  <si>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</si>
  <si>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</si>
  <si>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</si>
  <si>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</si>
  <si>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</si>
  <si>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</si>
  <si>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</si>
  <si>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</si>
  <si>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</si>
  <si>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</si>
  <si>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</si>
  <si>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</si>
  <si>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</si>
  <si>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</si>
  <si>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</si>
  <si>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</si>
  <si>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</si>
  <si>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</si>
  <si>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</si>
  <si>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</si>
  <si>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</si>
  <si>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</si>
  <si>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</si>
  <si>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</si>
  <si>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</si>
  <si>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</si>
  <si>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</si>
  <si>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</si>
  <si>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</si>
  <si>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</si>
  <si>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</si>
  <si>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</si>
  <si>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</si>
  <si>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</si>
  <si>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</si>
  <si>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</si>
  <si>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</si>
  <si>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</si>
  <si>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</si>
  <si>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</si>
  <si>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</si>
  <si>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</si>
  <si>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</si>
  <si>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</si>
  <si>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</si>
  <si>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</si>
  <si>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</si>
  <si>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</si>
  <si>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</si>
  <si>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</si>
  <si>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</si>
  <si>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</si>
  <si>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</si>
  <si>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</si>
  <si>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</si>
  <si>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</si>
  <si>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</si>
  <si>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</si>
  <si>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</si>
  <si>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</si>
  <si>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</si>
  <si>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</si>
  <si>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</si>
  <si>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</si>
  <si>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</si>
  <si>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</si>
  <si>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</si>
  <si>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</si>
  <si>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</si>
  <si>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</si>
  <si>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</si>
  <si>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</si>
  <si>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</si>
  <si>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</si>
  <si>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</si>
  <si>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</si>
  <si>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</si>
  <si>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</si>
  <si>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</si>
  <si>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</si>
  <si>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</si>
  <si>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</si>
  <si>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</si>
  <si>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</si>
  <si>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</si>
  <si>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</si>
  <si>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</si>
  <si>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</si>
  <si>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</si>
  <si>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</si>
  <si>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</si>
  <si>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</si>
  <si>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</si>
  <si>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</si>
  <si>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</si>
  <si>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</si>
  <si>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</si>
  <si>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</si>
  <si>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</si>
  <si>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</si>
  <si>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</si>
  <si>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</si>
  <si>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</si>
  <si>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</si>
  <si>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</si>
  <si>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</si>
  <si>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</si>
  <si>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</si>
  <si>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</si>
  <si>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</si>
  <si>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</si>
  <si>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</si>
  <si>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</si>
  <si>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</si>
  <si>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</si>
  <si>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</si>
  <si>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</si>
  <si>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</si>
  <si>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</si>
  <si>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</si>
  <si>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</si>
  <si>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</si>
  <si>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</si>
  <si>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</si>
  <si>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</si>
  <si>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</si>
  <si>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</si>
  <si>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</si>
  <si>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</si>
  <si>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</si>
  <si>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</si>
  <si>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</si>
  <si>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</si>
  <si>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</si>
  <si>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</si>
  <si>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</si>
  <si>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</si>
  <si>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</si>
  <si>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</si>
  <si>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</si>
  <si>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</si>
  <si>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</si>
  <si>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</si>
  <si>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</si>
  <si>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</si>
  <si>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</si>
  <si>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</si>
  <si>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</si>
  <si>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</si>
  <si>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</si>
  <si>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</si>
  <si>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</si>
  <si>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</si>
  <si>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</si>
  <si>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</si>
  <si>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</si>
  <si>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</si>
  <si>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</si>
  <si>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</si>
  <si>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</si>
  <si>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</si>
  <si>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</si>
  <si>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</si>
  <si>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</si>
  <si>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</si>
  <si>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</si>
  <si>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</si>
  <si>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</si>
  <si>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</si>
  <si>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</si>
  <si>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</si>
  <si>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</si>
  <si>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</si>
  <si>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</si>
  <si>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</si>
  <si>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</si>
  <si>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</si>
  <si>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</si>
  <si>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</si>
  <si>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</si>
  <si>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</si>
  <si>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</si>
  <si>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</si>
  <si>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</si>
  <si>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</si>
  <si>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</si>
  <si>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</si>
  <si>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</si>
  <si>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</si>
  <si>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</si>
  <si>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</si>
  <si>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</si>
  <si>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</si>
  <si>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</si>
  <si>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</si>
  <si>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</si>
  <si>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</si>
  <si>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</si>
  <si>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</si>
  <si>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</si>
  <si>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</si>
  <si>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</si>
  <si>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</si>
  <si>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</si>
  <si>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</si>
  <si>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</si>
  <si>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</si>
  <si>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</si>
  <si>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</si>
  <si>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</si>
  <si>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</si>
  <si>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</si>
  <si>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</si>
  <si>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</si>
  <si>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</si>
  <si>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</si>
  <si>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</si>
  <si>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</si>
  <si>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</si>
  <si>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</si>
  <si>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</si>
  <si>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</si>
  <si>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</si>
  <si>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</si>
  <si>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</si>
  <si>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</si>
  <si>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</si>
  <si>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</si>
  <si>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</si>
  <si>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</si>
  <si>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</si>
  <si>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</si>
  <si>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</si>
  <si>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</si>
  <si>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</si>
  <si>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</si>
  <si>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</si>
  <si>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</si>
  <si>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</si>
  <si>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</si>
  <si>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</si>
  <si>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</si>
  <si>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</si>
  <si>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</si>
  <si>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</si>
  <si>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</si>
  <si>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</si>
  <si>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</si>
  <si>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</si>
  <si>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</si>
  <si>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</si>
  <si>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</si>
  <si>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</si>
  <si>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</si>
  <si>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</si>
  <si>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</si>
  <si>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</si>
  <si>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</si>
  <si>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</si>
  <si>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</si>
  <si>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</si>
  <si>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</si>
  <si>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</si>
  <si>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</si>
  <si>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</si>
  <si>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</si>
  <si>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</si>
  <si>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</si>
  <si>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</si>
  <si>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</si>
  <si>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</si>
  <si>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</si>
  <si>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</si>
  <si>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</si>
  <si>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</si>
  <si>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</si>
  <si>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</si>
  <si>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</si>
  <si>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</si>
  <si>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</si>
  <si>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</si>
  <si>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</si>
  <si>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</si>
  <si>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</si>
  <si>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</si>
  <si>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</si>
  <si>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</si>
  <si>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</si>
  <si>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</si>
  <si>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</si>
  <si>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</si>
  <si>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</si>
  <si>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</si>
  <si>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</si>
  <si>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</si>
  <si>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</si>
  <si>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</si>
  <si>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</si>
  <si>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</si>
  <si>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</si>
  <si>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</si>
  <si>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</si>
  <si>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</si>
  <si>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</si>
  <si>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</si>
  <si>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</si>
  <si>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</si>
  <si>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</si>
  <si>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</si>
  <si>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</si>
  <si>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</si>
  <si>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</si>
  <si>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</si>
  <si>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</si>
  <si>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</si>
  <si>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</si>
  <si>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</si>
  <si>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</si>
  <si>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</si>
  <si>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</si>
  <si>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</si>
  <si>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</si>
  <si>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</si>
  <si>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</si>
  <si>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</si>
  <si>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</si>
  <si>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</si>
  <si>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</si>
  <si>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</si>
  <si>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</si>
  <si>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</si>
  <si>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</si>
  <si>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</si>
  <si>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</si>
  <si>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</si>
  <si>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</si>
  <si>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</si>
  <si>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</si>
  <si>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</si>
  <si>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</si>
  <si>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</si>
  <si>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</si>
  <si>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</si>
  <si>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</si>
  <si>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</si>
  <si>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</si>
  <si>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</si>
  <si>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</si>
  <si>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</si>
  <si>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</si>
  <si>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</si>
  <si>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</si>
  <si>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</si>
  <si>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</si>
  <si>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</si>
  <si>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</si>
  <si>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</si>
  <si>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</si>
  <si>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</si>
  <si>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</si>
  <si>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</si>
  <si>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</si>
  <si>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</si>
  <si>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</si>
  <si>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</si>
  <si>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</si>
  <si>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</si>
  <si>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</si>
  <si>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</si>
  <si>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</si>
  <si>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</si>
  <si>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</si>
  <si>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</si>
  <si>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</si>
  <si>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</si>
  <si>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</si>
  <si>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</si>
  <si>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</si>
  <si>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</si>
  <si>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</si>
  <si>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</si>
  <si>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</si>
  <si>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</si>
  <si>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</si>
  <si>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</si>
  <si>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</si>
  <si>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</si>
  <si>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</si>
  <si>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</si>
  <si>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</si>
  <si>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</si>
  <si>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</si>
  <si>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</si>
  <si>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</si>
  <si>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</si>
  <si>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</si>
  <si>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</si>
  <si>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</si>
  <si>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</si>
  <si>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</si>
  <si>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</si>
  <si>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</si>
  <si>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</si>
  <si>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</si>
  <si>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</si>
  <si>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</si>
  <si>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</si>
  <si>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</si>
  <si>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</si>
  <si>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</si>
  <si>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</si>
  <si>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</si>
  <si>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</si>
  <si>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</si>
  <si>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</si>
  <si>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</si>
  <si>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</si>
  <si>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</si>
  <si>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</si>
  <si>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</si>
  <si>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</si>
  <si>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</si>
  <si>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</si>
  <si>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</si>
  <si>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</si>
  <si>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</si>
  <si>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</si>
  <si>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</si>
  <si>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</si>
  <si>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</si>
  <si>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</si>
  <si>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</si>
  <si>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</si>
  <si>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</si>
  <si>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</si>
  <si>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</si>
  <si>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</si>
  <si>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</si>
  <si>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</si>
  <si>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</si>
  <si>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</si>
  <si>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</si>
  <si>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</si>
  <si>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</si>
  <si>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</si>
  <si>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</si>
  <si>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</si>
  <si>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</si>
  <si>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</si>
  <si>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</si>
  <si>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</si>
  <si>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</si>
  <si>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</si>
  <si>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</si>
  <si>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</si>
  <si>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</si>
  <si>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</si>
  <si>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</si>
  <si>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</si>
  <si>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</si>
  <si>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</si>
  <si>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</si>
  <si>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</si>
  <si>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</si>
  <si>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</si>
  <si>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</si>
  <si>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</si>
  <si>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</si>
  <si>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</si>
  <si>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</si>
  <si>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</si>
  <si>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</si>
  <si>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</si>
  <si>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</si>
  <si>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</si>
  <si>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</si>
  <si>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</si>
  <si>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</si>
  <si>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</si>
  <si>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</si>
  <si>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</si>
  <si>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</si>
  <si>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</si>
  <si>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</si>
  <si>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</si>
  <si>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</si>
  <si>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</si>
  <si>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</si>
  <si>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</si>
  <si>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</si>
  <si>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</si>
  <si>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</si>
  <si>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</si>
  <si>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</si>
  <si>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</si>
  <si>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</si>
  <si>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</si>
  <si>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</si>
  <si>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</si>
  <si>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</si>
  <si>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</si>
  <si>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</si>
  <si>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</si>
  <si>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</si>
  <si>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</si>
  <si>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</si>
  <si>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</si>
  <si>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</si>
  <si>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</si>
  <si>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</si>
  <si>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</si>
  <si>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</si>
  <si>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</si>
  <si>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</si>
  <si>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</si>
  <si>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</si>
  <si>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</si>
  <si>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</si>
  <si>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</si>
  <si>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</si>
  <si>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</si>
  <si>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</si>
  <si>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</si>
  <si>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</si>
  <si>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</si>
  <si>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</si>
  <si>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</si>
  <si>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</si>
  <si>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</si>
  <si>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</si>
  <si>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</si>
  <si>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</si>
  <si>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</si>
  <si>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</si>
  <si>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</si>
  <si>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</si>
  <si>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</si>
  <si>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</si>
  <si>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</si>
  <si>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</si>
  <si>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</si>
  <si>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</si>
  <si>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</si>
  <si>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</si>
  <si>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</si>
  <si>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</si>
  <si>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</si>
  <si>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</si>
  <si>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</si>
  <si>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</si>
  <si>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</si>
  <si>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</si>
  <si>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</si>
  <si>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</si>
  <si>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</si>
  <si>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</si>
  <si>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</si>
  <si>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</si>
  <si>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</si>
  <si>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</si>
  <si>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</si>
  <si>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</si>
  <si>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</si>
  <si>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</si>
  <si>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</si>
  <si>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</si>
  <si>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</si>
  <si>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</si>
  <si>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</si>
  <si>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</si>
  <si>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</si>
  <si>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</si>
  <si>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</si>
  <si>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</si>
  <si>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</si>
  <si>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</si>
  <si>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</si>
  <si>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</si>
  <si>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</si>
  <si>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</si>
  <si>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</si>
  <si>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</si>
  <si>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</si>
  <si>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</si>
  <si>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</si>
  <si>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</si>
  <si>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</si>
  <si>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</si>
  <si>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</si>
  <si>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</si>
  <si>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</si>
  <si>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</si>
  <si>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</si>
  <si>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</si>
  <si>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</si>
  <si>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</si>
  <si>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</si>
  <si>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</si>
  <si>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</si>
  <si>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</si>
  <si>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</si>
  <si>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</si>
  <si>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</si>
  <si>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</si>
  <si>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</si>
  <si>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</si>
  <si>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</si>
  <si>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</si>
  <si>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</si>
  <si>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</si>
  <si>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</si>
  <si>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</si>
  <si>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</si>
  <si>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</si>
  <si>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</si>
  <si>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</si>
  <si>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</si>
  <si>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</si>
  <si>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</si>
  <si>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</si>
  <si>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</si>
  <si>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</si>
  <si>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</si>
  <si>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</si>
  <si>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</si>
  <si>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</si>
  <si>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</si>
  <si>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</si>
  <si>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</si>
  <si>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</si>
  <si>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</si>
  <si>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</si>
  <si>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</si>
  <si>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</si>
  <si>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</si>
  <si>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</si>
  <si>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</si>
  <si>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</si>
  <si>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</si>
  <si>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</si>
  <si>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</si>
  <si>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</si>
  <si>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</si>
  <si>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</si>
  <si>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</si>
  <si>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</si>
  <si>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</si>
  <si>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</si>
  <si>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</si>
  <si>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</si>
  <si>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</si>
  <si>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</si>
  <si>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</si>
  <si>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</si>
  <si>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</si>
  <si>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</si>
  <si>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</si>
  <si>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</si>
  <si>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</si>
  <si>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</si>
  <si>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</si>
  <si>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</si>
  <si>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</si>
  <si>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</si>
  <si>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</si>
  <si>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</si>
  <si>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</si>
  <si>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</si>
  <si>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</si>
  <si>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</si>
  <si>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</si>
  <si>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</si>
  <si>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</si>
  <si>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</si>
  <si>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</si>
  <si>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</si>
  <si>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</si>
  <si>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</si>
  <si>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</si>
  <si>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</si>
  <si>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</si>
  <si>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</si>
  <si>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</si>
  <si>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</si>
  <si>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</si>
  <si>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</si>
  <si>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</si>
  <si>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</si>
  <si>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</si>
  <si>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</si>
  <si>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</si>
  <si>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</si>
  <si>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</si>
  <si>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</si>
  <si>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</si>
  <si>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</si>
  <si>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</si>
  <si>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</si>
  <si>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</si>
  <si>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</si>
  <si>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</si>
  <si>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</si>
  <si>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</si>
  <si>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</si>
  <si>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</si>
  <si>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</si>
  <si>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</si>
  <si>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</si>
  <si>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</si>
  <si>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</si>
  <si>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</si>
  <si>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</si>
  <si>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</si>
  <si>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</si>
  <si>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</si>
  <si>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</si>
  <si>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</si>
  <si>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</si>
  <si>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</si>
  <si>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</si>
  <si>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</si>
  <si>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</si>
  <si>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</si>
  <si>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</si>
  <si>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</si>
  <si>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</si>
  <si>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</si>
  <si>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</si>
  <si>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</si>
  <si>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</si>
  <si>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</si>
  <si>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</si>
  <si>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</si>
  <si>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</si>
  <si>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</si>
  <si>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</si>
  <si>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</si>
  <si>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</si>
  <si>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</si>
  <si>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</si>
  <si>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</si>
  <si>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</si>
  <si>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</si>
  <si>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</si>
  <si>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</si>
  <si>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</si>
  <si>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</si>
  <si>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</si>
  <si>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</si>
  <si>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</si>
  <si>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</si>
  <si>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</si>
  <si>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</si>
  <si>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</si>
  <si>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</si>
  <si>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</si>
  <si>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</si>
  <si>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</si>
  <si>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</si>
  <si>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</si>
  <si>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</si>
  <si>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</si>
  <si>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</si>
  <si>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</si>
  <si>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</si>
  <si>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</si>
  <si>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</si>
  <si>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</si>
  <si>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</si>
  <si>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</si>
  <si>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</si>
  <si>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</si>
  <si>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</si>
  <si>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</si>
  <si>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</si>
  <si>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</si>
  <si>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</si>
  <si>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</si>
  <si>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</si>
  <si>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</si>
  <si>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</si>
  <si>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</si>
  <si>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</si>
  <si>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</si>
  <si>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</si>
  <si>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</si>
  <si>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</si>
  <si>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</si>
  <si>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</si>
  <si>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</si>
  <si>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</si>
  <si>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</si>
  <si>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</si>
  <si>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</si>
  <si>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</si>
  <si>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</si>
  <si>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</si>
  <si>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</si>
  <si>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</si>
  <si>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</si>
  <si>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</si>
  <si>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</si>
  <si>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</si>
  <si>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</si>
  <si>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</si>
  <si>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</si>
  <si>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</si>
  <si>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</si>
  <si>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</si>
  <si>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</si>
  <si>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</si>
  <si>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</si>
  <si>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</si>
  <si>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</si>
  <si>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</si>
  <si>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</si>
  <si>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</si>
  <si>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</si>
  <si>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</si>
  <si>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</si>
  <si>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</si>
  <si>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</si>
  <si>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</si>
  <si>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</si>
  <si>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</si>
  <si>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</si>
  <si>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</si>
  <si>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</si>
  <si>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</si>
  <si>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</si>
  <si>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</si>
  <si>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</si>
  <si>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</si>
  <si>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</si>
  <si>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</si>
  <si>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</si>
  <si>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</si>
  <si>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</si>
  <si>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</si>
  <si>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</si>
  <si>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</si>
  <si>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</si>
  <si>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</si>
  <si>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</si>
  <si>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</si>
  <si>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</si>
  <si>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</si>
  <si>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</si>
  <si>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</si>
  <si>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</si>
  <si>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</si>
  <si>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</si>
  <si>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</si>
  <si>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</si>
  <si>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</si>
  <si>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</si>
  <si>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</si>
  <si>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</si>
  <si>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</si>
  <si>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</si>
  <si>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</si>
  <si>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</si>
  <si>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</si>
  <si>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</si>
  <si>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</si>
  <si>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</si>
  <si>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</si>
  <si>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</si>
  <si>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</si>
  <si>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</si>
  <si>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</si>
  <si>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</si>
  <si>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</si>
  <si>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</si>
  <si>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</si>
  <si>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</si>
  <si>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</si>
  <si>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</si>
  <si>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</si>
  <si>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</si>
  <si>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</si>
  <si>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</si>
  <si>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</si>
  <si>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</si>
  <si>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</si>
  <si>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</si>
  <si>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</si>
  <si>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</si>
  <si>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</si>
  <si>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</si>
  <si>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</si>
  <si>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</si>
  <si>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</si>
  <si>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</si>
  <si>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</si>
  <si>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</si>
  <si>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</si>
  <si>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</si>
  <si>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</si>
  <si>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</si>
  <si>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</si>
  <si>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</si>
  <si>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</si>
  <si>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</si>
  <si>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</si>
  <si>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</si>
  <si>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</si>
  <si>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</si>
  <si>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</si>
  <si>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</si>
  <si>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</si>
  <si>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</si>
  <si>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</si>
  <si>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</si>
  <si>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</si>
  <si>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</si>
  <si>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</si>
  <si>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</si>
  <si>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</si>
  <si>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</si>
  <si>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</si>
  <si>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</si>
  <si>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</si>
  <si>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</si>
  <si>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</si>
  <si>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</si>
  <si>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</si>
  <si>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</si>
  <si>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</si>
  <si>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</si>
  <si>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</si>
  <si>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</si>
  <si>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</si>
  <si>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</si>
  <si>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</si>
  <si>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</si>
  <si>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</si>
  <si>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</si>
  <si>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</si>
  <si>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</si>
  <si>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</si>
  <si>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</si>
  <si>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</si>
  <si>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</si>
  <si>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</si>
  <si>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</si>
  <si>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</si>
  <si>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</si>
  <si>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</si>
  <si>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</si>
  <si>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</si>
  <si>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</si>
  <si>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</si>
  <si>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</si>
  <si>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</si>
  <si>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</si>
  <si>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</si>
  <si>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</si>
  <si>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</si>
  <si>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</si>
  <si>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</si>
  <si>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</si>
  <si>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</si>
  <si>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</si>
  <si>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</si>
  <si>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</si>
  <si>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</si>
  <si>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</si>
  <si>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</si>
  <si>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</si>
  <si>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</si>
  <si>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</si>
  <si>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</si>
  <si>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</si>
  <si>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</si>
  <si>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</si>
  <si>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</si>
  <si>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</si>
  <si>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</si>
  <si>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</si>
  <si>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</si>
  <si>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</si>
  <si>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</si>
  <si>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</si>
  <si>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</si>
  <si>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</si>
  <si>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</si>
  <si>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</si>
  <si>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</si>
  <si>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</si>
  <si>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</si>
  <si>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</si>
  <si>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</si>
  <si>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</si>
  <si>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</si>
  <si>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</si>
  <si>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</si>
  <si>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</si>
  <si>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</si>
  <si>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</si>
  <si>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</si>
  <si>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</si>
  <si>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</si>
  <si>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</si>
  <si>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</si>
  <si>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</si>
  <si>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</si>
  <si>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</si>
  <si>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</si>
  <si>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</si>
  <si>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</si>
  <si>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</si>
  <si>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</si>
  <si>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</si>
  <si>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</si>
  <si>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</si>
  <si>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</si>
  <si>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</si>
  <si>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</si>
  <si>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</si>
  <si>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</si>
  <si>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</si>
  <si>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</si>
  <si>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</si>
  <si>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</si>
  <si>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</si>
  <si>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</si>
  <si>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</si>
  <si>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</si>
  <si>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</si>
  <si>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</si>
  <si>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</si>
  <si>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</si>
  <si>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</si>
  <si>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</si>
  <si>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</si>
  <si>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</si>
  <si>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</si>
  <si>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</si>
  <si>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</si>
  <si>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</si>
  <si>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</si>
  <si>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</si>
  <si>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</si>
  <si>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</si>
  <si>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</si>
  <si>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</si>
  <si>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</si>
  <si>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</si>
  <si>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</si>
  <si>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</si>
  <si>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</si>
  <si>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</si>
  <si>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</si>
  <si>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</si>
  <si>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</si>
  <si>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</si>
  <si>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</si>
  <si>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</si>
  <si>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</si>
  <si>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</si>
  <si>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</si>
  <si>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</si>
  <si>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</si>
  <si>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</si>
  <si>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</si>
  <si>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</si>
  <si>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</si>
  <si>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</si>
  <si>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</si>
  <si>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</si>
  <si>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</si>
  <si>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</si>
  <si>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</si>
  <si>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</si>
  <si>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</si>
  <si>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</si>
  <si>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</si>
  <si>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</si>
  <si>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</si>
  <si>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</si>
  <si>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</si>
  <si>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</si>
  <si>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</si>
  <si>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</si>
  <si>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</si>
  <si>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</si>
  <si>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</si>
  <si>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</si>
  <si>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</si>
  <si>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</si>
  <si>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</si>
  <si>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</si>
  <si>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</si>
  <si>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</si>
  <si>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</si>
  <si>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</si>
  <si>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</si>
  <si>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</si>
  <si>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</si>
  <si>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</si>
  <si>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</si>
  <si>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</si>
  <si>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</si>
  <si>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</si>
  <si>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</si>
  <si>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</si>
  <si>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</si>
  <si>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</si>
  <si>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</si>
  <si>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</si>
  <si>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</si>
  <si>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</si>
  <si>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</si>
  <si>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</si>
  <si>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</si>
  <si>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</si>
  <si>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</si>
  <si>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</si>
  <si>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</si>
  <si>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</si>
  <si>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</si>
  <si>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</si>
  <si>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</si>
  <si>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</si>
  <si>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</si>
  <si>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</si>
  <si>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</si>
  <si>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</si>
  <si>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</si>
  <si>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</si>
  <si>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</si>
  <si>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</si>
  <si>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</si>
  <si>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</si>
  <si>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</si>
  <si>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</si>
  <si>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</si>
  <si>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</si>
  <si>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</si>
  <si>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</si>
  <si>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</si>
  <si>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</si>
  <si>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</si>
  <si>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</si>
  <si>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</si>
  <si>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</si>
  <si>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</si>
  <si>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</si>
  <si>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</si>
  <si>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</si>
  <si>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</si>
  <si>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</si>
  <si>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</si>
  <si>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</si>
  <si>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</si>
  <si>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</si>
  <si>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</si>
  <si>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</si>
  <si>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</si>
  <si>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</si>
  <si>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</si>
  <si>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</si>
  <si>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</si>
  <si>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</si>
  <si>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</si>
  <si>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</si>
  <si>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</si>
  <si>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</si>
  <si>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</si>
  <si>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</si>
  <si>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</si>
  <si>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</si>
  <si>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</si>
  <si>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</si>
  <si>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</si>
  <si>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</si>
  <si>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</si>
  <si>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</si>
  <si>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</si>
  <si>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</si>
  <si>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</si>
  <si>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</si>
  <si>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</si>
  <si>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</si>
  <si>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</si>
  <si>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</si>
  <si>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</si>
  <si>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</si>
  <si>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</si>
  <si>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</si>
  <si>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</si>
  <si>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</si>
  <si>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</si>
  <si>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</si>
  <si>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</si>
  <si>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</si>
  <si>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</si>
  <si>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</si>
  <si>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</si>
  <si>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</si>
  <si>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</si>
  <si>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</si>
  <si>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</si>
  <si>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</si>
  <si>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</si>
  <si>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</si>
  <si>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</si>
  <si>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</si>
  <si>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</si>
  <si>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</si>
  <si>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</si>
  <si>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</si>
  <si>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</si>
  <si>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</si>
  <si>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</si>
  <si>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</si>
  <si>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</si>
  <si>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</si>
  <si>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</si>
  <si>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</si>
  <si>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</si>
  <si>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</si>
  <si>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</si>
  <si>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</si>
  <si>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</si>
  <si>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</si>
  <si>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</si>
  <si>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</si>
  <si>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</si>
  <si>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</si>
  <si>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</si>
  <si>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</si>
  <si>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</si>
  <si>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</si>
  <si>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</si>
  <si>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</si>
  <si>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</si>
  <si>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</si>
  <si>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</si>
  <si>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</si>
  <si>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</si>
  <si>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</si>
  <si>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</si>
  <si>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</si>
  <si>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</si>
  <si>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</si>
  <si>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</si>
  <si>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</si>
  <si>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</si>
  <si>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</si>
  <si>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</si>
  <si>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</si>
  <si>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</si>
  <si>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</si>
  <si>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</si>
  <si>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</si>
  <si>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</si>
  <si>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</si>
  <si>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</si>
  <si>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</si>
  <si>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</si>
  <si>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</si>
  <si>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</si>
  <si>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</si>
  <si>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</si>
  <si>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</si>
  <si>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</si>
  <si>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</si>
  <si>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</si>
  <si>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</si>
  <si>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</si>
  <si>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</si>
  <si>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</si>
  <si>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</si>
  <si>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</si>
  <si>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</si>
  <si>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</si>
  <si>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</si>
  <si>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</si>
  <si>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</si>
  <si>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</si>
  <si>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</si>
  <si>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</si>
  <si>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</si>
  <si>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</si>
  <si>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</si>
  <si>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</si>
  <si>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</si>
  <si>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</si>
  <si>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</si>
  <si>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</si>
  <si>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</si>
  <si>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</si>
  <si>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</si>
  <si>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</si>
  <si>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</si>
  <si>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</si>
  <si>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</si>
  <si>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</si>
  <si>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</si>
  <si>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</si>
  <si>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</si>
  <si>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</si>
  <si>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</si>
  <si>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</si>
  <si>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</si>
  <si>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</si>
  <si>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</si>
  <si>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</si>
  <si>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</si>
  <si>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</si>
  <si>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</si>
  <si>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</si>
  <si>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</si>
  <si>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</si>
  <si>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</si>
  <si>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</si>
  <si>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</si>
  <si>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</si>
  <si>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</si>
  <si>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</si>
  <si>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</si>
  <si>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</si>
  <si>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</si>
  <si>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</si>
  <si>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</si>
  <si>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</si>
  <si>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</si>
  <si>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</si>
  <si>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</si>
  <si>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</si>
  <si>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</si>
  <si>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</si>
  <si>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</si>
  <si>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</si>
  <si>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</si>
  <si>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</si>
  <si>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</si>
  <si>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</si>
  <si>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</si>
  <si>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</si>
  <si>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</si>
  <si>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</si>
  <si>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</si>
  <si>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</si>
  <si>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</si>
  <si>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</si>
  <si>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</si>
  <si>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</si>
  <si>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</si>
  <si>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</si>
  <si>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</si>
  <si>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</si>
  <si>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</si>
  <si>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</si>
  <si>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</si>
  <si>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</si>
  <si>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</si>
  <si>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</si>
  <si>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</si>
  <si>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</si>
  <si>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</si>
  <si>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</si>
  <si>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</si>
  <si>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</si>
  <si>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</si>
  <si>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</si>
  <si>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</si>
  <si>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</si>
  <si>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</si>
  <si>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</si>
  <si>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</si>
  <si>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</si>
  <si>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</si>
  <si>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</si>
  <si>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</si>
  <si>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</si>
  <si>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</si>
  <si>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</si>
  <si>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</si>
  <si>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</si>
  <si>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</si>
  <si>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</si>
  <si>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</si>
  <si>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</si>
  <si>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</si>
  <si>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</si>
  <si>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</si>
  <si>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</si>
  <si>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</si>
  <si>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</si>
  <si>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</si>
  <si>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</si>
  <si>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</si>
  <si>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</si>
  <si>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</si>
  <si>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</si>
  <si>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</si>
  <si>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</si>
  <si>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</si>
  <si>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</si>
  <si>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</si>
  <si>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</si>
  <si>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</si>
  <si>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</si>
  <si>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</si>
  <si>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</si>
  <si>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</si>
  <si>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</si>
  <si>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</si>
  <si>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</si>
  <si>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</si>
  <si>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</si>
  <si>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</si>
  <si>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</si>
  <si>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</si>
  <si>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</si>
  <si>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</si>
  <si>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</si>
  <si>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</si>
  <si>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</si>
  <si>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</si>
  <si>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</si>
  <si>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</si>
  <si>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</si>
  <si>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</si>
  <si>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</si>
  <si>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</si>
  <si>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</si>
  <si>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</si>
  <si>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</si>
  <si>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</si>
  <si>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</si>
  <si>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</si>
  <si>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</si>
  <si>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</si>
  <si>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</si>
  <si>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</si>
  <si>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</si>
  <si>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</si>
  <si>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</si>
  <si>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</si>
  <si>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</si>
  <si>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</si>
  <si>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</si>
  <si>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</si>
  <si>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</si>
  <si>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</si>
  <si>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</si>
  <si>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</si>
  <si>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</si>
  <si>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</si>
  <si>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</si>
  <si>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</si>
  <si>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</si>
  <si>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</si>
  <si>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</si>
  <si>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</si>
  <si>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</si>
  <si>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</si>
  <si>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</si>
  <si>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</si>
  <si>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</si>
  <si>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</si>
  <si>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</si>
  <si>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</si>
  <si>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</si>
  <si>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</si>
  <si>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</si>
  <si>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</si>
  <si>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</si>
  <si>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</si>
  <si>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</si>
  <si>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</si>
  <si>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</si>
  <si>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</si>
  <si>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</si>
  <si>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</si>
  <si>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</si>
  <si>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</si>
  <si>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</si>
  <si>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</si>
  <si>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</si>
  <si>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</si>
  <si>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</si>
  <si>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</si>
  <si>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</si>
  <si>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</si>
  <si>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</si>
  <si>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</si>
  <si>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</si>
  <si>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</si>
  <si>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</si>
  <si>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</si>
  <si>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</si>
  <si>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</si>
  <si>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</si>
  <si>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</si>
  <si>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</si>
  <si>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</si>
  <si>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</si>
  <si>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</si>
  <si>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</si>
  <si>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</si>
  <si>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</si>
  <si>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</si>
  <si>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</si>
  <si>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</si>
  <si>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</si>
  <si>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</si>
  <si>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</si>
  <si>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</si>
  <si>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</si>
  <si>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</si>
  <si>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</si>
  <si>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</si>
  <si>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</si>
  <si>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</si>
  <si>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</si>
  <si>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</si>
  <si>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</si>
  <si>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</si>
  <si>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</si>
  <si>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</si>
  <si>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</si>
  <si>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</si>
  <si>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</si>
  <si>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</si>
  <si>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</si>
  <si>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</si>
  <si>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</si>
  <si>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</si>
  <si>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</si>
  <si>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</si>
  <si>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</si>
  <si>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</si>
  <si>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</si>
  <si>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</si>
  <si>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</si>
  <si>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</si>
  <si>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</si>
  <si>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</si>
  <si>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</si>
  <si>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</si>
  <si>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</si>
  <si>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</si>
  <si>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</si>
  <si>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</si>
  <si>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</si>
  <si>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</si>
  <si>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</si>
  <si>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</si>
  <si>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</si>
  <si>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</si>
  <si>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</si>
  <si>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</si>
  <si>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</si>
  <si>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</si>
  <si>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</si>
  <si>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</si>
  <si>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</si>
  <si>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</si>
  <si>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</si>
  <si>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</si>
  <si>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</si>
  <si>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</si>
  <si>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</si>
  <si>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</si>
  <si>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</si>
  <si>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</si>
  <si>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</si>
  <si>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</si>
  <si>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</si>
  <si>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</si>
  <si>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</si>
  <si>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</si>
  <si>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</si>
  <si>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</si>
  <si>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</si>
  <si>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</si>
  <si>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</si>
  <si>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</si>
  <si>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</si>
  <si>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</si>
  <si>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</si>
  <si>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</si>
  <si>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</si>
  <si>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</si>
  <si>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</si>
  <si>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</si>
  <si>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</si>
  <si>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</si>
  <si>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</si>
  <si>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</si>
  <si>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</si>
  <si>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</si>
  <si>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</si>
  <si>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</si>
  <si>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</si>
  <si>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</si>
  <si>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</si>
  <si>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</si>
  <si>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</si>
  <si>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</si>
  <si>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</si>
  <si>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</si>
  <si>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</si>
  <si>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</si>
  <si>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</si>
  <si>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</si>
  <si>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</si>
  <si>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</si>
  <si>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</si>
  <si>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</si>
  <si>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</si>
  <si>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</si>
  <si>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</si>
  <si>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</si>
  <si>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</si>
  <si>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</si>
  <si>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</si>
  <si>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</si>
  <si>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</si>
  <si>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</si>
  <si>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</si>
  <si>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</si>
  <si>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</si>
  <si>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</si>
  <si>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</si>
  <si>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</si>
  <si>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</si>
  <si>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</si>
  <si>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</si>
  <si>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</si>
  <si>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</si>
  <si>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</si>
  <si>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</si>
  <si>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</si>
  <si>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</si>
  <si>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</si>
  <si>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</si>
  <si>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</si>
  <si>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</si>
  <si>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</si>
  <si>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</si>
  <si>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</si>
  <si>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</si>
  <si>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</si>
  <si>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</si>
  <si>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</si>
  <si>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</si>
  <si>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</si>
  <si>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</si>
  <si>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</si>
  <si>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</si>
  <si>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</si>
  <si>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</si>
  <si>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</si>
  <si>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</si>
  <si>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</si>
  <si>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</si>
  <si>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</si>
  <si>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</si>
  <si>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</si>
  <si>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</si>
  <si>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</si>
  <si>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</si>
  <si>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</si>
  <si>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</si>
  <si>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</si>
  <si>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</si>
  <si>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</si>
  <si>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</si>
  <si>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</si>
  <si>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</si>
  <si>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</si>
  <si>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</si>
  <si>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</si>
  <si>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</si>
  <si>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</si>
  <si>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</si>
  <si>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</si>
  <si>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</si>
  <si>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</si>
  <si>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</si>
  <si>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</si>
  <si>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</si>
  <si>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</si>
  <si>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</si>
  <si>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</si>
  <si>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</si>
  <si>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</si>
  <si>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</si>
  <si>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</si>
  <si>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</si>
  <si>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</si>
  <si>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</si>
  <si>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</si>
  <si>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</si>
  <si>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</si>
  <si>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</si>
  <si>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</si>
  <si>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</si>
  <si>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</si>
  <si>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</si>
  <si>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</si>
  <si>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</si>
  <si>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</si>
  <si>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</si>
  <si>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</si>
  <si>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</si>
  <si>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</si>
  <si>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</si>
  <si>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</si>
  <si>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</si>
  <si>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</si>
  <si>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</si>
  <si>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</si>
  <si>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</si>
  <si>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</si>
  <si>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</si>
  <si>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</si>
  <si>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</si>
  <si>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</si>
  <si>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</si>
  <si>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</si>
  <si>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</si>
  <si>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</si>
  <si>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</si>
  <si>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</si>
  <si>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</si>
  <si>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</si>
  <si>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</si>
  <si>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</si>
  <si>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</si>
  <si>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</si>
  <si>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</si>
  <si>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</si>
  <si>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</si>
  <si>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</si>
  <si>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</si>
  <si>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</si>
  <si>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</si>
  <si>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</si>
  <si>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</si>
  <si>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</si>
  <si>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</si>
  <si>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</si>
  <si>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</si>
  <si>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</si>
  <si>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</si>
  <si>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</si>
  <si>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</si>
  <si>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</si>
  <si>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</si>
  <si>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</si>
  <si>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</si>
  <si>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</si>
  <si>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</si>
  <si>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</si>
  <si>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</si>
  <si>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</si>
  <si>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</si>
  <si>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</si>
  <si>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</si>
  <si>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</si>
  <si>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</si>
  <si>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</si>
  <si>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</si>
  <si>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</si>
  <si>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</si>
  <si>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</si>
  <si>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</si>
  <si>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</si>
  <si>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</si>
  <si>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</si>
  <si>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</si>
  <si>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</si>
  <si>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</si>
  <si>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</si>
  <si>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</si>
  <si>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</si>
  <si>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</si>
  <si>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</si>
  <si>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</si>
  <si>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</si>
  <si>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</si>
  <si>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</si>
  <si>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</si>
  <si>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</si>
  <si>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</si>
  <si>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</si>
  <si>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</si>
  <si>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</si>
  <si>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</si>
  <si>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</si>
  <si>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</si>
  <si>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</si>
  <si>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</si>
  <si>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</si>
  <si>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</si>
  <si>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</si>
  <si>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</si>
  <si>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</si>
  <si>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</si>
  <si>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</si>
  <si>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</si>
  <si>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</si>
  <si>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</si>
  <si>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</si>
  <si>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</si>
  <si>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</si>
  <si>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</si>
  <si>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</si>
  <si>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</si>
  <si>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</si>
  <si>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</si>
  <si>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</si>
  <si>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</si>
  <si>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</si>
  <si>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</si>
  <si>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</si>
  <si>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</si>
  <si>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</si>
  <si>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</si>
  <si>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</si>
  <si>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</si>
  <si>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</si>
  <si>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</si>
  <si>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</si>
  <si>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</si>
  <si>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</si>
  <si>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</si>
  <si>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</si>
  <si>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</si>
  <si>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</si>
  <si>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</si>
  <si>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</si>
  <si>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</si>
  <si>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</si>
  <si>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</si>
  <si>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</si>
  <si>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</si>
  <si>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</si>
  <si>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</si>
  <si>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</si>
  <si>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</si>
  <si>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</si>
  <si>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</si>
  <si>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</si>
  <si>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</si>
  <si>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</si>
  <si>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</si>
  <si>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</si>
  <si>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</si>
  <si>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</si>
  <si>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</si>
  <si>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</si>
  <si>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</si>
  <si>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</si>
  <si>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</si>
  <si>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</si>
  <si>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</si>
  <si>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</si>
  <si>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</si>
  <si>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</si>
  <si>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</si>
  <si>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</si>
  <si>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</si>
  <si>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</si>
  <si>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</si>
  <si>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</si>
  <si>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</si>
  <si>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</si>
  <si>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</si>
  <si>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</si>
  <si>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</si>
  <si>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</si>
  <si>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</si>
  <si>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</si>
  <si>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</si>
  <si>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</si>
  <si>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</si>
  <si>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</si>
  <si>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</si>
  <si>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</si>
  <si>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</si>
  <si>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</si>
  <si>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</si>
  <si>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</si>
  <si>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</si>
  <si>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</si>
  <si>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</si>
  <si>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</si>
  <si>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</si>
  <si>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</si>
  <si>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</si>
  <si>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</si>
  <si>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</si>
  <si>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</si>
  <si>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</si>
  <si>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</si>
  <si>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</si>
  <si>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</si>
  <si>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</si>
  <si>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</si>
  <si>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</si>
  <si>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</si>
  <si>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</si>
  <si>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</si>
  <si>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</si>
  <si>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</si>
  <si>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</si>
  <si>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</si>
  <si>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</si>
  <si>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</si>
  <si>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</si>
  <si>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</si>
  <si>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</si>
  <si>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</si>
  <si>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</si>
  <si>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</si>
  <si>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</si>
  <si>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</si>
  <si>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</si>
  <si>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</si>
  <si>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</si>
  <si>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</si>
  <si>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</si>
  <si>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</si>
  <si>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</si>
  <si>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</si>
  <si>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</si>
  <si>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</si>
  <si>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</si>
  <si>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</si>
  <si>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</si>
  <si>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</si>
  <si>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</si>
  <si>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</si>
  <si>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</si>
  <si>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</si>
  <si>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</si>
  <si>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</si>
  <si>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</si>
  <si>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</si>
  <si>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</si>
  <si>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</si>
  <si>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</si>
  <si>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</si>
  <si>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</si>
  <si>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</si>
  <si>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</si>
  <si>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</si>
  <si>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</si>
  <si>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</si>
  <si>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</si>
  <si>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</si>
  <si>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</si>
  <si>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</si>
  <si>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</si>
  <si>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</si>
  <si>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</si>
  <si>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</si>
  <si>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</si>
  <si>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</si>
  <si>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</si>
  <si>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</si>
  <si>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</si>
  <si>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</si>
  <si>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</si>
  <si>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</si>
  <si>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</si>
  <si>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</si>
  <si>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</si>
  <si>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</si>
  <si>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</si>
  <si>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</si>
  <si>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</si>
  <si>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</si>
  <si>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</si>
  <si>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</si>
  <si>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</si>
  <si>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</si>
  <si>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</si>
  <si>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</si>
  <si>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</si>
  <si>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</si>
  <si>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</si>
  <si>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</si>
  <si>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</si>
  <si>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</si>
  <si>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</si>
  <si>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</si>
  <si>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</si>
  <si>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</si>
  <si>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</si>
  <si>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</si>
  <si>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</si>
  <si>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</si>
  <si>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</si>
  <si>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</si>
  <si>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</si>
  <si>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</si>
  <si>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</si>
  <si>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</si>
  <si>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</si>
  <si>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</si>
  <si>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</si>
  <si>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</si>
  <si>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</si>
  <si>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</si>
  <si>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</si>
  <si>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</si>
  <si>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</si>
  <si>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</si>
  <si>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</si>
  <si>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</si>
  <si>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</si>
  <si>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</si>
  <si>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</si>
  <si>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</si>
  <si>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</si>
  <si>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</si>
  <si>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</si>
  <si>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</si>
  <si>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</si>
  <si>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</si>
  <si>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</si>
  <si>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</si>
  <si>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</si>
  <si>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</si>
  <si>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</si>
  <si>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</si>
  <si>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</si>
  <si>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</si>
  <si>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</si>
  <si>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</si>
  <si>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</si>
  <si>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</si>
  <si>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</si>
  <si>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</si>
  <si>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</si>
  <si>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</si>
  <si>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</si>
  <si>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</si>
  <si>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</si>
  <si>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</si>
  <si>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</si>
  <si>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</si>
  <si>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</si>
  <si>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</si>
  <si>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</si>
  <si>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</si>
  <si>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</si>
  <si>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</si>
  <si>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</si>
  <si>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</si>
  <si>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</si>
  <si>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</si>
  <si>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</si>
  <si>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</si>
  <si>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</si>
  <si>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</si>
  <si>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</si>
  <si>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</si>
  <si>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</si>
  <si>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</si>
  <si>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</si>
  <si>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</si>
  <si>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</si>
  <si>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</si>
  <si>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</si>
  <si>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</si>
  <si>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</si>
  <si>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</si>
  <si>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</si>
  <si>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</si>
  <si>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</si>
  <si>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</si>
  <si>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</si>
  <si>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</si>
  <si>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</si>
  <si>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</si>
  <si>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</si>
  <si>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</si>
  <si>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</si>
  <si>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</si>
  <si>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</si>
  <si>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</si>
  <si>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</si>
  <si>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</si>
  <si>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</si>
  <si>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</si>
  <si>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</si>
  <si>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</si>
  <si>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</si>
  <si>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</si>
  <si>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</si>
  <si>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</si>
  <si>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</si>
  <si>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</si>
  <si>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</si>
  <si>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</si>
  <si>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</si>
  <si>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</si>
  <si>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</si>
  <si>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</si>
  <si>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</si>
  <si>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</si>
  <si>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</si>
  <si>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</si>
  <si>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</si>
  <si>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</si>
  <si>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</si>
  <si>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</si>
  <si>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</si>
  <si>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</si>
  <si>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</si>
  <si>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</si>
  <si>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</si>
  <si>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</si>
  <si>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</si>
  <si>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</si>
  <si>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</si>
  <si>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</si>
  <si>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</si>
  <si>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</si>
  <si>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</si>
  <si>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</si>
  <si>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</si>
  <si>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</si>
  <si>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</si>
  <si>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</si>
  <si>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</si>
  <si>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</si>
  <si>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</si>
  <si>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</si>
  <si>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</si>
  <si>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</si>
  <si>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</si>
  <si>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</si>
  <si>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</si>
  <si>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</si>
  <si>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</si>
  <si>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</si>
  <si>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</si>
  <si>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</si>
  <si>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</si>
  <si>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</si>
  <si>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</si>
  <si>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</si>
  <si>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</si>
  <si>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</si>
  <si>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</si>
  <si>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</si>
  <si>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</si>
  <si>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</si>
  <si>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</si>
  <si>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</si>
  <si>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</si>
  <si>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</si>
  <si>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</si>
  <si>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</si>
  <si>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</si>
  <si>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</si>
  <si>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</si>
  <si>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</si>
  <si>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</si>
  <si>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</si>
  <si>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</si>
  <si>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</si>
  <si>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</si>
  <si>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</si>
  <si>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</si>
  <si>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</si>
  <si>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</si>
  <si>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</si>
  <si>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</si>
  <si>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</si>
  <si>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</si>
  <si>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</si>
  <si>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</si>
  <si>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</si>
  <si>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</si>
  <si>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</si>
  <si>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</si>
  <si>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</si>
  <si>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</si>
  <si>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</si>
  <si>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</si>
  <si>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</si>
  <si>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</si>
  <si>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</si>
  <si>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</si>
  <si>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</si>
  <si>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</si>
  <si>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</si>
  <si>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</si>
  <si>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</si>
  <si>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</si>
  <si>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</si>
  <si>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</si>
  <si>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</si>
  <si>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</si>
  <si>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</si>
  <si>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</si>
  <si>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</si>
  <si>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</si>
  <si>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</si>
  <si>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</si>
  <si>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</si>
  <si>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</si>
  <si>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</si>
  <si>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</si>
  <si>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</si>
  <si>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</si>
  <si>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</si>
  <si>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</si>
  <si>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</si>
  <si>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</si>
  <si>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</si>
  <si>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</si>
  <si>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</si>
  <si>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</si>
  <si>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</si>
  <si>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</si>
  <si>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</si>
  <si>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</si>
  <si>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</si>
  <si>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</si>
  <si>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</si>
  <si>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</si>
  <si>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</si>
  <si>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</si>
  <si>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</si>
  <si>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</si>
  <si>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</si>
  <si>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</si>
  <si>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</si>
  <si>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</si>
  <si>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</si>
  <si>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</si>
  <si>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</si>
  <si>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</si>
  <si>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</si>
  <si>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</si>
  <si>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</si>
  <si>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</si>
  <si>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</si>
  <si>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</si>
  <si>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</si>
  <si>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</si>
  <si>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</si>
  <si>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</si>
  <si>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</si>
  <si>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</si>
  <si>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</si>
  <si>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</si>
  <si>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</si>
  <si>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</si>
  <si>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</si>
  <si>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</si>
  <si>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</si>
  <si>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</si>
  <si>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</si>
  <si>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</si>
  <si>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</si>
  <si>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</si>
  <si>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</si>
  <si>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</si>
  <si>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</si>
  <si>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</si>
  <si>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</si>
  <si>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</si>
  <si>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</si>
  <si>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</si>
  <si>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</si>
  <si>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</si>
  <si>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</si>
  <si>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</si>
  <si>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</si>
  <si>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</si>
  <si>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</si>
  <si>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</si>
  <si>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</si>
  <si>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</si>
  <si>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</si>
  <si>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</si>
  <si>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</si>
  <si>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</si>
  <si>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</si>
  <si>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</si>
  <si>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</si>
  <si>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</si>
  <si>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</si>
  <si>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</si>
  <si>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</si>
  <si>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</si>
  <si>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</si>
  <si>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</si>
  <si>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</si>
  <si>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</si>
  <si>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</si>
  <si>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</si>
  <si>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</si>
  <si>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</si>
  <si>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</si>
  <si>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</si>
  <si>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</si>
  <si>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</si>
  <si>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</si>
  <si>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</si>
  <si>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</si>
  <si>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</si>
  <si>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</si>
  <si>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</si>
  <si>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</si>
  <si>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</si>
  <si>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</si>
  <si>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</si>
  <si>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</si>
  <si>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</si>
  <si>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</si>
  <si>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</si>
  <si>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</si>
  <si>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</si>
  <si>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</si>
  <si>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</si>
  <si>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</si>
  <si>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</si>
  <si>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</si>
  <si>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</si>
  <si>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</si>
  <si>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</si>
  <si>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</si>
  <si>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</si>
  <si>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</si>
  <si>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</si>
  <si>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</si>
  <si>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</si>
  <si>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</si>
  <si>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</si>
  <si>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</si>
  <si>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</si>
  <si>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</si>
  <si>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</si>
  <si>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</si>
  <si>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</si>
  <si>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</si>
  <si>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</si>
  <si>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</si>
  <si>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</si>
  <si>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</si>
  <si>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</si>
  <si>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</si>
  <si>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</si>
  <si>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</si>
  <si>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</si>
  <si>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</si>
  <si>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</si>
  <si>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</si>
  <si>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</si>
  <si>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</si>
  <si>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</si>
  <si>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</si>
  <si>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</si>
  <si>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</si>
  <si>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</si>
  <si>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</si>
  <si>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</si>
  <si>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</si>
  <si>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</si>
  <si>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</si>
  <si>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</si>
  <si>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</si>
  <si>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</si>
  <si>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</si>
  <si>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</si>
  <si>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</si>
  <si>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</si>
  <si>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</si>
  <si>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</si>
  <si>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</si>
  <si>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</si>
  <si>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</si>
  <si>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</si>
  <si>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</si>
  <si>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</si>
  <si>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</si>
  <si>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</si>
  <si>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</si>
  <si>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</si>
  <si>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</si>
  <si>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</si>
  <si>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</si>
  <si>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</si>
  <si>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</si>
  <si>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</si>
  <si>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</si>
  <si>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</si>
  <si>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</si>
  <si>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</si>
  <si>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</si>
  <si>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</si>
  <si>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</si>
  <si>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</si>
  <si>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</si>
  <si>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</si>
  <si>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</si>
  <si>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</si>
  <si>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</si>
  <si>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</si>
  <si>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</si>
  <si>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</si>
  <si>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</si>
  <si>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</si>
  <si>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</si>
  <si>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</si>
  <si>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</si>
  <si>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</si>
  <si>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</si>
  <si>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</si>
  <si>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</si>
  <si>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</si>
  <si>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</si>
  <si>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</si>
  <si>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</si>
  <si>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</si>
  <si>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</si>
  <si>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</si>
  <si>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</si>
  <si>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</si>
  <si>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</si>
  <si>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</si>
  <si>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</si>
  <si>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</si>
  <si>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</si>
  <si>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</si>
  <si>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</si>
  <si>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</si>
  <si>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</si>
  <si>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</si>
  <si>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</si>
  <si>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</si>
  <si>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</si>
  <si>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</si>
  <si>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</si>
  <si>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</si>
  <si>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</si>
  <si>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</si>
  <si>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</si>
  <si>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</si>
  <si>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</si>
  <si>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</si>
  <si>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</si>
  <si>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</si>
  <si>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</si>
  <si>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</si>
  <si>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</si>
  <si>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</si>
  <si>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</si>
  <si>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</si>
  <si>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</si>
  <si>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</si>
  <si>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</si>
  <si>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</si>
  <si>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</si>
  <si>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</si>
  <si>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</si>
  <si>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</si>
  <si>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</si>
  <si>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</si>
  <si>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</si>
  <si>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</si>
  <si>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</si>
  <si>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</si>
  <si>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</si>
  <si>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</si>
  <si>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</si>
  <si>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</si>
  <si>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</si>
  <si>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</si>
  <si>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</si>
  <si>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</si>
  <si>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</si>
  <si>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</si>
  <si>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</si>
  <si>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</si>
  <si>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</si>
  <si>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</si>
  <si>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</si>
  <si>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</si>
  <si>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</si>
  <si>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</si>
  <si>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</si>
  <si>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</si>
  <si>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</si>
  <si>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</si>
  <si>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</si>
  <si>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</si>
  <si>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</si>
  <si>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</si>
  <si>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</si>
  <si>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</si>
  <si>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</si>
  <si>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</si>
  <si>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</si>
  <si>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</si>
  <si>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</si>
  <si>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</si>
  <si>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</si>
  <si>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</si>
  <si>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</si>
  <si>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</si>
  <si>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</si>
  <si>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</si>
  <si>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</si>
  <si>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</si>
  <si>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</si>
  <si>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</si>
  <si>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</si>
  <si>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</si>
  <si>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</si>
  <si>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</si>
  <si>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</si>
  <si>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</si>
  <si>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</si>
  <si>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</si>
  <si>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</si>
  <si>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</si>
  <si>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</si>
  <si>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</si>
  <si>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</si>
  <si>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</si>
  <si>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</si>
  <si>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</si>
  <si>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</si>
  <si>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</si>
  <si>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</si>
  <si>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</si>
  <si>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</si>
  <si>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</si>
  <si>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</si>
  <si>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</si>
  <si>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</si>
  <si>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</si>
  <si>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</si>
  <si>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</si>
  <si>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</si>
  <si>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</si>
  <si>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</si>
  <si>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</si>
  <si>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</si>
  <si>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</si>
  <si>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</si>
  <si>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</si>
  <si>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</si>
  <si>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</si>
  <si>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</si>
  <si>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</si>
  <si>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</si>
  <si>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</si>
  <si>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</si>
  <si>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</si>
  <si>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</si>
  <si>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</si>
  <si>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</si>
  <si>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</si>
  <si>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</si>
  <si>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</si>
  <si>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</si>
  <si>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</si>
  <si>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</si>
  <si>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</si>
  <si>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</si>
  <si>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</si>
  <si>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</si>
  <si>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</si>
  <si>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</si>
  <si>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</si>
  <si>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</si>
  <si>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</si>
  <si>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</si>
  <si>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</si>
  <si>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</si>
  <si>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</si>
  <si>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</si>
  <si>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</si>
  <si>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</si>
  <si>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</si>
  <si>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</si>
  <si>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</si>
  <si>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</si>
  <si>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</si>
  <si>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</si>
  <si>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</si>
  <si>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</si>
  <si>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</si>
  <si>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</si>
  <si>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</si>
  <si>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</si>
  <si>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</si>
  <si>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</si>
  <si>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</si>
  <si>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</si>
  <si>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</si>
  <si>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</si>
  <si>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</si>
  <si>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</si>
  <si>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</si>
  <si>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</si>
  <si>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</si>
  <si>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</si>
  <si>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</si>
  <si>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</si>
  <si>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</si>
  <si>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</si>
  <si>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</si>
  <si>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</si>
  <si>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</si>
  <si>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</si>
  <si>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</si>
  <si>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</si>
  <si>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</si>
  <si>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</si>
  <si>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</si>
  <si>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</si>
  <si>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</si>
  <si>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</si>
  <si>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</si>
  <si>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</si>
  <si>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</si>
  <si>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</si>
  <si>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</si>
  <si>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</si>
  <si>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</si>
  <si>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</si>
  <si>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</si>
  <si>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</si>
  <si>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</si>
  <si>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</si>
  <si>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</si>
  <si>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</si>
  <si>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</si>
  <si>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</si>
  <si>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</si>
  <si>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</si>
  <si>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</si>
  <si>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</si>
  <si>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</si>
  <si>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</si>
  <si>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</si>
  <si>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</si>
  <si>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</si>
  <si>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</si>
  <si>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</si>
  <si>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</si>
  <si>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</si>
  <si>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</si>
  <si>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</si>
  <si>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</si>
  <si>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</si>
  <si>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</si>
  <si>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</si>
  <si>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</si>
  <si>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</si>
  <si>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</si>
  <si>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</si>
  <si>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</si>
  <si>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</si>
  <si>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</si>
  <si>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</si>
  <si>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</si>
  <si>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</si>
  <si>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</si>
  <si>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</si>
  <si>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</si>
  <si>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</si>
  <si>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</si>
  <si>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</si>
  <si>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</si>
  <si>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</si>
  <si>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</si>
  <si>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</si>
  <si>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</si>
  <si>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</si>
  <si>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</si>
  <si>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</si>
  <si>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</si>
  <si>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</si>
  <si>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</si>
  <si>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</si>
  <si>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</si>
  <si>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</si>
  <si>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</si>
  <si>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</si>
  <si>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</si>
  <si>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</si>
  <si>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</si>
  <si>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</si>
  <si>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</si>
  <si>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</si>
  <si>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</si>
  <si>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</si>
  <si>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</si>
  <si>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</si>
  <si>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</si>
  <si>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</si>
  <si>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</si>
  <si>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</si>
  <si>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</si>
  <si>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</si>
  <si>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</si>
  <si>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</si>
  <si>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</si>
  <si>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</si>
  <si>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</si>
  <si>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</si>
  <si>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</si>
  <si>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</si>
  <si>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</si>
  <si>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</si>
  <si>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</si>
  <si>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</si>
  <si>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</si>
  <si>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</si>
  <si>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</si>
  <si>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</si>
  <si>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</si>
  <si>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</si>
  <si>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</si>
  <si>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</si>
  <si>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</si>
  <si>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</si>
  <si>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</si>
  <si>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</si>
  <si>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</si>
  <si>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</si>
  <si>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</si>
  <si>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</si>
  <si>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</si>
  <si>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</si>
  <si>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</si>
  <si>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</si>
  <si>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</si>
  <si>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</si>
  <si>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</si>
  <si>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</si>
  <si>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</si>
  <si>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</si>
  <si>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</si>
  <si>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</si>
  <si>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</si>
  <si>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</si>
  <si>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</si>
  <si>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</si>
  <si>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</si>
  <si>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</si>
  <si>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</si>
  <si>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</si>
  <si>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</si>
  <si>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</si>
  <si>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</si>
  <si>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</si>
  <si>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</si>
  <si>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</si>
  <si>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</si>
  <si>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</si>
  <si>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</si>
  <si>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</si>
  <si>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</si>
  <si>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</si>
  <si>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</si>
  <si>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</si>
  <si>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</si>
  <si>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</si>
  <si>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</si>
  <si>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</si>
  <si>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</si>
  <si>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</si>
  <si>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</si>
  <si>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</si>
  <si>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</si>
  <si>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</si>
  <si>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</si>
  <si>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</si>
  <si>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</si>
  <si>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</si>
  <si>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</si>
  <si>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</si>
  <si>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</si>
  <si>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</si>
  <si>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</si>
  <si>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</si>
  <si>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</si>
  <si>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</si>
  <si>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</si>
  <si>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</si>
  <si>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</si>
  <si>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</si>
  <si>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</si>
  <si>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</si>
  <si>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</si>
  <si>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</si>
  <si>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</si>
  <si>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</si>
  <si>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</si>
  <si>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</si>
  <si>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</si>
  <si>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</si>
  <si>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</si>
  <si>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</si>
  <si>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</si>
  <si>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</si>
  <si>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</si>
  <si>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</si>
  <si>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</si>
  <si>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</si>
  <si>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</si>
  <si>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</si>
  <si>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</si>
  <si>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</si>
  <si>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</si>
  <si>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</si>
  <si>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</si>
  <si>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</si>
  <si>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</si>
  <si>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</si>
  <si>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</si>
  <si>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</si>
  <si>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</si>
  <si>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</si>
  <si>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</si>
  <si>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</si>
  <si>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</si>
  <si>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</si>
  <si>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</si>
  <si>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</si>
  <si>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</si>
  <si>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</si>
  <si>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</si>
  <si>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</si>
  <si>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</si>
  <si>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</si>
  <si>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</si>
  <si>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</si>
  <si>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</si>
  <si>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</si>
  <si>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</si>
  <si>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</si>
  <si>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</si>
  <si>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</si>
  <si>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</si>
  <si>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</si>
  <si>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</si>
  <si>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</si>
  <si>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</si>
  <si>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</si>
  <si>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</si>
  <si>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</si>
  <si>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</si>
  <si>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</si>
  <si>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</si>
  <si>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</si>
  <si>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</si>
  <si>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</si>
  <si>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</si>
  <si>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</si>
  <si>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</si>
  <si>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</si>
  <si>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</si>
  <si>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</si>
  <si>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</si>
  <si>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</si>
  <si>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</si>
  <si>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</si>
  <si>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</si>
  <si>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</si>
  <si>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</si>
  <si>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</si>
  <si>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</si>
  <si>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</si>
  <si>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</si>
  <si>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</si>
  <si>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</si>
  <si>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</si>
  <si>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</si>
  <si>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</si>
  <si>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</si>
  <si>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</si>
  <si>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</si>
  <si>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</si>
  <si>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</si>
  <si>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</si>
  <si>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</si>
  <si>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</si>
  <si>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</si>
  <si>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</si>
  <si>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</si>
  <si>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</si>
  <si>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</si>
  <si>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</si>
  <si>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</si>
  <si>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</si>
  <si>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</si>
  <si>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</si>
  <si>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</si>
  <si>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</si>
  <si>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</si>
  <si>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</si>
  <si>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</si>
  <si>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</si>
  <si>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</si>
  <si>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</si>
  <si>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</si>
  <si>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</si>
  <si>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</si>
  <si>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</si>
  <si>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</si>
  <si>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</si>
  <si>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</si>
  <si>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</si>
  <si>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</si>
  <si>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</si>
  <si>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</si>
  <si>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</si>
  <si>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</si>
  <si>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</si>
  <si>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</si>
  <si>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</si>
  <si>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</si>
  <si>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</si>
  <si>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</si>
  <si>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</si>
  <si>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</si>
  <si>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</si>
  <si>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</si>
  <si>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</si>
  <si>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</si>
  <si>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</si>
  <si>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</si>
  <si>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</si>
  <si>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</si>
  <si>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</si>
  <si>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</si>
  <si>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</si>
  <si>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</si>
  <si>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</si>
  <si>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</si>
  <si>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</si>
  <si>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</si>
  <si>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</si>
  <si>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</si>
  <si>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</si>
  <si>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</si>
  <si>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</si>
  <si>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</si>
  <si>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</si>
  <si>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</si>
  <si>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</si>
  <si>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</si>
  <si>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</si>
  <si>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</si>
  <si>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</si>
  <si>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</si>
  <si>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</si>
  <si>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</si>
  <si>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</si>
  <si>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</si>
  <si>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</si>
  <si>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</si>
  <si>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</si>
  <si>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</si>
  <si>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</si>
  <si>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</si>
  <si>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</si>
  <si>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</si>
  <si>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</si>
  <si>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</si>
  <si>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</si>
  <si>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</si>
  <si>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</si>
  <si>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</si>
  <si>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</si>
  <si>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</si>
  <si>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</si>
  <si>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</si>
  <si>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</si>
  <si>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</si>
  <si>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</si>
  <si>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</si>
  <si>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</si>
  <si>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</si>
  <si>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</si>
  <si>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</si>
  <si>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</si>
  <si>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</si>
  <si>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</si>
  <si>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</si>
  <si>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</si>
  <si>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</si>
  <si>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</si>
  <si>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</si>
  <si>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</si>
  <si>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</si>
  <si>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</si>
  <si>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</si>
  <si>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</si>
  <si>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</si>
  <si>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</si>
  <si>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</si>
  <si>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</si>
  <si>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</si>
  <si>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</si>
  <si>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</si>
  <si>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</si>
  <si>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</si>
  <si>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</si>
  <si>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</si>
  <si>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</si>
  <si>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</si>
  <si>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</si>
  <si>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</si>
  <si>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</si>
  <si>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</si>
  <si>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</si>
  <si>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</si>
  <si>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</si>
  <si>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</si>
  <si>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</si>
  <si>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</si>
  <si>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</si>
  <si>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</si>
  <si>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</si>
  <si>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</si>
  <si>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</si>
  <si>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</si>
  <si>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</si>
  <si>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</si>
  <si>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</si>
  <si>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</si>
  <si>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</si>
  <si>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</si>
  <si>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</si>
  <si>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</si>
  <si>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</si>
  <si>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</si>
  <si>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</si>
  <si>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</si>
  <si>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</si>
  <si>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</si>
  <si>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</si>
  <si>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</si>
  <si>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</si>
  <si>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</si>
  <si>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</si>
  <si>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</si>
  <si>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</si>
  <si>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</si>
  <si>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</si>
  <si>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</si>
  <si>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</si>
  <si>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</si>
  <si>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</si>
  <si>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</si>
  <si>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</si>
  <si>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</si>
  <si>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</si>
  <si>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</si>
  <si>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</si>
  <si>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</si>
  <si>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</si>
  <si>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</si>
  <si>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</si>
  <si>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</si>
  <si>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</si>
  <si>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</si>
  <si>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</si>
  <si>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</si>
  <si>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</si>
  <si>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</si>
  <si>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</si>
  <si>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</si>
  <si>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</si>
  <si>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</si>
  <si>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</si>
  <si>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</si>
  <si>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</si>
  <si>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</si>
  <si>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</si>
  <si>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</si>
  <si>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</si>
  <si>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</si>
  <si>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</si>
  <si>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</si>
  <si>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</si>
  <si>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</si>
  <si>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</si>
  <si>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</si>
  <si>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</si>
  <si>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</si>
  <si>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</si>
  <si>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</si>
  <si>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</si>
  <si>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</si>
  <si>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</si>
  <si>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</si>
  <si>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</si>
  <si>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</si>
  <si>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</si>
  <si>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</si>
  <si>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</si>
  <si>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</si>
  <si>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</si>
  <si>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</si>
  <si>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</si>
  <si>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</si>
  <si>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</si>
  <si>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</si>
  <si>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</si>
  <si>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</si>
  <si>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</si>
  <si>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</si>
  <si>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</si>
  <si>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</si>
  <si>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</si>
  <si>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</si>
  <si>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</si>
  <si>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</si>
  <si>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</si>
  <si>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</si>
  <si>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</si>
  <si>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</si>
  <si>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</si>
  <si>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</si>
  <si>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</si>
  <si>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</si>
  <si>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</si>
  <si>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</si>
  <si>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</si>
  <si>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</si>
  <si>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</si>
  <si>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</si>
  <si>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</si>
  <si>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</si>
  <si>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</si>
  <si>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</si>
  <si>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</si>
  <si>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</si>
  <si>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</si>
  <si>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</si>
  <si>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</si>
  <si>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</si>
  <si>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</si>
  <si>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</si>
  <si>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</si>
  <si>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</si>
  <si>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</si>
  <si>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</si>
  <si>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</si>
  <si>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</si>
  <si>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</si>
  <si>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</si>
  <si>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</si>
  <si>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</si>
  <si>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</si>
  <si>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</si>
  <si>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</si>
  <si>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</si>
  <si>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</si>
  <si>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</si>
  <si>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</si>
  <si>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</si>
  <si>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</si>
  <si>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</si>
  <si>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</si>
  <si>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</si>
  <si>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</si>
  <si>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</si>
  <si>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</si>
  <si>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</si>
  <si>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</si>
  <si>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</si>
  <si>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</si>
  <si>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</si>
  <si>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</si>
  <si>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</si>
  <si>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</si>
  <si>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</si>
  <si>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</si>
  <si>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</si>
  <si>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</si>
  <si>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</si>
  <si>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</si>
  <si>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</si>
  <si>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</si>
  <si>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</si>
  <si>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</si>
  <si>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</si>
  <si>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</si>
  <si>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</si>
  <si>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</si>
  <si>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</si>
  <si>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</si>
  <si>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</si>
  <si>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</si>
  <si>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</si>
  <si>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</si>
  <si>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</si>
  <si>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</si>
  <si>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</si>
  <si>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</si>
  <si>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</si>
  <si>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</si>
  <si>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</si>
  <si>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</si>
  <si>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</si>
  <si>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</si>
  <si>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</si>
  <si>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</si>
  <si>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</si>
  <si>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</si>
  <si>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</si>
  <si>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</si>
  <si>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</si>
  <si>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</si>
  <si>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</si>
  <si>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</si>
  <si>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</si>
  <si>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</si>
  <si>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</si>
  <si>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</si>
  <si>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</si>
  <si>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</si>
  <si>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</si>
  <si>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</si>
  <si>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</si>
  <si>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</si>
  <si>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</si>
  <si>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</si>
  <si>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</si>
  <si>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</si>
  <si>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</si>
  <si>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</si>
  <si>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</si>
  <si>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</si>
  <si>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</si>
  <si>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</si>
  <si>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</si>
  <si>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</si>
  <si>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</si>
  <si>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</si>
  <si>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</si>
  <si>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</si>
  <si>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</si>
  <si>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</si>
  <si>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</si>
  <si>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</si>
  <si>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</si>
  <si>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</si>
  <si>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</si>
  <si>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</si>
  <si>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</si>
  <si>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</si>
  <si>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</si>
  <si>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</si>
  <si>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</si>
  <si>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</si>
  <si>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</si>
  <si>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</si>
  <si>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</si>
  <si>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</si>
  <si>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</si>
  <si>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</si>
  <si>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</si>
  <si>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</si>
  <si>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</si>
  <si>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</si>
  <si>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</si>
  <si>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</si>
  <si>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</si>
  <si>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</si>
  <si>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</si>
  <si>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</si>
  <si>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</si>
  <si>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</si>
  <si>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</si>
  <si>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</si>
  <si>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</si>
  <si>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</si>
  <si>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</si>
  <si>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</si>
  <si>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</si>
  <si>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</si>
  <si>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</si>
  <si>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</si>
  <si>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</si>
  <si>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</si>
  <si>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</si>
  <si>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</si>
  <si>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</si>
  <si>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</si>
  <si>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</si>
  <si>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</si>
  <si>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</si>
  <si>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</si>
  <si>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</si>
  <si>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</si>
  <si>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</si>
  <si>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</si>
  <si>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</si>
  <si>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</si>
  <si>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</si>
  <si>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</si>
  <si>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</si>
  <si>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</si>
  <si>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</si>
  <si>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</si>
  <si>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</si>
  <si>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</si>
  <si>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</si>
  <si>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</si>
  <si>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</si>
  <si>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</si>
  <si>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</si>
  <si>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</si>
  <si>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</si>
  <si>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</si>
  <si>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</si>
  <si>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</si>
  <si>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</si>
  <si>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</si>
  <si>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</si>
  <si>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</si>
  <si>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</si>
  <si>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</si>
  <si>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</si>
  <si>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</si>
  <si>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</si>
  <si>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</si>
  <si>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</si>
  <si>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</si>
  <si>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</si>
  <si>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</si>
  <si>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</si>
  <si>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</si>
  <si>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</si>
  <si>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</si>
  <si>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</si>
  <si>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</si>
  <si>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</si>
  <si>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</si>
  <si>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</si>
  <si>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</si>
  <si>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</si>
  <si>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</si>
  <si>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</si>
  <si>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</si>
  <si>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</si>
  <si>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</si>
  <si>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</si>
  <si>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</si>
  <si>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</si>
  <si>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</si>
  <si>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</si>
  <si>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</si>
  <si>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</si>
  <si>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</si>
  <si>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</si>
  <si>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</si>
  <si>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</si>
  <si>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</si>
  <si>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</si>
  <si>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</si>
  <si>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</si>
  <si>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</si>
  <si>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</si>
  <si>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</si>
  <si>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</si>
  <si>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</si>
  <si>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</si>
  <si>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</si>
  <si>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</si>
  <si>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</si>
  <si>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</si>
  <si>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</si>
  <si>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</si>
  <si>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</si>
  <si>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</si>
  <si>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</si>
  <si>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</si>
  <si>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</si>
  <si>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</si>
  <si>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</si>
  <si>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</si>
  <si>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</si>
  <si>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</si>
  <si>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</si>
  <si>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</si>
  <si>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</si>
  <si>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</si>
  <si>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</si>
  <si>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</si>
  <si>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</si>
  <si>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</si>
  <si>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</si>
  <si>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</si>
  <si>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</si>
  <si>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</si>
  <si>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</si>
  <si>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</si>
  <si>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</si>
  <si>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</si>
  <si>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</si>
  <si>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</si>
  <si>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</si>
  <si>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</si>
  <si>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</si>
  <si>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</si>
  <si>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</si>
  <si>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</si>
  <si>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</si>
  <si>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</si>
  <si>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</si>
  <si>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</si>
  <si>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</si>
  <si>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</si>
  <si>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</si>
  <si>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</si>
  <si>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</si>
  <si>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</si>
  <si>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</si>
  <si>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</si>
  <si>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</si>
  <si>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</si>
  <si>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</si>
  <si>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</si>
  <si>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</si>
  <si>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</si>
  <si>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</si>
  <si>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</si>
  <si>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</si>
  <si>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</si>
  <si>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</si>
  <si>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</si>
  <si>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</si>
  <si>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</si>
  <si>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</si>
  <si>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</si>
  <si>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</si>
  <si>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</si>
  <si>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</si>
  <si>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</si>
  <si>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</si>
  <si>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</si>
  <si>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</si>
  <si>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</si>
  <si>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</si>
  <si>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</si>
  <si>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</si>
  <si>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</si>
  <si>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</si>
  <si>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</si>
  <si>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</si>
  <si>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</si>
  <si>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</si>
  <si>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</si>
  <si>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</si>
  <si>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</si>
  <si>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</si>
  <si>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</si>
  <si>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</si>
  <si>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</si>
  <si>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</si>
  <si>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</si>
  <si>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</si>
  <si>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</si>
  <si>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</si>
  <si>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</si>
  <si>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</si>
  <si>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</si>
  <si>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</si>
  <si>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</si>
  <si>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</si>
  <si>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</si>
  <si>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</si>
  <si>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</si>
  <si>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</si>
  <si>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</si>
  <si>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</si>
  <si>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</si>
  <si>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</si>
  <si>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</si>
  <si>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</si>
  <si>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</si>
  <si>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</si>
  <si>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</si>
  <si>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</si>
  <si>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</si>
  <si>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</si>
  <si>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</si>
  <si>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</si>
  <si>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</si>
  <si>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</si>
  <si>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</si>
  <si>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</si>
  <si>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</si>
  <si>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</si>
  <si>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</si>
  <si>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</si>
  <si>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</si>
  <si>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</si>
  <si>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</si>
  <si>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</si>
  <si>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</si>
  <si>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</si>
  <si>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</si>
  <si>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</si>
  <si>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</si>
  <si>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</si>
  <si>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</si>
  <si>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</si>
  <si>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</si>
  <si>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</si>
  <si>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</si>
  <si>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</si>
  <si>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</si>
  <si>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</si>
  <si>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</si>
  <si>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</si>
  <si>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</si>
  <si>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</si>
  <si>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</si>
  <si>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</si>
  <si>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</si>
  <si>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</si>
  <si>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</si>
  <si>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</si>
  <si>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</si>
  <si>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</si>
  <si>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</si>
  <si>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</si>
  <si>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</si>
  <si>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</si>
  <si>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</si>
  <si>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</si>
  <si>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</si>
  <si>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</si>
  <si>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</si>
  <si>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</si>
  <si>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</si>
  <si>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</si>
  <si>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</si>
  <si>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</si>
  <si>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</si>
  <si>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</si>
  <si>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</si>
  <si>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</si>
  <si>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</si>
  <si>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</si>
  <si>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</si>
  <si>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</si>
  <si>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</si>
  <si>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</si>
  <si>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</si>
  <si>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</si>
  <si>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</si>
  <si>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</si>
  <si>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</si>
  <si>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</si>
  <si>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</si>
  <si>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</si>
  <si>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</si>
  <si>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</si>
  <si>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</si>
  <si>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</si>
  <si>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</si>
  <si>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</si>
  <si>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</si>
  <si>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</si>
  <si>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</si>
  <si>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</si>
  <si>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</si>
  <si>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</si>
  <si>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</si>
  <si>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</si>
  <si>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</si>
  <si>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</si>
  <si>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</si>
  <si>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</si>
  <si>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</si>
  <si>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</si>
  <si>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</si>
  <si>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</si>
  <si>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</si>
  <si>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</si>
  <si>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</si>
  <si>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</si>
  <si>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</si>
  <si>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</si>
  <si>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</si>
  <si>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</si>
  <si>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</si>
  <si>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</si>
  <si>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</si>
  <si>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</si>
  <si>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</si>
  <si>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</si>
  <si>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</si>
  <si>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</si>
  <si>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</si>
  <si>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</si>
  <si>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</si>
  <si>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</si>
  <si>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</si>
  <si>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</si>
  <si>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</si>
  <si>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</si>
  <si>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</si>
  <si>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</si>
  <si>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</si>
  <si>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</si>
  <si>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</si>
  <si>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</si>
  <si>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</si>
  <si>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</si>
  <si>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</si>
  <si>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</si>
  <si>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</si>
  <si>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</si>
  <si>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</si>
  <si>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</si>
  <si>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</si>
  <si>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</si>
  <si>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</si>
  <si>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</si>
  <si>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</si>
  <si>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</si>
  <si>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</si>
  <si>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</si>
  <si>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</si>
  <si>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</si>
  <si>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</si>
  <si>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</si>
  <si>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</si>
  <si>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</si>
  <si>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</si>
  <si>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</si>
  <si>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</si>
  <si>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</si>
  <si>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</si>
  <si>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</si>
  <si>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</si>
  <si>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</si>
  <si>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</si>
  <si>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</si>
  <si>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</si>
  <si>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</si>
  <si>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</si>
  <si>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</si>
  <si>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</si>
  <si>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</si>
  <si>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</si>
  <si>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</si>
  <si>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</si>
  <si>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</si>
  <si>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</si>
  <si>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</si>
  <si>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</si>
  <si>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</si>
  <si>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</si>
  <si>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</si>
  <si>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</si>
  <si>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</si>
  <si>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</si>
  <si>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</si>
  <si>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</si>
  <si>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</si>
  <si>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</si>
  <si>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</si>
  <si>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</si>
  <si>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</si>
  <si>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</si>
  <si>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</si>
  <si>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</si>
  <si>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</si>
  <si>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</si>
  <si>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</si>
  <si>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</si>
  <si>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</si>
  <si>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</si>
  <si>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</si>
  <si>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</si>
  <si>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</si>
  <si>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</si>
  <si>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</si>
  <si>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</si>
  <si>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</si>
  <si>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</si>
  <si>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</si>
  <si>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</si>
  <si>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</si>
  <si>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</si>
  <si>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</si>
  <si>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</si>
  <si>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</si>
  <si>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</si>
  <si>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</si>
  <si>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</si>
  <si>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</si>
  <si>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</si>
  <si>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</si>
  <si>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</si>
  <si>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</si>
  <si>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</si>
  <si>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</si>
  <si>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</si>
  <si>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</si>
  <si>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</si>
  <si>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</si>
  <si>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</si>
  <si>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</si>
  <si>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</si>
  <si>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</si>
  <si>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</si>
  <si>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</si>
  <si>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</si>
  <si>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</si>
  <si>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</si>
  <si>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</si>
  <si>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</si>
  <si>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</si>
  <si>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</si>
  <si>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</si>
  <si>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</si>
  <si>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</si>
  <si>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</si>
  <si>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</si>
  <si>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</si>
  <si>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</si>
  <si>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</si>
  <si>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</si>
  <si>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</si>
  <si>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</si>
  <si>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</si>
  <si>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</si>
  <si>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</si>
  <si>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</si>
  <si>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</si>
  <si>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</si>
  <si>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</si>
  <si>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</si>
  <si>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</si>
  <si>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</si>
  <si>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</si>
  <si>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</si>
  <si>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</si>
  <si>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</si>
  <si>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</si>
  <si>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</si>
  <si>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</si>
  <si>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</si>
  <si>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</si>
  <si>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</si>
  <si>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</si>
  <si>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</si>
  <si>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</si>
  <si>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</si>
  <si>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</si>
  <si>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</si>
  <si>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</si>
  <si>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</si>
  <si>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</si>
  <si>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</si>
  <si>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</si>
  <si>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</si>
  <si>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</si>
  <si>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</si>
  <si>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</si>
  <si>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</si>
  <si>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</si>
  <si>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</si>
  <si>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</si>
  <si>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</si>
  <si>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</si>
  <si>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</si>
  <si>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</si>
  <si>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</si>
  <si>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</si>
  <si>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</si>
  <si>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</si>
  <si>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</si>
  <si>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</si>
  <si>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</si>
  <si>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</si>
  <si>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</si>
  <si>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</si>
  <si>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</si>
  <si>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</si>
  <si>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</si>
  <si>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</si>
  <si>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</si>
  <si>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</si>
  <si>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</si>
  <si>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</si>
  <si>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</si>
  <si>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</si>
  <si>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</si>
  <si>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</si>
  <si>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</si>
  <si>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</si>
  <si>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</si>
  <si>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</si>
  <si>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</si>
  <si>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</si>
  <si>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</si>
  <si>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</si>
  <si>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</si>
  <si>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</si>
  <si>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</si>
  <si>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</si>
  <si>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</si>
  <si>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</si>
  <si>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</si>
  <si>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</si>
  <si>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</si>
  <si>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</si>
  <si>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</si>
  <si>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</si>
  <si>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</si>
  <si>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</si>
  <si>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</si>
  <si>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</si>
  <si>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</si>
  <si>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</si>
  <si>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</si>
  <si>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</si>
  <si>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</si>
  <si>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</si>
  <si>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</si>
  <si>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</si>
  <si>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</si>
  <si>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</si>
  <si>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</si>
  <si>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</si>
  <si>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</si>
  <si>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</si>
  <si>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</si>
  <si>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</si>
  <si>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</si>
  <si>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</si>
  <si>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</si>
  <si>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</si>
  <si>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</si>
  <si>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</si>
  <si>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</si>
  <si>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</si>
  <si>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</si>
  <si>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</si>
  <si>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</si>
  <si>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</si>
  <si>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</si>
  <si>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</si>
  <si>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</si>
  <si>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</si>
  <si>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</si>
  <si>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</si>
  <si>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</si>
  <si>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</si>
  <si>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</si>
  <si>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</si>
  <si>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</si>
  <si>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</si>
  <si>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</si>
  <si>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</si>
  <si>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</si>
  <si>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</si>
  <si>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</si>
  <si>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</si>
  <si>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</si>
  <si>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</si>
  <si>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</si>
  <si>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</si>
  <si>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</si>
  <si>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</si>
  <si>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</si>
  <si>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</si>
  <si>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</si>
  <si>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</si>
  <si>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</si>
  <si>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</si>
  <si>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</si>
  <si>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</si>
  <si>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</si>
  <si>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</si>
  <si>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</si>
  <si>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</si>
  <si>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</si>
  <si>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</si>
  <si>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</si>
  <si>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</si>
  <si>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</si>
  <si>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</si>
  <si>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</si>
  <si>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</si>
  <si>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</si>
  <si>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</si>
  <si>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</si>
  <si>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</si>
  <si>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</si>
  <si>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</si>
  <si>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</si>
  <si>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</si>
  <si>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</si>
  <si>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</si>
  <si>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</si>
  <si>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</si>
  <si>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</si>
  <si>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</si>
  <si>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</si>
  <si>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</si>
  <si>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</si>
  <si>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</si>
  <si>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</si>
  <si>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</si>
  <si>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</si>
  <si>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</si>
  <si>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</si>
  <si>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</si>
  <si>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</si>
  <si>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</si>
  <si>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</si>
  <si>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</si>
  <si>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</si>
  <si>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</si>
  <si>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</si>
  <si>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</si>
  <si>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</si>
  <si>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</si>
  <si>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</si>
  <si>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</si>
  <si>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</si>
  <si>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</si>
  <si>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</si>
  <si>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</si>
  <si>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</si>
  <si>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</si>
  <si>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</si>
  <si>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</si>
  <si>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</si>
  <si>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</si>
  <si>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</si>
  <si>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</si>
  <si>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</si>
  <si>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</si>
  <si>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</si>
  <si>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</si>
  <si>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</si>
  <si>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</si>
  <si>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</si>
  <si>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</si>
  <si>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</si>
  <si>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</si>
  <si>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</si>
  <si>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</si>
  <si>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</si>
  <si>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</si>
  <si>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</si>
  <si>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</si>
  <si>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</si>
  <si>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</si>
  <si>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</si>
  <si>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</si>
  <si>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</si>
  <si>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</si>
  <si>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</si>
  <si>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</si>
  <si>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</si>
  <si>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</si>
  <si>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</si>
  <si>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</si>
  <si>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</si>
  <si>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</si>
  <si>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</si>
  <si>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</si>
  <si>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</si>
  <si>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</si>
  <si>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</si>
  <si>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</si>
  <si>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</si>
  <si>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</si>
  <si>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</si>
  <si>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</si>
  <si>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</si>
  <si>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</si>
  <si>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</si>
  <si>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</si>
  <si>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</si>
  <si>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</si>
  <si>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</si>
  <si>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</si>
  <si>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</si>
  <si>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</si>
  <si>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</si>
  <si>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</si>
  <si>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</si>
  <si>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</si>
  <si>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</si>
  <si>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</si>
  <si>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</si>
  <si>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</si>
  <si>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</si>
  <si>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</si>
  <si>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</si>
  <si>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</si>
  <si>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</si>
  <si>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</si>
  <si>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</si>
  <si>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</si>
  <si>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</si>
  <si>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</si>
  <si>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</si>
  <si>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</si>
  <si>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</si>
  <si>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</si>
  <si>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</si>
  <si>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</si>
  <si>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</si>
  <si>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</si>
  <si>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</si>
  <si>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</si>
  <si>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</si>
  <si>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</si>
  <si>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</si>
  <si>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</si>
  <si>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</si>
  <si>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</si>
  <si>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</si>
  <si>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</si>
  <si>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</si>
  <si>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</si>
  <si>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</si>
  <si>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</si>
  <si>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</si>
  <si>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</si>
  <si>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</si>
  <si>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</si>
  <si>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</si>
  <si>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</si>
  <si>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</si>
  <si>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</si>
  <si>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</si>
  <si>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</si>
  <si>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</si>
  <si>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</si>
  <si>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</si>
  <si>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</si>
  <si>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</si>
  <si>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</si>
  <si>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</si>
  <si>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</si>
  <si>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</si>
  <si>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</si>
  <si>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</si>
  <si>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</si>
  <si>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</si>
  <si>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</si>
  <si>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</si>
  <si>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</si>
  <si>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</si>
  <si>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</si>
  <si>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</si>
  <si>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</si>
  <si>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</si>
  <si>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</si>
  <si>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</si>
  <si>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</si>
  <si>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</si>
  <si>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</si>
  <si>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</si>
  <si>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</si>
  <si>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</si>
  <si>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</si>
  <si>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</si>
  <si>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</si>
  <si>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</si>
  <si>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</si>
  <si>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</si>
  <si>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</si>
  <si>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</si>
  <si>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</si>
  <si>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</si>
  <si>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</si>
  <si>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</si>
  <si>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</si>
  <si>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</si>
  <si>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</si>
  <si>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</si>
  <si>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</si>
  <si>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</si>
  <si>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</si>
  <si>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</si>
  <si>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</si>
  <si>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</si>
  <si>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</si>
  <si>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</si>
  <si>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</si>
  <si>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</si>
  <si>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</si>
  <si>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</si>
  <si>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</si>
  <si>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</si>
  <si>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</si>
  <si>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</si>
  <si>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</si>
  <si>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</si>
  <si>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</si>
  <si>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</si>
  <si>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</si>
  <si>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</si>
  <si>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</si>
  <si>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</si>
  <si>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</si>
  <si>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</si>
  <si>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</si>
  <si>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</si>
  <si>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</si>
  <si>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</si>
  <si>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</si>
  <si>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</si>
  <si>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</si>
  <si>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</si>
  <si>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</si>
  <si>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</si>
  <si>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</si>
  <si>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</si>
  <si>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</si>
  <si>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</si>
  <si>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</si>
  <si>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</si>
  <si>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</si>
  <si>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</si>
  <si>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</si>
  <si>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</si>
  <si>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</si>
  <si>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</si>
  <si>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</si>
  <si>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</si>
  <si>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</si>
  <si>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</si>
  <si>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</si>
  <si>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</si>
  <si>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</si>
  <si>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</si>
  <si>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</si>
  <si>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</si>
  <si>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</si>
  <si>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</si>
  <si>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</si>
  <si>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</si>
  <si>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</si>
  <si>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</si>
  <si>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</si>
  <si>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</si>
  <si>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</si>
  <si>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</si>
  <si>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</si>
  <si>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</si>
  <si>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</si>
  <si>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</si>
  <si>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</si>
  <si>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</si>
  <si>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</si>
  <si>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</si>
  <si>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</si>
  <si>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</si>
  <si>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</si>
  <si>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</si>
  <si>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</si>
  <si>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</si>
  <si>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</si>
  <si>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</si>
  <si>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</si>
  <si>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</si>
  <si>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</si>
  <si>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</si>
  <si>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</si>
  <si>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</si>
  <si>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</si>
  <si>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</si>
  <si>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</si>
  <si>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</si>
  <si>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</si>
  <si>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</si>
  <si>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</si>
  <si>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</si>
  <si>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</si>
  <si>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</si>
  <si>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</si>
  <si>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</si>
  <si>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</si>
  <si>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</si>
  <si>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</si>
  <si>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</si>
  <si>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</si>
  <si>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</si>
  <si>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</si>
  <si>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</si>
  <si>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</si>
  <si>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</si>
  <si>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</si>
  <si>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</si>
  <si>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</si>
  <si>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</si>
  <si>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</si>
  <si>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</si>
  <si>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</si>
  <si>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</si>
  <si>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</si>
  <si>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</si>
  <si>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</si>
  <si>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</si>
  <si>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</si>
  <si>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</si>
  <si>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</si>
  <si>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</si>
  <si>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</si>
  <si>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</si>
  <si>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</si>
  <si>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</si>
  <si>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</si>
  <si>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</si>
  <si>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</si>
  <si>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</si>
  <si>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</si>
  <si>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</si>
  <si>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</si>
  <si>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</si>
  <si>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</si>
  <si>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</si>
  <si>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</si>
  <si>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</si>
  <si>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</si>
  <si>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</si>
  <si>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</si>
  <si>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</si>
  <si>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</si>
  <si>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</si>
  <si>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</si>
  <si>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</si>
  <si>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</si>
  <si>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</si>
  <si>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</si>
  <si>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</si>
  <si>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</si>
  <si>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</si>
  <si>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</si>
  <si>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</si>
  <si>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</si>
  <si>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</si>
  <si>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</si>
  <si>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</si>
  <si>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</si>
  <si>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</si>
  <si>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</si>
  <si>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</si>
  <si>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</si>
  <si>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</si>
  <si>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</si>
  <si>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</si>
  <si>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</si>
  <si>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</si>
  <si>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</si>
  <si>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</si>
  <si>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</si>
  <si>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</si>
  <si>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</si>
  <si>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</si>
  <si>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</si>
  <si>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</si>
  <si>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</si>
  <si>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</si>
  <si>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</si>
  <si>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</si>
  <si>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</si>
  <si>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</si>
  <si>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</si>
  <si>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</si>
  <si>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</si>
  <si>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</si>
  <si>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</si>
  <si>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</si>
  <si>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</si>
  <si>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</si>
  <si>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</si>
  <si>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</si>
  <si>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</si>
  <si>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</si>
  <si>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</si>
  <si>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</si>
  <si>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</si>
  <si>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</si>
  <si>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</si>
  <si>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</si>
  <si>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</si>
  <si>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</si>
  <si>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</si>
  <si>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</si>
  <si>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</si>
  <si>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</si>
  <si>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</si>
  <si>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</si>
  <si>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</si>
  <si>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</si>
  <si>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</si>
  <si>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</si>
  <si>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</si>
  <si>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</si>
  <si>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</si>
  <si>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</si>
  <si>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</si>
  <si>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</si>
  <si>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</si>
  <si>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</si>
  <si>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</si>
  <si>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</si>
  <si>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</si>
  <si>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</si>
  <si>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</si>
  <si>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</si>
  <si>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</si>
  <si>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</si>
  <si>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</si>
  <si>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</si>
  <si>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</si>
  <si>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</si>
  <si>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</si>
  <si>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</si>
  <si>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</si>
  <si>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</si>
  <si>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</si>
  <si>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</si>
  <si>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</si>
  <si>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</si>
  <si>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</si>
  <si>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</si>
  <si>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</si>
  <si>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</si>
  <si>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</si>
  <si>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</si>
  <si>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</si>
  <si>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</si>
  <si>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</si>
  <si>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</si>
  <si>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</si>
  <si>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</si>
  <si>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</si>
  <si>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</si>
  <si>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</si>
  <si>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</si>
  <si>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</si>
  <si>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</si>
  <si>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</si>
  <si>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</si>
  <si>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</si>
  <si>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</si>
  <si>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</si>
  <si>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</si>
  <si>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</si>
  <si>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</si>
  <si>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</si>
  <si>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</si>
  <si>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</si>
  <si>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</si>
  <si>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</si>
  <si>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</si>
  <si>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</si>
  <si>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</si>
  <si>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</si>
  <si>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</si>
  <si>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</si>
  <si>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</si>
  <si>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</si>
  <si>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</si>
  <si>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</si>
  <si>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</si>
  <si>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</si>
  <si>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</si>
  <si>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</si>
  <si>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</si>
  <si>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</si>
  <si>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</si>
  <si>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</si>
  <si>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</si>
  <si>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</si>
  <si>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</si>
  <si>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</si>
  <si>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</si>
  <si>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</si>
  <si>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</si>
  <si>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</si>
  <si>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</si>
  <si>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</si>
  <si>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</si>
  <si>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</si>
  <si>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</si>
  <si>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</si>
  <si>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</si>
  <si>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</si>
  <si>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</si>
  <si>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</si>
  <si>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</si>
  <si>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</si>
  <si>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</si>
  <si>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</si>
  <si>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</si>
  <si>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</si>
  <si>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</si>
  <si>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</si>
  <si>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</si>
  <si>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</si>
  <si>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</si>
  <si>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</si>
  <si>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</si>
  <si>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</si>
  <si>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</si>
  <si>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</si>
  <si>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</si>
  <si>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</si>
  <si>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</si>
  <si>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</si>
  <si>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</si>
  <si>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</si>
  <si>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</si>
  <si>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</si>
  <si>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</si>
  <si>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</si>
  <si>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</si>
  <si>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</si>
  <si>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</si>
  <si>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</si>
  <si>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</si>
  <si>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</si>
  <si>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</si>
  <si>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</si>
  <si>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</si>
  <si>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</si>
  <si>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</si>
  <si>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</si>
  <si>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</si>
  <si>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</si>
  <si>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</si>
  <si>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</si>
  <si>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</si>
  <si>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</si>
  <si>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</si>
  <si>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</si>
  <si>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</si>
  <si>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</si>
  <si>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</si>
  <si>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</si>
  <si>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</si>
  <si>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</si>
  <si>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</si>
  <si>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</si>
  <si>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</si>
  <si>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</si>
  <si>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</si>
  <si>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</si>
  <si>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</si>
  <si>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</si>
  <si>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</si>
  <si>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</si>
  <si>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</si>
  <si>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</si>
  <si>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</si>
  <si>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</si>
  <si>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</si>
  <si>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</si>
  <si>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</si>
  <si>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</si>
  <si>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</si>
  <si>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</si>
  <si>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</si>
  <si>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</si>
  <si>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</si>
  <si>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</si>
  <si>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</si>
  <si>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</si>
  <si>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</si>
  <si>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</si>
  <si>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</si>
  <si>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</si>
  <si>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</si>
  <si>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</si>
  <si>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</si>
  <si>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</si>
  <si>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</si>
  <si>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</si>
  <si>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</si>
  <si>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</si>
  <si>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</si>
  <si>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</si>
  <si>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</si>
  <si>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</si>
  <si>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</si>
  <si>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</si>
  <si>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</si>
  <si>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</si>
  <si>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</si>
  <si>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</si>
  <si>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</si>
  <si>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</si>
  <si>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</si>
  <si>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</si>
  <si>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</si>
  <si>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</si>
  <si>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</si>
  <si>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</si>
  <si>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</si>
  <si>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</si>
  <si>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</si>
  <si>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</si>
  <si>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</si>
  <si>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</si>
  <si>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</si>
  <si>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</si>
  <si>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</si>
  <si>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</si>
  <si>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</si>
  <si>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</si>
  <si>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</si>
  <si>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</si>
  <si>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</si>
  <si>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</si>
  <si>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</si>
  <si>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</si>
  <si>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</si>
  <si>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</si>
  <si>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</si>
  <si>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</si>
  <si>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</si>
  <si>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</si>
  <si>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</si>
  <si>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</si>
  <si>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</si>
  <si>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</si>
  <si>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</si>
  <si>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</si>
  <si>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</si>
  <si>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</si>
  <si>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</si>
  <si>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</si>
  <si>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</si>
  <si>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</si>
  <si>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</si>
  <si>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</si>
  <si>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</si>
  <si>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</si>
  <si>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</si>
  <si>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</si>
  <si>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</si>
  <si>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</si>
  <si>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</si>
  <si>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</si>
  <si>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</si>
  <si>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</si>
  <si>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</si>
  <si>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</si>
  <si>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</si>
  <si>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</si>
  <si>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</si>
  <si>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</si>
  <si>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</si>
  <si>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</si>
  <si>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</si>
  <si>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</si>
  <si>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</si>
  <si>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</si>
  <si>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</si>
  <si>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</si>
  <si>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</si>
  <si>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</si>
  <si>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</si>
  <si>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</si>
  <si>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</si>
  <si>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</si>
  <si>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</si>
  <si>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</si>
  <si>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</si>
  <si>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</si>
  <si>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</si>
  <si>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</si>
  <si>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</si>
  <si>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</si>
  <si>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</si>
  <si>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</si>
  <si>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</si>
  <si>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</si>
  <si>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</si>
  <si>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</si>
  <si>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</si>
  <si>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</si>
  <si>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</si>
  <si>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</si>
  <si>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</si>
  <si>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</si>
  <si>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</si>
  <si>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</si>
  <si>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</si>
  <si>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</si>
  <si>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</si>
  <si>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</si>
  <si>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</si>
  <si>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</si>
  <si>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</si>
  <si>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</si>
  <si>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</si>
  <si>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</si>
  <si>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</si>
  <si>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</si>
  <si>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</si>
  <si>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</si>
  <si>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</si>
  <si>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</si>
  <si>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</si>
  <si>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</si>
  <si>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</si>
  <si>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</si>
  <si>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</si>
  <si>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</si>
  <si>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</si>
  <si>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</si>
  <si>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</si>
  <si>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</si>
  <si>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</si>
  <si>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</si>
  <si>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</si>
  <si>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</si>
  <si>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</si>
  <si>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</si>
  <si>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</si>
  <si>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</si>
  <si>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</si>
  <si>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</si>
  <si>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</si>
  <si>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</si>
  <si>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</si>
  <si>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</si>
  <si>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</si>
  <si>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</si>
  <si>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</si>
  <si>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</si>
  <si>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</si>
  <si>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</si>
  <si>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</si>
  <si>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</si>
  <si>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</si>
  <si>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</si>
  <si>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</si>
  <si>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</si>
  <si>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</si>
  <si>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</si>
  <si>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</si>
  <si>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</si>
  <si>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</si>
  <si>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</si>
  <si>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</si>
  <si>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</si>
  <si>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</si>
  <si>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</si>
  <si>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</si>
  <si>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</si>
  <si>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</si>
  <si>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</si>
  <si>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</si>
  <si>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</si>
  <si>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</si>
  <si>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</si>
  <si>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</si>
  <si>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</si>
  <si>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</si>
  <si>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</si>
  <si>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</si>
  <si>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</si>
  <si>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</si>
  <si>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</si>
  <si>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</si>
  <si>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</si>
  <si>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</si>
  <si>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</si>
  <si>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</si>
  <si>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</si>
  <si>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</si>
  <si>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</si>
  <si>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</si>
  <si>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</si>
  <si>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</si>
  <si>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</si>
  <si>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</si>
  <si>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</si>
  <si>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</si>
  <si>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</si>
  <si>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</si>
  <si>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</si>
  <si>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</si>
  <si>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</si>
  <si>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</si>
  <si>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</si>
  <si>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</si>
  <si>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</si>
  <si>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</si>
  <si>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</si>
  <si>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</si>
  <si>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</si>
  <si>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</si>
  <si>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</si>
  <si>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</si>
  <si>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</si>
  <si>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</si>
  <si>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</si>
  <si>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</si>
  <si>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</si>
  <si>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</si>
  <si>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</si>
  <si>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</si>
  <si>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</si>
  <si>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</si>
  <si>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</si>
  <si>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</si>
  <si>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</si>
  <si>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</si>
  <si>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</si>
  <si>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</si>
  <si>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</si>
  <si>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</si>
  <si>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</si>
  <si>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</si>
  <si>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</si>
  <si>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</si>
  <si>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</si>
  <si>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</si>
  <si>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</si>
  <si>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</si>
  <si>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</si>
  <si>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</si>
  <si>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</si>
  <si>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</si>
  <si>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</si>
  <si>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</si>
  <si>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</si>
  <si>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</si>
  <si>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</si>
  <si>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</si>
  <si>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</si>
  <si>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</si>
  <si>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</si>
  <si>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</si>
  <si>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</si>
  <si>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</si>
  <si>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</si>
  <si>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</si>
  <si>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</si>
  <si>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</si>
  <si>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</si>
  <si>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</si>
  <si>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</si>
  <si>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</si>
  <si>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</si>
  <si>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</si>
  <si>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</si>
  <si>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</si>
  <si>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</si>
  <si>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</si>
  <si>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</si>
  <si>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</si>
  <si>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</si>
  <si>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</si>
  <si>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</si>
  <si>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</si>
  <si>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</si>
  <si>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</si>
  <si>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</si>
  <si>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</si>
  <si>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</si>
  <si>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</si>
  <si>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</si>
  <si>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</si>
  <si>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</si>
  <si>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</si>
  <si>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</si>
  <si>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</si>
  <si>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</si>
  <si>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</si>
  <si>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</si>
  <si>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</si>
  <si>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</si>
  <si>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</si>
  <si>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</si>
  <si>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</si>
  <si>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</si>
  <si>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</si>
  <si>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</si>
  <si>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</si>
  <si>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</si>
  <si>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</si>
  <si>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</si>
  <si>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</si>
  <si>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</si>
  <si>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</si>
  <si>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</si>
  <si>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</si>
  <si>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</si>
  <si>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</si>
  <si>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</si>
  <si>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</si>
  <si>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</si>
  <si>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</si>
  <si>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</si>
  <si>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</si>
  <si>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</si>
  <si>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</si>
  <si>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</si>
  <si>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</si>
  <si>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</si>
  <si>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</si>
  <si>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</si>
  <si>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</si>
  <si>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</si>
  <si>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</si>
  <si>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</si>
  <si>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</si>
  <si>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</si>
  <si>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</si>
  <si>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</si>
  <si>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</si>
  <si>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</si>
  <si>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</si>
  <si>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</si>
  <si>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</si>
  <si>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</si>
  <si>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</si>
  <si>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</si>
  <si>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</si>
  <si>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</si>
  <si>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</si>
  <si>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</si>
  <si>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</si>
  <si>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</si>
  <si>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</si>
  <si>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</si>
  <si>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</si>
  <si>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</si>
  <si>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</si>
  <si>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</si>
  <si>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</si>
  <si>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</si>
  <si>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</si>
  <si>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</si>
  <si>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</si>
  <si>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</si>
  <si>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</si>
  <si>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</si>
  <si>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</si>
  <si>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</si>
  <si>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</si>
  <si>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</si>
  <si>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</si>
  <si>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</si>
  <si>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</si>
  <si>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</si>
  <si>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</si>
  <si>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</si>
  <si>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</si>
  <si>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</si>
  <si>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</si>
  <si>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</si>
  <si>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</si>
  <si>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</si>
  <si>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</si>
  <si>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</si>
  <si>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</si>
  <si>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</si>
  <si>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</si>
  <si>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</si>
  <si>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</si>
  <si>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</si>
  <si>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Funded.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</si>
  <si>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</si>
  <si>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</si>
  <si>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</si>
  <si>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</si>
  <si>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</si>
  <si>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</si>
  <si>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</si>
  <si>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</si>
  <si>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</si>
  <si>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</si>
  <si>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</si>
  <si>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</si>
  <si>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</si>
  <si>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</si>
  <si>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</si>
  <si>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</si>
  <si>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</si>
  <si>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</si>
  <si>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</si>
  <si>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</si>
  <si>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</si>
  <si>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</si>
  <si>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</si>
  <si>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</si>
  <si>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</si>
  <si>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</si>
  <si>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</si>
  <si>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</si>
  <si>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</si>
  <si>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</si>
  <si>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</si>
  <si>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</si>
  <si>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</si>
  <si>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</si>
  <si>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</si>
  <si>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</si>
  <si>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</si>
  <si>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</si>
  <si>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</si>
  <si>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</si>
  <si>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</si>
  <si>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</si>
  <si>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</si>
  <si>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</si>
  <si>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</si>
  <si>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</si>
  <si>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</si>
  <si>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</si>
  <si>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</si>
  <si>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</si>
  <si>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</si>
  <si>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</si>
  <si>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</si>
  <si>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</si>
  <si>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</si>
  <si>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</si>
  <si>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</si>
  <si>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</si>
  <si>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</si>
  <si>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</si>
  <si>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</si>
  <si>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</si>
  <si>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</si>
  <si>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</si>
  <si>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</si>
  <si>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</si>
  <si>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</si>
  <si>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</si>
  <si>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</si>
  <si>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</si>
  <si>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</si>
  <si>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</si>
  <si>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</si>
  <si>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</si>
  <si>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</si>
  <si>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</si>
  <si>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</si>
  <si>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</si>
  <si>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</si>
  <si>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</si>
  <si>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</si>
  <si>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</si>
  <si>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</si>
  <si>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</si>
  <si>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</si>
  <si>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</si>
  <si>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</si>
  <si>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</si>
  <si>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</si>
  <si>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</si>
  <si>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</si>
  <si>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*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</si>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</sst>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66" fontId="0" fillId="0" borderId="0" xfId="1" applyNumberFormat="1" applyFont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0" fillId="2" borderId="1" xfId="0" applyFont="1" applyFill="1" applyBorder="1"/>
    <xf numFmtId="166" fontId="0" fillId="2" borderId="2" xfId="1" applyNumberFormat="1" applyFont="1" applyFill="1" applyBorder="1"/>
    <xf numFmtId="166" fontId="0" fillId="2" borderId="3" xfId="1" applyNumberFormat="1" applyFont="1" applyFill="1" applyBorder="1"/>
    <xf numFmtId="0" fontId="0" fillId="0" borderId="1" xfId="0" applyFont="1" applyBorder="1"/>
    <xf numFmtId="166" fontId="0" fillId="0" borderId="2" xfId="1" applyNumberFormat="1" applyFont="1" applyBorder="1"/>
    <xf numFmtId="166" fontId="0" fillId="0" borderId="3" xfId="1" applyNumberFormat="1" applyFont="1" applyBorder="1"/>
    <xf numFmtId="0" fontId="0" fillId="4" borderId="0" xfId="0" applyFill="1"/>
    <xf numFmtId="166" fontId="0" fillId="4" borderId="0" xfId="1" applyNumberFormat="1" applyFont="1" applyFill="1"/>
    <xf numFmtId="9" fontId="0" fillId="4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 Goal</a:t>
            </a:r>
            <a:r>
              <a:rPr lang="en-US" baseline="0"/>
              <a:t> 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2-4537-A2DF-218CBC9FAA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2-4537-A2DF-218CBC9FAA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2-4537-A2DF-218CBC9FA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28344"/>
        <c:axId val="572631624"/>
      </c:lineChart>
      <c:catAx>
        <c:axId val="57262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31624"/>
        <c:crosses val="autoZero"/>
        <c:auto val="1"/>
        <c:lblAlgn val="ctr"/>
        <c:lblOffset val="100"/>
        <c:noMultiLvlLbl val="0"/>
      </c:catAx>
      <c:valAx>
        <c:axId val="57263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2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Final.xlsx]Theater Outcomes by Launch Date!PivotTable1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3-4F68-ACEC-1F60B449064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3-4F68-ACEC-1F60B449064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3-4F68-ACEC-1F60B44906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012584"/>
        <c:axId val="426011600"/>
      </c:lineChart>
      <c:catAx>
        <c:axId val="426012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11600"/>
        <c:crosses val="autoZero"/>
        <c:auto val="1"/>
        <c:lblAlgn val="ctr"/>
        <c:lblOffset val="100"/>
        <c:noMultiLvlLbl val="0"/>
      </c:catAx>
      <c:valAx>
        <c:axId val="426011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1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D-4CB3-A4EC-4BF27FA27E8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D-4CB3-A4EC-4BF27FA27E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D-4CB3-A4EC-4BF27FA27E8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2D-4CB3-A4EC-4BF27FA27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331344"/>
        <c:axId val="438329704"/>
      </c:barChart>
      <c:catAx>
        <c:axId val="4383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29704"/>
        <c:crosses val="autoZero"/>
        <c:auto val="1"/>
        <c:lblAlgn val="ctr"/>
        <c:lblOffset val="100"/>
        <c:noMultiLvlLbl val="0"/>
      </c:catAx>
      <c:valAx>
        <c:axId val="43832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Statistics!PivotTable14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A-4BDD-8B1D-49E9073962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AA-4BDD-8B1D-49E9073962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AA-4BDD-8B1D-49E907396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204776"/>
        <c:axId val="442206416"/>
      </c:barChart>
      <c:catAx>
        <c:axId val="4422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6416"/>
        <c:crosses val="autoZero"/>
        <c:auto val="1"/>
        <c:lblAlgn val="ctr"/>
        <c:lblOffset val="100"/>
        <c:noMultiLvlLbl val="0"/>
      </c:catAx>
      <c:valAx>
        <c:axId val="4422064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Final.xlsx]Outcomes Based on Launch Date!PivotTable15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47-4ED2-BFD7-56E3FE3AA9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47-4ED2-BFD7-56E3FE3AA9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47-4ED2-BFD7-56E3FE3AA9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47-4ED2-BFD7-56E3FE3AA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40432"/>
        <c:axId val="443341088"/>
      </c:lineChart>
      <c:catAx>
        <c:axId val="44334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1088"/>
        <c:crosses val="autoZero"/>
        <c:auto val="1"/>
        <c:lblAlgn val="ctr"/>
        <c:lblOffset val="100"/>
        <c:noMultiLvlLbl val="0"/>
      </c:catAx>
      <c:valAx>
        <c:axId val="4433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13</xdr:row>
      <xdr:rowOff>142875</xdr:rowOff>
    </xdr:from>
    <xdr:to>
      <xdr:col>10</xdr:col>
      <xdr:colOff>590550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4</xdr:row>
      <xdr:rowOff>19049</xdr:rowOff>
    </xdr:from>
    <xdr:to>
      <xdr:col>12</xdr:col>
      <xdr:colOff>471487</xdr:colOff>
      <xdr:row>18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180975</xdr:rowOff>
    </xdr:from>
    <xdr:to>
      <xdr:col>14</xdr:col>
      <xdr:colOff>219075</xdr:colOff>
      <xdr:row>13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3</xdr:row>
      <xdr:rowOff>28574</xdr:rowOff>
    </xdr:from>
    <xdr:to>
      <xdr:col>14</xdr:col>
      <xdr:colOff>161925</xdr:colOff>
      <xdr:row>22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190499</xdr:rowOff>
    </xdr:from>
    <xdr:to>
      <xdr:col>14</xdr:col>
      <xdr:colOff>400049</xdr:colOff>
      <xdr:row>17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nriquez Marin, Victor Hugo" refreshedDate="44645.61065706018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nriquez Marin, Victor Hugo" refreshedDate="44645.66789479166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nriquez Marin, Victor Hugo" refreshedDate="44645.909416550923" createdVersion="6" refreshedVersion="6" minRefreshableVersion="3" recordCount="4114">
  <cacheSource type="worksheet">
    <worksheetSource ref="B1:U4115" sheet="Kickstarter"/>
  </cacheSource>
  <cacheFields count="22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numFmtId="164" showAll="0"/>
    <pivotField numFmtId="165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9" hier="-1"/>
    <pageField fld="15" item="8" hier="-1"/>
  </pageFields>
  <dataFields count="1">
    <dataField name="Count of outcomes" fld="4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C7" totalsRowShown="0">
  <tableColumns count="3">
    <tableColumn id="1" name="*"/>
    <tableColumn id="2" name="Successful" dataDxfId="1" dataCellStyle="Currency"/>
    <tableColumn id="3" name="Failed" dataDxfId="0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95" zoomScaleNormal="95" workbookViewId="0">
      <pane xSplit="2" topLeftCell="C1" activePane="topRight" state="frozen"/>
      <selection pane="topRight" activeCell="E2" sqref="E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style="11" bestFit="1" customWidth="1"/>
    <col min="16" max="16" width="17.28515625" bestFit="1" customWidth="1"/>
    <col min="17" max="17" width="41.140625" customWidth="1"/>
    <col min="18" max="18" width="21.7109375" customWidth="1"/>
    <col min="19" max="19" width="23.5703125" bestFit="1" customWidth="1"/>
    <col min="20" max="20" width="22.28515625" bestFit="1" customWidth="1"/>
    <col min="21" max="21" width="16.28515625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9" t="s">
        <v>8357</v>
      </c>
      <c r="R1" s="9" t="s">
        <v>8358</v>
      </c>
      <c r="S1" s="9" t="s">
        <v>8364</v>
      </c>
      <c r="T1" s="9" t="s">
        <v>8365</v>
      </c>
      <c r="U1" s="9" t="s">
        <v>8378</v>
      </c>
    </row>
    <row r="2" spans="1:21" ht="60" x14ac:dyDescent="0.25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>
        <f>COUNTIF(Kickstarter!D:D,Kickstarter!F:F)</f>
        <v>0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s="12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s="12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s="12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si="0"/>
        <v>173</v>
      </c>
      <c r="P66">
        <f t="shared" si="1"/>
        <v>86.67</v>
      </c>
      <c r="Q66" s="12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si="5"/>
        <v>2</v>
      </c>
      <c r="P130">
        <f t="shared" si="6"/>
        <v>311.17</v>
      </c>
      <c r="Q130" s="12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si="10"/>
        <v>0</v>
      </c>
      <c r="P194">
        <f t="shared" si="11"/>
        <v>5.67</v>
      </c>
      <c r="Q194" s="12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si="15"/>
        <v>139</v>
      </c>
      <c r="P258">
        <f t="shared" si="16"/>
        <v>65.760000000000005</v>
      </c>
      <c r="Q258" s="12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si="20"/>
        <v>107</v>
      </c>
      <c r="P322">
        <f t="shared" si="21"/>
        <v>134.91</v>
      </c>
      <c r="Q322" s="12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si="25"/>
        <v>112</v>
      </c>
      <c r="P386">
        <f t="shared" si="26"/>
        <v>58.54</v>
      </c>
      <c r="Q386" s="12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si="30"/>
        <v>3</v>
      </c>
      <c r="P450">
        <f t="shared" si="31"/>
        <v>20.5</v>
      </c>
      <c r="Q450" s="12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si="35"/>
        <v>0</v>
      </c>
      <c r="P514">
        <f t="shared" si="36"/>
        <v>5.5</v>
      </c>
      <c r="Q514" s="12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si="40"/>
        <v>0</v>
      </c>
      <c r="P578">
        <f t="shared" si="41"/>
        <v>1</v>
      </c>
      <c r="Q578" s="12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si="45"/>
        <v>144</v>
      </c>
      <c r="P642">
        <f t="shared" si="46"/>
        <v>50.5</v>
      </c>
      <c r="Q642" s="12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si="50"/>
        <v>1</v>
      </c>
      <c r="P706">
        <f t="shared" si="51"/>
        <v>120.25</v>
      </c>
      <c r="Q706" s="12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si="55"/>
        <v>0</v>
      </c>
      <c r="P770">
        <f t="shared" si="56"/>
        <v>0</v>
      </c>
      <c r="Q770" s="12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si="60"/>
        <v>101</v>
      </c>
      <c r="P834">
        <f t="shared" si="61"/>
        <v>97.99</v>
      </c>
      <c r="Q834" s="12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si="65"/>
        <v>40</v>
      </c>
      <c r="P898">
        <f t="shared" si="66"/>
        <v>44.44</v>
      </c>
      <c r="Q898" s="12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si="70"/>
        <v>46</v>
      </c>
      <c r="P962">
        <f t="shared" si="71"/>
        <v>136.46</v>
      </c>
      <c r="Q962" s="12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si="75"/>
        <v>119</v>
      </c>
      <c r="P1026">
        <f t="shared" si="76"/>
        <v>388.98</v>
      </c>
      <c r="Q1026" s="12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si="80"/>
        <v>14</v>
      </c>
      <c r="P1090">
        <f t="shared" si="81"/>
        <v>43.42</v>
      </c>
      <c r="Q1090" s="12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si="85"/>
        <v>6</v>
      </c>
      <c r="P1154">
        <f t="shared" si="86"/>
        <v>60.73</v>
      </c>
      <c r="Q1154" s="12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si="90"/>
        <v>146</v>
      </c>
      <c r="P1218">
        <f t="shared" si="91"/>
        <v>91.88</v>
      </c>
      <c r="Q1218" s="12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si="95"/>
        <v>111</v>
      </c>
      <c r="P1282">
        <f t="shared" si="96"/>
        <v>127.98</v>
      </c>
      <c r="Q1282" s="12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si="100"/>
        <v>378</v>
      </c>
      <c r="P1346">
        <f t="shared" si="101"/>
        <v>40.76</v>
      </c>
      <c r="Q1346" s="12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si="105"/>
        <v>7</v>
      </c>
      <c r="P1410">
        <f t="shared" si="106"/>
        <v>12</v>
      </c>
      <c r="Q1410" s="12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si="110"/>
        <v>139</v>
      </c>
      <c r="P1474">
        <f t="shared" si="111"/>
        <v>103.2</v>
      </c>
      <c r="Q1474" s="12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si="115"/>
        <v>250</v>
      </c>
      <c r="P1538">
        <f t="shared" si="116"/>
        <v>66.02</v>
      </c>
      <c r="Q1538" s="12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si="120"/>
        <v>7</v>
      </c>
      <c r="P1602">
        <f t="shared" si="121"/>
        <v>40.78</v>
      </c>
      <c r="Q1602" s="12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si="125"/>
        <v>122</v>
      </c>
      <c r="P1666">
        <f t="shared" si="126"/>
        <v>34.380000000000003</v>
      </c>
      <c r="Q1666" s="12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si="130"/>
        <v>68</v>
      </c>
      <c r="P1730">
        <f t="shared" si="131"/>
        <v>122.14</v>
      </c>
      <c r="Q1730" s="12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si="135"/>
        <v>61</v>
      </c>
      <c r="P1794">
        <f t="shared" si="136"/>
        <v>109.94</v>
      </c>
      <c r="Q1794" s="12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si="140"/>
        <v>101</v>
      </c>
      <c r="P1858">
        <f t="shared" si="141"/>
        <v>53.29</v>
      </c>
      <c r="Q1858" s="12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si="145"/>
        <v>43</v>
      </c>
      <c r="P1922">
        <f t="shared" si="146"/>
        <v>40.98</v>
      </c>
      <c r="Q1922" s="12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si="150"/>
        <v>21</v>
      </c>
      <c r="P1986">
        <f t="shared" si="151"/>
        <v>453.14</v>
      </c>
      <c r="Q1986" s="12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si="155"/>
        <v>148</v>
      </c>
      <c r="P2050">
        <f t="shared" si="156"/>
        <v>91.83</v>
      </c>
      <c r="Q2050" s="12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si="160"/>
        <v>100</v>
      </c>
      <c r="P2114">
        <f t="shared" si="161"/>
        <v>27.27</v>
      </c>
      <c r="Q2114" s="12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si="165"/>
        <v>126</v>
      </c>
      <c r="P2178">
        <f t="shared" si="166"/>
        <v>88.75</v>
      </c>
      <c r="Q2178" s="12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si="170"/>
        <v>271</v>
      </c>
      <c r="P2242">
        <f t="shared" si="171"/>
        <v>140.97999999999999</v>
      </c>
      <c r="Q2242" s="12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si="175"/>
        <v>101</v>
      </c>
      <c r="P2306">
        <f t="shared" si="176"/>
        <v>53.47</v>
      </c>
      <c r="Q2306" s="12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si="180"/>
        <v>0</v>
      </c>
      <c r="P2370">
        <f t="shared" si="181"/>
        <v>50</v>
      </c>
      <c r="Q2370" s="12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si="185"/>
        <v>0</v>
      </c>
      <c r="P2434">
        <f t="shared" si="186"/>
        <v>1</v>
      </c>
      <c r="Q2434" s="12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si="190"/>
        <v>100</v>
      </c>
      <c r="P2498">
        <f t="shared" si="191"/>
        <v>600</v>
      </c>
      <c r="Q2498" s="12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si="195"/>
        <v>100</v>
      </c>
      <c r="P2562">
        <f t="shared" si="196"/>
        <v>143</v>
      </c>
      <c r="Q2562" s="12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si="200"/>
        <v>1379</v>
      </c>
      <c r="P2626">
        <f t="shared" si="201"/>
        <v>31.82</v>
      </c>
      <c r="Q2626" s="12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si="205"/>
        <v>0</v>
      </c>
      <c r="P2690">
        <f t="shared" si="206"/>
        <v>5.29</v>
      </c>
      <c r="Q2690" s="12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si="210"/>
        <v>11</v>
      </c>
      <c r="P2754">
        <f t="shared" si="211"/>
        <v>39.29</v>
      </c>
      <c r="Q2754" s="12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si="215"/>
        <v>142</v>
      </c>
      <c r="P2818">
        <f t="shared" si="216"/>
        <v>25.13</v>
      </c>
      <c r="Q2818" s="12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si="220"/>
        <v>23</v>
      </c>
      <c r="P2882">
        <f t="shared" si="221"/>
        <v>96.55</v>
      </c>
      <c r="Q2882" s="12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si="225"/>
        <v>1</v>
      </c>
      <c r="P2946">
        <f t="shared" si="226"/>
        <v>100</v>
      </c>
      <c r="Q2946" s="12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si="230"/>
        <v>101</v>
      </c>
      <c r="P3010">
        <f t="shared" si="231"/>
        <v>116.73</v>
      </c>
      <c r="Q3010" s="12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si="235"/>
        <v>0</v>
      </c>
      <c r="P3074">
        <f t="shared" si="236"/>
        <v>1</v>
      </c>
      <c r="Q3074" s="12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si="240"/>
        <v>128</v>
      </c>
      <c r="P3138">
        <f t="shared" si="241"/>
        <v>29.05</v>
      </c>
      <c r="Q3138" s="12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si="245"/>
        <v>0</v>
      </c>
      <c r="P3202">
        <f t="shared" si="246"/>
        <v>1</v>
      </c>
      <c r="Q3202" s="12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si="250"/>
        <v>103</v>
      </c>
      <c r="P3266">
        <f t="shared" si="251"/>
        <v>52.55</v>
      </c>
      <c r="Q3266" s="12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si="255"/>
        <v>146</v>
      </c>
      <c r="P3330">
        <f t="shared" si="256"/>
        <v>292.77999999999997</v>
      </c>
      <c r="Q3330" s="12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si="260"/>
        <v>100</v>
      </c>
      <c r="P3394">
        <f t="shared" si="261"/>
        <v>41.67</v>
      </c>
      <c r="Q3394" s="12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si="265"/>
        <v>191</v>
      </c>
      <c r="P3458">
        <f t="shared" si="266"/>
        <v>358.69</v>
      </c>
      <c r="Q3458" s="12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si="270"/>
        <v>101</v>
      </c>
      <c r="P3522">
        <f t="shared" si="271"/>
        <v>95.95</v>
      </c>
      <c r="Q3522" s="12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si="275"/>
        <v>116</v>
      </c>
      <c r="P3586">
        <f t="shared" si="276"/>
        <v>30.94</v>
      </c>
      <c r="Q3586" s="12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si="280"/>
        <v>100</v>
      </c>
      <c r="P3650">
        <f t="shared" si="281"/>
        <v>550.04</v>
      </c>
      <c r="Q3650" s="12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si="285"/>
        <v>154</v>
      </c>
      <c r="P3714">
        <f t="shared" si="286"/>
        <v>110.87</v>
      </c>
      <c r="Q3714" s="12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si="290"/>
        <v>107</v>
      </c>
      <c r="P3778">
        <f t="shared" si="291"/>
        <v>90.82</v>
      </c>
      <c r="Q3778" s="12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si="295"/>
        <v>6500</v>
      </c>
      <c r="P3842">
        <f t="shared" si="296"/>
        <v>21.67</v>
      </c>
      <c r="Q3842" s="12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si="300"/>
        <v>0</v>
      </c>
      <c r="P3906">
        <f t="shared" si="301"/>
        <v>1.5</v>
      </c>
      <c r="Q3906" s="12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si="305"/>
        <v>11</v>
      </c>
      <c r="P3970">
        <f t="shared" si="306"/>
        <v>47.91</v>
      </c>
      <c r="Q3970" s="12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si="310"/>
        <v>7</v>
      </c>
      <c r="P4034">
        <f t="shared" si="311"/>
        <v>59</v>
      </c>
      <c r="Q4034" s="12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si="315"/>
        <v>11</v>
      </c>
      <c r="P4098">
        <f t="shared" si="316"/>
        <v>80</v>
      </c>
      <c r="Q4098" s="12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/>
  <conditionalFormatting sqref="F1:F1048576">
    <cfRule type="cellIs" dxfId="6" priority="19" operator="equal">
      <formula>"canceled"</formula>
    </cfRule>
    <cfRule type="cellIs" dxfId="5" priority="20" operator="equal">
      <formula>"failed"</formula>
    </cfRule>
    <cfRule type="cellIs" dxfId="4" priority="22" operator="equal">
      <formula>"successful"</formula>
    </cfRule>
    <cfRule type="cellIs" dxfId="3" priority="23" operator="equal">
      <formula>"live"</formula>
    </cfRule>
  </conditionalFormatting>
  <conditionalFormatting sqref="F3">
    <cfRule type="cellIs" dxfId="2" priority="21" operator="equal">
      <formula>"failed"</formula>
    </cfRule>
  </conditionalFormatting>
  <conditionalFormatting sqref="O1:O1048576">
    <cfRule type="colorScale" priority="16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7">
      <colorScale>
        <cfvo type="min"/>
        <cfvo type="max"/>
        <color rgb="FFFF0000"/>
        <color theme="4"/>
      </colorScale>
    </cfRule>
    <cfRule type="colorScale" priority="18">
      <colorScale>
        <cfvo type="min"/>
        <cfvo type="max"/>
        <color rgb="FFFF0000"/>
        <color theme="8"/>
      </colorScale>
    </cfRule>
  </conditionalFormatting>
  <conditionalFormatting sqref="P1">
    <cfRule type="colorScale" priority="13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4">
      <colorScale>
        <cfvo type="min"/>
        <cfvo type="max"/>
        <color rgb="FFFF0000"/>
        <color theme="4"/>
      </colorScale>
    </cfRule>
    <cfRule type="colorScale" priority="15">
      <colorScale>
        <cfvo type="min"/>
        <cfvo type="max"/>
        <color rgb="FFFF0000"/>
        <color theme="8"/>
      </colorScale>
    </cfRule>
  </conditionalFormatting>
  <conditionalFormatting sqref="Q1:R1">
    <cfRule type="colorScale" priority="10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max"/>
        <color rgb="FFFF0000"/>
        <color theme="8"/>
      </colorScale>
    </cfRule>
  </conditionalFormatting>
  <conditionalFormatting sqref="S1">
    <cfRule type="colorScale" priority="7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8"/>
      </colorScale>
    </cfRule>
  </conditionalFormatting>
  <conditionalFormatting sqref="T1">
    <cfRule type="colorScale" priority="4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8"/>
      </colorScale>
    </cfRule>
  </conditionalFormatting>
  <conditionalFormatting sqref="U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3" sqref="A3"/>
    </sheetView>
  </sheetViews>
  <sheetFormatPr defaultRowHeight="15" x14ac:dyDescent="0.25"/>
  <cols>
    <col min="1" max="1" width="13.85546875" style="28" bestFit="1" customWidth="1"/>
    <col min="2" max="2" width="18.140625" style="28" bestFit="1" customWidth="1"/>
    <col min="3" max="3" width="14.28515625" style="28" bestFit="1" customWidth="1"/>
    <col min="4" max="4" width="17" style="28" bestFit="1" customWidth="1"/>
    <col min="5" max="5" width="13.140625" style="28" bestFit="1" customWidth="1"/>
    <col min="6" max="6" width="20.85546875" style="28" bestFit="1" customWidth="1"/>
    <col min="7" max="7" width="17" style="28" bestFit="1" customWidth="1"/>
    <col min="8" max="8" width="19.85546875" style="28" bestFit="1" customWidth="1"/>
    <col min="9" max="16384" width="9.140625" style="28"/>
  </cols>
  <sheetData>
    <row r="1" spans="1:8" x14ac:dyDescent="0.25">
      <c r="A1" s="28" t="s">
        <v>8380</v>
      </c>
      <c r="B1" s="28" t="s">
        <v>8398</v>
      </c>
      <c r="C1" s="28" t="s">
        <v>8399</v>
      </c>
      <c r="D1" s="28" t="s">
        <v>8400</v>
      </c>
      <c r="E1" s="28" t="s">
        <v>8401</v>
      </c>
      <c r="F1" s="28" t="s">
        <v>8402</v>
      </c>
      <c r="G1" s="28" t="s">
        <v>8403</v>
      </c>
      <c r="H1" s="28" t="s">
        <v>8404</v>
      </c>
    </row>
    <row r="2" spans="1:8" x14ac:dyDescent="0.25">
      <c r="A2" s="28" t="s">
        <v>8416</v>
      </c>
      <c r="B2" s="28">
        <f>COUNTIFS(Kickstarter!$D:$D,"&lt;1000",Kickstarter!$F:$F,"successful",Kickstarter!R:R,"plays")</f>
        <v>141</v>
      </c>
      <c r="C2" s="28">
        <f>COUNTIFS(Kickstarter!$D:$D,"&lt;1000",Kickstarter!$F:$F,"failed",Kickstarter!R:R,"plays")</f>
        <v>45</v>
      </c>
      <c r="D2" s="28">
        <f>COUNTIFS(Kickstarter!$D:$D,"&lt;1000",Kickstarter!$F:$F,"canceled",Kickstarter!R:R,"plays")</f>
        <v>0</v>
      </c>
      <c r="E2" s="28">
        <f>SUM(B2:D2)</f>
        <v>186</v>
      </c>
      <c r="F2" s="30">
        <f>B2/E2*100%</f>
        <v>0.75806451612903225</v>
      </c>
      <c r="G2" s="30">
        <f>C2/E2*100%</f>
        <v>0.24193548387096775</v>
      </c>
      <c r="H2" s="30">
        <f>D2/E2*100%</f>
        <v>0</v>
      </c>
    </row>
    <row r="3" spans="1:8" x14ac:dyDescent="0.25">
      <c r="A3" s="28" t="s">
        <v>8405</v>
      </c>
      <c r="B3" s="28">
        <f>COUNTIFS(Kickstarter!$D:$D,"&gt;=1000",Kickstarter!$D:$D,"&lt;=4999",Kickstarter!$F:$F,"successful",Kickstarter!R:R,"plays")</f>
        <v>388</v>
      </c>
      <c r="C3" s="28">
        <f>COUNTIFS(Kickstarter!$D:$D,"&gt;=1000",Kickstarter!$D:$D,"&lt;=4999",Kickstarter!$F:$F,"failed",Kickstarter!R:R,"plays")</f>
        <v>146</v>
      </c>
      <c r="D3" s="28">
        <f>COUNTIFS(Kickstarter!$D:$D,"&gt;=1000",Kickstarter!$D:$D,"&lt;=4999",Kickstarter!$F:$F,"canceled",Kickstarter!R:R,"plays")</f>
        <v>0</v>
      </c>
      <c r="E3" s="28">
        <f t="shared" ref="E3:E13" si="0">SUM(B3:D3)</f>
        <v>534</v>
      </c>
      <c r="F3" s="30">
        <f t="shared" ref="F3:F13" si="1">B3/E3*100%</f>
        <v>0.72659176029962547</v>
      </c>
      <c r="G3" s="30">
        <f t="shared" ref="G3:G13" si="2">C3/E3*100%</f>
        <v>0.27340823970037453</v>
      </c>
      <c r="H3" s="30">
        <f t="shared" ref="H3:H13" si="3">D3/E3*100%</f>
        <v>0</v>
      </c>
    </row>
    <row r="4" spans="1:8" x14ac:dyDescent="0.25">
      <c r="A4" s="28" t="s">
        <v>8406</v>
      </c>
      <c r="B4" s="28">
        <f>COUNTIFS(Kickstarter!$D:$D,"&gt;=5000",Kickstarter!$D:$D,"&lt;=9999",Kickstarter!$F:$F,"successful",Kickstarter!R:R,"plays")</f>
        <v>93</v>
      </c>
      <c r="C4" s="28">
        <f>COUNTIFS(Kickstarter!$D:$D,"&gt;=5000",Kickstarter!$D:$D,"&lt;=9999",Kickstarter!$F:$F,"failed",Kickstarter!R:R,"plays")</f>
        <v>76</v>
      </c>
      <c r="D4" s="28">
        <f>COUNTIFS(Kickstarter!$D:$D,"&gt;=5000",Kickstarter!$D:$D,"&lt;=9999",Kickstarter!$F:$F,"canceled",Kickstarter!R:R,"plays")</f>
        <v>0</v>
      </c>
      <c r="E4" s="28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</row>
    <row r="5" spans="1:8" x14ac:dyDescent="0.25">
      <c r="A5" s="28" t="s">
        <v>8407</v>
      </c>
      <c r="B5" s="28">
        <f>COUNTIFS(Kickstarter!$D:$D,"&gt;=10000",Kickstarter!$D:$D,"&lt;=14999",Kickstarter!$F:$F,"successful",Kickstarter!R:R,"plays")</f>
        <v>39</v>
      </c>
      <c r="C5" s="28">
        <f>COUNTIFS(Kickstarter!$D:$D,"&gt;=10000",Kickstarter!$D:$D,"&lt;=14999",Kickstarter!$F:$F,"failed",Kickstarter!R:R,"plays")</f>
        <v>33</v>
      </c>
      <c r="D5" s="28">
        <f>COUNTIFS(Kickstarter!$D:$D,"&gt;=10000",Kickstarter!$D:$D,"&lt;=14999",Kickstarter!$F:$F,"canceled",Kickstarter!R:R,"plays")</f>
        <v>0</v>
      </c>
      <c r="E5" s="28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8" x14ac:dyDescent="0.25">
      <c r="A6" s="28" t="s">
        <v>8408</v>
      </c>
      <c r="B6" s="28">
        <f>COUNTIFS(Kickstarter!$D:$D,"&gt;=15000",Kickstarter!$D:$D,"&lt;=19999",Kickstarter!$F:$F,"successful",Kickstarter!R:R,"plays")</f>
        <v>12</v>
      </c>
      <c r="C6" s="28">
        <f>COUNTIFS(Kickstarter!$D:$D,"&gt;=15000",Kickstarter!$D:$D,"&lt;=19999",Kickstarter!$F:$F,"failed",Kickstarter!R:R,"plays")</f>
        <v>12</v>
      </c>
      <c r="D6" s="28">
        <f>COUNTIFS(Kickstarter!$D:$D,"&gt;=15000",Kickstarter!$D:$D,"&lt;=19999",Kickstarter!$F:$F,"canceled",Kickstarter!R:R,"plays")</f>
        <v>0</v>
      </c>
      <c r="E6" s="28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8" x14ac:dyDescent="0.25">
      <c r="A7" s="28" t="s">
        <v>8409</v>
      </c>
      <c r="B7" s="28">
        <f>COUNTIFS(Kickstarter!$D:$D,"&gt;=20000",Kickstarter!$D:$D,"&lt;=24999",Kickstarter!$F:$F,"successful",Kickstarter!R:R,"plays")</f>
        <v>9</v>
      </c>
      <c r="C7" s="28">
        <f>COUNTIFS(Kickstarter!$D:$D,"&gt;=20000",Kickstarter!$D:$D,"&lt;=24999",Kickstarter!$F:$F,"failed",Kickstarter!R:R,"plays")</f>
        <v>11</v>
      </c>
      <c r="D7" s="28">
        <f>COUNTIFS(Kickstarter!$D:$D,"&gt;=20000",Kickstarter!$D:$D,"&lt;=24999",Kickstarter!$F:$F,"canceled",Kickstarter!R:R,"plays")</f>
        <v>0</v>
      </c>
      <c r="E7" s="28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8" x14ac:dyDescent="0.25">
      <c r="A8" s="28" t="s">
        <v>8410</v>
      </c>
      <c r="B8" s="28">
        <f>COUNTIFS(Kickstarter!$D:$D,"&gt;=25000",Kickstarter!$D:$D,"&lt;=29999",Kickstarter!$F:$F,"successful",Kickstarter!R:R,"plays")</f>
        <v>1</v>
      </c>
      <c r="C8" s="28">
        <f>COUNTIFS(Kickstarter!$D:$D,"&gt;=25000",Kickstarter!$D:$D,"&lt;=29999",Kickstarter!$F:$F,"failed",Kickstarter!R:R,"plays")</f>
        <v>4</v>
      </c>
      <c r="D8" s="28">
        <f>COUNTIFS(Kickstarter!$D:$D,"&gt;=25000",Kickstarter!$D:$D,"&lt;=29999",Kickstarter!$F:$F,"canceled",Kickstarter!R:R,"plays")</f>
        <v>0</v>
      </c>
      <c r="E8" s="2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8" x14ac:dyDescent="0.25">
      <c r="A9" s="28" t="s">
        <v>8411</v>
      </c>
      <c r="B9" s="28">
        <f>COUNTIFS(Kickstarter!$D:$D,"&gt;=30000",Kickstarter!$D:$D,"&lt;=34999",Kickstarter!$F:$F,"successful",Kickstarter!R:R,"plays")</f>
        <v>3</v>
      </c>
      <c r="C9" s="28">
        <f>COUNTIFS(Kickstarter!$D:$D,"&gt;=30000",Kickstarter!$D:$D,"&lt;=34999",Kickstarter!$F:$F,"failed",Kickstarter!R:R,"plays")</f>
        <v>8</v>
      </c>
      <c r="D9" s="28">
        <f>COUNTIFS(Kickstarter!$D:$D,"&gt;=30000",Kickstarter!$D:$D,"&lt;=34999",Kickstarter!$F:$F,"canceled",Kickstarter!R:R,"plays")</f>
        <v>0</v>
      </c>
      <c r="E9" s="28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8" x14ac:dyDescent="0.25">
      <c r="A10" s="28" t="s">
        <v>8412</v>
      </c>
      <c r="B10" s="28">
        <f>COUNTIFS(Kickstarter!$D:$D,"&gt;=35000",Kickstarter!$D:$D,"&lt;=39999",Kickstarter!$F:$F,"successful",Kickstarter!R:R,"plays")</f>
        <v>4</v>
      </c>
      <c r="C10" s="28">
        <f>COUNTIFS(Kickstarter!$D:$D,"&gt;=35000",Kickstarter!$D:$D,"&lt;=39999",Kickstarter!$F:$F,"failed",Kickstarter!R:R,"plays")</f>
        <v>2</v>
      </c>
      <c r="D10" s="28">
        <f>COUNTIFS(Kickstarter!$D:$D,"&gt;=35000",Kickstarter!$D:$D,"&lt;=39999",Kickstarter!$F:$F,"canceled",Kickstarter!R:R,"plays")</f>
        <v>0</v>
      </c>
      <c r="E10" s="28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8" x14ac:dyDescent="0.25">
      <c r="A11" s="28" t="s">
        <v>8413</v>
      </c>
      <c r="B11" s="28">
        <f>COUNTIFS(Kickstarter!$D:$D,"&gt;=40000",Kickstarter!$D:$D,"&lt;=44999",Kickstarter!$F:$F,"successful",Kickstarter!R:R,"plays")</f>
        <v>2</v>
      </c>
      <c r="C11" s="28">
        <f>COUNTIFS(Kickstarter!$D:$D,"&gt;=40000",Kickstarter!$D:$D,"&lt;=44999",Kickstarter!$F:$F,"failed",Kickstarter!R:R,"plays")</f>
        <v>1</v>
      </c>
      <c r="D11" s="28">
        <f>COUNTIFS(Kickstarter!$D:$D,"&gt;=40000",Kickstarter!$D:$D,"&lt;=44999",Kickstarter!$F:$F,"canceled",Kickstarter!R:R,"plays")</f>
        <v>0</v>
      </c>
      <c r="E11" s="28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8" x14ac:dyDescent="0.25">
      <c r="A12" s="28" t="s">
        <v>8414</v>
      </c>
      <c r="B12" s="28">
        <f>COUNTIFS(Kickstarter!$D:$D,"&gt;=45000",Kickstarter!$D:$D,"&lt;=49999",Kickstarter!$F:$F,"successful",Kickstarter!R:R,"plays")</f>
        <v>0</v>
      </c>
      <c r="C12" s="28">
        <f>COUNTIFS(Kickstarter!$D:$D,"&gt;=45000",Kickstarter!$D:$D,"&lt;=49999",Kickstarter!$F:$F,"failed",Kickstarter!R:R,"plays")</f>
        <v>1</v>
      </c>
      <c r="D12" s="28">
        <f>COUNTIFS(Kickstarter!$D:$D,"&gt;=45000",Kickstarter!$D:$D,"&lt;=49999",Kickstarter!$F:$F,"canceled",Kickstarter!R:R,"plays")</f>
        <v>0</v>
      </c>
      <c r="E12" s="28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8" x14ac:dyDescent="0.25">
      <c r="A13" s="28" t="s">
        <v>8415</v>
      </c>
      <c r="B13" s="28">
        <f>COUNTIFS(Kickstarter!$D:$D,"&gt;50000",Kickstarter!$F:$F,"successful",Kickstarter!R:R,"plays")</f>
        <v>2</v>
      </c>
      <c r="C13" s="28">
        <f>COUNTIFS(Kickstarter!$D:$D,"&gt;50000",Kickstarter!$F:$F,"failed",Kickstarter!R:R,"plays")</f>
        <v>10</v>
      </c>
      <c r="D13" s="28">
        <f>COUNTIFS(Kickstarter!$D:$D,"&gt;50000",Kickstarter!$F:$F,"canceled",Kickstarter!R:R,"plays")</f>
        <v>0</v>
      </c>
      <c r="E13" s="28">
        <f t="shared" si="0"/>
        <v>12</v>
      </c>
      <c r="F13" s="30">
        <f t="shared" si="1"/>
        <v>0.16666666666666666</v>
      </c>
      <c r="G13" s="30">
        <f t="shared" si="2"/>
        <v>0.83333333333333337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F3" sqref="F3"/>
    </sheetView>
  </sheetViews>
  <sheetFormatPr defaultRowHeight="15" x14ac:dyDescent="0.25"/>
  <cols>
    <col min="1" max="1" width="18" style="28" customWidth="1"/>
    <col min="2" max="2" width="16.28515625" style="28" customWidth="1"/>
    <col min="3" max="3" width="6.140625" style="28" customWidth="1"/>
    <col min="4" max="4" width="8.85546875" style="28" customWidth="1"/>
    <col min="5" max="6" width="11.28515625" style="28" bestFit="1" customWidth="1"/>
    <col min="7" max="16384" width="9.140625" style="28"/>
  </cols>
  <sheetData>
    <row r="2" spans="1:5" x14ac:dyDescent="0.25">
      <c r="A2" s="13" t="s">
        <v>8378</v>
      </c>
      <c r="B2" t="s">
        <v>8362</v>
      </c>
    </row>
    <row r="3" spans="1:5" x14ac:dyDescent="0.25">
      <c r="A3" s="13" t="s">
        <v>8357</v>
      </c>
      <c r="B3" t="s">
        <v>8314</v>
      </c>
    </row>
    <row r="5" spans="1:5" x14ac:dyDescent="0.25">
      <c r="A5" s="13" t="s">
        <v>8363</v>
      </c>
      <c r="B5" s="13" t="s">
        <v>8359</v>
      </c>
      <c r="C5"/>
      <c r="D5"/>
      <c r="E5"/>
    </row>
    <row r="6" spans="1:5" x14ac:dyDescent="0.25">
      <c r="A6" s="13" t="s">
        <v>8361</v>
      </c>
      <c r="B6" t="s">
        <v>8217</v>
      </c>
      <c r="C6" t="s">
        <v>8219</v>
      </c>
      <c r="D6" t="s">
        <v>8218</v>
      </c>
      <c r="E6" t="s">
        <v>8360</v>
      </c>
    </row>
    <row r="7" spans="1:5" x14ac:dyDescent="0.25">
      <c r="A7" s="16" t="s">
        <v>8372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5">
      <c r="A8" s="16" t="s">
        <v>8373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5">
      <c r="A9" s="16" t="s">
        <v>8374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5">
      <c r="A10" s="16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5">
      <c r="A11" s="16" t="s">
        <v>8366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5">
      <c r="A12" s="16" t="s">
        <v>8376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5">
      <c r="A13" s="16" t="s">
        <v>8367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5">
      <c r="A14" s="16" t="s">
        <v>8368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5">
      <c r="A15" s="16" t="s">
        <v>8369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5">
      <c r="A16" s="16" t="s">
        <v>8370</v>
      </c>
      <c r="B16" s="11">
        <v>65</v>
      </c>
      <c r="C16" s="11">
        <v>50</v>
      </c>
      <c r="D16" s="11"/>
      <c r="E16" s="11">
        <v>115</v>
      </c>
    </row>
    <row r="17" spans="1:5" x14ac:dyDescent="0.25">
      <c r="A17" s="16" t="s">
        <v>8371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5">
      <c r="A18" s="16" t="s">
        <v>8377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5">
      <c r="A19" s="16" t="s">
        <v>8360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zoomScale="130" zoomScaleNormal="130" workbookViewId="0"/>
  </sheetViews>
  <sheetFormatPr defaultRowHeight="15" x14ac:dyDescent="0.25"/>
  <cols>
    <col min="1" max="1" width="28.85546875" style="28" customWidth="1"/>
    <col min="2" max="2" width="12.42578125" style="28" customWidth="1"/>
    <col min="3" max="3" width="14.140625" style="28" customWidth="1"/>
    <col min="4" max="16384" width="9.140625" style="28"/>
  </cols>
  <sheetData>
    <row r="1" spans="1:3" x14ac:dyDescent="0.25">
      <c r="A1" t="s">
        <v>8397</v>
      </c>
      <c r="B1" t="s">
        <v>8383</v>
      </c>
      <c r="C1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5">
      <c r="A6" t="s">
        <v>8391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25">
      <c r="B8" s="29"/>
      <c r="C8" s="29"/>
    </row>
    <row r="9" spans="1:3" x14ac:dyDescent="0.25">
      <c r="B9" s="29"/>
      <c r="C9" s="29"/>
    </row>
    <row r="10" spans="1:3" x14ac:dyDescent="0.25">
      <c r="A10" s="19" t="s">
        <v>8397</v>
      </c>
      <c r="B10" s="20" t="s">
        <v>8383</v>
      </c>
      <c r="C10" s="21" t="s">
        <v>8384</v>
      </c>
    </row>
    <row r="11" spans="1:3" x14ac:dyDescent="0.25">
      <c r="A11" s="22" t="s">
        <v>8387</v>
      </c>
      <c r="B11" s="23" t="e">
        <f>AVERAGE(#REF!)</f>
        <v>#REF!</v>
      </c>
      <c r="C11" s="24" t="e">
        <f>AVERAGE(#REF!)</f>
        <v>#REF!</v>
      </c>
    </row>
    <row r="12" spans="1:3" x14ac:dyDescent="0.25">
      <c r="A12" s="25" t="s">
        <v>8388</v>
      </c>
      <c r="B12" s="26" t="e">
        <f>MEDIAN(#REF!)</f>
        <v>#REF!</v>
      </c>
      <c r="C12" s="27" t="e">
        <f>MEDIAN(#REF!)</f>
        <v>#REF!</v>
      </c>
    </row>
    <row r="13" spans="1:3" x14ac:dyDescent="0.25">
      <c r="A13" s="22" t="s">
        <v>8393</v>
      </c>
      <c r="B13" s="23" t="e">
        <f>_xlfn.STDEV.P(#REF!)</f>
        <v>#REF!</v>
      </c>
      <c r="C13" s="24" t="e">
        <f>_xlfn.STDEV.P(#REF!)</f>
        <v>#REF!</v>
      </c>
    </row>
    <row r="14" spans="1:3" x14ac:dyDescent="0.25">
      <c r="A14" s="25" t="s">
        <v>8394</v>
      </c>
      <c r="B14" s="26" t="e">
        <f>_xlfn.QUARTILE.EXC(#REF!,3)</f>
        <v>#REF!</v>
      </c>
      <c r="C14" s="27" t="e">
        <f>_xlfn.QUARTILE.EXC(#REF!,3)</f>
        <v>#REF!</v>
      </c>
    </row>
    <row r="15" spans="1:3" x14ac:dyDescent="0.25">
      <c r="A15" s="22" t="s">
        <v>8395</v>
      </c>
      <c r="B15" s="23" t="e">
        <f>_xlfn.QUARTILE.EXC(#REF!,1)</f>
        <v>#REF!</v>
      </c>
      <c r="C15" s="24" t="e">
        <f>_xlfn.QUARTILE.EXC(#REF!,1)</f>
        <v>#REF!</v>
      </c>
    </row>
    <row r="16" spans="1:3" x14ac:dyDescent="0.25">
      <c r="A16" s="25" t="s">
        <v>8396</v>
      </c>
      <c r="B16" s="26" t="e">
        <f>B14-B15</f>
        <v>#REF!</v>
      </c>
      <c r="C16" s="27" t="e">
        <f>C14-C15</f>
        <v>#REF!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A2" workbookViewId="0">
      <selection activeCell="E5" sqref="E5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8221</v>
      </c>
      <c r="B1" t="s">
        <v>8222</v>
      </c>
    </row>
    <row r="3" spans="1:6" x14ac:dyDescent="0.25">
      <c r="A3" s="13" t="s">
        <v>8363</v>
      </c>
      <c r="B3" s="13" t="s">
        <v>8359</v>
      </c>
    </row>
    <row r="4" spans="1:6" x14ac:dyDescent="0.25">
      <c r="A4" s="13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4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4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8221</v>
      </c>
      <c r="B1" t="s">
        <v>8362</v>
      </c>
    </row>
    <row r="2" spans="1:5" x14ac:dyDescent="0.25">
      <c r="A2" s="13" t="s">
        <v>8357</v>
      </c>
      <c r="B2" t="s">
        <v>8362</v>
      </c>
    </row>
    <row r="4" spans="1:5" x14ac:dyDescent="0.25">
      <c r="A4" s="13" t="s">
        <v>8363</v>
      </c>
      <c r="B4" s="13" t="s">
        <v>8359</v>
      </c>
    </row>
    <row r="5" spans="1:5" x14ac:dyDescent="0.25">
      <c r="A5" s="13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5">
      <c r="A6" s="14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4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8357</v>
      </c>
      <c r="B1" t="s">
        <v>8314</v>
      </c>
    </row>
    <row r="2" spans="1:6" x14ac:dyDescent="0.25">
      <c r="A2" s="13" t="s">
        <v>8378</v>
      </c>
      <c r="B2" t="s">
        <v>8362</v>
      </c>
    </row>
    <row r="4" spans="1:6" x14ac:dyDescent="0.25">
      <c r="A4" s="13" t="s">
        <v>8363</v>
      </c>
      <c r="B4" s="13" t="s">
        <v>8359</v>
      </c>
    </row>
    <row r="5" spans="1:6" x14ac:dyDescent="0.25">
      <c r="A5" s="13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6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56.5703125" customWidth="1"/>
    <col min="3" max="3" width="14.5703125" customWidth="1"/>
    <col min="4" max="4" width="23.28515625" bestFit="1" customWidth="1"/>
    <col min="5" max="5" width="17.7109375" bestFit="1" customWidth="1"/>
  </cols>
  <sheetData>
    <row r="1" spans="1:5" x14ac:dyDescent="0.25">
      <c r="A1" s="9" t="s">
        <v>8379</v>
      </c>
      <c r="B1" s="9" t="s">
        <v>4109</v>
      </c>
      <c r="C1" s="9" t="s">
        <v>8380</v>
      </c>
      <c r="D1" s="9" t="s">
        <v>8381</v>
      </c>
      <c r="E1" s="9" t="s">
        <v>8382</v>
      </c>
    </row>
    <row r="2" spans="1:5" ht="45.75" customHeight="1" x14ac:dyDescent="0.2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VLOOKUP(A2,Kickstarter!B2:D4115,3,0)</f>
        <v>2000</v>
      </c>
      <c r="D2">
        <f>VLOOKUP(A2,Kickstarter!B2:P4115,15,0)</f>
        <v>51.79</v>
      </c>
      <c r="E2">
        <f>VLOOKUP(A2,Kickstarter!B2:L4115,11,0)</f>
        <v>39</v>
      </c>
    </row>
    <row r="3" spans="1:5" ht="45" x14ac:dyDescent="0.2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VLOOKUP(A3,Kickstarter!B3:D4116,3,0)</f>
        <v>2000</v>
      </c>
      <c r="D3">
        <f>VLOOKUP(A3,Kickstarter!B3:P4116,15,0)</f>
        <v>36.07</v>
      </c>
      <c r="E3">
        <f>VLOOKUP(A3,Kickstarter!B3:L4116,11,0)</f>
        <v>56</v>
      </c>
    </row>
    <row r="4" spans="1:5" ht="45" x14ac:dyDescent="0.2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VLOOKUP(A4,Kickstarter!B4:D4117,3,0)</f>
        <v>1500</v>
      </c>
      <c r="D4">
        <f>VLOOKUP(A4,Kickstarter!B4:P4117,15,0)</f>
        <v>33.03</v>
      </c>
      <c r="E4">
        <f>VLOOKUP(A4,Kickstarter!B4:L4117,11,0)</f>
        <v>78</v>
      </c>
    </row>
    <row r="5" spans="1:5" ht="45" x14ac:dyDescent="0.2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 s="17">
        <f>VLOOKUP(A5,Kickstarter!B5:D4118,3,0)</f>
        <v>1000</v>
      </c>
      <c r="D5">
        <f>VLOOKUP(A5,Kickstarter!B5:P4118,15,0)</f>
        <v>44.92</v>
      </c>
      <c r="E5">
        <f>VLOOKUP(A5,Kickstarter!B5:L4118,11,0)</f>
        <v>26</v>
      </c>
    </row>
    <row r="6" spans="1:5" ht="45" x14ac:dyDescent="0.2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VLOOKUP(A6,Kickstarter!B6:D4119,3,0)</f>
        <v>4000</v>
      </c>
      <c r="D6">
        <f>VLOOKUP(A6,Kickstarter!B6:P4119,15,0)</f>
        <v>36.61</v>
      </c>
      <c r="E6">
        <f>VLOOKUP(A6,Kickstarter!B6:L4119,11,0)</f>
        <v>113</v>
      </c>
    </row>
  </sheetData>
  <conditionalFormatting sqref="A1">
    <cfRule type="colorScale" priority="13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4">
      <colorScale>
        <cfvo type="min"/>
        <cfvo type="max"/>
        <color rgb="FFFF0000"/>
        <color theme="4"/>
      </colorScale>
    </cfRule>
    <cfRule type="colorScale" priority="15">
      <colorScale>
        <cfvo type="min"/>
        <cfvo type="max"/>
        <color rgb="FFFF0000"/>
        <color theme="8"/>
      </colorScale>
    </cfRule>
  </conditionalFormatting>
  <conditionalFormatting sqref="B1">
    <cfRule type="colorScale" priority="10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max"/>
        <color rgb="FFFF0000"/>
        <color theme="8"/>
      </colorScale>
    </cfRule>
  </conditionalFormatting>
  <conditionalFormatting sqref="C1">
    <cfRule type="colorScale" priority="7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8"/>
      </colorScale>
    </cfRule>
  </conditionalFormatting>
  <conditionalFormatting sqref="D1">
    <cfRule type="colorScale" priority="4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8"/>
      </colorScale>
    </cfRule>
  </conditionalFormatting>
  <conditionalFormatting sqref="E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Enriquez Marin, Victor Hugo</cp:lastModifiedBy>
  <dcterms:created xsi:type="dcterms:W3CDTF">2017-04-20T15:17:24Z</dcterms:created>
  <dcterms:modified xsi:type="dcterms:W3CDTF">2022-03-26T19:46:08Z</dcterms:modified>
</cp:coreProperties>
</file>