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<sst xmlns="http://schemas.openxmlformats.org/spreadsheetml/2006/main" count="81" uniqueCount="71">
  <si>
    <t xml:space="preserve">Line</t>
  </si>
  <si>
    <t xml:space="preserve">L [km]</t>
  </si>
  <si>
    <t xml:space="preserve">Type</t>
  </si>
  <si>
    <t xml:space="preserve">Ncond.</t>
  </si>
  <si>
    <t xml:space="preserve">Nº Circuits</t>
  </si>
  <si>
    <t xml:space="preserve">Sb [MVA]</t>
  </si>
  <si>
    <t xml:space="preserve">Voltage [V]</t>
  </si>
  <si>
    <t xml:space="preserve">Zb</t>
  </si>
  <si>
    <t xml:space="preserve">Conductor</t>
  </si>
  <si>
    <t xml:space="preserve">Area[mm2]</t>
  </si>
  <si>
    <t xml:space="preserve">diameter [mm]</t>
  </si>
  <si>
    <t xml:space="preserve">Rcond [Ω/km]</t>
  </si>
  <si>
    <t xml:space="preserve">kg</t>
  </si>
  <si>
    <t xml:space="preserve">R[Ω/km]</t>
  </si>
  <si>
    <t xml:space="preserve">L [H/km]</t>
  </si>
  <si>
    <t xml:space="preserve">C [F/km]</t>
  </si>
  <si>
    <t xml:space="preserve">GMD</t>
  </si>
  <si>
    <t xml:space="preserve">GMR</t>
  </si>
  <si>
    <t xml:space="preserve">GMR1</t>
  </si>
  <si>
    <t xml:space="preserve">GMR2</t>
  </si>
  <si>
    <t xml:space="preserve">GMR3</t>
  </si>
  <si>
    <t xml:space="preserve">Req1</t>
  </si>
  <si>
    <t xml:space="preserve">Req2</t>
  </si>
  <si>
    <t xml:space="preserve">Req3</t>
  </si>
  <si>
    <t xml:space="preserve">Req</t>
  </si>
  <si>
    <t xml:space="preserve">Rt</t>
  </si>
  <si>
    <t xml:space="preserve">XLt</t>
  </si>
  <si>
    <t xml:space="preserve">XCt</t>
  </si>
  <si>
    <t xml:space="preserve">r</t>
  </si>
  <si>
    <t xml:space="preserve">x</t>
  </si>
  <si>
    <t xml:space="preserve">b</t>
  </si>
  <si>
    <t xml:space="preserve">L1</t>
  </si>
  <si>
    <t xml:space="preserve">Single</t>
  </si>
  <si>
    <t xml:space="preserve">1x315</t>
  </si>
  <si>
    <t xml:space="preserve">L2</t>
  </si>
  <si>
    <t xml:space="preserve">1x200</t>
  </si>
  <si>
    <t xml:space="preserve">L3</t>
  </si>
  <si>
    <t xml:space="preserve">Bundle</t>
  </si>
  <si>
    <t xml:space="preserve">4x500</t>
  </si>
  <si>
    <t xml:space="preserve">L4</t>
  </si>
  <si>
    <t xml:space="preserve">L5</t>
  </si>
  <si>
    <t xml:space="preserve">4x800</t>
  </si>
  <si>
    <t xml:space="preserve">L6</t>
  </si>
  <si>
    <t xml:space="preserve">Double</t>
  </si>
  <si>
    <t xml:space="preserve">2x800</t>
  </si>
  <si>
    <t xml:space="preserve">L7</t>
  </si>
  <si>
    <t xml:space="preserve">2x710</t>
  </si>
  <si>
    <t xml:space="preserve">L8</t>
  </si>
  <si>
    <t xml:space="preserve">2x1250</t>
  </si>
  <si>
    <t xml:space="preserve">Single line</t>
  </si>
  <si>
    <t xml:space="preserve">Double Lines</t>
  </si>
  <si>
    <t xml:space="preserve">Bundle Lines</t>
  </si>
  <si>
    <t xml:space="preserve">Y23</t>
  </si>
  <si>
    <t xml:space="preserve">d13' </t>
  </si>
  <si>
    <t xml:space="preserve">GMD12</t>
  </si>
  <si>
    <t xml:space="preserve">dbundle (cm)</t>
  </si>
  <si>
    <t xml:space="preserve">d13</t>
  </si>
  <si>
    <t xml:space="preserve">d22'</t>
  </si>
  <si>
    <t xml:space="preserve">GMD23</t>
  </si>
  <si>
    <t xml:space="preserve">nbundles</t>
  </si>
  <si>
    <t xml:space="preserve">d23</t>
  </si>
  <si>
    <t xml:space="preserve">d31'</t>
  </si>
  <si>
    <t xml:space="preserve">GMD31</t>
  </si>
  <si>
    <t xml:space="preserve">rbundle</t>
  </si>
  <si>
    <t xml:space="preserve">d12</t>
  </si>
  <si>
    <t xml:space="preserve">yd21</t>
  </si>
  <si>
    <t xml:space="preserve">yd32</t>
  </si>
  <si>
    <t xml:space="preserve">d12,d1'2',d23,d2'3'</t>
  </si>
  <si>
    <t xml:space="preserve">d12', d1'2,d23',d2'3</t>
  </si>
  <si>
    <t xml:space="preserve">d11', d3'3</t>
  </si>
  <si>
    <t xml:space="preserve">d13,d1'3'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</si>
</sst>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A9D18E"/>
        <bgColor rgb="FFC5E0B4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BDD7E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A9D18E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27</xdr:row>
      <xdr:rowOff>84960</xdr:rowOff>
    </xdr:from>
    <xdr:to>
      <xdr:col>2</xdr:col>
      <xdr:colOff>554760</xdr:colOff>
      <xdr:row>33</xdr:row>
      <xdr:rowOff>167040</xdr:rowOff>
    </xdr:to>
    <xdr:pic>
      <xdr:nvPicPr>
        <xdr:cNvPr id="0" name="Imagen 1" descr=""/>
        <xdr:cNvPicPr/>
      </xdr:nvPicPr>
      <xdr:blipFill>
        <a:blip r:embed="rId1"/>
        <a:srcRect l="0" t="19794" r="0" b="0"/>
        <a:stretch/>
      </xdr:blipFill>
      <xdr:spPr>
        <a:xfrm>
          <a:off x="0" y="5000040"/>
          <a:ext cx="2409120" cy="1167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262440</xdr:colOff>
      <xdr:row>28</xdr:row>
      <xdr:rowOff>55440</xdr:rowOff>
    </xdr:from>
    <xdr:to>
      <xdr:col>12</xdr:col>
      <xdr:colOff>226080</xdr:colOff>
      <xdr:row>37</xdr:row>
      <xdr:rowOff>88920</xdr:rowOff>
    </xdr:to>
    <xdr:pic>
      <xdr:nvPicPr>
        <xdr:cNvPr id="1" name="Imagen 3" descr=""/>
        <xdr:cNvPicPr/>
      </xdr:nvPicPr>
      <xdr:blipFill>
        <a:blip r:embed="rId2"/>
        <a:srcRect l="0" t="16335" r="0" b="0"/>
        <a:stretch/>
      </xdr:blipFill>
      <xdr:spPr>
        <a:xfrm>
          <a:off x="6646680" y="5151240"/>
          <a:ext cx="5285520" cy="1662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97920</xdr:colOff>
      <xdr:row>25</xdr:row>
      <xdr:rowOff>163440</xdr:rowOff>
    </xdr:from>
    <xdr:to>
      <xdr:col>6</xdr:col>
      <xdr:colOff>360720</xdr:colOff>
      <xdr:row>38</xdr:row>
      <xdr:rowOff>165240</xdr:rowOff>
    </xdr:to>
    <xdr:pic>
      <xdr:nvPicPr>
        <xdr:cNvPr id="2" name="Imagen 5" descr=""/>
        <xdr:cNvPicPr/>
      </xdr:nvPicPr>
      <xdr:blipFill>
        <a:blip r:embed="rId3"/>
        <a:stretch/>
      </xdr:blipFill>
      <xdr:spPr>
        <a:xfrm>
          <a:off x="2879280" y="4716360"/>
          <a:ext cx="2938680" cy="2354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"/>
  <sheetViews>
    <sheetView showFormulas="false" showGridLines="true" showRowColHeaders="true" showZeros="true" rightToLeft="false" tabSelected="true" showOutlineSymbols="true" defaultGridColor="true" view="normal" topLeftCell="I1" colorId="64" zoomScale="90" zoomScaleNormal="90" zoomScalePageLayoutView="100" workbookViewId="0">
      <selection pane="topLeft" activeCell="R19" activeCellId="0" sqref="R19"/>
    </sheetView>
  </sheetViews>
  <sheetFormatPr defaultColWidth="10.4296875" defaultRowHeight="14.25" zeroHeight="false" outlineLevelRow="0" outlineLevelCol="0"/>
  <cols>
    <col collapsed="false" customWidth="true" hidden="false" outlineLevel="0" max="4" min="4" style="0" width="9.55"/>
    <col collapsed="false" customWidth="true" hidden="false" outlineLevel="0" max="5" min="5" style="0" width="10.11"/>
    <col collapsed="false" customWidth="true" hidden="false" outlineLevel="0" max="9" min="9" style="0" width="11.55"/>
    <col collapsed="false" customWidth="true" hidden="false" outlineLevel="0" max="11" min="11" style="0" width="14.33"/>
    <col collapsed="false" customWidth="true" hidden="false" outlineLevel="0" max="12" min="12" style="0" width="13.11"/>
    <col collapsed="false" customWidth="true" hidden="false" outlineLevel="0" max="16" min="16" style="0" width="11.55"/>
    <col collapsed="false" customWidth="true" hidden="true" outlineLevel="0" max="24" min="19" style="0" width="9.14"/>
    <col collapsed="false" customWidth="true" hidden="false" outlineLevel="0" max="28" min="28" style="0" width="11.55"/>
  </cols>
  <sheetData>
    <row r="1" s="4" customFormat="tru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1" t="s">
        <v>25</v>
      </c>
      <c r="AA1" s="2" t="s">
        <v>26</v>
      </c>
      <c r="AB1" s="3" t="s">
        <v>27</v>
      </c>
      <c r="AC1" s="4" t="s">
        <v>28</v>
      </c>
      <c r="AD1" s="4" t="s">
        <v>29</v>
      </c>
      <c r="AE1" s="4" t="s">
        <v>30</v>
      </c>
    </row>
    <row r="2" s="11" customFormat="true" ht="14.25" hidden="false" customHeight="false" outlineLevel="0" collapsed="false">
      <c r="A2" s="5" t="s">
        <v>31</v>
      </c>
      <c r="B2" s="6" t="n">
        <v>100</v>
      </c>
      <c r="C2" s="6" t="s">
        <v>32</v>
      </c>
      <c r="D2" s="6" t="n">
        <v>1</v>
      </c>
      <c r="E2" s="6" t="n">
        <v>1</v>
      </c>
      <c r="F2" s="6" t="n">
        <v>100</v>
      </c>
      <c r="G2" s="6" t="n">
        <v>230</v>
      </c>
      <c r="H2" s="6"/>
      <c r="I2" s="6" t="s">
        <v>33</v>
      </c>
      <c r="J2" s="6" t="n">
        <v>315</v>
      </c>
      <c r="K2" s="6" t="n">
        <v>23.91</v>
      </c>
      <c r="L2" s="6" t="n">
        <v>0.0917</v>
      </c>
      <c r="M2" s="7" t="n">
        <v>0.809</v>
      </c>
      <c r="N2" s="8" t="n">
        <f aca="false">L2/D2</f>
        <v>0.0917</v>
      </c>
      <c r="O2" s="9" t="n">
        <f aca="false">(0.2*LN(Q2/R2))/1000</f>
        <v>0.00134715035063632</v>
      </c>
      <c r="P2" s="9" t="n">
        <f aca="false">(1/(18*LN(Q2/Y2)))/1000000</f>
        <v>8.51583353303835E-009</v>
      </c>
      <c r="Q2" s="9" t="n">
        <f aca="false">($B$18*$B$19*$B$20)^(1/3)</f>
        <v>8.14325284978472</v>
      </c>
      <c r="R2" s="9" t="n">
        <f aca="false">(M2*(K2/2))/1000</f>
        <v>0.009671595</v>
      </c>
      <c r="S2" s="9"/>
      <c r="T2" s="9"/>
      <c r="U2" s="9"/>
      <c r="V2" s="9"/>
      <c r="W2" s="9"/>
      <c r="X2" s="9"/>
      <c r="Y2" s="10" t="n">
        <f aca="false">K2/2000</f>
        <v>0.011955</v>
      </c>
      <c r="Z2" s="8" t="n">
        <f aca="false">N2*B2</f>
        <v>9.17</v>
      </c>
      <c r="AA2" s="9" t="n">
        <f aca="false">2*PI()*50*O2*B2</f>
        <v>42.3219764483998</v>
      </c>
      <c r="AB2" s="10" t="n">
        <f aca="false">2*PI()*50*P2*B2</f>
        <v>0.000267532800665869</v>
      </c>
    </row>
    <row r="3" s="11" customFormat="true" ht="14.25" hidden="false" customHeight="false" outlineLevel="0" collapsed="false">
      <c r="A3" s="5" t="s">
        <v>34</v>
      </c>
      <c r="B3" s="6" t="n">
        <v>100</v>
      </c>
      <c r="C3" s="6" t="s">
        <v>32</v>
      </c>
      <c r="D3" s="6" t="n">
        <v>1</v>
      </c>
      <c r="E3" s="6" t="n">
        <v>1</v>
      </c>
      <c r="F3" s="6" t="n">
        <v>100</v>
      </c>
      <c r="G3" s="6" t="n">
        <v>230</v>
      </c>
      <c r="H3" s="6"/>
      <c r="I3" s="6" t="s">
        <v>35</v>
      </c>
      <c r="J3" s="6" t="n">
        <v>200</v>
      </c>
      <c r="K3" s="6" t="n">
        <v>18.8</v>
      </c>
      <c r="L3" s="6" t="n">
        <v>0.144</v>
      </c>
      <c r="M3" s="7" t="n">
        <v>0.776</v>
      </c>
      <c r="N3" s="8" t="n">
        <f aca="false">L3/D3</f>
        <v>0.144</v>
      </c>
      <c r="O3" s="9" t="n">
        <f aca="false">(0.2*LN(Q3/R3))/1000</f>
        <v>0.00140356761233824</v>
      </c>
      <c r="P3" s="9" t="n">
        <f aca="false">(1/(18*LN(Q3/Y3)))/1000000</f>
        <v>8.21313172411386E-009</v>
      </c>
      <c r="Q3" s="9" t="n">
        <f aca="false">($B$18*$B$19*$B$20)^(1/3)</f>
        <v>8.14325284978472</v>
      </c>
      <c r="R3" s="9" t="n">
        <f aca="false">(M3*(K3/2))/1000</f>
        <v>0.0072944</v>
      </c>
      <c r="S3" s="9"/>
      <c r="T3" s="9"/>
      <c r="U3" s="9"/>
      <c r="V3" s="9"/>
      <c r="W3" s="9"/>
      <c r="X3" s="9"/>
      <c r="Y3" s="10" t="n">
        <f aca="false">K3/2000</f>
        <v>0.0094</v>
      </c>
      <c r="Z3" s="8" t="n">
        <f aca="false">N3*B3</f>
        <v>14.4</v>
      </c>
      <c r="AA3" s="9" t="n">
        <f aca="false">2*PI()*50*O3*B3</f>
        <v>44.0943769973839</v>
      </c>
      <c r="AB3" s="10" t="n">
        <f aca="false">2*PI()*50*P3*B3</f>
        <v>0.000258023142874414</v>
      </c>
    </row>
    <row r="4" s="18" customFormat="true" ht="14.25" hidden="false" customHeight="false" outlineLevel="0" collapsed="false">
      <c r="A4" s="12" t="s">
        <v>36</v>
      </c>
      <c r="B4" s="13" t="n">
        <v>100</v>
      </c>
      <c r="C4" s="13" t="s">
        <v>37</v>
      </c>
      <c r="D4" s="13" t="n">
        <v>4</v>
      </c>
      <c r="E4" s="13" t="n">
        <v>2</v>
      </c>
      <c r="F4" s="13" t="n">
        <v>100</v>
      </c>
      <c r="G4" s="13" t="n">
        <v>230</v>
      </c>
      <c r="H4" s="13"/>
      <c r="I4" s="13" t="s">
        <v>38</v>
      </c>
      <c r="J4" s="13" t="n">
        <v>500</v>
      </c>
      <c r="K4" s="13" t="n">
        <v>30.09</v>
      </c>
      <c r="L4" s="13" t="n">
        <v>0.0578</v>
      </c>
      <c r="M4" s="14" t="n">
        <v>0.809</v>
      </c>
      <c r="N4" s="15" t="n">
        <f aca="false">L4/D4</f>
        <v>0.01445</v>
      </c>
      <c r="O4" s="16" t="n">
        <f aca="false">(0.2*LN(Q4/R4))/1000</f>
        <v>0.000788262243559021</v>
      </c>
      <c r="P4" s="16" t="n">
        <f aca="false">(1/(18*LN(Q4/Y4)))/1000000</f>
        <v>1.42877965704785E-008</v>
      </c>
      <c r="Q4" s="16" t="n">
        <f aca="false">($K$20*$K$21*$K$22)^(1/3)</f>
        <v>7.55952629936924</v>
      </c>
      <c r="R4" s="16" t="n">
        <f aca="false">(M4*D4*(K4/2000)*($K$19)^(D4-1))^(1/D4)</f>
        <v>0.146826642862476</v>
      </c>
      <c r="S4" s="16"/>
      <c r="T4" s="16"/>
      <c r="U4" s="16"/>
      <c r="V4" s="16"/>
      <c r="W4" s="16"/>
      <c r="X4" s="16"/>
      <c r="Y4" s="17" t="n">
        <f aca="false">(D4*(K4/2000)*($K$19)^(D4-1))^(1/4)</f>
        <v>0.154816675942852</v>
      </c>
      <c r="Z4" s="15" t="n">
        <f aca="false">N4*B4</f>
        <v>1.445</v>
      </c>
      <c r="AA4" s="16" t="n">
        <f aca="false">2*PI()*50*O4*B4</f>
        <v>24.7639887346723</v>
      </c>
      <c r="AB4" s="17" t="n">
        <f aca="false">2*PI()*50*P4*B4</f>
        <v>0.000448864367418008</v>
      </c>
    </row>
    <row r="5" s="18" customFormat="true" ht="14.25" hidden="false" customHeight="false" outlineLevel="0" collapsed="false">
      <c r="A5" s="12" t="s">
        <v>39</v>
      </c>
      <c r="B5" s="13" t="n">
        <v>140</v>
      </c>
      <c r="C5" s="13" t="s">
        <v>37</v>
      </c>
      <c r="D5" s="13" t="n">
        <v>4</v>
      </c>
      <c r="E5" s="13" t="n">
        <v>2</v>
      </c>
      <c r="F5" s="13" t="n">
        <v>100</v>
      </c>
      <c r="G5" s="13" t="n">
        <v>230</v>
      </c>
      <c r="H5" s="13"/>
      <c r="I5" s="13" t="s">
        <v>38</v>
      </c>
      <c r="J5" s="13" t="n">
        <v>500</v>
      </c>
      <c r="K5" s="13" t="n">
        <v>30.09</v>
      </c>
      <c r="L5" s="13" t="n">
        <v>0.0578</v>
      </c>
      <c r="M5" s="14" t="n">
        <v>0.809</v>
      </c>
      <c r="N5" s="15" t="n">
        <f aca="false">L5/D5</f>
        <v>0.01445</v>
      </c>
      <c r="O5" s="16" t="n">
        <f aca="false">(0.2*LN(Q5/R5))/1000</f>
        <v>0.000788262243559021</v>
      </c>
      <c r="P5" s="16" t="n">
        <f aca="false">(1/(18*LN(Q5/Y5)))/1000000</f>
        <v>1.42877965704785E-008</v>
      </c>
      <c r="Q5" s="16" t="n">
        <f aca="false">($K$20*$K$21*$K$22)^(1/3)</f>
        <v>7.55952629936924</v>
      </c>
      <c r="R5" s="16" t="n">
        <f aca="false">(M5*D5*(K5/2000)*($K$19)^(D5-1))^(1/D5)</f>
        <v>0.146826642862476</v>
      </c>
      <c r="S5" s="16"/>
      <c r="T5" s="16"/>
      <c r="U5" s="16"/>
      <c r="V5" s="16"/>
      <c r="W5" s="16"/>
      <c r="X5" s="16"/>
      <c r="Y5" s="17" t="n">
        <f aca="false">(D5*(K5/2000)*($K$19)^(D5-1))^(1/4)</f>
        <v>0.154816675942852</v>
      </c>
      <c r="Z5" s="15" t="n">
        <f aca="false">N5*B5</f>
        <v>2.023</v>
      </c>
      <c r="AA5" s="16" t="n">
        <f aca="false">2*PI()*50*O5*B5</f>
        <v>34.6695842285412</v>
      </c>
      <c r="AB5" s="17" t="n">
        <f aca="false">2*PI()*50*P5*B5</f>
        <v>0.000628410114385211</v>
      </c>
    </row>
    <row r="6" s="18" customFormat="true" ht="14.25" hidden="false" customHeight="false" outlineLevel="0" collapsed="false">
      <c r="A6" s="12" t="s">
        <v>40</v>
      </c>
      <c r="B6" s="13" t="n">
        <v>100</v>
      </c>
      <c r="C6" s="13" t="s">
        <v>37</v>
      </c>
      <c r="D6" s="13" t="n">
        <v>4</v>
      </c>
      <c r="E6" s="13" t="n">
        <v>2</v>
      </c>
      <c r="F6" s="13" t="n">
        <v>100</v>
      </c>
      <c r="G6" s="13" t="n">
        <v>230</v>
      </c>
      <c r="H6" s="13"/>
      <c r="I6" s="13" t="s">
        <v>41</v>
      </c>
      <c r="J6" s="13" t="n">
        <v>800</v>
      </c>
      <c r="K6" s="13" t="n">
        <v>37.61</v>
      </c>
      <c r="L6" s="13" t="n">
        <v>0.0361</v>
      </c>
      <c r="M6" s="14" t="n">
        <v>0.793</v>
      </c>
      <c r="N6" s="15" t="n">
        <f aca="false">L6/D6</f>
        <v>0.009025</v>
      </c>
      <c r="O6" s="16" t="n">
        <f aca="false">(0.2*LN(Q6/R6))/1000</f>
        <v>0.000778107174238189</v>
      </c>
      <c r="P6" s="16" t="n">
        <f aca="false">(1/(18*LN(Q6/Y6)))/1000000</f>
        <v>1.44957049858295E-008</v>
      </c>
      <c r="Q6" s="16" t="n">
        <f aca="false">($K$20*$K$21*$K$22)^(1/3)</f>
        <v>7.55952629936924</v>
      </c>
      <c r="R6" s="16" t="n">
        <f aca="false">(M6*D6*(K6/2000)*($K$19)^(D6-1))^(1/D6)</f>
        <v>0.154474330546787</v>
      </c>
      <c r="S6" s="16"/>
      <c r="T6" s="16"/>
      <c r="U6" s="16"/>
      <c r="V6" s="16"/>
      <c r="W6" s="16"/>
      <c r="X6" s="16"/>
      <c r="Y6" s="17" t="n">
        <f aca="false">(D6*(K6/2000)*($K$19)^(D6-1))^(1/4)</f>
        <v>0.163695984024275</v>
      </c>
      <c r="Z6" s="15" t="n">
        <f aca="false">N6*B6</f>
        <v>0.9025</v>
      </c>
      <c r="AA6" s="16" t="n">
        <f aca="false">2*PI()*50*O6*B6</f>
        <v>24.4449578229221</v>
      </c>
      <c r="AB6" s="17" t="n">
        <f aca="false">2*PI()*50*P6*B6</f>
        <v>0.00045539600292087</v>
      </c>
    </row>
    <row r="7" s="25" customFormat="true" ht="14.25" hidden="false" customHeight="false" outlineLevel="0" collapsed="false">
      <c r="A7" s="19" t="s">
        <v>42</v>
      </c>
      <c r="B7" s="20" t="n">
        <v>200</v>
      </c>
      <c r="C7" s="20" t="s">
        <v>43</v>
      </c>
      <c r="D7" s="20" t="n">
        <v>2</v>
      </c>
      <c r="E7" s="20" t="n">
        <v>1</v>
      </c>
      <c r="F7" s="20" t="n">
        <v>100</v>
      </c>
      <c r="G7" s="20" t="n">
        <v>230</v>
      </c>
      <c r="H7" s="20"/>
      <c r="I7" s="20" t="s">
        <v>44</v>
      </c>
      <c r="J7" s="20" t="n">
        <v>800</v>
      </c>
      <c r="K7" s="20" t="n">
        <v>37.61</v>
      </c>
      <c r="L7" s="20" t="n">
        <v>0.0361</v>
      </c>
      <c r="M7" s="21" t="n">
        <v>0.793</v>
      </c>
      <c r="N7" s="22" t="n">
        <f aca="false">L7/D7</f>
        <v>0.01805</v>
      </c>
      <c r="O7" s="23" t="n">
        <f aca="false">(0.2*LN(Q7/R7))/1000</f>
        <v>0.000571232727829839</v>
      </c>
      <c r="P7" s="23" t="n">
        <f aca="false">(1/(18*LN(Q7/Y7)))/1000000</f>
        <v>2.02742880087083E-008</v>
      </c>
      <c r="Q7" s="23" t="n">
        <f aca="false">($G$17*$G$18*$G$19)^(1/3)</f>
        <v>6.88545062960877</v>
      </c>
      <c r="R7" s="23" t="n">
        <f aca="false">(S7*T7*U7)^(1/3)</f>
        <v>0.395836885381309</v>
      </c>
      <c r="S7" s="23" t="n">
        <f aca="false">SQRT(M7*(K7/(2*1000))*$E$24)</f>
        <v>0.423755417122863</v>
      </c>
      <c r="T7" s="23" t="n">
        <f aca="false">SQRT(M7*(K7/(2*1000))*$E$18)</f>
        <v>0.345396757367524</v>
      </c>
      <c r="U7" s="23" t="n">
        <f aca="false">S7</f>
        <v>0.423755417122863</v>
      </c>
      <c r="V7" s="23" t="n">
        <f aca="false">SQRT(K7/(2*1000)*$E$24)</f>
        <v>0.475859418372894</v>
      </c>
      <c r="W7" s="23" t="n">
        <f aca="false">SQRT(K7/(2*1000)*$E$18)</f>
        <v>0.387865956227148</v>
      </c>
      <c r="X7" s="23" t="n">
        <f aca="false">V7</f>
        <v>0.475859418372894</v>
      </c>
      <c r="Y7" s="24" t="n">
        <f aca="false">(V7*W7*X7)^(1/3)</f>
        <v>0.444508087535489</v>
      </c>
      <c r="Z7" s="22" t="n">
        <f aca="false">N7*B7</f>
        <v>3.61</v>
      </c>
      <c r="AA7" s="23" t="n">
        <f aca="false">2*PI()*50*O7*B7</f>
        <v>35.8916108248056</v>
      </c>
      <c r="AB7" s="24" t="n">
        <f aca="false">2*PI()*50*P7*B7</f>
        <v>0.00127387108529843</v>
      </c>
    </row>
    <row r="8" s="25" customFormat="true" ht="14.25" hidden="false" customHeight="false" outlineLevel="0" collapsed="false">
      <c r="A8" s="19" t="s">
        <v>45</v>
      </c>
      <c r="B8" s="20" t="n">
        <v>140</v>
      </c>
      <c r="C8" s="20" t="s">
        <v>43</v>
      </c>
      <c r="D8" s="20" t="n">
        <v>2</v>
      </c>
      <c r="E8" s="20" t="n">
        <v>1</v>
      </c>
      <c r="F8" s="20" t="n">
        <v>100</v>
      </c>
      <c r="G8" s="20" t="n">
        <v>230</v>
      </c>
      <c r="H8" s="20"/>
      <c r="I8" s="20" t="s">
        <v>46</v>
      </c>
      <c r="J8" s="20" t="n">
        <v>710</v>
      </c>
      <c r="K8" s="20" t="n">
        <v>35.85</v>
      </c>
      <c r="L8" s="20" t="n">
        <v>0.0407</v>
      </c>
      <c r="M8" s="21" t="n">
        <v>0.809</v>
      </c>
      <c r="N8" s="22" t="n">
        <f aca="false">L8/D8</f>
        <v>0.02035</v>
      </c>
      <c r="O8" s="23" t="n">
        <f aca="false">(0.2*LN(Q8/R8))/1000</f>
        <v>0.000574027798831137</v>
      </c>
      <c r="P8" s="23" t="n">
        <f aca="false">(1/(18*LN(Q8/Y8)))/1000000</f>
        <v>2.00985251257374E-008</v>
      </c>
      <c r="Q8" s="23" t="n">
        <f aca="false">($G$17*$G$18*$G$19)^(1/3)</f>
        <v>6.88545062960877</v>
      </c>
      <c r="R8" s="23" t="n">
        <f aca="false">(S8*T8*U8)^(1/3)</f>
        <v>0.3903434004952</v>
      </c>
      <c r="S8" s="23" t="n">
        <f aca="false">SQRT(M8*(K8/(2*1000))*$E$24)</f>
        <v>0.417874474579754</v>
      </c>
      <c r="T8" s="23" t="n">
        <f aca="false">SQRT(M8*(K8/(2*1000))*$E$18)</f>
        <v>0.340603288298865</v>
      </c>
      <c r="U8" s="23" t="n">
        <f aca="false">S8</f>
        <v>0.417874474579754</v>
      </c>
      <c r="V8" s="23" t="n">
        <f aca="false">SQRT(K8/(2*1000)*$E$24)</f>
        <v>0.46459184541364</v>
      </c>
      <c r="W8" s="23" t="n">
        <f aca="false">SQRT(K8/(2*1000)*$E$18)</f>
        <v>0.37868192457523</v>
      </c>
      <c r="X8" s="23" t="n">
        <f aca="false">V8</f>
        <v>0.46459184541364</v>
      </c>
      <c r="Y8" s="24" t="n">
        <f aca="false">(V8*W8*X8)^(1/3)</f>
        <v>0.433982862828557</v>
      </c>
      <c r="Z8" s="22" t="n">
        <f aca="false">N8*B8</f>
        <v>2.849</v>
      </c>
      <c r="AA8" s="23" t="n">
        <f aca="false">2*PI()*50*O8*B8</f>
        <v>25.2470612206991</v>
      </c>
      <c r="AB8" s="24" t="n">
        <f aca="false">2*PI()*50*P8*B8</f>
        <v>0.000883979304362091</v>
      </c>
    </row>
    <row r="9" s="25" customFormat="true" ht="15" hidden="false" customHeight="false" outlineLevel="0" collapsed="false">
      <c r="A9" s="26" t="s">
        <v>47</v>
      </c>
      <c r="B9" s="27" t="n">
        <v>140</v>
      </c>
      <c r="C9" s="27" t="s">
        <v>43</v>
      </c>
      <c r="D9" s="27" t="n">
        <v>2</v>
      </c>
      <c r="E9" s="27" t="n">
        <v>1</v>
      </c>
      <c r="F9" s="27" t="n">
        <v>100</v>
      </c>
      <c r="G9" s="27" t="n">
        <v>230</v>
      </c>
      <c r="H9" s="27"/>
      <c r="I9" s="27" t="s">
        <v>48</v>
      </c>
      <c r="J9" s="27" t="n">
        <v>1250</v>
      </c>
      <c r="K9" s="27" t="n">
        <v>47.85</v>
      </c>
      <c r="L9" s="27" t="n">
        <v>0.0232</v>
      </c>
      <c r="M9" s="28" t="n">
        <v>0.793</v>
      </c>
      <c r="N9" s="29" t="n">
        <f aca="false">L9/D9</f>
        <v>0.0116</v>
      </c>
      <c r="O9" s="30" t="n">
        <f aca="false">(0.2*LN(Q9/R9))/1000</f>
        <v>0.000547152613288168</v>
      </c>
      <c r="P9" s="30" t="n">
        <f aca="false">(1/(18*LN(Q9/Y9)))/1000000</f>
        <v>2.12060532761364E-008</v>
      </c>
      <c r="Q9" s="30" t="n">
        <f aca="false">($G$17*$G$18*$G$19)^(1/3)</f>
        <v>6.88545062960877</v>
      </c>
      <c r="R9" s="30" t="n">
        <f aca="false">(S9*T9*U9)^(1/3)</f>
        <v>0.446483655357211</v>
      </c>
      <c r="S9" s="30" t="n">
        <f aca="false">SQRT(M9*(K9/(2*1000))*$E$24)</f>
        <v>0.477974323772733</v>
      </c>
      <c r="T9" s="30" t="n">
        <f aca="false">SQRT(M9*(K9/(2*1000))*$E$18)</f>
        <v>0.389589784260317</v>
      </c>
      <c r="U9" s="30" t="n">
        <f aca="false">S9</f>
        <v>0.477974323772733</v>
      </c>
      <c r="V9" s="30" t="n">
        <f aca="false">SQRT(K9/(2*1000)*$E$24)</f>
        <v>0.536744958334595</v>
      </c>
      <c r="W9" s="30" t="n">
        <f aca="false">SQRT(K9/(2*1000)*$E$18)</f>
        <v>0.437492857084547</v>
      </c>
      <c r="X9" s="30" t="n">
        <f aca="false">V9</f>
        <v>0.536744958334595</v>
      </c>
      <c r="Y9" s="31" t="n">
        <f aca="false">(V9*W9*X9)^(1/3)</f>
        <v>0.501382269031111</v>
      </c>
      <c r="Z9" s="29" t="n">
        <f aca="false">N9*B9</f>
        <v>1.624</v>
      </c>
      <c r="AA9" s="30" t="n">
        <f aca="false">2*PI()*50*O9*B9</f>
        <v>24.0650288241799</v>
      </c>
      <c r="AB9" s="31" t="n">
        <f aca="false">2*PI()*50*P9*B9</f>
        <v>0.000932690936575216</v>
      </c>
    </row>
    <row r="10" customFormat="false" ht="14.25" hidden="false" customHeight="false" outlineLevel="0" collapsed="false">
      <c r="AA10" s="23" t="n">
        <f aca="false">AA2/B2</f>
        <v>0.423219764483998</v>
      </c>
      <c r="AB10" s="24" t="n">
        <f aca="false">P2*10^9</f>
        <v>8.51583353303835</v>
      </c>
    </row>
    <row r="11" customFormat="false" ht="14.25" hidden="false" customHeight="false" outlineLevel="0" collapsed="false">
      <c r="AA11" s="23" t="n">
        <f aca="false">AA3/B3</f>
        <v>0.440943769973839</v>
      </c>
      <c r="AB11" s="24" t="n">
        <f aca="false">P3*10^9</f>
        <v>8.21313172411386</v>
      </c>
    </row>
    <row r="12" customFormat="false" ht="14.25" hidden="false" customHeight="false" outlineLevel="0" collapsed="false">
      <c r="AA12" s="23" t="n">
        <f aca="false">AA4/B4</f>
        <v>0.247639887346723</v>
      </c>
      <c r="AB12" s="24" t="n">
        <f aca="false">P4*10^9</f>
        <v>14.2877965704785</v>
      </c>
    </row>
    <row r="13" customFormat="false" ht="14.25" hidden="false" customHeight="false" outlineLevel="0" collapsed="false">
      <c r="AA13" s="23" t="n">
        <f aca="false">AA5/B5</f>
        <v>0.247639887346723</v>
      </c>
      <c r="AB13" s="24" t="n">
        <f aca="false">P5*10^9</f>
        <v>14.2877965704785</v>
      </c>
    </row>
    <row r="14" customFormat="false" ht="14.25" hidden="false" customHeight="false" outlineLevel="0" collapsed="false">
      <c r="AA14" s="23" t="n">
        <f aca="false">AA6/B6</f>
        <v>0.244449578229221</v>
      </c>
      <c r="AB14" s="24" t="n">
        <f aca="false">P6*10^9</f>
        <v>14.4957049858295</v>
      </c>
    </row>
    <row r="15" customFormat="false" ht="15" hidden="false" customHeight="false" outlineLevel="0" collapsed="false">
      <c r="AA15" s="23" t="n">
        <f aca="false">AA7/B7</f>
        <v>0.179458054124028</v>
      </c>
      <c r="AB15" s="24" t="n">
        <f aca="false">P7*10^9</f>
        <v>20.2742880087083</v>
      </c>
    </row>
    <row r="16" customFormat="false" ht="14.25" hidden="false" customHeight="false" outlineLevel="0" collapsed="false">
      <c r="A16" s="32" t="s">
        <v>49</v>
      </c>
      <c r="B16" s="33"/>
      <c r="D16" s="34" t="s">
        <v>50</v>
      </c>
      <c r="E16" s="35"/>
      <c r="F16" s="35"/>
      <c r="G16" s="33"/>
      <c r="H16" s="36"/>
      <c r="J16" s="37" t="s">
        <v>51</v>
      </c>
      <c r="K16" s="38"/>
      <c r="AA16" s="23" t="n">
        <f aca="false">AA8/B8</f>
        <v>0.180336151576422</v>
      </c>
      <c r="AB16" s="24" t="n">
        <f aca="false">P8*10^9</f>
        <v>20.0985251257374</v>
      </c>
    </row>
    <row r="17" customFormat="false" ht="14.25" hidden="false" customHeight="false" outlineLevel="0" collapsed="false">
      <c r="A17" s="39" t="s">
        <v>52</v>
      </c>
      <c r="B17" s="40" t="n">
        <v>3</v>
      </c>
      <c r="D17" s="39" t="s">
        <v>53</v>
      </c>
      <c r="E17" s="41" t="n">
        <v>6</v>
      </c>
      <c r="F17" s="42" t="s">
        <v>54</v>
      </c>
      <c r="G17" s="43" t="n">
        <f aca="false">($E$22*$E$22*$E$23*$E$23)^(1/4)</f>
        <v>6.20248080394794</v>
      </c>
      <c r="H17" s="36"/>
      <c r="J17" s="39" t="s">
        <v>55</v>
      </c>
      <c r="K17" s="40" t="n">
        <v>30</v>
      </c>
      <c r="AA17" s="23" t="n">
        <f aca="false">AA9/B9</f>
        <v>0.171893063029856</v>
      </c>
      <c r="AB17" s="24" t="n">
        <f aca="false">P9*10^9</f>
        <v>21.2060532761364</v>
      </c>
    </row>
    <row r="18" customFormat="false" ht="14.25" hidden="false" customHeight="false" outlineLevel="0" collapsed="false">
      <c r="A18" s="39" t="s">
        <v>56</v>
      </c>
      <c r="B18" s="40" t="n">
        <v>12</v>
      </c>
      <c r="D18" s="39" t="s">
        <v>57</v>
      </c>
      <c r="E18" s="41" t="n">
        <v>8</v>
      </c>
      <c r="F18" s="42" t="s">
        <v>58</v>
      </c>
      <c r="G18" s="43" t="n">
        <f aca="false">($E$22*$E$22*$E$23*$E$23)^(1/4)</f>
        <v>6.20248080394794</v>
      </c>
      <c r="H18" s="36"/>
      <c r="J18" s="39" t="s">
        <v>59</v>
      </c>
      <c r="K18" s="43" t="n">
        <v>4</v>
      </c>
      <c r="AA18" s="23"/>
    </row>
    <row r="19" customFormat="false" ht="14.25" hidden="false" customHeight="false" outlineLevel="0" collapsed="false">
      <c r="A19" s="39" t="s">
        <v>60</v>
      </c>
      <c r="B19" s="43" t="n">
        <f aca="false">SQRT((B18/2)^2+3^2)</f>
        <v>6.70820393249937</v>
      </c>
      <c r="D19" s="39" t="s">
        <v>61</v>
      </c>
      <c r="E19" s="41" t="n">
        <v>6</v>
      </c>
      <c r="F19" s="42" t="s">
        <v>62</v>
      </c>
      <c r="G19" s="43" t="n">
        <f aca="false">($E$17*$E$19*$E$25*$E$25)^(1/4)</f>
        <v>8.48528137423857</v>
      </c>
      <c r="H19" s="36"/>
      <c r="J19" s="39" t="s">
        <v>63</v>
      </c>
      <c r="K19" s="43" t="n">
        <f aca="false">($K$17/(2*SIN(PI()/$K$18)))/100</f>
        <v>0.212132034355964</v>
      </c>
    </row>
    <row r="20" customFormat="false" ht="14.25" hidden="false" customHeight="false" outlineLevel="0" collapsed="false">
      <c r="A20" s="39" t="s">
        <v>64</v>
      </c>
      <c r="B20" s="43" t="n">
        <f aca="false">B19</f>
        <v>6.70820393249937</v>
      </c>
      <c r="D20" s="39" t="s">
        <v>65</v>
      </c>
      <c r="E20" s="41" t="n">
        <v>6</v>
      </c>
      <c r="F20" s="42"/>
      <c r="G20" s="43"/>
      <c r="H20" s="36"/>
      <c r="J20" s="39" t="s">
        <v>64</v>
      </c>
      <c r="K20" s="40" t="n">
        <v>6</v>
      </c>
    </row>
    <row r="21" customFormat="false" ht="14.25" hidden="false" customHeight="false" outlineLevel="0" collapsed="false">
      <c r="A21" s="39" t="s">
        <v>24</v>
      </c>
      <c r="B21" s="43"/>
      <c r="D21" s="39" t="s">
        <v>66</v>
      </c>
      <c r="E21" s="41" t="n">
        <v>6</v>
      </c>
      <c r="F21" s="42"/>
      <c r="G21" s="43"/>
      <c r="H21" s="36"/>
      <c r="J21" s="39" t="s">
        <v>60</v>
      </c>
      <c r="K21" s="40" t="n">
        <v>6</v>
      </c>
    </row>
    <row r="22" customFormat="false" ht="14.25" hidden="false" customHeight="false" outlineLevel="0" collapsed="false">
      <c r="A22" s="39"/>
      <c r="B22" s="43"/>
      <c r="D22" s="39" t="s">
        <v>67</v>
      </c>
      <c r="E22" s="36" t="n">
        <f aca="false">SQRT(6^2+(($E$18-$E$17)/2)^2)</f>
        <v>6.08276253029822</v>
      </c>
      <c r="F22" s="42"/>
      <c r="G22" s="43"/>
      <c r="H22" s="36"/>
      <c r="J22" s="39" t="s">
        <v>56</v>
      </c>
      <c r="K22" s="40" t="n">
        <v>12</v>
      </c>
    </row>
    <row r="23" customFormat="false" ht="14.25" hidden="false" customHeight="false" outlineLevel="0" collapsed="false">
      <c r="A23" s="39"/>
      <c r="B23" s="43"/>
      <c r="D23" s="39" t="s">
        <v>68</v>
      </c>
      <c r="E23" s="36" t="n">
        <f aca="false">SQRT(6^2+($E$18-$E$17)^2)</f>
        <v>6.32455532033676</v>
      </c>
      <c r="F23" s="36"/>
      <c r="G23" s="43"/>
      <c r="H23" s="36"/>
      <c r="J23" s="39"/>
      <c r="K23" s="43"/>
    </row>
    <row r="24" customFormat="false" ht="14.25" hidden="false" customHeight="false" outlineLevel="0" collapsed="false">
      <c r="A24" s="39"/>
      <c r="B24" s="43"/>
      <c r="D24" s="39" t="s">
        <v>69</v>
      </c>
      <c r="E24" s="36" t="n">
        <f aca="false">SQRT(($E$20+$E$21)^2+(($E$18-$E$17)/2)^2)</f>
        <v>12.0415945787923</v>
      </c>
      <c r="F24" s="36"/>
      <c r="G24" s="43"/>
      <c r="H24" s="36"/>
      <c r="J24" s="39"/>
      <c r="K24" s="43"/>
    </row>
    <row r="25" customFormat="false" ht="15" hidden="false" customHeight="false" outlineLevel="0" collapsed="false">
      <c r="A25" s="44"/>
      <c r="B25" s="45"/>
      <c r="D25" s="44" t="s">
        <v>70</v>
      </c>
      <c r="E25" s="46" t="n">
        <v>12</v>
      </c>
      <c r="F25" s="46"/>
      <c r="G25" s="45"/>
      <c r="H25" s="36"/>
      <c r="J25" s="44"/>
      <c r="K25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2022-12-27T10:11:29Z</dcterms:created>
  <dc:creator>Usuario de Windows</dc:creator>
  <dc:description/>
  <dc:language>en-US</dc:language>
  <cp:lastModifiedBy/>
  <dcterms:modified xsi:type="dcterms:W3CDTF">2022-12-30T18:17:20Z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