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ix HP\Desktop\MASTER\POWER SYSTEM\PROJECT\PROJECT 2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1" i="1" l="1"/>
  <c r="AB12" i="1"/>
  <c r="AB13" i="1"/>
  <c r="AB14" i="1"/>
  <c r="AB15" i="1"/>
  <c r="AB16" i="1"/>
  <c r="AB17" i="1"/>
  <c r="AB10" i="1"/>
  <c r="AA11" i="1"/>
  <c r="AA12" i="1"/>
  <c r="AA13" i="1"/>
  <c r="AA14" i="1"/>
  <c r="AA15" i="1"/>
  <c r="AA16" i="1"/>
  <c r="AA17" i="1"/>
  <c r="AA10" i="1"/>
  <c r="R3" i="1"/>
  <c r="R2" i="1"/>
  <c r="P4" i="1"/>
  <c r="AB4" i="1" s="1"/>
  <c r="Y6" i="1"/>
  <c r="P6" i="1" s="1"/>
  <c r="AB6" i="1" s="1"/>
  <c r="Y5" i="1"/>
  <c r="P5" i="1" s="1"/>
  <c r="AB5" i="1" s="1"/>
  <c r="Y4" i="1"/>
  <c r="R5" i="1"/>
  <c r="R6" i="1"/>
  <c r="R4" i="1"/>
  <c r="O4" i="1" s="1"/>
  <c r="AA4" i="1" s="1"/>
  <c r="K19" i="1"/>
  <c r="Q5" i="1"/>
  <c r="O5" i="1" s="1"/>
  <c r="AA5" i="1" s="1"/>
  <c r="Q6" i="1"/>
  <c r="O6" i="1" s="1"/>
  <c r="AA6" i="1" s="1"/>
  <c r="Q4" i="1"/>
  <c r="U8" i="1"/>
  <c r="T8" i="1"/>
  <c r="R8" i="1" s="1"/>
  <c r="T9" i="1"/>
  <c r="R9" i="1" s="1"/>
  <c r="T7" i="1"/>
  <c r="S8" i="1"/>
  <c r="S9" i="1"/>
  <c r="U9" i="1" s="1"/>
  <c r="G19" i="1"/>
  <c r="G17" i="1"/>
  <c r="Q8" i="1" s="1"/>
  <c r="Y3" i="1"/>
  <c r="Y2" i="1"/>
  <c r="W8" i="1"/>
  <c r="W9" i="1"/>
  <c r="W7" i="1"/>
  <c r="V8" i="1"/>
  <c r="V9" i="1"/>
  <c r="V7" i="1"/>
  <c r="E24" i="1"/>
  <c r="S7" i="1" s="1"/>
  <c r="E23" i="1"/>
  <c r="E22" i="1"/>
  <c r="G18" i="1" s="1"/>
  <c r="Q7" i="1" s="1"/>
  <c r="B19" i="1"/>
  <c r="N3" i="1"/>
  <c r="Z3" i="1" s="1"/>
  <c r="N4" i="1"/>
  <c r="Z4" i="1" s="1"/>
  <c r="N5" i="1"/>
  <c r="Z5" i="1" s="1"/>
  <c r="N6" i="1"/>
  <c r="Z6" i="1" s="1"/>
  <c r="N7" i="1"/>
  <c r="Z7" i="1" s="1"/>
  <c r="N8" i="1"/>
  <c r="Z8" i="1" s="1"/>
  <c r="N9" i="1"/>
  <c r="Z9" i="1" s="1"/>
  <c r="N2" i="1"/>
  <c r="Z2" i="1" s="1"/>
  <c r="Y7" i="1" l="1"/>
  <c r="P7" i="1" s="1"/>
  <c r="AB7" i="1" s="1"/>
  <c r="O8" i="1"/>
  <c r="AA8" i="1" s="1"/>
  <c r="U7" i="1"/>
  <c r="R7" i="1"/>
  <c r="O7" i="1" s="1"/>
  <c r="AA7" i="1" s="1"/>
  <c r="X7" i="1"/>
  <c r="Q9" i="1"/>
  <c r="X9" i="1"/>
  <c r="Y9" i="1" s="1"/>
  <c r="X8" i="1"/>
  <c r="Y8" i="1" s="1"/>
  <c r="P8" i="1" s="1"/>
  <c r="AB8" i="1" s="1"/>
  <c r="B20" i="1"/>
  <c r="Q3" i="1" s="1"/>
  <c r="P3" i="1" l="1"/>
  <c r="AB3" i="1" s="1"/>
  <c r="O3" i="1"/>
  <c r="AA3" i="1" s="1"/>
  <c r="Q2" i="1"/>
  <c r="P9" i="1"/>
  <c r="AB9" i="1" s="1"/>
  <c r="O9" i="1"/>
  <c r="AA9" i="1" s="1"/>
  <c r="O2" i="1" l="1"/>
  <c r="AA2" i="1" s="1"/>
  <c r="P2" i="1"/>
  <c r="AB2" i="1" s="1"/>
</calcChain>
</file>

<file path=xl/sharedStrings.xml><?xml version="1.0" encoding="utf-8"?>
<sst xmlns="http://schemas.openxmlformats.org/spreadsheetml/2006/main" count="81" uniqueCount="71">
  <si>
    <t>Line</t>
  </si>
  <si>
    <t>L [km]</t>
  </si>
  <si>
    <t>Type</t>
  </si>
  <si>
    <t>Nº Circuits</t>
  </si>
  <si>
    <t>Sb [MVA]</t>
  </si>
  <si>
    <t>Voltage [V]</t>
  </si>
  <si>
    <t>Area[mm2]</t>
  </si>
  <si>
    <t>diameter [mm]</t>
  </si>
  <si>
    <t>kg</t>
  </si>
  <si>
    <t>L1</t>
  </si>
  <si>
    <t>L2</t>
  </si>
  <si>
    <t>L3</t>
  </si>
  <si>
    <t>L4</t>
  </si>
  <si>
    <t>L5</t>
  </si>
  <si>
    <t>L6</t>
  </si>
  <si>
    <t>L7</t>
  </si>
  <si>
    <t>L8</t>
  </si>
  <si>
    <t>Single</t>
  </si>
  <si>
    <t>Bundle</t>
  </si>
  <si>
    <t>Double</t>
  </si>
  <si>
    <t>Conductor</t>
  </si>
  <si>
    <t>1x315</t>
  </si>
  <si>
    <t>1x200</t>
  </si>
  <si>
    <t>4x500</t>
  </si>
  <si>
    <t>4x800</t>
  </si>
  <si>
    <t>2x800</t>
  </si>
  <si>
    <t>2x710</t>
  </si>
  <si>
    <t>2x1250</t>
  </si>
  <si>
    <t>Single line</t>
  </si>
  <si>
    <t>d13</t>
  </si>
  <si>
    <t>Y23</t>
  </si>
  <si>
    <t>d23</t>
  </si>
  <si>
    <t>d12</t>
  </si>
  <si>
    <t>GMD</t>
  </si>
  <si>
    <t>GMR</t>
  </si>
  <si>
    <t>Double Lines</t>
  </si>
  <si>
    <t>d22'</t>
  </si>
  <si>
    <t>yd21</t>
  </si>
  <si>
    <t>yd32</t>
  </si>
  <si>
    <t>d12,d1'2',d23,d2'3'</t>
  </si>
  <si>
    <t>d12', d1'2,d23',d2'3</t>
  </si>
  <si>
    <t>Req</t>
  </si>
  <si>
    <t>Req1</t>
  </si>
  <si>
    <t>Req2</t>
  </si>
  <si>
    <t>Req3</t>
  </si>
  <si>
    <t xml:space="preserve">d13' </t>
  </si>
  <si>
    <t>d31'</t>
  </si>
  <si>
    <t>GMD12</t>
  </si>
  <si>
    <t>GMD23</t>
  </si>
  <si>
    <t>GMD31</t>
  </si>
  <si>
    <t>GMR1</t>
  </si>
  <si>
    <t>GMR2</t>
  </si>
  <si>
    <t>GMR3</t>
  </si>
  <si>
    <t>d11', d3'3</t>
  </si>
  <si>
    <t>d13,d1'3'</t>
  </si>
  <si>
    <t>Bundle Lines</t>
  </si>
  <si>
    <t>dbundle (cm)</t>
  </si>
  <si>
    <t>rbundle</t>
  </si>
  <si>
    <r>
      <t>Rcond [</t>
    </r>
    <r>
      <rPr>
        <b/>
        <sz val="11"/>
        <color theme="1"/>
        <rFont val="Calibri"/>
        <family val="2"/>
      </rPr>
      <t>Ω/km]</t>
    </r>
  </si>
  <si>
    <r>
      <t>R[</t>
    </r>
    <r>
      <rPr>
        <b/>
        <sz val="11"/>
        <color theme="1"/>
        <rFont val="Calibri"/>
        <family val="2"/>
      </rPr>
      <t>Ω/km]</t>
    </r>
  </si>
  <si>
    <t>nbundles</t>
  </si>
  <si>
    <t>C [F/km]</t>
  </si>
  <si>
    <t>Rt</t>
  </si>
  <si>
    <t>XLt</t>
  </si>
  <si>
    <t>XCt</t>
  </si>
  <si>
    <t>r</t>
  </si>
  <si>
    <t>x</t>
  </si>
  <si>
    <t>b</t>
  </si>
  <si>
    <t>Zb</t>
  </si>
  <si>
    <t>Ncond.</t>
  </si>
  <si>
    <t>L [H/km]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</si>
</sst>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4" borderId="0" xfId="0" applyFill="1"/>
    <xf numFmtId="0" fontId="0" fillId="6" borderId="0" xfId="0" applyFill="1"/>
    <xf numFmtId="0" fontId="0" fillId="6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/>
    <xf numFmtId="0" fontId="0" fillId="2" borderId="5" xfId="0" applyFill="1" applyBorder="1"/>
    <xf numFmtId="0" fontId="0" fillId="7" borderId="0" xfId="0" applyFill="1"/>
    <xf numFmtId="0" fontId="1" fillId="0" borderId="0" xfId="0" applyFont="1"/>
    <xf numFmtId="0" fontId="0" fillId="3" borderId="1" xfId="0" applyFill="1" applyBorder="1"/>
    <xf numFmtId="0" fontId="0" fillId="3" borderId="3" xfId="0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84908</xdr:rowOff>
    </xdr:from>
    <xdr:to>
      <xdr:col>2</xdr:col>
      <xdr:colOff>554990</xdr:colOff>
      <xdr:row>33</xdr:row>
      <xdr:rowOff>167458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t="19798"/>
        <a:stretch/>
      </xdr:blipFill>
      <xdr:spPr bwMode="auto">
        <a:xfrm>
          <a:off x="0" y="5081451"/>
          <a:ext cx="2144304" cy="119289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7</xdr:col>
      <xdr:colOff>262345</xdr:colOff>
      <xdr:row>28</xdr:row>
      <xdr:rowOff>55517</xdr:rowOff>
    </xdr:from>
    <xdr:to>
      <xdr:col>12</xdr:col>
      <xdr:colOff>226240</xdr:colOff>
      <xdr:row>37</xdr:row>
      <xdr:rowOff>89444</xdr:rowOff>
    </xdr:to>
    <xdr:pic>
      <xdr:nvPicPr>
        <xdr:cNvPr id="4" name="Imagen 3"/>
        <xdr:cNvPicPr/>
      </xdr:nvPicPr>
      <xdr:blipFill rotWithShape="1">
        <a:blip xmlns:r="http://schemas.openxmlformats.org/officeDocument/2006/relationships" r:embed="rId2"/>
        <a:srcRect t="16339"/>
        <a:stretch/>
      </xdr:blipFill>
      <xdr:spPr bwMode="auto">
        <a:xfrm>
          <a:off x="5585459" y="5269774"/>
          <a:ext cx="4231095" cy="169944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97970</xdr:colOff>
      <xdr:row>25</xdr:row>
      <xdr:rowOff>163284</xdr:rowOff>
    </xdr:from>
    <xdr:to>
      <xdr:col>6</xdr:col>
      <xdr:colOff>361257</xdr:colOff>
      <xdr:row>38</xdr:row>
      <xdr:rowOff>165314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81941" y="4822370"/>
          <a:ext cx="2407773" cy="2407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abSelected="1" topLeftCell="M1" zoomScale="90" zoomScaleNormal="90" workbookViewId="0">
      <selection activeCell="AD23" sqref="AD23"/>
    </sheetView>
  </sheetViews>
  <sheetFormatPr baseColWidth="10" defaultRowHeight="14.4" x14ac:dyDescent="0.3"/>
  <cols>
    <col min="4" max="4" width="9.5546875" customWidth="1"/>
    <col min="5" max="5" width="10.109375" customWidth="1"/>
    <col min="9" max="9" width="11.5546875" customWidth="1"/>
    <col min="11" max="11" width="14.33203125" customWidth="1"/>
    <col min="12" max="12" width="13.109375" customWidth="1"/>
    <col min="16" max="16" width="11.5546875" customWidth="1"/>
    <col min="19" max="24" width="0" hidden="1" customWidth="1"/>
    <col min="28" max="28" width="11.5546875" customWidth="1"/>
  </cols>
  <sheetData>
    <row r="1" spans="1:31" s="17" customFormat="1" x14ac:dyDescent="0.3">
      <c r="A1" s="20" t="s">
        <v>0</v>
      </c>
      <c r="B1" s="21" t="s">
        <v>1</v>
      </c>
      <c r="C1" s="21" t="s">
        <v>2</v>
      </c>
      <c r="D1" s="21" t="s">
        <v>69</v>
      </c>
      <c r="E1" s="21" t="s">
        <v>3</v>
      </c>
      <c r="F1" s="21" t="s">
        <v>4</v>
      </c>
      <c r="G1" s="21" t="s">
        <v>5</v>
      </c>
      <c r="H1" s="21" t="s">
        <v>68</v>
      </c>
      <c r="I1" s="21" t="s">
        <v>20</v>
      </c>
      <c r="J1" s="21" t="s">
        <v>6</v>
      </c>
      <c r="K1" s="21" t="s">
        <v>7</v>
      </c>
      <c r="L1" s="21" t="s">
        <v>58</v>
      </c>
      <c r="M1" s="22" t="s">
        <v>8</v>
      </c>
      <c r="N1" s="20" t="s">
        <v>59</v>
      </c>
      <c r="O1" s="21" t="s">
        <v>70</v>
      </c>
      <c r="P1" s="21" t="s">
        <v>61</v>
      </c>
      <c r="Q1" s="21" t="s">
        <v>33</v>
      </c>
      <c r="R1" s="21" t="s">
        <v>34</v>
      </c>
      <c r="S1" s="21" t="s">
        <v>50</v>
      </c>
      <c r="T1" s="21" t="s">
        <v>51</v>
      </c>
      <c r="U1" s="21" t="s">
        <v>52</v>
      </c>
      <c r="V1" s="21" t="s">
        <v>42</v>
      </c>
      <c r="W1" s="21" t="s">
        <v>43</v>
      </c>
      <c r="X1" s="21" t="s">
        <v>44</v>
      </c>
      <c r="Y1" s="22" t="s">
        <v>41</v>
      </c>
      <c r="Z1" s="20" t="s">
        <v>62</v>
      </c>
      <c r="AA1" s="21" t="s">
        <v>63</v>
      </c>
      <c r="AB1" s="22" t="s">
        <v>64</v>
      </c>
      <c r="AC1" s="17" t="s">
        <v>65</v>
      </c>
      <c r="AD1" s="17" t="s">
        <v>66</v>
      </c>
      <c r="AE1" s="17" t="s">
        <v>67</v>
      </c>
    </row>
    <row r="2" spans="1:31" s="1" customFormat="1" x14ac:dyDescent="0.3">
      <c r="A2" s="35" t="s">
        <v>9</v>
      </c>
      <c r="B2" s="36">
        <v>100</v>
      </c>
      <c r="C2" s="36" t="s">
        <v>17</v>
      </c>
      <c r="D2" s="36">
        <v>1</v>
      </c>
      <c r="E2" s="36">
        <v>1</v>
      </c>
      <c r="F2" s="36">
        <v>100</v>
      </c>
      <c r="G2" s="36">
        <v>230</v>
      </c>
      <c r="H2" s="36"/>
      <c r="I2" s="36" t="s">
        <v>21</v>
      </c>
      <c r="J2" s="36">
        <v>315</v>
      </c>
      <c r="K2" s="36">
        <v>23.91</v>
      </c>
      <c r="L2" s="36">
        <v>9.1700000000000004E-2</v>
      </c>
      <c r="M2" s="37">
        <v>0.80900000000000005</v>
      </c>
      <c r="N2" s="23">
        <f>L2/D2</f>
        <v>9.1700000000000004E-2</v>
      </c>
      <c r="O2" s="24">
        <f>(0.2*LN(Q2/R2))/1000</f>
        <v>1.3471503506363202E-3</v>
      </c>
      <c r="P2" s="24">
        <f>(1/(18*LN(Q2/Y2)))/1000000</f>
        <v>1.2383041088403531E-8</v>
      </c>
      <c r="Q2" s="24">
        <f>($B$18*$B$19*$B$20)^(1/3)</f>
        <v>8.1432528497847212</v>
      </c>
      <c r="R2" s="24">
        <f>(M2*(K2/2))/1000</f>
        <v>9.6715949999999998E-3</v>
      </c>
      <c r="S2" s="24"/>
      <c r="T2" s="24"/>
      <c r="U2" s="24"/>
      <c r="V2" s="24"/>
      <c r="W2" s="24"/>
      <c r="X2" s="24"/>
      <c r="Y2" s="25">
        <f>L2</f>
        <v>9.1700000000000004E-2</v>
      </c>
      <c r="Z2" s="23">
        <f>N2*B2</f>
        <v>9.17</v>
      </c>
      <c r="AA2" s="24">
        <f>2*PI()*50*O2*B2</f>
        <v>42.321976448399781</v>
      </c>
      <c r="AB2" s="25">
        <f>2*PI()*50*P2*B2</f>
        <v>3.8902470912429088E-4</v>
      </c>
    </row>
    <row r="3" spans="1:31" s="1" customFormat="1" x14ac:dyDescent="0.3">
      <c r="A3" s="35" t="s">
        <v>10</v>
      </c>
      <c r="B3" s="36">
        <v>100</v>
      </c>
      <c r="C3" s="36" t="s">
        <v>17</v>
      </c>
      <c r="D3" s="36">
        <v>1</v>
      </c>
      <c r="E3" s="36">
        <v>1</v>
      </c>
      <c r="F3" s="36">
        <v>100</v>
      </c>
      <c r="G3" s="36">
        <v>230</v>
      </c>
      <c r="H3" s="36"/>
      <c r="I3" s="36" t="s">
        <v>22</v>
      </c>
      <c r="J3" s="36">
        <v>200</v>
      </c>
      <c r="K3" s="36">
        <v>18.8</v>
      </c>
      <c r="L3" s="36">
        <v>0.14399999999999999</v>
      </c>
      <c r="M3" s="37">
        <v>0.77600000000000002</v>
      </c>
      <c r="N3" s="23">
        <f>L3/D3</f>
        <v>0.14399999999999999</v>
      </c>
      <c r="O3" s="24">
        <f t="shared" ref="O3:O9" si="0">(0.2*LN(Q3/R3))/1000</f>
        <v>1.403567612338241E-3</v>
      </c>
      <c r="P3" s="24">
        <f t="shared" ref="P3:P9" si="1">(1/(18*LN(Q3/Y3)))/1000000</f>
        <v>1.3767965902462439E-8</v>
      </c>
      <c r="Q3" s="24">
        <f>($B$18*$B$19*$B$20)^(1/3)</f>
        <v>8.1432528497847212</v>
      </c>
      <c r="R3" s="24">
        <f>(M3*(K3/2))/1000</f>
        <v>7.2944000000000004E-3</v>
      </c>
      <c r="S3" s="24"/>
      <c r="T3" s="24"/>
      <c r="U3" s="24"/>
      <c r="V3" s="24"/>
      <c r="W3" s="24"/>
      <c r="X3" s="24"/>
      <c r="Y3" s="25">
        <f>L3</f>
        <v>0.14399999999999999</v>
      </c>
      <c r="Z3" s="23">
        <f>N3*B3</f>
        <v>14.399999999999999</v>
      </c>
      <c r="AA3" s="24">
        <f>2*PI()*50*O3*B3</f>
        <v>44.094376997383847</v>
      </c>
      <c r="AB3" s="25">
        <f>2*PI()*50*P3*B3</f>
        <v>4.3253340534050771E-4</v>
      </c>
    </row>
    <row r="4" spans="1:31" s="16" customFormat="1" x14ac:dyDescent="0.3">
      <c r="A4" s="38" t="s">
        <v>11</v>
      </c>
      <c r="B4" s="39">
        <v>100</v>
      </c>
      <c r="C4" s="39" t="s">
        <v>18</v>
      </c>
      <c r="D4" s="39">
        <v>4</v>
      </c>
      <c r="E4" s="39">
        <v>2</v>
      </c>
      <c r="F4" s="39">
        <v>100</v>
      </c>
      <c r="G4" s="39">
        <v>230</v>
      </c>
      <c r="H4" s="39"/>
      <c r="I4" s="39" t="s">
        <v>23</v>
      </c>
      <c r="J4" s="39">
        <v>500</v>
      </c>
      <c r="K4" s="39">
        <v>30.09</v>
      </c>
      <c r="L4" s="39">
        <v>5.7799999999999997E-2</v>
      </c>
      <c r="M4" s="40">
        <v>0.80900000000000005</v>
      </c>
      <c r="N4" s="26">
        <f>L4/D4</f>
        <v>1.4449999999999999E-2</v>
      </c>
      <c r="O4" s="27">
        <f t="shared" si="0"/>
        <v>7.8826224355902123E-4</v>
      </c>
      <c r="P4" s="27">
        <f t="shared" si="1"/>
        <v>1.4287796570478536E-8</v>
      </c>
      <c r="Q4" s="27">
        <f>($K$20*$K$21*$K$22)^(1/3)</f>
        <v>7.5595262993692396</v>
      </c>
      <c r="R4" s="27">
        <f>(M4*D4*(K4/2000)*($K$19)^(D4-1))^(1/D4)</f>
        <v>0.1468266428624756</v>
      </c>
      <c r="S4" s="27"/>
      <c r="T4" s="27"/>
      <c r="U4" s="27"/>
      <c r="V4" s="27"/>
      <c r="W4" s="27"/>
      <c r="X4" s="27"/>
      <c r="Y4" s="28">
        <f>(D4*(K4/2000)*($K$19)^(D4-1))^(1/4)</f>
        <v>0.15481667594285214</v>
      </c>
      <c r="Z4" s="26">
        <f>N4*B4</f>
        <v>1.4449999999999998</v>
      </c>
      <c r="AA4" s="27">
        <f>2*PI()*50*O4*B4</f>
        <v>24.763988734672292</v>
      </c>
      <c r="AB4" s="28">
        <f>2*PI()*50*P4*B4</f>
        <v>4.4886436741800812E-4</v>
      </c>
    </row>
    <row r="5" spans="1:31" s="16" customFormat="1" x14ac:dyDescent="0.3">
      <c r="A5" s="38" t="s">
        <v>12</v>
      </c>
      <c r="B5" s="39">
        <v>140</v>
      </c>
      <c r="C5" s="39" t="s">
        <v>18</v>
      </c>
      <c r="D5" s="39">
        <v>4</v>
      </c>
      <c r="E5" s="39">
        <v>2</v>
      </c>
      <c r="F5" s="39">
        <v>100</v>
      </c>
      <c r="G5" s="39">
        <v>230</v>
      </c>
      <c r="H5" s="39"/>
      <c r="I5" s="39" t="s">
        <v>23</v>
      </c>
      <c r="J5" s="39">
        <v>500</v>
      </c>
      <c r="K5" s="39">
        <v>30.09</v>
      </c>
      <c r="L5" s="39">
        <v>5.7799999999999997E-2</v>
      </c>
      <c r="M5" s="40">
        <v>0.80900000000000005</v>
      </c>
      <c r="N5" s="26">
        <f>L5/D5</f>
        <v>1.4449999999999999E-2</v>
      </c>
      <c r="O5" s="27">
        <f t="shared" si="0"/>
        <v>7.8826224355902123E-4</v>
      </c>
      <c r="P5" s="27">
        <f t="shared" si="1"/>
        <v>1.4287796570478536E-8</v>
      </c>
      <c r="Q5" s="27">
        <f>($K$20*$K$21*$K$22)^(1/3)</f>
        <v>7.5595262993692396</v>
      </c>
      <c r="R5" s="27">
        <f>(M5*D5*(K5/2000)*($K$19)^(D5-1))^(1/D5)</f>
        <v>0.1468266428624756</v>
      </c>
      <c r="S5" s="27"/>
      <c r="T5" s="27"/>
      <c r="U5" s="27"/>
      <c r="V5" s="27"/>
      <c r="W5" s="27"/>
      <c r="X5" s="27"/>
      <c r="Y5" s="28">
        <f>(D5*(K5/2000)*($K$19)^(D5-1))^(1/4)</f>
        <v>0.15481667594285214</v>
      </c>
      <c r="Z5" s="26">
        <f>N5*B5</f>
        <v>2.0229999999999997</v>
      </c>
      <c r="AA5" s="27">
        <f>2*PI()*50*O5*B5</f>
        <v>34.669584228541211</v>
      </c>
      <c r="AB5" s="28">
        <f>2*PI()*50*P5*B5</f>
        <v>6.2841011438521141E-4</v>
      </c>
    </row>
    <row r="6" spans="1:31" s="16" customFormat="1" x14ac:dyDescent="0.3">
      <c r="A6" s="38" t="s">
        <v>13</v>
      </c>
      <c r="B6" s="39">
        <v>100</v>
      </c>
      <c r="C6" s="39" t="s">
        <v>18</v>
      </c>
      <c r="D6" s="39">
        <v>4</v>
      </c>
      <c r="E6" s="39">
        <v>2</v>
      </c>
      <c r="F6" s="39">
        <v>100</v>
      </c>
      <c r="G6" s="39">
        <v>230</v>
      </c>
      <c r="H6" s="39"/>
      <c r="I6" s="39" t="s">
        <v>24</v>
      </c>
      <c r="J6" s="39">
        <v>800</v>
      </c>
      <c r="K6" s="39">
        <v>37.61</v>
      </c>
      <c r="L6" s="39">
        <v>3.61E-2</v>
      </c>
      <c r="M6" s="40">
        <v>0.79300000000000004</v>
      </c>
      <c r="N6" s="26">
        <f>L6/D6</f>
        <v>9.025E-3</v>
      </c>
      <c r="O6" s="27">
        <f t="shared" si="0"/>
        <v>7.7810717423818887E-4</v>
      </c>
      <c r="P6" s="27">
        <f t="shared" si="1"/>
        <v>1.4495704985829544E-8</v>
      </c>
      <c r="Q6" s="27">
        <f>($K$20*$K$21*$K$22)^(1/3)</f>
        <v>7.5595262993692396</v>
      </c>
      <c r="R6" s="27">
        <f>(M6*D6*(K6/2000)*($K$19)^(D6-1))^(1/D6)</f>
        <v>0.15447433054678697</v>
      </c>
      <c r="S6" s="27"/>
      <c r="T6" s="27"/>
      <c r="U6" s="27"/>
      <c r="V6" s="27"/>
      <c r="W6" s="27"/>
      <c r="X6" s="27"/>
      <c r="Y6" s="28">
        <f>(D6*(K6/2000)*($K$19)^(D6-1))^(1/4)</f>
        <v>0.1636959840242754</v>
      </c>
      <c r="Z6" s="26">
        <f>N6*B6</f>
        <v>0.90249999999999997</v>
      </c>
      <c r="AA6" s="27">
        <f>2*PI()*50*O6*B6</f>
        <v>24.444957822922074</v>
      </c>
      <c r="AB6" s="28">
        <f>2*PI()*50*P6*B6</f>
        <v>4.5539600292087036E-4</v>
      </c>
    </row>
    <row r="7" spans="1:31" s="2" customFormat="1" x14ac:dyDescent="0.3">
      <c r="A7" s="41" t="s">
        <v>14</v>
      </c>
      <c r="B7" s="42">
        <v>200</v>
      </c>
      <c r="C7" s="42" t="s">
        <v>19</v>
      </c>
      <c r="D7" s="42">
        <v>2</v>
      </c>
      <c r="E7" s="42">
        <v>1</v>
      </c>
      <c r="F7" s="42">
        <v>100</v>
      </c>
      <c r="G7" s="42">
        <v>230</v>
      </c>
      <c r="H7" s="42"/>
      <c r="I7" s="42" t="s">
        <v>25</v>
      </c>
      <c r="J7" s="42">
        <v>800</v>
      </c>
      <c r="K7" s="42">
        <v>37.61</v>
      </c>
      <c r="L7" s="42">
        <v>3.61E-2</v>
      </c>
      <c r="M7" s="43">
        <v>0.79300000000000004</v>
      </c>
      <c r="N7" s="29">
        <f>L7/D7</f>
        <v>1.805E-2</v>
      </c>
      <c r="O7" s="30">
        <f t="shared" si="0"/>
        <v>5.7123272782983944E-4</v>
      </c>
      <c r="P7" s="30">
        <f t="shared" si="1"/>
        <v>2.0274288008708272E-8</v>
      </c>
      <c r="Q7" s="30">
        <f>($G$17*$G$18*$G$19)^(1/3)</f>
        <v>6.8854506296087745</v>
      </c>
      <c r="R7" s="30">
        <f>(S7*T7*U7)^(1/3)</f>
        <v>0.39583688538130857</v>
      </c>
      <c r="S7" s="30">
        <f>SQRT(M7*(K7/(2*1000))*$E$24)</f>
        <v>0.42375541712286346</v>
      </c>
      <c r="T7" s="30">
        <f>SQRT(M7*(K7/(2*1000))*$E$18)</f>
        <v>0.34539675736752368</v>
      </c>
      <c r="U7" s="30">
        <f>S7</f>
        <v>0.42375541712286346</v>
      </c>
      <c r="V7" s="30">
        <f>SQRT(K7/(2*1000)*$E$24)</f>
        <v>0.47585941837289414</v>
      </c>
      <c r="W7" s="30">
        <f>SQRT(K7/(2*1000)*$E$18)</f>
        <v>0.38786595622714815</v>
      </c>
      <c r="X7" s="30">
        <f>V7</f>
        <v>0.47585941837289414</v>
      </c>
      <c r="Y7" s="31">
        <f>(V7*W7*X7)^(1/3)</f>
        <v>0.44450808753548909</v>
      </c>
      <c r="Z7" s="29">
        <f>N7*B7</f>
        <v>3.61</v>
      </c>
      <c r="AA7" s="30">
        <f>2*PI()*50*O7*B7</f>
        <v>35.891610824805632</v>
      </c>
      <c r="AB7" s="31">
        <f>2*PI()*50*P7*B7</f>
        <v>1.2738710852984308E-3</v>
      </c>
    </row>
    <row r="8" spans="1:31" s="2" customFormat="1" x14ac:dyDescent="0.3">
      <c r="A8" s="41" t="s">
        <v>15</v>
      </c>
      <c r="B8" s="42">
        <v>140</v>
      </c>
      <c r="C8" s="42" t="s">
        <v>19</v>
      </c>
      <c r="D8" s="42">
        <v>2</v>
      </c>
      <c r="E8" s="42">
        <v>1</v>
      </c>
      <c r="F8" s="42">
        <v>100</v>
      </c>
      <c r="G8" s="42">
        <v>230</v>
      </c>
      <c r="H8" s="42"/>
      <c r="I8" s="42" t="s">
        <v>26</v>
      </c>
      <c r="J8" s="42">
        <v>710</v>
      </c>
      <c r="K8" s="42">
        <v>35.85</v>
      </c>
      <c r="L8" s="42">
        <v>4.07E-2</v>
      </c>
      <c r="M8" s="43">
        <v>0.80900000000000005</v>
      </c>
      <c r="N8" s="29">
        <f>L8/D8</f>
        <v>2.035E-2</v>
      </c>
      <c r="O8" s="30">
        <f t="shared" si="0"/>
        <v>5.7402779883113672E-4</v>
      </c>
      <c r="P8" s="30">
        <f t="shared" si="1"/>
        <v>2.009852512573741E-8</v>
      </c>
      <c r="Q8" s="30">
        <f t="shared" ref="Q8:Q9" si="2">($G$17*$G$18*$G$19)^(1/3)</f>
        <v>6.8854506296087745</v>
      </c>
      <c r="R8" s="30">
        <f t="shared" ref="R8:R9" si="3">(S8*T8*U8)^(1/3)</f>
        <v>0.39034340049520022</v>
      </c>
      <c r="S8" s="30">
        <f t="shared" ref="S8:S9" si="4">SQRT(M8*(K8/(2*1000))*$E$24)</f>
        <v>0.41787447457975369</v>
      </c>
      <c r="T8" s="30">
        <f t="shared" ref="T8:T9" si="5">SQRT(M8*(K8/(2*1000))*$E$18)</f>
        <v>0.34060328829886538</v>
      </c>
      <c r="U8" s="30">
        <f t="shared" ref="U8:U9" si="6">S8</f>
        <v>0.41787447457975369</v>
      </c>
      <c r="V8" s="30">
        <f t="shared" ref="V8:V9" si="7">SQRT(K8/(2*1000)*$E$24)</f>
        <v>0.46459184541364035</v>
      </c>
      <c r="W8" s="30">
        <f t="shared" ref="W8:W9" si="8">SQRT(K8/(2*1000)*$E$18)</f>
        <v>0.37868192457522976</v>
      </c>
      <c r="X8" s="30">
        <f t="shared" ref="X8:X9" si="9">V8</f>
        <v>0.46459184541364035</v>
      </c>
      <c r="Y8" s="31">
        <f t="shared" ref="Y8:Y9" si="10">(V8*W8*X8)^(1/3)</f>
        <v>0.43398286282855741</v>
      </c>
      <c r="Z8" s="29">
        <f>N8*B8</f>
        <v>2.8490000000000002</v>
      </c>
      <c r="AA8" s="30">
        <f>2*PI()*50*O8*B8</f>
        <v>25.247061220699063</v>
      </c>
      <c r="AB8" s="31">
        <f>2*PI()*50*P8*B8</f>
        <v>8.8397930436209132E-4</v>
      </c>
    </row>
    <row r="9" spans="1:31" s="2" customFormat="1" ht="15" thickBot="1" x14ac:dyDescent="0.35">
      <c r="A9" s="44" t="s">
        <v>16</v>
      </c>
      <c r="B9" s="45">
        <v>140</v>
      </c>
      <c r="C9" s="45" t="s">
        <v>19</v>
      </c>
      <c r="D9" s="45">
        <v>2</v>
      </c>
      <c r="E9" s="45">
        <v>1</v>
      </c>
      <c r="F9" s="45">
        <v>100</v>
      </c>
      <c r="G9" s="45">
        <v>230</v>
      </c>
      <c r="H9" s="45"/>
      <c r="I9" s="45" t="s">
        <v>27</v>
      </c>
      <c r="J9" s="45">
        <v>1250</v>
      </c>
      <c r="K9" s="45">
        <v>47.85</v>
      </c>
      <c r="L9" s="45">
        <v>2.3199999999999998E-2</v>
      </c>
      <c r="M9" s="46">
        <v>0.79300000000000004</v>
      </c>
      <c r="N9" s="32">
        <f>L9/D9</f>
        <v>1.1599999999999999E-2</v>
      </c>
      <c r="O9" s="33">
        <f t="shared" si="0"/>
        <v>5.4715261328816761E-4</v>
      </c>
      <c r="P9" s="33">
        <f t="shared" si="1"/>
        <v>2.1206053276136445E-8</v>
      </c>
      <c r="Q9" s="33">
        <f t="shared" si="2"/>
        <v>6.8854506296087745</v>
      </c>
      <c r="R9" s="33">
        <f t="shared" si="3"/>
        <v>0.44648365535721113</v>
      </c>
      <c r="S9" s="33">
        <f t="shared" si="4"/>
        <v>0.47797432377273297</v>
      </c>
      <c r="T9" s="33">
        <f t="shared" si="5"/>
        <v>0.3895897842603166</v>
      </c>
      <c r="U9" s="33">
        <f t="shared" si="6"/>
        <v>0.47797432377273297</v>
      </c>
      <c r="V9" s="33">
        <f t="shared" si="7"/>
        <v>0.53674495833459457</v>
      </c>
      <c r="W9" s="33">
        <f t="shared" si="8"/>
        <v>0.43749285708454716</v>
      </c>
      <c r="X9" s="33">
        <f t="shared" si="9"/>
        <v>0.53674495833459457</v>
      </c>
      <c r="Y9" s="34">
        <f t="shared" si="10"/>
        <v>0.50138226903111094</v>
      </c>
      <c r="Z9" s="32">
        <f>N9*B9</f>
        <v>1.6239999999999999</v>
      </c>
      <c r="AA9" s="33">
        <f>2*PI()*50*O9*B9</f>
        <v>24.065028824179901</v>
      </c>
      <c r="AB9" s="34">
        <f>2*PI()*50*P9*B9</f>
        <v>9.3269093657521627E-4</v>
      </c>
    </row>
    <row r="10" spans="1:31" x14ac:dyDescent="0.3">
      <c r="AA10" s="30">
        <f>AA2/B2</f>
        <v>0.42321976448399778</v>
      </c>
      <c r="AB10" s="31">
        <f>P2*10^9</f>
        <v>12.38304108840353</v>
      </c>
    </row>
    <row r="11" spans="1:31" x14ac:dyDescent="0.3">
      <c r="AA11" s="30">
        <f t="shared" ref="AA11:AA18" si="11">AA3/B3</f>
        <v>0.4409437699738385</v>
      </c>
      <c r="AB11" s="31">
        <f t="shared" ref="AB11:AB17" si="12">P3*10^9</f>
        <v>13.767965902462439</v>
      </c>
    </row>
    <row r="12" spans="1:31" x14ac:dyDescent="0.3">
      <c r="AA12" s="30">
        <f t="shared" si="11"/>
        <v>0.24763988734672293</v>
      </c>
      <c r="AB12" s="31">
        <f t="shared" si="12"/>
        <v>14.287796570478536</v>
      </c>
    </row>
    <row r="13" spans="1:31" x14ac:dyDescent="0.3">
      <c r="AA13" s="30">
        <f t="shared" si="11"/>
        <v>0.24763988734672293</v>
      </c>
      <c r="AB13" s="31">
        <f t="shared" si="12"/>
        <v>14.287796570478536</v>
      </c>
    </row>
    <row r="14" spans="1:31" x14ac:dyDescent="0.3">
      <c r="AA14" s="30">
        <f t="shared" si="11"/>
        <v>0.24444957822922075</v>
      </c>
      <c r="AB14" s="31">
        <f t="shared" si="12"/>
        <v>14.495704985829544</v>
      </c>
    </row>
    <row r="15" spans="1:31" ht="15" thickBot="1" x14ac:dyDescent="0.35">
      <c r="AA15" s="30">
        <f t="shared" si="11"/>
        <v>0.17945805412402815</v>
      </c>
      <c r="AB15" s="31">
        <f t="shared" si="12"/>
        <v>20.274288008708272</v>
      </c>
    </row>
    <row r="16" spans="1:31" x14ac:dyDescent="0.3">
      <c r="A16" s="14" t="s">
        <v>28</v>
      </c>
      <c r="B16" s="5"/>
      <c r="D16" s="3" t="s">
        <v>35</v>
      </c>
      <c r="E16" s="4"/>
      <c r="F16" s="4"/>
      <c r="G16" s="5"/>
      <c r="H16" s="10"/>
      <c r="J16" s="18" t="s">
        <v>55</v>
      </c>
      <c r="K16" s="19"/>
      <c r="AA16" s="30">
        <f t="shared" si="11"/>
        <v>0.18033615157642188</v>
      </c>
      <c r="AB16" s="31">
        <f t="shared" si="12"/>
        <v>20.09852512573741</v>
      </c>
    </row>
    <row r="17" spans="1:28" x14ac:dyDescent="0.3">
      <c r="A17" s="6" t="s">
        <v>30</v>
      </c>
      <c r="B17" s="15">
        <v>3</v>
      </c>
      <c r="D17" s="6" t="s">
        <v>45</v>
      </c>
      <c r="E17" s="7">
        <v>6</v>
      </c>
      <c r="F17" s="8" t="s">
        <v>47</v>
      </c>
      <c r="G17" s="9">
        <f>($E$22*$E$22*$E$23*$E$23)^(1/4)</f>
        <v>6.2024808039479398</v>
      </c>
      <c r="H17" s="10"/>
      <c r="J17" s="6" t="s">
        <v>56</v>
      </c>
      <c r="K17" s="15">
        <v>30</v>
      </c>
      <c r="AA17" s="30">
        <f t="shared" si="11"/>
        <v>0.17189306302985644</v>
      </c>
      <c r="AB17" s="31">
        <f t="shared" si="12"/>
        <v>21.206053276136444</v>
      </c>
    </row>
    <row r="18" spans="1:28" x14ac:dyDescent="0.3">
      <c r="A18" s="6" t="s">
        <v>29</v>
      </c>
      <c r="B18" s="15">
        <v>12</v>
      </c>
      <c r="D18" s="6" t="s">
        <v>36</v>
      </c>
      <c r="E18" s="7">
        <v>8</v>
      </c>
      <c r="F18" s="8" t="s">
        <v>48</v>
      </c>
      <c r="G18" s="9">
        <f>($E$22*$E$22*$E$23*$E$23)^(1/4)</f>
        <v>6.2024808039479398</v>
      </c>
      <c r="H18" s="10"/>
      <c r="J18" s="6" t="s">
        <v>60</v>
      </c>
      <c r="K18" s="9">
        <v>4</v>
      </c>
      <c r="AA18" s="30"/>
    </row>
    <row r="19" spans="1:28" x14ac:dyDescent="0.3">
      <c r="A19" s="6" t="s">
        <v>31</v>
      </c>
      <c r="B19" s="9">
        <f>SQRT((B18/2)^2+3^2)</f>
        <v>6.7082039324993694</v>
      </c>
      <c r="D19" s="6" t="s">
        <v>46</v>
      </c>
      <c r="E19" s="7">
        <v>6</v>
      </c>
      <c r="F19" s="8" t="s">
        <v>49</v>
      </c>
      <c r="G19" s="9">
        <f>($E$17*$E$19*$E$25*$E$25)^(1/4)</f>
        <v>8.4852813742385695</v>
      </c>
      <c r="H19" s="10"/>
      <c r="J19" s="6" t="s">
        <v>57</v>
      </c>
      <c r="K19" s="9">
        <f>($K$17/(2*SIN(PI()/$K$18)))/100</f>
        <v>0.21213203435596426</v>
      </c>
    </row>
    <row r="20" spans="1:28" x14ac:dyDescent="0.3">
      <c r="A20" s="6" t="s">
        <v>32</v>
      </c>
      <c r="B20" s="9">
        <f>B19</f>
        <v>6.7082039324993694</v>
      </c>
      <c r="D20" s="6" t="s">
        <v>37</v>
      </c>
      <c r="E20" s="7">
        <v>6</v>
      </c>
      <c r="F20" s="8"/>
      <c r="G20" s="9"/>
      <c r="H20" s="10"/>
      <c r="J20" s="6" t="s">
        <v>32</v>
      </c>
      <c r="K20" s="15">
        <v>6</v>
      </c>
    </row>
    <row r="21" spans="1:28" x14ac:dyDescent="0.3">
      <c r="A21" s="6" t="s">
        <v>41</v>
      </c>
      <c r="B21" s="9"/>
      <c r="D21" s="6" t="s">
        <v>38</v>
      </c>
      <c r="E21" s="7">
        <v>6</v>
      </c>
      <c r="F21" s="8"/>
      <c r="G21" s="9"/>
      <c r="H21" s="10"/>
      <c r="J21" s="6" t="s">
        <v>31</v>
      </c>
      <c r="K21" s="15">
        <v>6</v>
      </c>
    </row>
    <row r="22" spans="1:28" x14ac:dyDescent="0.3">
      <c r="A22" s="6"/>
      <c r="B22" s="9"/>
      <c r="D22" s="6" t="s">
        <v>39</v>
      </c>
      <c r="E22" s="10">
        <f>SQRT(6^2+(($E$18-$E$17)/2)^2)</f>
        <v>6.0827625302982193</v>
      </c>
      <c r="F22" s="8"/>
      <c r="G22" s="9"/>
      <c r="H22" s="10"/>
      <c r="J22" s="6" t="s">
        <v>29</v>
      </c>
      <c r="K22" s="15">
        <v>12</v>
      </c>
    </row>
    <row r="23" spans="1:28" x14ac:dyDescent="0.3">
      <c r="A23" s="6"/>
      <c r="B23" s="9"/>
      <c r="D23" s="6" t="s">
        <v>40</v>
      </c>
      <c r="E23" s="10">
        <f>SQRT(6^2+($E$18-$E$17)^2)</f>
        <v>6.324555320336759</v>
      </c>
      <c r="F23" s="10"/>
      <c r="G23" s="9"/>
      <c r="H23" s="10"/>
      <c r="J23" s="6"/>
      <c r="K23" s="9"/>
    </row>
    <row r="24" spans="1:28" x14ac:dyDescent="0.3">
      <c r="A24" s="6"/>
      <c r="B24" s="9"/>
      <c r="D24" s="6" t="s">
        <v>53</v>
      </c>
      <c r="E24" s="10">
        <f>SQRT(($E$20+$E$21)^2+(($E$18-$E$17)/2)^2)</f>
        <v>12.041594578792296</v>
      </c>
      <c r="F24" s="10"/>
      <c r="G24" s="9"/>
      <c r="H24" s="10"/>
      <c r="J24" s="6"/>
      <c r="K24" s="9"/>
    </row>
    <row r="25" spans="1:28" ht="15" thickBot="1" x14ac:dyDescent="0.35">
      <c r="A25" s="11"/>
      <c r="B25" s="13"/>
      <c r="D25" s="11" t="s">
        <v>54</v>
      </c>
      <c r="E25" s="12">
        <v>12</v>
      </c>
      <c r="F25" s="12"/>
      <c r="G25" s="13"/>
      <c r="H25" s="10"/>
      <c r="J25" s="11"/>
      <c r="K25" s="1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2022-12-27T10:11:29Z</dcterms:created>
  <dcterms:modified xsi:type="dcterms:W3CDTF">2022-12-27T15:13:05Z</dcterms:modified>
</cp:coreProperties>
</file>