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_carlos\Documents\GitHub\PowerSystem2\Line_Calculations\"/>
    </mc:Choice>
  </mc:AlternateContent>
  <xr:revisionPtr revIDLastSave="0" documentId="8_{9901799B-F34F-4E98-994B-1447F4C719B5}" xr6:coauthVersionLast="47" xr6:coauthVersionMax="47" xr10:uidLastSave="{00000000-0000-0000-0000-000000000000}"/>
  <bookViews>
    <workbookView xWindow="28680" yWindow="-120" windowWidth="29040" windowHeight="16440" tabRatio="500" xr2:uid="{00000000-000D-0000-FFFF-FFFF00000000}"/>
  </bookViews>
  <sheets>
    <sheet name="Hoj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0" i="1" l="1"/>
  <c r="M7" i="1"/>
  <c r="M6" i="1"/>
  <c r="AC20" i="1"/>
  <c r="AC21" i="1"/>
  <c r="AC23" i="1"/>
  <c r="AB20" i="1"/>
  <c r="AB21" i="1"/>
  <c r="AB23" i="1"/>
  <c r="M11" i="1"/>
  <c r="M9" i="1"/>
  <c r="M8" i="1"/>
  <c r="M5" i="1"/>
  <c r="R8" i="1"/>
  <c r="O8" i="1"/>
  <c r="AA8" i="1" s="1"/>
  <c r="M12" i="1"/>
  <c r="Z3" i="1"/>
  <c r="S3" i="1"/>
  <c r="O3" i="1"/>
  <c r="AA3" i="1" s="1"/>
  <c r="R7" i="1"/>
  <c r="O7" i="1"/>
  <c r="AA7" i="1" s="1"/>
  <c r="X11" i="1"/>
  <c r="U11" i="1"/>
  <c r="O11" i="1"/>
  <c r="AA11" i="1" s="1"/>
  <c r="E34" i="1" l="1"/>
  <c r="E33" i="1"/>
  <c r="E32" i="1"/>
  <c r="K29" i="1"/>
  <c r="G29" i="1"/>
  <c r="B29" i="1"/>
  <c r="X13" i="1"/>
  <c r="U13" i="1"/>
  <c r="O13" i="1"/>
  <c r="AA13" i="1" s="1"/>
  <c r="X12" i="1"/>
  <c r="U12" i="1"/>
  <c r="O12" i="1"/>
  <c r="AA12" i="1" s="1"/>
  <c r="X10" i="1"/>
  <c r="U10" i="1"/>
  <c r="O10" i="1"/>
  <c r="AA10" i="1" s="1"/>
  <c r="R9" i="1"/>
  <c r="O9" i="1"/>
  <c r="AA9" i="1" s="1"/>
  <c r="R6" i="1"/>
  <c r="O6" i="1"/>
  <c r="AA6" i="1" s="1"/>
  <c r="R5" i="1"/>
  <c r="O5" i="1"/>
  <c r="AA5" i="1" s="1"/>
  <c r="Z4" i="1"/>
  <c r="S4" i="1"/>
  <c r="O4" i="1"/>
  <c r="AA4" i="1" s="1"/>
  <c r="Z2" i="1"/>
  <c r="S2" i="1"/>
  <c r="O2" i="1"/>
  <c r="AA2" i="1" s="1"/>
  <c r="Z8" i="1" l="1"/>
  <c r="Q8" i="1" s="1"/>
  <c r="AC8" i="1" s="1"/>
  <c r="S8" i="1"/>
  <c r="P8" i="1" s="1"/>
  <c r="AB8" i="1" s="1"/>
  <c r="B30" i="1"/>
  <c r="R4" i="1" s="1"/>
  <c r="Q4" i="1" s="1"/>
  <c r="AC16" i="1" s="1"/>
  <c r="G28" i="1"/>
  <c r="S5" i="1"/>
  <c r="P5" i="1" s="1"/>
  <c r="AB5" i="1" s="1"/>
  <c r="AB17" i="1" s="1"/>
  <c r="Z7" i="1"/>
  <c r="Q7" i="1" s="1"/>
  <c r="S7" i="1"/>
  <c r="P7" i="1" s="1"/>
  <c r="AB7" i="1" s="1"/>
  <c r="AB19" i="1" s="1"/>
  <c r="W13" i="1"/>
  <c r="Y13" i="1" s="1"/>
  <c r="Z13" i="1" s="1"/>
  <c r="T11" i="1"/>
  <c r="W11" i="1"/>
  <c r="W10" i="1"/>
  <c r="T12" i="1"/>
  <c r="S6" i="1"/>
  <c r="P6" i="1" s="1"/>
  <c r="AB6" i="1" s="1"/>
  <c r="AB18" i="1" s="1"/>
  <c r="Z6" i="1"/>
  <c r="Q6" i="1" s="1"/>
  <c r="AC18" i="1" s="1"/>
  <c r="W12" i="1"/>
  <c r="T13" i="1"/>
  <c r="G27" i="1"/>
  <c r="S9" i="1"/>
  <c r="P9" i="1" s="1"/>
  <c r="AB9" i="1" s="1"/>
  <c r="Z9" i="1"/>
  <c r="Q9" i="1" s="1"/>
  <c r="Z5" i="1"/>
  <c r="Q5" i="1" s="1"/>
  <c r="AC17" i="1" s="1"/>
  <c r="T10" i="1"/>
  <c r="R2" i="1" l="1"/>
  <c r="P2" i="1" s="1"/>
  <c r="AB2" i="1" s="1"/>
  <c r="AB14" i="1" s="1"/>
  <c r="R11" i="1"/>
  <c r="P4" i="1"/>
  <c r="AB4" i="1" s="1"/>
  <c r="AB16" i="1" s="1"/>
  <c r="AC7" i="1"/>
  <c r="AC19" i="1"/>
  <c r="R3" i="1"/>
  <c r="V11" i="1"/>
  <c r="S11" i="1" s="1"/>
  <c r="Y11" i="1"/>
  <c r="Z11" i="1" s="1"/>
  <c r="AC5" i="1"/>
  <c r="Y10" i="1"/>
  <c r="Z10" i="1" s="1"/>
  <c r="AC9" i="1"/>
  <c r="V12" i="1"/>
  <c r="S12" i="1" s="1"/>
  <c r="R10" i="1"/>
  <c r="R13" i="1"/>
  <c r="R12" i="1"/>
  <c r="AC6" i="1"/>
  <c r="V13" i="1"/>
  <c r="S13" i="1" s="1"/>
  <c r="V10" i="1"/>
  <c r="S10" i="1" s="1"/>
  <c r="Y12" i="1"/>
  <c r="Z12" i="1" s="1"/>
  <c r="AC4" i="1"/>
  <c r="Q2" i="1" l="1"/>
  <c r="AC14" i="1" s="1"/>
  <c r="P11" i="1"/>
  <c r="AB11" i="1" s="1"/>
  <c r="Q11" i="1"/>
  <c r="AC11" i="1" s="1"/>
  <c r="P3" i="1"/>
  <c r="AB3" i="1" s="1"/>
  <c r="AB15" i="1" s="1"/>
  <c r="Q3" i="1"/>
  <c r="P12" i="1"/>
  <c r="AB12" i="1" s="1"/>
  <c r="Q12" i="1"/>
  <c r="Q13" i="1"/>
  <c r="AC24" i="1" s="1"/>
  <c r="P13" i="1"/>
  <c r="AB13" i="1" s="1"/>
  <c r="AB24" i="1" s="1"/>
  <c r="Q10" i="1"/>
  <c r="AC22" i="1" s="1"/>
  <c r="P10" i="1"/>
  <c r="AB10" i="1" s="1"/>
  <c r="AB22" i="1" s="1"/>
  <c r="AC2" i="1" l="1"/>
  <c r="AC3" i="1"/>
  <c r="AC15" i="1"/>
  <c r="AC10" i="1"/>
  <c r="AC13" i="1"/>
  <c r="AC12" i="1"/>
</calcChain>
</file>

<file path=xl/sharedStrings.xml><?xml version="1.0" encoding="utf-8"?>
<sst xmlns="http://schemas.openxmlformats.org/spreadsheetml/2006/main" count="107" uniqueCount="74">
  <si>
    <t>Line</t>
  </si>
  <si>
    <t>L [km]</t>
  </si>
  <si>
    <t>Type</t>
  </si>
  <si>
    <t>Ncond.</t>
  </si>
  <si>
    <t>Nº Circuits</t>
  </si>
  <si>
    <t>Sb [MVA]</t>
  </si>
  <si>
    <t>Voltage [V]</t>
  </si>
  <si>
    <t>Zb</t>
  </si>
  <si>
    <t>Conductor</t>
  </si>
  <si>
    <t>Area[mm2]</t>
  </si>
  <si>
    <t>diameter [mm]</t>
  </si>
  <si>
    <t>Rcond [Ω/km]</t>
  </si>
  <si>
    <t>kg</t>
  </si>
  <si>
    <t>R[Ω/km]</t>
  </si>
  <si>
    <t>L [H/km]</t>
  </si>
  <si>
    <t>C [F/km]</t>
  </si>
  <si>
    <t>GMD</t>
  </si>
  <si>
    <t>GMR</t>
  </si>
  <si>
    <t>GMR1</t>
  </si>
  <si>
    <t>GMR2</t>
  </si>
  <si>
    <t>GMR3</t>
  </si>
  <si>
    <t>Req1</t>
  </si>
  <si>
    <t>Req2</t>
  </si>
  <si>
    <t>Req3</t>
  </si>
  <si>
    <t>Req</t>
  </si>
  <si>
    <t>Rt</t>
  </si>
  <si>
    <t>XLt</t>
  </si>
  <si>
    <t>XCt</t>
  </si>
  <si>
    <t>r</t>
  </si>
  <si>
    <t>x</t>
  </si>
  <si>
    <t>b</t>
  </si>
  <si>
    <t>L1</t>
  </si>
  <si>
    <t>Single</t>
  </si>
  <si>
    <t>1x315</t>
  </si>
  <si>
    <t>L2</t>
  </si>
  <si>
    <t>1x200</t>
  </si>
  <si>
    <t>L3</t>
  </si>
  <si>
    <t>Bundle</t>
  </si>
  <si>
    <t>4x500</t>
  </si>
  <si>
    <t>L4</t>
  </si>
  <si>
    <t>L5</t>
  </si>
  <si>
    <t>4x800</t>
  </si>
  <si>
    <t>L6</t>
  </si>
  <si>
    <t>Double</t>
  </si>
  <si>
    <t>L7</t>
  </si>
  <si>
    <t>L8</t>
  </si>
  <si>
    <t>2x1250</t>
  </si>
  <si>
    <t>Single line</t>
  </si>
  <si>
    <t>Double Lines</t>
  </si>
  <si>
    <t>Bundle Lines</t>
  </si>
  <si>
    <t>Y23</t>
  </si>
  <si>
    <t xml:space="preserve">d13' </t>
  </si>
  <si>
    <t>GMD12</t>
  </si>
  <si>
    <t>dbundle (cm)</t>
  </si>
  <si>
    <t>d13</t>
  </si>
  <si>
    <t>d22'</t>
  </si>
  <si>
    <t>GMD23</t>
  </si>
  <si>
    <t>nbundles</t>
  </si>
  <si>
    <t>d23</t>
  </si>
  <si>
    <t>d31'</t>
  </si>
  <si>
    <t>GMD31</t>
  </si>
  <si>
    <t>rbundle</t>
  </si>
  <si>
    <t>d12</t>
  </si>
  <si>
    <t>yd21</t>
  </si>
  <si>
    <t>yd32</t>
  </si>
  <si>
    <t>d12,d1'2',d23,d2'3'</t>
  </si>
  <si>
    <t>d12', d1'2,d23',d2'3</t>
  </si>
  <si>
    <t>d11', d3'3</t>
  </si>
  <si>
    <t>d13,d1'3'</t>
  </si>
  <si>
    <t>-</t>
  </si>
  <si>
    <t>2X800</t>
  </si>
  <si>
    <t>4X800</t>
  </si>
  <si>
    <t>max A [A]</t>
  </si>
  <si>
    <t>2X1120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</si>
</sst>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A9D18E"/>
        <bgColor rgb="FFC5E0B4"/>
      </patternFill>
    </fill>
    <fill>
      <patternFill patternType="solid">
        <fgColor rgb="FFBDD7EE"/>
        <bgColor rgb="FFB4C7E7"/>
      </patternFill>
    </fill>
    <fill>
      <patternFill patternType="solid">
        <fgColor rgb="FFF8CBAD"/>
        <bgColor rgb="FFD9D9D9"/>
      </patternFill>
    </fill>
    <fill>
      <patternFill patternType="solid">
        <fgColor rgb="FFC5E0B4"/>
        <bgColor rgb="FFD9D9D9"/>
      </patternFill>
    </fill>
    <fill>
      <patternFill patternType="solid">
        <fgColor rgb="FFB4C7E7"/>
        <bgColor rgb="FFBDD7EE"/>
      </patternFill>
    </fill>
    <fill>
      <patternFill patternType="solid">
        <fgColor rgb="FFD9D9D9"/>
        <bgColor rgb="FFBDD7EE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1" xfId="0" applyFill="1" applyBorder="1"/>
    <xf numFmtId="0" fontId="0" fillId="0" borderId="3" xfId="0" applyBorder="1"/>
    <xf numFmtId="0" fontId="0" fillId="4" borderId="1" xfId="0" applyFill="1" applyBorder="1"/>
    <xf numFmtId="0" fontId="0" fillId="0" borderId="2" xfId="0" applyBorder="1"/>
    <xf numFmtId="0" fontId="0" fillId="6" borderId="1" xfId="0" applyFill="1" applyBorder="1"/>
    <xf numFmtId="0" fontId="0" fillId="6" borderId="3" xfId="0" applyFill="1" applyBorder="1"/>
    <xf numFmtId="0" fontId="0" fillId="0" borderId="4" xfId="0" applyBorder="1"/>
    <xf numFmtId="0" fontId="0" fillId="7" borderId="5" xfId="0" applyFill="1" applyBorder="1"/>
    <xf numFmtId="0" fontId="2" fillId="7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9D9D9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A9D18E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84960</xdr:rowOff>
    </xdr:from>
    <xdr:to>
      <xdr:col>2</xdr:col>
      <xdr:colOff>554760</xdr:colOff>
      <xdr:row>43</xdr:row>
      <xdr:rowOff>167040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t="19794"/>
        <a:stretch/>
      </xdr:blipFill>
      <xdr:spPr>
        <a:xfrm>
          <a:off x="0" y="5000040"/>
          <a:ext cx="2409120" cy="1167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262440</xdr:colOff>
      <xdr:row>38</xdr:row>
      <xdr:rowOff>55440</xdr:rowOff>
    </xdr:from>
    <xdr:to>
      <xdr:col>12</xdr:col>
      <xdr:colOff>226080</xdr:colOff>
      <xdr:row>47</xdr:row>
      <xdr:rowOff>88920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rcRect t="16335"/>
        <a:stretch/>
      </xdr:blipFill>
      <xdr:spPr>
        <a:xfrm>
          <a:off x="6646680" y="5151240"/>
          <a:ext cx="5285520" cy="1662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97920</xdr:colOff>
      <xdr:row>35</xdr:row>
      <xdr:rowOff>163440</xdr:rowOff>
    </xdr:from>
    <xdr:to>
      <xdr:col>6</xdr:col>
      <xdr:colOff>360720</xdr:colOff>
      <xdr:row>48</xdr:row>
      <xdr:rowOff>165240</xdr:rowOff>
    </xdr:to>
    <xdr:pic>
      <xdr:nvPicPr>
        <xdr:cNvPr id="4" name="Imagen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879280" y="4716360"/>
          <a:ext cx="2938680" cy="23544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5"/>
  <sheetViews>
    <sheetView tabSelected="1" zoomScale="90" zoomScaleNormal="90" workbookViewId="0">
      <selection activeCell="L11" sqref="L11"/>
    </sheetView>
  </sheetViews>
  <sheetFormatPr baseColWidth="10" defaultColWidth="10.42578125" defaultRowHeight="15" x14ac:dyDescent="0.25"/>
  <cols>
    <col min="4" max="4" width="9.5703125" customWidth="1"/>
    <col min="5" max="5" width="10.140625" customWidth="1"/>
    <col min="9" max="9" width="11.5703125" customWidth="1"/>
    <col min="11" max="11" width="14.28515625" customWidth="1"/>
    <col min="12" max="13" width="13.140625" customWidth="1"/>
    <col min="17" max="17" width="11.5703125" customWidth="1"/>
    <col min="20" max="25" width="9.140625" hidden="1" customWidth="1"/>
    <col min="29" max="29" width="11.5703125" customWidth="1"/>
  </cols>
  <sheetData>
    <row r="1" spans="1:32" s="4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72</v>
      </c>
      <c r="N1" s="3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3" t="s">
        <v>24</v>
      </c>
      <c r="AA1" s="1" t="s">
        <v>25</v>
      </c>
      <c r="AB1" s="2" t="s">
        <v>26</v>
      </c>
      <c r="AC1" s="3" t="s">
        <v>27</v>
      </c>
      <c r="AD1" s="4" t="s">
        <v>28</v>
      </c>
      <c r="AE1" s="4" t="s">
        <v>29</v>
      </c>
      <c r="AF1" s="4" t="s">
        <v>30</v>
      </c>
    </row>
    <row r="2" spans="1:32" s="9" customFormat="1" hidden="1" x14ac:dyDescent="0.25">
      <c r="A2" s="5" t="s">
        <v>69</v>
      </c>
      <c r="B2" s="6" t="s">
        <v>69</v>
      </c>
      <c r="C2" s="6" t="s">
        <v>32</v>
      </c>
      <c r="D2" s="6">
        <v>1</v>
      </c>
      <c r="E2" s="6">
        <v>1</v>
      </c>
      <c r="F2" s="6">
        <v>100</v>
      </c>
      <c r="G2" s="6">
        <v>230</v>
      </c>
      <c r="H2" s="6"/>
      <c r="I2" s="6" t="s">
        <v>33</v>
      </c>
      <c r="J2" s="6">
        <v>315</v>
      </c>
      <c r="K2" s="6">
        <v>23.91</v>
      </c>
      <c r="L2" s="6">
        <v>9.1700000000000004E-2</v>
      </c>
      <c r="M2" s="6"/>
      <c r="N2" s="7">
        <v>0.80900000000000005</v>
      </c>
      <c r="O2" s="8">
        <f t="shared" ref="O2:O13" si="0">L2/D2</f>
        <v>9.1700000000000004E-2</v>
      </c>
      <c r="P2" s="9">
        <f>(0.2*LN(R2/S2))/1000</f>
        <v>1.3471503506363202E-3</v>
      </c>
      <c r="Q2" s="9">
        <f>(1/(18*LN(R2/Z2)))/1000000</f>
        <v>8.5158335330383512E-9</v>
      </c>
      <c r="R2" s="9">
        <f>($B$28*$B$29*$B$30)^(1/3)</f>
        <v>8.1432528497847212</v>
      </c>
      <c r="S2" s="9">
        <f>(N2*(K2/2))/1000</f>
        <v>9.6715949999999998E-3</v>
      </c>
      <c r="Z2" s="10">
        <f>K2/2000</f>
        <v>1.1955E-2</v>
      </c>
      <c r="AA2" s="8" t="e">
        <f>O2*B2</f>
        <v>#VALUE!</v>
      </c>
      <c r="AB2" s="9" t="e">
        <f>2*PI()*50*P2*B2</f>
        <v>#VALUE!</v>
      </c>
      <c r="AC2" s="10" t="e">
        <f>2*PI()*50*Q2*B2</f>
        <v>#VALUE!</v>
      </c>
    </row>
    <row r="3" spans="1:32" s="9" customFormat="1" x14ac:dyDescent="0.25">
      <c r="A3" s="5" t="s">
        <v>45</v>
      </c>
      <c r="B3" s="6">
        <v>100</v>
      </c>
      <c r="C3" s="6" t="s">
        <v>32</v>
      </c>
      <c r="D3" s="6">
        <v>1</v>
      </c>
      <c r="E3" s="6">
        <v>1</v>
      </c>
      <c r="F3" s="6">
        <v>100</v>
      </c>
      <c r="G3" s="6">
        <v>400</v>
      </c>
      <c r="H3" s="6"/>
      <c r="I3" s="6" t="s">
        <v>33</v>
      </c>
      <c r="J3" s="6">
        <v>315</v>
      </c>
      <c r="K3" s="6">
        <v>24.87</v>
      </c>
      <c r="L3" s="6">
        <v>9.1700000000000004E-2</v>
      </c>
      <c r="M3" s="6">
        <v>530</v>
      </c>
      <c r="N3" s="7">
        <v>0.81100000000000005</v>
      </c>
      <c r="O3" s="8">
        <f t="shared" ref="O3" si="1">L3/D3</f>
        <v>9.1700000000000004E-2</v>
      </c>
      <c r="P3" s="9">
        <f>(0.2*LN(R3/S3))/1000</f>
        <v>1.3387834279559201E-3</v>
      </c>
      <c r="Q3" s="9">
        <f>(1/(18*LN(R3/Z3)))/1000000</f>
        <v>8.567531191568441E-9</v>
      </c>
      <c r="R3" s="9">
        <f>($B$28*$B$29*$B$30)^(1/3)</f>
        <v>8.1432528497847212</v>
      </c>
      <c r="S3" s="9">
        <f>(N3*(K3/2))/1000</f>
        <v>1.0084785000000002E-2</v>
      </c>
      <c r="Z3" s="10">
        <f>K3/2000</f>
        <v>1.2435E-2</v>
      </c>
      <c r="AA3" s="8">
        <f>O3*B3</f>
        <v>9.17</v>
      </c>
      <c r="AB3" s="9">
        <f>2*PI()*50*P3*B3</f>
        <v>42.059121820140788</v>
      </c>
      <c r="AC3" s="10">
        <f>2*PI()*50*Q3*B3</f>
        <v>2.6915693050832821E-4</v>
      </c>
    </row>
    <row r="4" spans="1:32" s="9" customFormat="1" hidden="1" x14ac:dyDescent="0.25">
      <c r="A4" s="5" t="s">
        <v>69</v>
      </c>
      <c r="B4" s="6" t="s">
        <v>69</v>
      </c>
      <c r="C4" s="6" t="s">
        <v>32</v>
      </c>
      <c r="D4" s="6">
        <v>1</v>
      </c>
      <c r="E4" s="6">
        <v>1</v>
      </c>
      <c r="F4" s="6">
        <v>100</v>
      </c>
      <c r="G4" s="6">
        <v>230</v>
      </c>
      <c r="H4" s="6"/>
      <c r="I4" s="6" t="s">
        <v>35</v>
      </c>
      <c r="J4" s="6">
        <v>200</v>
      </c>
      <c r="K4" s="6">
        <v>18.8</v>
      </c>
      <c r="L4" s="6">
        <v>0.14399999999999999</v>
      </c>
      <c r="M4" s="6"/>
      <c r="N4" s="7">
        <v>0.77600000000000002</v>
      </c>
      <c r="O4" s="8">
        <f t="shared" si="0"/>
        <v>0.14399999999999999</v>
      </c>
      <c r="P4" s="9">
        <f>(0.2*LN(R4/S4))/1000</f>
        <v>1.403567612338241E-3</v>
      </c>
      <c r="Q4" s="9">
        <f>(1/(18*LN(R4/Z4)))/1000000</f>
        <v>8.2131317241138595E-9</v>
      </c>
      <c r="R4" s="9">
        <f>($B$28*$B$29*$B$30)^(1/3)</f>
        <v>8.1432528497847212</v>
      </c>
      <c r="S4" s="9">
        <f>(N4*(K4/2))/1000</f>
        <v>7.2944000000000004E-3</v>
      </c>
      <c r="Z4" s="10">
        <f>K4/2000</f>
        <v>9.4000000000000004E-3</v>
      </c>
      <c r="AA4" s="8" t="e">
        <f>O4*B4</f>
        <v>#VALUE!</v>
      </c>
      <c r="AB4" s="9" t="e">
        <f>2*PI()*50*P4*B4</f>
        <v>#VALUE!</v>
      </c>
      <c r="AC4" s="10" t="e">
        <f>2*PI()*50*Q4*B4</f>
        <v>#VALUE!</v>
      </c>
    </row>
    <row r="5" spans="1:32" s="15" customFormat="1" x14ac:dyDescent="0.25">
      <c r="A5" s="11" t="s">
        <v>31</v>
      </c>
      <c r="B5" s="12">
        <v>100</v>
      </c>
      <c r="C5" s="12" t="s">
        <v>37</v>
      </c>
      <c r="D5" s="12">
        <v>4</v>
      </c>
      <c r="E5" s="12">
        <v>2</v>
      </c>
      <c r="F5" s="12">
        <v>100</v>
      </c>
      <c r="G5" s="12">
        <v>400</v>
      </c>
      <c r="H5" s="12"/>
      <c r="I5" s="12" t="s">
        <v>71</v>
      </c>
      <c r="J5" s="12">
        <v>800</v>
      </c>
      <c r="K5" s="12">
        <v>39.090000000000003</v>
      </c>
      <c r="L5" s="12">
        <v>3.6200000000000003E-2</v>
      </c>
      <c r="M5" s="12">
        <f>4*916</f>
        <v>3664</v>
      </c>
      <c r="N5" s="13">
        <v>0.80800000000000005</v>
      </c>
      <c r="O5" s="14">
        <f t="shared" si="0"/>
        <v>9.0500000000000008E-3</v>
      </c>
      <c r="P5" s="15">
        <f>(0.2*LN(R5/S5))/1000</f>
        <v>7.7524039702774549E-4</v>
      </c>
      <c r="Q5" s="15">
        <f>(1/(18*LN(R5/Z5)))/1000000</f>
        <v>1.4532292782018124E-8</v>
      </c>
      <c r="R5" s="15">
        <f>($K$30*$K$31*$K$32)^(1/3)</f>
        <v>7.5595262993692396</v>
      </c>
      <c r="S5" s="15">
        <f>(N5*D5*(K5/2000)*($K$29)^(D5-1))^(1/D5)</f>
        <v>0.1567044932639442</v>
      </c>
      <c r="Z5" s="16">
        <f>(D5*(K5/2000)*($K$29)^(D5-1))^(1/4)</f>
        <v>0.16528316067999876</v>
      </c>
      <c r="AA5" s="14">
        <f>O5*B5</f>
        <v>0.90500000000000003</v>
      </c>
      <c r="AB5" s="15">
        <f>2*PI()*50*P5*B5</f>
        <v>24.354895360683997</v>
      </c>
      <c r="AC5" s="16">
        <f>2*PI()*50*Q5*B5</f>
        <v>4.5654544243804116E-4</v>
      </c>
    </row>
    <row r="6" spans="1:32" s="15" customFormat="1" x14ac:dyDescent="0.25">
      <c r="A6" s="11" t="s">
        <v>39</v>
      </c>
      <c r="B6" s="12">
        <v>200</v>
      </c>
      <c r="C6" s="12" t="s">
        <v>37</v>
      </c>
      <c r="D6" s="12">
        <v>4</v>
      </c>
      <c r="E6" s="12">
        <v>2</v>
      </c>
      <c r="F6" s="12">
        <v>100</v>
      </c>
      <c r="G6" s="12">
        <v>400</v>
      </c>
      <c r="H6" s="12"/>
      <c r="I6" s="12" t="s">
        <v>38</v>
      </c>
      <c r="J6" s="12">
        <v>500</v>
      </c>
      <c r="K6" s="12">
        <v>30.87</v>
      </c>
      <c r="L6" s="12">
        <v>5.7799999999999997E-2</v>
      </c>
      <c r="M6" s="12">
        <f>4*697</f>
        <v>2788</v>
      </c>
      <c r="N6" s="13">
        <v>0.80900000000000005</v>
      </c>
      <c r="O6" s="14">
        <f t="shared" si="0"/>
        <v>1.4449999999999999E-2</v>
      </c>
      <c r="P6" s="15">
        <f>(0.2*LN(R6/S6))/1000</f>
        <v>7.8698264616541543E-4</v>
      </c>
      <c r="Q6" s="15">
        <f>(1/(18*LN(R6/Z6)))/1000000</f>
        <v>1.431134497919412E-8</v>
      </c>
      <c r="R6" s="15">
        <f>($K$30*$K$31*$K$32)^(1/3)</f>
        <v>7.5595262993692396</v>
      </c>
      <c r="S6" s="15">
        <f>(N6*D6*(K6/2000)*($K$29)^(D6-1))^(1/D6)</f>
        <v>0.14776904934755214</v>
      </c>
      <c r="Z6" s="16">
        <f>(D6*(K6/2000)*($K$29)^(D6-1))^(1/4)</f>
        <v>0.15581036643772503</v>
      </c>
      <c r="AA6" s="14">
        <f>O6*B6</f>
        <v>2.8899999999999997</v>
      </c>
      <c r="AB6" s="15">
        <f>2*PI()*50*P6*B6</f>
        <v>49.447577993918493</v>
      </c>
      <c r="AC6" s="16">
        <f>2*PI()*50*Q6*B6</f>
        <v>8.9920832499250836E-4</v>
      </c>
    </row>
    <row r="7" spans="1:32" s="15" customFormat="1" x14ac:dyDescent="0.25">
      <c r="A7" s="11" t="s">
        <v>40</v>
      </c>
      <c r="B7" s="12">
        <v>140</v>
      </c>
      <c r="C7" s="12" t="s">
        <v>37</v>
      </c>
      <c r="D7" s="12">
        <v>4</v>
      </c>
      <c r="E7" s="12">
        <v>2</v>
      </c>
      <c r="F7" s="12">
        <v>100</v>
      </c>
      <c r="G7" s="12">
        <v>400</v>
      </c>
      <c r="H7" s="12"/>
      <c r="I7" s="12" t="s">
        <v>38</v>
      </c>
      <c r="J7" s="12">
        <v>500</v>
      </c>
      <c r="K7" s="12">
        <v>30.87</v>
      </c>
      <c r="L7" s="12">
        <v>5.7799999999999997E-2</v>
      </c>
      <c r="M7" s="12">
        <f>4*697</f>
        <v>2788</v>
      </c>
      <c r="N7" s="13">
        <v>0.80900000000000005</v>
      </c>
      <c r="O7" s="14">
        <f t="shared" ref="O7:O8" si="2">L7/D7</f>
        <v>1.4449999999999999E-2</v>
      </c>
      <c r="P7" s="15">
        <f>(0.2*LN(R7/S7))/1000</f>
        <v>7.8698264616541543E-4</v>
      </c>
      <c r="Q7" s="15">
        <f>(1/(18*LN(R7/Z7)))/1000000</f>
        <v>1.431134497919412E-8</v>
      </c>
      <c r="R7" s="15">
        <f>($K$30*$K$31*$K$32)^(1/3)</f>
        <v>7.5595262993692396</v>
      </c>
      <c r="S7" s="15">
        <f>(N7*D7*(K7/2000)*($K$29)^(D7-1))^(1/D7)</f>
        <v>0.14776904934755214</v>
      </c>
      <c r="Z7" s="16">
        <f>(D7*(K7/2000)*($K$29)^(D7-1))^(1/4)</f>
        <v>0.15581036643772503</v>
      </c>
      <c r="AA7" s="14">
        <f>O7*B7</f>
        <v>2.0229999999999997</v>
      </c>
      <c r="AB7" s="15">
        <f>2*PI()*50*P7*B7</f>
        <v>34.613304595742946</v>
      </c>
      <c r="AC7" s="16">
        <f>2*PI()*50*Q7*B7</f>
        <v>6.2944582749475584E-4</v>
      </c>
    </row>
    <row r="8" spans="1:32" s="15" customFormat="1" x14ac:dyDescent="0.25">
      <c r="A8" s="11" t="s">
        <v>42</v>
      </c>
      <c r="B8" s="12">
        <v>140</v>
      </c>
      <c r="C8" s="12" t="s">
        <v>37</v>
      </c>
      <c r="D8" s="12">
        <v>4</v>
      </c>
      <c r="E8" s="12">
        <v>2</v>
      </c>
      <c r="F8" s="12">
        <v>100</v>
      </c>
      <c r="G8" s="12">
        <v>400</v>
      </c>
      <c r="H8" s="12"/>
      <c r="I8" s="12" t="s">
        <v>41</v>
      </c>
      <c r="J8" s="12">
        <v>800</v>
      </c>
      <c r="K8" s="12">
        <v>39.090000000000003</v>
      </c>
      <c r="L8" s="12">
        <v>3.6200000000000003E-2</v>
      </c>
      <c r="M8" s="12">
        <f>4*916</f>
        <v>3664</v>
      </c>
      <c r="N8" s="13">
        <v>0.80800000000000005</v>
      </c>
      <c r="O8" s="14">
        <f t="shared" si="2"/>
        <v>9.0500000000000008E-3</v>
      </c>
      <c r="P8" s="15">
        <f>(0.2*LN(R8/S8))/1000</f>
        <v>7.7524039702774549E-4</v>
      </c>
      <c r="Q8" s="15">
        <f>(1/(18*LN(R8/Z8)))/1000000</f>
        <v>1.4532292782018124E-8</v>
      </c>
      <c r="R8" s="15">
        <f>($K$30*$K$31*$K$32)^(1/3)</f>
        <v>7.5595262993692396</v>
      </c>
      <c r="S8" s="15">
        <f>(N8*D8*(K8/2000)*($K$29)^(D8-1))^(1/D8)</f>
        <v>0.1567044932639442</v>
      </c>
      <c r="Z8" s="16">
        <f>(D8*(K8/2000)*($K$29)^(D8-1))^(1/4)</f>
        <v>0.16528316067999876</v>
      </c>
      <c r="AA8" s="14">
        <f>O8*B8</f>
        <v>1.2670000000000001</v>
      </c>
      <c r="AB8" s="15">
        <f>2*PI()*50*P8*B8</f>
        <v>34.0968535049576</v>
      </c>
      <c r="AC8" s="16">
        <f>2*PI()*50*Q8*B8</f>
        <v>6.3916361941325755E-4</v>
      </c>
    </row>
    <row r="9" spans="1:32" s="15" customFormat="1" x14ac:dyDescent="0.25">
      <c r="A9" s="11" t="s">
        <v>44</v>
      </c>
      <c r="B9" s="12">
        <v>100</v>
      </c>
      <c r="C9" s="12" t="s">
        <v>37</v>
      </c>
      <c r="D9" s="12">
        <v>4</v>
      </c>
      <c r="E9" s="12">
        <v>2</v>
      </c>
      <c r="F9" s="12">
        <v>100</v>
      </c>
      <c r="G9" s="12">
        <v>400</v>
      </c>
      <c r="H9" s="12"/>
      <c r="I9" s="12" t="s">
        <v>41</v>
      </c>
      <c r="J9" s="12">
        <v>800</v>
      </c>
      <c r="K9" s="12">
        <v>39.090000000000003</v>
      </c>
      <c r="L9" s="12">
        <v>3.6200000000000003E-2</v>
      </c>
      <c r="M9" s="12">
        <f>4*916</f>
        <v>3664</v>
      </c>
      <c r="N9" s="13">
        <v>0.80800000000000005</v>
      </c>
      <c r="O9" s="14">
        <f t="shared" si="0"/>
        <v>9.0500000000000008E-3</v>
      </c>
      <c r="P9" s="15">
        <f>(0.2*LN(R9/S9))/1000</f>
        <v>7.7524039702774549E-4</v>
      </c>
      <c r="Q9" s="15">
        <f>(1/(18*LN(R9/Z9)))/1000000</f>
        <v>1.4532292782018124E-8</v>
      </c>
      <c r="R9" s="15">
        <f>($K$30*$K$31*$K$32)^(1/3)</f>
        <v>7.5595262993692396</v>
      </c>
      <c r="S9" s="15">
        <f>(N9*D9*(K9/2000)*($K$29)^(D9-1))^(1/D9)</f>
        <v>0.1567044932639442</v>
      </c>
      <c r="Z9" s="16">
        <f>(D9*(K9/2000)*($K$29)^(D9-1))^(1/4)</f>
        <v>0.16528316067999876</v>
      </c>
      <c r="AA9" s="14">
        <f>O9*B9</f>
        <v>0.90500000000000003</v>
      </c>
      <c r="AB9" s="15">
        <f>2*PI()*50*P9*B9</f>
        <v>24.354895360683997</v>
      </c>
      <c r="AC9" s="16">
        <f>2*PI()*50*Q9*B9</f>
        <v>4.5654544243804116E-4</v>
      </c>
    </row>
    <row r="10" spans="1:32" s="21" customFormat="1" x14ac:dyDescent="0.25">
      <c r="A10" s="17" t="s">
        <v>34</v>
      </c>
      <c r="B10" s="18">
        <v>140</v>
      </c>
      <c r="C10" s="18" t="s">
        <v>43</v>
      </c>
      <c r="D10" s="18">
        <v>2</v>
      </c>
      <c r="E10" s="18">
        <v>1</v>
      </c>
      <c r="F10" s="18">
        <v>100</v>
      </c>
      <c r="G10" s="18">
        <v>400</v>
      </c>
      <c r="H10" s="18"/>
      <c r="I10" s="18" t="s">
        <v>73</v>
      </c>
      <c r="J10" s="18">
        <v>1120</v>
      </c>
      <c r="K10" s="18">
        <v>44.5</v>
      </c>
      <c r="L10" s="18">
        <v>2.58E-2</v>
      </c>
      <c r="M10" s="18">
        <f>2*1096</f>
        <v>2192</v>
      </c>
      <c r="N10" s="19">
        <v>0.79300000000000004</v>
      </c>
      <c r="O10" s="20">
        <f t="shared" si="0"/>
        <v>1.29E-2</v>
      </c>
      <c r="P10" s="21">
        <f>(0.2*LN(R10/S10))/1000</f>
        <v>5.5441080616084443E-4</v>
      </c>
      <c r="Q10" s="21">
        <f>(1/(18*LN(R10/Z10)))/1000000</f>
        <v>2.0916308311694389E-8</v>
      </c>
      <c r="R10" s="21">
        <f>($G$27*$G$28*$G$29)^(1/3)</f>
        <v>6.8854506296087745</v>
      </c>
      <c r="S10" s="21">
        <f>(T10*U10*V10)^(1/3)</f>
        <v>0.43057082534522206</v>
      </c>
      <c r="T10" s="21">
        <f>SQRT(N10*(K10/(2*1000))*$E$34)</f>
        <v>0.46093915558005694</v>
      </c>
      <c r="U10" s="21">
        <f>SQRT(N10*(K10/(2*1000))*$E$28)</f>
        <v>0.37570467125123691</v>
      </c>
      <c r="V10" s="21">
        <f>T10</f>
        <v>0.46093915558005694</v>
      </c>
      <c r="W10" s="21">
        <f>SQRT(K10/(2*1000)*$E$34)</f>
        <v>0.51761518464794731</v>
      </c>
      <c r="X10" s="21">
        <f>SQRT(K10/(2*1000)*$E$28)</f>
        <v>0.42190046219457972</v>
      </c>
      <c r="Y10" s="21">
        <f>W10</f>
        <v>0.51761518464794731</v>
      </c>
      <c r="Z10" s="22">
        <f>(W10*X10*Y10)^(1/3)</f>
        <v>0.48351283367242082</v>
      </c>
      <c r="AA10" s="20">
        <f>O10*B10</f>
        <v>1.806</v>
      </c>
      <c r="AB10" s="21">
        <f>2*PI()*50*P10*B10</f>
        <v>24.384260819879852</v>
      </c>
      <c r="AC10" s="22">
        <f>2*PI()*50*Q10*B10</f>
        <v>9.1994728745133515E-4</v>
      </c>
    </row>
    <row r="11" spans="1:32" s="21" customFormat="1" x14ac:dyDescent="0.25">
      <c r="A11" s="17" t="s">
        <v>36</v>
      </c>
      <c r="B11" s="18">
        <v>100</v>
      </c>
      <c r="C11" s="18" t="s">
        <v>43</v>
      </c>
      <c r="D11" s="18">
        <v>2</v>
      </c>
      <c r="E11" s="18">
        <v>1</v>
      </c>
      <c r="F11" s="18">
        <v>100</v>
      </c>
      <c r="G11" s="18">
        <v>400</v>
      </c>
      <c r="H11" s="18"/>
      <c r="I11" s="18" t="s">
        <v>70</v>
      </c>
      <c r="J11" s="18">
        <v>800</v>
      </c>
      <c r="K11" s="18">
        <v>39.090000000000003</v>
      </c>
      <c r="L11" s="18">
        <v>3.6200000000000003E-2</v>
      </c>
      <c r="M11" s="18">
        <f>2*916</f>
        <v>1832</v>
      </c>
      <c r="N11" s="19">
        <v>0.80800000000000005</v>
      </c>
      <c r="O11" s="20">
        <f t="shared" ref="O11" si="3">L11/D11</f>
        <v>1.8100000000000002E-2</v>
      </c>
      <c r="P11" s="21">
        <f t="shared" ref="P11" si="4">(0.2*LN(R11/S11))/1000</f>
        <v>5.6549917340895279E-4</v>
      </c>
      <c r="Q11" s="21">
        <f t="shared" ref="Q11" si="5">(1/(18*LN(R11/Z11)))/1000000</f>
        <v>2.0418086195739056E-8</v>
      </c>
      <c r="R11" s="21">
        <f>($G$27*$G$28*$G$29)^(1/3)</f>
        <v>6.8854506296087745</v>
      </c>
      <c r="S11" s="21">
        <f>(T11*U11*V11)^(1/3)</f>
        <v>0.40734887007095533</v>
      </c>
      <c r="T11" s="21">
        <f>SQRT(N11*(K11/(2*1000))*$E$34)</f>
        <v>0.43607934663583453</v>
      </c>
      <c r="U11" s="21">
        <f>SQRT(N11*(K11/(2*1000))*$E$28)</f>
        <v>0.35544180958350979</v>
      </c>
      <c r="V11" s="21">
        <f>T11</f>
        <v>0.43607934663583453</v>
      </c>
      <c r="W11" s="21">
        <f>SQRT(K11/(2*1000)*$E$34)</f>
        <v>0.48513190581788729</v>
      </c>
      <c r="X11" s="21">
        <f>SQRT(K11/(2*1000)*$E$28)</f>
        <v>0.39542382325803288</v>
      </c>
      <c r="Y11" s="21">
        <f>W11</f>
        <v>0.48513190581788729</v>
      </c>
      <c r="Z11" s="22">
        <f>(W11*X11*Y11)^(1/3)</f>
        <v>0.45316967014104942</v>
      </c>
      <c r="AA11" s="20">
        <f t="shared" ref="AA11" si="6">O11*B11</f>
        <v>1.81</v>
      </c>
      <c r="AB11" s="21">
        <f t="shared" ref="AB11" si="7">2*PI()*50*P11*B11</f>
        <v>17.765680487926666</v>
      </c>
      <c r="AC11" s="22">
        <f t="shared" ref="AC11" si="8">2*PI()*50*Q11*B11</f>
        <v>6.414530959289699E-4</v>
      </c>
    </row>
    <row r="12" spans="1:32" s="21" customFormat="1" hidden="1" x14ac:dyDescent="0.25">
      <c r="A12" s="17" t="s">
        <v>69</v>
      </c>
      <c r="B12" s="18" t="s">
        <v>69</v>
      </c>
      <c r="C12" s="18" t="s">
        <v>43</v>
      </c>
      <c r="D12" s="18">
        <v>2</v>
      </c>
      <c r="E12" s="18">
        <v>1</v>
      </c>
      <c r="F12" s="18">
        <v>100</v>
      </c>
      <c r="G12" s="18">
        <v>400</v>
      </c>
      <c r="H12" s="18"/>
      <c r="I12" s="18" t="s">
        <v>73</v>
      </c>
      <c r="J12" s="18">
        <v>1120</v>
      </c>
      <c r="K12" s="18">
        <v>44.5</v>
      </c>
      <c r="L12" s="18">
        <v>2.58E-2</v>
      </c>
      <c r="M12" s="18">
        <f>2*1096</f>
        <v>2192</v>
      </c>
      <c r="N12" s="19">
        <v>0.79300000000000004</v>
      </c>
      <c r="O12" s="20">
        <f t="shared" si="0"/>
        <v>1.29E-2</v>
      </c>
      <c r="P12" s="21">
        <f t="shared" ref="P12:P13" si="9">(0.2*LN(R12/S12))/1000</f>
        <v>5.5441080616084443E-4</v>
      </c>
      <c r="Q12" s="21">
        <f t="shared" ref="Q12:Q13" si="10">(1/(18*LN(R12/Z12)))/1000000</f>
        <v>2.0916308311694389E-8</v>
      </c>
      <c r="R12" s="21">
        <f>($G$27*$G$28*$G$29)^(1/3)</f>
        <v>6.8854506296087745</v>
      </c>
      <c r="S12" s="21">
        <f>(T12*U12*V12)^(1/3)</f>
        <v>0.43057082534522206</v>
      </c>
      <c r="T12" s="21">
        <f>SQRT(N12*(K12/(2*1000))*$E$34)</f>
        <v>0.46093915558005694</v>
      </c>
      <c r="U12" s="21">
        <f>SQRT(N12*(K12/(2*1000))*$E$28)</f>
        <v>0.37570467125123691</v>
      </c>
      <c r="V12" s="21">
        <f>T12</f>
        <v>0.46093915558005694</v>
      </c>
      <c r="W12" s="21">
        <f>SQRT(K12/(2*1000)*$E$34)</f>
        <v>0.51761518464794731</v>
      </c>
      <c r="X12" s="21">
        <f>SQRT(K12/(2*1000)*$E$28)</f>
        <v>0.42190046219457972</v>
      </c>
      <c r="Y12" s="21">
        <f>W12</f>
        <v>0.51761518464794731</v>
      </c>
      <c r="Z12" s="22">
        <f>(W12*X12*Y12)^(1/3)</f>
        <v>0.48351283367242082</v>
      </c>
      <c r="AA12" s="20" t="e">
        <f t="shared" ref="AA12:AA13" si="11">O12*B12</f>
        <v>#VALUE!</v>
      </c>
      <c r="AB12" s="21" t="e">
        <f t="shared" ref="AB12:AB13" si="12">2*PI()*50*P12*B12</f>
        <v>#VALUE!</v>
      </c>
      <c r="AC12" s="22" t="e">
        <f t="shared" ref="AC12:AC13" si="13">2*PI()*50*Q12*B12</f>
        <v>#VALUE!</v>
      </c>
    </row>
    <row r="13" spans="1:32" s="21" customFormat="1" hidden="1" x14ac:dyDescent="0.25">
      <c r="A13" s="23" t="s">
        <v>69</v>
      </c>
      <c r="B13" s="24" t="s">
        <v>69</v>
      </c>
      <c r="C13" s="24" t="s">
        <v>43</v>
      </c>
      <c r="D13" s="24">
        <v>2</v>
      </c>
      <c r="E13" s="24">
        <v>1</v>
      </c>
      <c r="F13" s="24">
        <v>100</v>
      </c>
      <c r="G13" s="24">
        <v>230</v>
      </c>
      <c r="H13" s="24"/>
      <c r="I13" s="24" t="s">
        <v>46</v>
      </c>
      <c r="J13" s="24">
        <v>1250</v>
      </c>
      <c r="K13" s="24">
        <v>47.85</v>
      </c>
      <c r="L13" s="24">
        <v>2.3199999999999998E-2</v>
      </c>
      <c r="M13" s="24"/>
      <c r="N13" s="25">
        <v>0.79300000000000004</v>
      </c>
      <c r="O13" s="26">
        <f t="shared" si="0"/>
        <v>1.1599999999999999E-2</v>
      </c>
      <c r="P13" s="27">
        <f t="shared" si="9"/>
        <v>5.4715261328816761E-4</v>
      </c>
      <c r="Q13" s="27">
        <f t="shared" si="10"/>
        <v>2.1206053276136445E-8</v>
      </c>
      <c r="R13" s="27">
        <f>($G$27*$G$28*$G$29)^(1/3)</f>
        <v>6.8854506296087745</v>
      </c>
      <c r="S13" s="27">
        <f>(T13*U13*V13)^(1/3)</f>
        <v>0.44648365535721113</v>
      </c>
      <c r="T13" s="27">
        <f>SQRT(N13*(K13/(2*1000))*$E$34)</f>
        <v>0.47797432377273297</v>
      </c>
      <c r="U13" s="27">
        <f>SQRT(N13*(K13/(2*1000))*$E$28)</f>
        <v>0.3895897842603166</v>
      </c>
      <c r="V13" s="27">
        <f>T13</f>
        <v>0.47797432377273297</v>
      </c>
      <c r="W13" s="27">
        <f>SQRT(K13/(2*1000)*$E$34)</f>
        <v>0.53674495833459457</v>
      </c>
      <c r="X13" s="27">
        <f>SQRT(K13/(2*1000)*$E$28)</f>
        <v>0.43749285708454716</v>
      </c>
      <c r="Y13" s="27">
        <f>W13</f>
        <v>0.53674495833459457</v>
      </c>
      <c r="Z13" s="28">
        <f>(W13*X13*Y13)^(1/3)</f>
        <v>0.50138226903111094</v>
      </c>
      <c r="AA13" s="26" t="e">
        <f t="shared" si="11"/>
        <v>#VALUE!</v>
      </c>
      <c r="AB13" s="27" t="e">
        <f t="shared" si="12"/>
        <v>#VALUE!</v>
      </c>
      <c r="AC13" s="28" t="e">
        <f t="shared" si="13"/>
        <v>#VALUE!</v>
      </c>
    </row>
    <row r="14" spans="1:32" hidden="1" x14ac:dyDescent="0.25">
      <c r="AB14" s="21" t="e">
        <f>AB2/B2</f>
        <v>#VALUE!</v>
      </c>
      <c r="AC14" s="22">
        <f>Q2*10^9</f>
        <v>8.5158335330383519</v>
      </c>
    </row>
    <row r="15" spans="1:32" x14ac:dyDescent="0.25">
      <c r="AA15" s="5" t="s">
        <v>45</v>
      </c>
      <c r="AB15" s="9">
        <f>AB3/B3</f>
        <v>0.42059121820140788</v>
      </c>
      <c r="AC15" s="10">
        <f>Q3*10^9</f>
        <v>8.5675311915684418</v>
      </c>
    </row>
    <row r="16" spans="1:32" hidden="1" x14ac:dyDescent="0.25">
      <c r="AA16" s="5" t="s">
        <v>69</v>
      </c>
      <c r="AB16" s="21" t="e">
        <f>AB4/B4</f>
        <v>#VALUE!</v>
      </c>
      <c r="AC16" s="22">
        <f>Q4*10^9</f>
        <v>8.2131317241138593</v>
      </c>
    </row>
    <row r="17" spans="1:29" x14ac:dyDescent="0.25">
      <c r="AA17" s="43" t="s">
        <v>31</v>
      </c>
      <c r="AB17" s="15">
        <f>AB5/B5</f>
        <v>0.24354895360683998</v>
      </c>
      <c r="AC17" s="16">
        <f>Q5*10^9</f>
        <v>14.532292782018123</v>
      </c>
    </row>
    <row r="18" spans="1:29" x14ac:dyDescent="0.25">
      <c r="AA18" s="43" t="s">
        <v>39</v>
      </c>
      <c r="AB18" s="15">
        <f>AB6/B6</f>
        <v>0.24723788996959248</v>
      </c>
      <c r="AC18" s="16">
        <f>Q6*10^9</f>
        <v>14.31134497919412</v>
      </c>
    </row>
    <row r="19" spans="1:29" x14ac:dyDescent="0.25">
      <c r="AA19" s="43" t="s">
        <v>40</v>
      </c>
      <c r="AB19" s="15">
        <f>AB7/B7</f>
        <v>0.24723788996959248</v>
      </c>
      <c r="AC19" s="16">
        <f>Q7*10^9</f>
        <v>14.31134497919412</v>
      </c>
    </row>
    <row r="20" spans="1:29" x14ac:dyDescent="0.25">
      <c r="AA20" s="43" t="s">
        <v>42</v>
      </c>
      <c r="AB20" s="15">
        <f t="shared" ref="AB20:AB23" si="14">AB8/B8</f>
        <v>0.24354895360684001</v>
      </c>
      <c r="AC20" s="16">
        <f t="shared" ref="AC20:AC23" si="15">Q8*10^9</f>
        <v>14.532292782018123</v>
      </c>
    </row>
    <row r="21" spans="1:29" x14ac:dyDescent="0.25">
      <c r="AA21" s="43" t="s">
        <v>44</v>
      </c>
      <c r="AB21" s="15">
        <f t="shared" si="14"/>
        <v>0.24354895360683998</v>
      </c>
      <c r="AC21" s="16">
        <f t="shared" si="15"/>
        <v>14.532292782018123</v>
      </c>
    </row>
    <row r="22" spans="1:29" x14ac:dyDescent="0.25">
      <c r="AA22" s="44" t="s">
        <v>34</v>
      </c>
      <c r="AB22" s="21">
        <f t="shared" si="14"/>
        <v>0.17417329157057038</v>
      </c>
      <c r="AC22" s="22">
        <f t="shared" si="15"/>
        <v>20.91630831169439</v>
      </c>
    </row>
    <row r="23" spans="1:29" x14ac:dyDescent="0.25">
      <c r="AA23" s="44" t="s">
        <v>36</v>
      </c>
      <c r="AB23" s="21">
        <f t="shared" si="14"/>
        <v>0.17765680487926666</v>
      </c>
      <c r="AC23" s="22">
        <f t="shared" si="15"/>
        <v>20.418086195739058</v>
      </c>
    </row>
    <row r="24" spans="1:29" hidden="1" x14ac:dyDescent="0.25">
      <c r="AB24" s="21" t="e">
        <f t="shared" ref="AB22:AB24" si="16">AB13/B13</f>
        <v>#VALUE!</v>
      </c>
      <c r="AC24" s="22">
        <f t="shared" ref="AC20:AC24" si="17">Q13*10^9</f>
        <v>21.206053276136444</v>
      </c>
    </row>
    <row r="25" spans="1:29" ht="15.75" thickBot="1" x14ac:dyDescent="0.3"/>
    <row r="26" spans="1:29" x14ac:dyDescent="0.25">
      <c r="A26" s="29" t="s">
        <v>47</v>
      </c>
      <c r="B26" s="30"/>
      <c r="D26" s="31" t="s">
        <v>48</v>
      </c>
      <c r="E26" s="32"/>
      <c r="F26" s="32"/>
      <c r="G26" s="30"/>
      <c r="J26" s="33" t="s">
        <v>49</v>
      </c>
      <c r="K26" s="34"/>
    </row>
    <row r="27" spans="1:29" x14ac:dyDescent="0.25">
      <c r="A27" s="35" t="s">
        <v>50</v>
      </c>
      <c r="B27" s="36">
        <v>3</v>
      </c>
      <c r="D27" s="35" t="s">
        <v>51</v>
      </c>
      <c r="E27" s="37">
        <v>6</v>
      </c>
      <c r="F27" s="38" t="s">
        <v>52</v>
      </c>
      <c r="G27" s="39">
        <f>($E$32*$E$32*$E$33*$E$33)^(1/4)</f>
        <v>6.2024808039479398</v>
      </c>
      <c r="J27" s="35" t="s">
        <v>53</v>
      </c>
      <c r="K27" s="36">
        <v>30</v>
      </c>
    </row>
    <row r="28" spans="1:29" x14ac:dyDescent="0.25">
      <c r="A28" s="35" t="s">
        <v>54</v>
      </c>
      <c r="B28" s="36">
        <v>12</v>
      </c>
      <c r="D28" s="35" t="s">
        <v>55</v>
      </c>
      <c r="E28" s="37">
        <v>8</v>
      </c>
      <c r="F28" s="38" t="s">
        <v>56</v>
      </c>
      <c r="G28" s="39">
        <f>($E$32*$E$32*$E$33*$E$33)^(1/4)</f>
        <v>6.2024808039479398</v>
      </c>
      <c r="J28" s="35" t="s">
        <v>57</v>
      </c>
      <c r="K28" s="39">
        <v>4</v>
      </c>
    </row>
    <row r="29" spans="1:29" x14ac:dyDescent="0.25">
      <c r="A29" s="35" t="s">
        <v>58</v>
      </c>
      <c r="B29" s="39">
        <f>SQRT((B28/2)^2+3^2)</f>
        <v>6.7082039324993694</v>
      </c>
      <c r="D29" s="35" t="s">
        <v>59</v>
      </c>
      <c r="E29" s="37">
        <v>6</v>
      </c>
      <c r="F29" s="38" t="s">
        <v>60</v>
      </c>
      <c r="G29" s="39">
        <f>($E$27*$E$29*$E$35*$E$35)^(1/4)</f>
        <v>8.4852813742385695</v>
      </c>
      <c r="J29" s="35" t="s">
        <v>61</v>
      </c>
      <c r="K29" s="39">
        <f>($K$27/(2*SIN(PI()/$K$28)))/100</f>
        <v>0.21213203435596426</v>
      </c>
    </row>
    <row r="30" spans="1:29" x14ac:dyDescent="0.25">
      <c r="A30" s="35" t="s">
        <v>62</v>
      </c>
      <c r="B30" s="39">
        <f>B29</f>
        <v>6.7082039324993694</v>
      </c>
      <c r="D30" s="35" t="s">
        <v>63</v>
      </c>
      <c r="E30" s="37">
        <v>6</v>
      </c>
      <c r="F30" s="38"/>
      <c r="G30" s="39"/>
      <c r="J30" s="35" t="s">
        <v>62</v>
      </c>
      <c r="K30" s="36">
        <v>6</v>
      </c>
    </row>
    <row r="31" spans="1:29" x14ac:dyDescent="0.25">
      <c r="A31" s="35" t="s">
        <v>24</v>
      </c>
      <c r="B31" s="39"/>
      <c r="D31" s="35" t="s">
        <v>64</v>
      </c>
      <c r="E31" s="37">
        <v>6</v>
      </c>
      <c r="F31" s="38"/>
      <c r="G31" s="39"/>
      <c r="J31" s="35" t="s">
        <v>58</v>
      </c>
      <c r="K31" s="36">
        <v>6</v>
      </c>
    </row>
    <row r="32" spans="1:29" x14ac:dyDescent="0.25">
      <c r="A32" s="35"/>
      <c r="B32" s="39"/>
      <c r="D32" s="35" t="s">
        <v>65</v>
      </c>
      <c r="E32">
        <f>SQRT(6^2+(($E$28-$E$27)/2)^2)</f>
        <v>6.0827625302982193</v>
      </c>
      <c r="F32" s="38"/>
      <c r="G32" s="39"/>
      <c r="J32" s="35" t="s">
        <v>54</v>
      </c>
      <c r="K32" s="36">
        <v>12</v>
      </c>
    </row>
    <row r="33" spans="1:11" x14ac:dyDescent="0.25">
      <c r="A33" s="35"/>
      <c r="B33" s="39"/>
      <c r="D33" s="35" t="s">
        <v>66</v>
      </c>
      <c r="E33">
        <f>SQRT(6^2+($E$28-$E$27)^2)</f>
        <v>6.324555320336759</v>
      </c>
      <c r="G33" s="39"/>
      <c r="J33" s="35"/>
      <c r="K33" s="39"/>
    </row>
    <row r="34" spans="1:11" x14ac:dyDescent="0.25">
      <c r="A34" s="35"/>
      <c r="B34" s="39"/>
      <c r="D34" s="35" t="s">
        <v>67</v>
      </c>
      <c r="E34">
        <f>SQRT(($E$30+$E$31)^2+(($E$28-$E$27)/2)^2)</f>
        <v>12.041594578792296</v>
      </c>
      <c r="G34" s="39"/>
      <c r="J34" s="35"/>
      <c r="K34" s="39"/>
    </row>
    <row r="35" spans="1:11" x14ac:dyDescent="0.25">
      <c r="A35" s="40"/>
      <c r="B35" s="41"/>
      <c r="D35" s="40" t="s">
        <v>68</v>
      </c>
      <c r="E35" s="42">
        <v>12</v>
      </c>
      <c r="F35" s="42"/>
      <c r="G35" s="41"/>
      <c r="J35" s="40"/>
      <c r="K35" s="41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dc:description/>
  <cp:lastModifiedBy>ED_carlos</cp:lastModifiedBy>
  <cp:revision>1</cp:revision>
  <dcterms:created xsi:type="dcterms:W3CDTF">2022-12-27T10:11:29Z</dcterms:created>
  <dcterms:modified xsi:type="dcterms:W3CDTF">2023-01-03T16:04:30Z</dcterms:modified>
  <dc:language>en-US</dc:language>
</cp:coreProperties>
</file>