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saac\Desktop\Weekly NAV\"/>
    </mc:Choice>
  </mc:AlternateContent>
  <bookViews>
    <workbookView xWindow="0" yWindow="0" windowWidth="12672" windowHeight="9636"/>
  </bookViews>
  <sheets>
    <sheet name="Weekly Valuation" sheetId="1" r:id="rId1"/>
    <sheet name="NAV Comparison" sheetId="2" r:id="rId2"/>
    <sheet name="Market Share" sheetId="3" r:id="rId3"/>
    <sheet name="8-Week Movement in NAV" sheetId="5" r:id="rId4"/>
    <sheet name="8-Week Movement in ETFs" sheetId="6" r:id="rId5"/>
    <sheet name="NAV Trend" sheetId="4" state="hidden" r:id="rId6"/>
  </sheets>
  <calcPr calcId="162913"/>
</workbook>
</file>

<file path=xl/calcChain.xml><?xml version="1.0" encoding="utf-8"?>
<calcChain xmlns="http://schemas.openxmlformats.org/spreadsheetml/2006/main">
  <c r="N112" i="1" l="1"/>
  <c r="M112" i="1"/>
  <c r="K112" i="1"/>
  <c r="N116" i="1"/>
  <c r="M116" i="1"/>
  <c r="K116" i="1"/>
  <c r="N130" i="1"/>
  <c r="M130" i="1"/>
  <c r="N131" i="1"/>
  <c r="M131" i="1"/>
  <c r="K131" i="1"/>
  <c r="N109" i="1" l="1"/>
  <c r="M109" i="1"/>
  <c r="K109" i="1"/>
  <c r="N123" i="1"/>
  <c r="M123" i="1"/>
  <c r="K123" i="1"/>
  <c r="N108" i="1" l="1"/>
  <c r="M108" i="1"/>
  <c r="K108" i="1"/>
  <c r="N120" i="1" l="1"/>
  <c r="M120" i="1"/>
  <c r="K120" i="1"/>
  <c r="N133" i="1"/>
  <c r="M133" i="1"/>
  <c r="K133" i="1"/>
  <c r="N129" i="1" l="1"/>
  <c r="M129" i="1"/>
  <c r="K129" i="1"/>
  <c r="N128" i="1" l="1"/>
  <c r="M128" i="1"/>
  <c r="K128" i="1"/>
  <c r="N110" i="1" l="1"/>
  <c r="M110" i="1"/>
  <c r="K110" i="1"/>
  <c r="N106" i="1" l="1"/>
  <c r="M106" i="1"/>
  <c r="K106" i="1"/>
  <c r="N118" i="1" l="1"/>
  <c r="M118" i="1"/>
  <c r="K118" i="1"/>
  <c r="N107" i="1" l="1"/>
  <c r="M107" i="1"/>
  <c r="K107" i="1"/>
  <c r="N119" i="1"/>
  <c r="M119" i="1"/>
  <c r="K119" i="1"/>
  <c r="N117" i="1" l="1"/>
  <c r="M117" i="1"/>
  <c r="K117" i="1"/>
  <c r="N127" i="1"/>
  <c r="M127" i="1"/>
  <c r="N135" i="1" l="1"/>
  <c r="M135" i="1"/>
  <c r="K135" i="1"/>
  <c r="N111" i="1" l="1"/>
  <c r="M111" i="1"/>
  <c r="K111" i="1"/>
  <c r="N124" i="1"/>
  <c r="M124" i="1"/>
  <c r="K124" i="1"/>
  <c r="G135" i="1" l="1"/>
  <c r="F135" i="1"/>
  <c r="G133" i="1"/>
  <c r="F133" i="1"/>
  <c r="G131" i="1"/>
  <c r="F131" i="1"/>
  <c r="G130" i="1"/>
  <c r="F130" i="1"/>
  <c r="G129" i="1"/>
  <c r="F129" i="1"/>
  <c r="G128" i="1"/>
  <c r="F128" i="1"/>
  <c r="G127" i="1"/>
  <c r="F127" i="1"/>
  <c r="G124" i="1"/>
  <c r="F124" i="1"/>
  <c r="D135" i="1"/>
  <c r="D133" i="1"/>
  <c r="D131" i="1"/>
  <c r="D129" i="1"/>
  <c r="D128" i="1"/>
  <c r="D124" i="1"/>
  <c r="G120" i="1"/>
  <c r="F120" i="1"/>
  <c r="G119" i="1"/>
  <c r="F119" i="1"/>
  <c r="G118" i="1"/>
  <c r="F118" i="1"/>
  <c r="G117" i="1"/>
  <c r="F117" i="1"/>
  <c r="G116" i="1"/>
  <c r="F116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D120" i="1"/>
  <c r="D119" i="1"/>
  <c r="D118" i="1"/>
  <c r="D117" i="1"/>
  <c r="D116" i="1"/>
  <c r="D112" i="1"/>
  <c r="D111" i="1"/>
  <c r="D110" i="1"/>
  <c r="D109" i="1"/>
  <c r="D108" i="1"/>
  <c r="D107" i="1"/>
  <c r="J10" i="4" l="1"/>
  <c r="I4" i="5" s="1"/>
  <c r="I3" i="5" s="1"/>
  <c r="I10" i="4"/>
  <c r="H10" i="4"/>
  <c r="G10" i="4"/>
  <c r="H12" i="4" s="1"/>
  <c r="F10" i="4"/>
  <c r="E4" i="5" s="1"/>
  <c r="E3" i="5" s="1"/>
  <c r="E10" i="4"/>
  <c r="F12" i="4" s="1"/>
  <c r="D10" i="4"/>
  <c r="E12" i="4" s="1"/>
  <c r="C10" i="4"/>
  <c r="B4" i="5" s="1"/>
  <c r="B3" i="5" s="1"/>
  <c r="B10" i="4"/>
  <c r="C12" i="4" s="1"/>
  <c r="I4" i="6"/>
  <c r="I3" i="6" s="1"/>
  <c r="H4" i="6"/>
  <c r="H3" i="6" s="1"/>
  <c r="G4" i="6"/>
  <c r="G3" i="6" s="1"/>
  <c r="F4" i="6"/>
  <c r="E4" i="6"/>
  <c r="D4" i="6"/>
  <c r="C4" i="6"/>
  <c r="B4" i="6"/>
  <c r="B3" i="6" s="1"/>
  <c r="F3" i="6"/>
  <c r="E3" i="6"/>
  <c r="D3" i="6"/>
  <c r="C3" i="6"/>
  <c r="G4" i="5"/>
  <c r="G3" i="5" s="1"/>
  <c r="F4" i="5"/>
  <c r="F3" i="5" s="1"/>
  <c r="V230" i="1"/>
  <c r="U230" i="1"/>
  <c r="S230" i="1"/>
  <c r="O230" i="1"/>
  <c r="K230" i="1"/>
  <c r="H230" i="1"/>
  <c r="D230" i="1"/>
  <c r="E228" i="1" s="1"/>
  <c r="V229" i="1"/>
  <c r="U229" i="1"/>
  <c r="T229" i="1"/>
  <c r="S229" i="1"/>
  <c r="R229" i="1"/>
  <c r="V228" i="1"/>
  <c r="U228" i="1"/>
  <c r="T228" i="1"/>
  <c r="S228" i="1"/>
  <c r="R228" i="1"/>
  <c r="V227" i="1"/>
  <c r="U227" i="1"/>
  <c r="T227" i="1"/>
  <c r="S227" i="1"/>
  <c r="R227" i="1"/>
  <c r="V226" i="1"/>
  <c r="U226" i="1"/>
  <c r="T226" i="1"/>
  <c r="S226" i="1"/>
  <c r="R226" i="1"/>
  <c r="V225" i="1"/>
  <c r="U225" i="1"/>
  <c r="T225" i="1"/>
  <c r="S225" i="1"/>
  <c r="R225" i="1"/>
  <c r="V224" i="1"/>
  <c r="U224" i="1"/>
  <c r="T224" i="1"/>
  <c r="S224" i="1"/>
  <c r="R224" i="1"/>
  <c r="V223" i="1"/>
  <c r="U223" i="1"/>
  <c r="T223" i="1"/>
  <c r="S223" i="1"/>
  <c r="R223" i="1"/>
  <c r="V222" i="1"/>
  <c r="U222" i="1"/>
  <c r="T222" i="1"/>
  <c r="S222" i="1"/>
  <c r="R222" i="1"/>
  <c r="V221" i="1"/>
  <c r="U221" i="1"/>
  <c r="T221" i="1"/>
  <c r="S221" i="1"/>
  <c r="R221" i="1"/>
  <c r="V220" i="1"/>
  <c r="U220" i="1"/>
  <c r="T220" i="1"/>
  <c r="S220" i="1"/>
  <c r="R220" i="1"/>
  <c r="V219" i="1"/>
  <c r="U219" i="1"/>
  <c r="T219" i="1"/>
  <c r="S219" i="1"/>
  <c r="R219" i="1"/>
  <c r="V218" i="1"/>
  <c r="U218" i="1"/>
  <c r="T218" i="1"/>
  <c r="S218" i="1"/>
  <c r="R218" i="1"/>
  <c r="O215" i="1"/>
  <c r="K215" i="1"/>
  <c r="L214" i="1" s="1"/>
  <c r="H215" i="1"/>
  <c r="D215" i="1"/>
  <c r="E214" i="1" s="1"/>
  <c r="V214" i="1"/>
  <c r="U214" i="1"/>
  <c r="T214" i="1"/>
  <c r="S214" i="1"/>
  <c r="R214" i="1"/>
  <c r="V213" i="1"/>
  <c r="U213" i="1"/>
  <c r="T213" i="1"/>
  <c r="S213" i="1"/>
  <c r="R213" i="1"/>
  <c r="O210" i="1"/>
  <c r="K210" i="1"/>
  <c r="L209" i="1" s="1"/>
  <c r="H210" i="1"/>
  <c r="D210" i="1"/>
  <c r="V209" i="1"/>
  <c r="U209" i="1"/>
  <c r="T209" i="1"/>
  <c r="S209" i="1"/>
  <c r="R209" i="1"/>
  <c r="V205" i="1"/>
  <c r="U205" i="1"/>
  <c r="S205" i="1"/>
  <c r="O205" i="1"/>
  <c r="K205" i="1"/>
  <c r="H205" i="1"/>
  <c r="D205" i="1"/>
  <c r="B20" i="2" s="1"/>
  <c r="B10" i="2" s="1"/>
  <c r="V204" i="1"/>
  <c r="U204" i="1"/>
  <c r="T204" i="1"/>
  <c r="S204" i="1"/>
  <c r="R204" i="1"/>
  <c r="V201" i="1"/>
  <c r="U201" i="1"/>
  <c r="T201" i="1"/>
  <c r="S201" i="1"/>
  <c r="R201" i="1"/>
  <c r="V200" i="1"/>
  <c r="U200" i="1"/>
  <c r="T200" i="1"/>
  <c r="S200" i="1"/>
  <c r="R200" i="1"/>
  <c r="V199" i="1"/>
  <c r="U199" i="1"/>
  <c r="T199" i="1"/>
  <c r="S199" i="1"/>
  <c r="R199" i="1"/>
  <c r="V198" i="1"/>
  <c r="U198" i="1"/>
  <c r="T198" i="1"/>
  <c r="S198" i="1"/>
  <c r="R198" i="1"/>
  <c r="V197" i="1"/>
  <c r="U197" i="1"/>
  <c r="T197" i="1"/>
  <c r="S197" i="1"/>
  <c r="R197" i="1"/>
  <c r="V196" i="1"/>
  <c r="U196" i="1"/>
  <c r="T196" i="1"/>
  <c r="S196" i="1"/>
  <c r="R196" i="1"/>
  <c r="V195" i="1"/>
  <c r="U195" i="1"/>
  <c r="T195" i="1"/>
  <c r="S195" i="1"/>
  <c r="R195" i="1"/>
  <c r="V194" i="1"/>
  <c r="U194" i="1"/>
  <c r="T194" i="1"/>
  <c r="S194" i="1"/>
  <c r="R194" i="1"/>
  <c r="V193" i="1"/>
  <c r="U193" i="1"/>
  <c r="T193" i="1"/>
  <c r="S193" i="1"/>
  <c r="R193" i="1"/>
  <c r="V192" i="1"/>
  <c r="U192" i="1"/>
  <c r="T192" i="1"/>
  <c r="S192" i="1"/>
  <c r="R192" i="1"/>
  <c r="V191" i="1"/>
  <c r="U191" i="1"/>
  <c r="T191" i="1"/>
  <c r="S191" i="1"/>
  <c r="R191" i="1"/>
  <c r="V190" i="1"/>
  <c r="U190" i="1"/>
  <c r="T190" i="1"/>
  <c r="S190" i="1"/>
  <c r="R190" i="1"/>
  <c r="V187" i="1"/>
  <c r="U187" i="1"/>
  <c r="T187" i="1"/>
  <c r="S187" i="1"/>
  <c r="R187" i="1"/>
  <c r="V186" i="1"/>
  <c r="U186" i="1"/>
  <c r="T186" i="1"/>
  <c r="S186" i="1"/>
  <c r="R186" i="1"/>
  <c r="V182" i="1"/>
  <c r="U182" i="1"/>
  <c r="S182" i="1"/>
  <c r="O182" i="1"/>
  <c r="K182" i="1"/>
  <c r="B2" i="3" s="1"/>
  <c r="H182" i="1"/>
  <c r="D182" i="1"/>
  <c r="V181" i="1"/>
  <c r="U181" i="1"/>
  <c r="T181" i="1"/>
  <c r="S181" i="1"/>
  <c r="R181" i="1"/>
  <c r="V180" i="1"/>
  <c r="U180" i="1"/>
  <c r="T180" i="1"/>
  <c r="S180" i="1"/>
  <c r="R180" i="1"/>
  <c r="V179" i="1"/>
  <c r="U179" i="1"/>
  <c r="T179" i="1"/>
  <c r="S179" i="1"/>
  <c r="R179" i="1"/>
  <c r="V176" i="1"/>
  <c r="U176" i="1"/>
  <c r="S176" i="1"/>
  <c r="O176" i="1"/>
  <c r="K176" i="1"/>
  <c r="H176" i="1"/>
  <c r="D176" i="1"/>
  <c r="E152" i="1" s="1"/>
  <c r="V175" i="1"/>
  <c r="U175" i="1"/>
  <c r="T175" i="1"/>
  <c r="S175" i="1"/>
  <c r="R175" i="1"/>
  <c r="V174" i="1"/>
  <c r="U174" i="1"/>
  <c r="T174" i="1"/>
  <c r="S174" i="1"/>
  <c r="R174" i="1"/>
  <c r="V173" i="1"/>
  <c r="U173" i="1"/>
  <c r="T173" i="1"/>
  <c r="S173" i="1"/>
  <c r="R173" i="1"/>
  <c r="V172" i="1"/>
  <c r="U172" i="1"/>
  <c r="T172" i="1"/>
  <c r="S172" i="1"/>
  <c r="R172" i="1"/>
  <c r="V171" i="1"/>
  <c r="U171" i="1"/>
  <c r="T171" i="1"/>
  <c r="S171" i="1"/>
  <c r="R171" i="1"/>
  <c r="V170" i="1"/>
  <c r="U170" i="1"/>
  <c r="T170" i="1"/>
  <c r="S170" i="1"/>
  <c r="R170" i="1"/>
  <c r="V169" i="1"/>
  <c r="U169" i="1"/>
  <c r="T169" i="1"/>
  <c r="S169" i="1"/>
  <c r="R169" i="1"/>
  <c r="V168" i="1"/>
  <c r="U168" i="1"/>
  <c r="T168" i="1"/>
  <c r="S168" i="1"/>
  <c r="R168" i="1"/>
  <c r="V167" i="1"/>
  <c r="U167" i="1"/>
  <c r="T167" i="1"/>
  <c r="S167" i="1"/>
  <c r="R167" i="1"/>
  <c r="V166" i="1"/>
  <c r="U166" i="1"/>
  <c r="T166" i="1"/>
  <c r="S166" i="1"/>
  <c r="R166" i="1"/>
  <c r="V165" i="1"/>
  <c r="U165" i="1"/>
  <c r="T165" i="1"/>
  <c r="S165" i="1"/>
  <c r="R165" i="1"/>
  <c r="V164" i="1"/>
  <c r="U164" i="1"/>
  <c r="T164" i="1"/>
  <c r="S164" i="1"/>
  <c r="R164" i="1"/>
  <c r="V163" i="1"/>
  <c r="U163" i="1"/>
  <c r="T163" i="1"/>
  <c r="S163" i="1"/>
  <c r="R163" i="1"/>
  <c r="V162" i="1"/>
  <c r="U162" i="1"/>
  <c r="T162" i="1"/>
  <c r="S162" i="1"/>
  <c r="R162" i="1"/>
  <c r="V161" i="1"/>
  <c r="U161" i="1"/>
  <c r="T161" i="1"/>
  <c r="S161" i="1"/>
  <c r="R161" i="1"/>
  <c r="V160" i="1"/>
  <c r="U160" i="1"/>
  <c r="T160" i="1"/>
  <c r="S160" i="1"/>
  <c r="R160" i="1"/>
  <c r="V159" i="1"/>
  <c r="U159" i="1"/>
  <c r="T159" i="1"/>
  <c r="S159" i="1"/>
  <c r="R159" i="1"/>
  <c r="V158" i="1"/>
  <c r="U158" i="1"/>
  <c r="T158" i="1"/>
  <c r="S158" i="1"/>
  <c r="R158" i="1"/>
  <c r="V157" i="1"/>
  <c r="U157" i="1"/>
  <c r="T157" i="1"/>
  <c r="S157" i="1"/>
  <c r="R157" i="1"/>
  <c r="V156" i="1"/>
  <c r="U156" i="1"/>
  <c r="T156" i="1"/>
  <c r="S156" i="1"/>
  <c r="R156" i="1"/>
  <c r="V155" i="1"/>
  <c r="U155" i="1"/>
  <c r="T155" i="1"/>
  <c r="S155" i="1"/>
  <c r="R155" i="1"/>
  <c r="V154" i="1"/>
  <c r="U154" i="1"/>
  <c r="T154" i="1"/>
  <c r="S154" i="1"/>
  <c r="R154" i="1"/>
  <c r="V153" i="1"/>
  <c r="U153" i="1"/>
  <c r="T153" i="1"/>
  <c r="S153" i="1"/>
  <c r="R153" i="1"/>
  <c r="V152" i="1"/>
  <c r="U152" i="1"/>
  <c r="T152" i="1"/>
  <c r="S152" i="1"/>
  <c r="R152" i="1"/>
  <c r="V151" i="1"/>
  <c r="U151" i="1"/>
  <c r="T151" i="1"/>
  <c r="S151" i="1"/>
  <c r="R151" i="1"/>
  <c r="V150" i="1"/>
  <c r="U150" i="1"/>
  <c r="T150" i="1"/>
  <c r="S150" i="1"/>
  <c r="R150" i="1"/>
  <c r="V149" i="1"/>
  <c r="U149" i="1"/>
  <c r="T149" i="1"/>
  <c r="S149" i="1"/>
  <c r="R149" i="1"/>
  <c r="V148" i="1"/>
  <c r="U148" i="1"/>
  <c r="T148" i="1"/>
  <c r="S148" i="1"/>
  <c r="R148" i="1"/>
  <c r="V147" i="1"/>
  <c r="U147" i="1"/>
  <c r="T147" i="1"/>
  <c r="S147" i="1"/>
  <c r="R147" i="1"/>
  <c r="V144" i="1"/>
  <c r="U144" i="1"/>
  <c r="S144" i="1"/>
  <c r="O144" i="1"/>
  <c r="K144" i="1"/>
  <c r="B6" i="3" s="1"/>
  <c r="H144" i="1"/>
  <c r="D144" i="1"/>
  <c r="E142" i="1" s="1"/>
  <c r="V143" i="1"/>
  <c r="U143" i="1"/>
  <c r="T143" i="1"/>
  <c r="S143" i="1"/>
  <c r="R143" i="1"/>
  <c r="V142" i="1"/>
  <c r="U142" i="1"/>
  <c r="T142" i="1"/>
  <c r="S142" i="1"/>
  <c r="R142" i="1"/>
  <c r="V141" i="1"/>
  <c r="U141" i="1"/>
  <c r="T141" i="1"/>
  <c r="S141" i="1"/>
  <c r="R141" i="1"/>
  <c r="V140" i="1"/>
  <c r="U140" i="1"/>
  <c r="T140" i="1"/>
  <c r="S140" i="1"/>
  <c r="R140" i="1"/>
  <c r="V139" i="1"/>
  <c r="U139" i="1"/>
  <c r="T139" i="1"/>
  <c r="S139" i="1"/>
  <c r="R139" i="1"/>
  <c r="V136" i="1"/>
  <c r="U136" i="1"/>
  <c r="S136" i="1"/>
  <c r="O136" i="1"/>
  <c r="H136" i="1"/>
  <c r="V135" i="1"/>
  <c r="U135" i="1"/>
  <c r="T135" i="1"/>
  <c r="R135" i="1"/>
  <c r="V134" i="1"/>
  <c r="U134" i="1"/>
  <c r="T134" i="1"/>
  <c r="S134" i="1"/>
  <c r="R134" i="1"/>
  <c r="V133" i="1"/>
  <c r="U133" i="1"/>
  <c r="T133" i="1"/>
  <c r="S133" i="1"/>
  <c r="V132" i="1"/>
  <c r="U132" i="1"/>
  <c r="T132" i="1"/>
  <c r="S132" i="1"/>
  <c r="R132" i="1"/>
  <c r="V131" i="1"/>
  <c r="U131" i="1"/>
  <c r="T131" i="1"/>
  <c r="S131" i="1"/>
  <c r="V130" i="1"/>
  <c r="U130" i="1"/>
  <c r="T130" i="1"/>
  <c r="R130" i="1"/>
  <c r="S130" i="1"/>
  <c r="V129" i="1"/>
  <c r="U129" i="1"/>
  <c r="T129" i="1"/>
  <c r="S129" i="1"/>
  <c r="V128" i="1"/>
  <c r="U128" i="1"/>
  <c r="T128" i="1"/>
  <c r="S128" i="1"/>
  <c r="R128" i="1"/>
  <c r="V127" i="1"/>
  <c r="U127" i="1"/>
  <c r="T127" i="1"/>
  <c r="R127" i="1"/>
  <c r="V126" i="1"/>
  <c r="U126" i="1"/>
  <c r="T126" i="1"/>
  <c r="S126" i="1"/>
  <c r="R126" i="1"/>
  <c r="V125" i="1"/>
  <c r="U125" i="1"/>
  <c r="T125" i="1"/>
  <c r="S125" i="1"/>
  <c r="R125" i="1"/>
  <c r="V124" i="1"/>
  <c r="U124" i="1"/>
  <c r="T124" i="1"/>
  <c r="S124" i="1"/>
  <c r="V123" i="1"/>
  <c r="U123" i="1"/>
  <c r="T123" i="1"/>
  <c r="S123" i="1"/>
  <c r="R123" i="1"/>
  <c r="V120" i="1"/>
  <c r="U120" i="1"/>
  <c r="T120" i="1"/>
  <c r="S120" i="1"/>
  <c r="V119" i="1"/>
  <c r="U119" i="1"/>
  <c r="T119" i="1"/>
  <c r="S119" i="1"/>
  <c r="R119" i="1"/>
  <c r="V118" i="1"/>
  <c r="U118" i="1"/>
  <c r="T118" i="1"/>
  <c r="S118" i="1"/>
  <c r="R118" i="1"/>
  <c r="V117" i="1"/>
  <c r="U117" i="1"/>
  <c r="T117" i="1"/>
  <c r="S117" i="1"/>
  <c r="V116" i="1"/>
  <c r="U116" i="1"/>
  <c r="T116" i="1"/>
  <c r="S116" i="1"/>
  <c r="R116" i="1"/>
  <c r="V115" i="1"/>
  <c r="U115" i="1"/>
  <c r="T115" i="1"/>
  <c r="S115" i="1"/>
  <c r="R115" i="1"/>
  <c r="V114" i="1"/>
  <c r="U114" i="1"/>
  <c r="T114" i="1"/>
  <c r="S114" i="1"/>
  <c r="R114" i="1"/>
  <c r="V113" i="1"/>
  <c r="U113" i="1"/>
  <c r="T113" i="1"/>
  <c r="S113" i="1"/>
  <c r="R113" i="1"/>
  <c r="V112" i="1"/>
  <c r="U112" i="1"/>
  <c r="T112" i="1"/>
  <c r="S112" i="1"/>
  <c r="R112" i="1"/>
  <c r="V111" i="1"/>
  <c r="U111" i="1"/>
  <c r="T111" i="1"/>
  <c r="S111" i="1"/>
  <c r="V110" i="1"/>
  <c r="U110" i="1"/>
  <c r="T110" i="1"/>
  <c r="S110" i="1"/>
  <c r="V109" i="1"/>
  <c r="U109" i="1"/>
  <c r="T109" i="1"/>
  <c r="S109" i="1"/>
  <c r="R109" i="1"/>
  <c r="V108" i="1"/>
  <c r="U108" i="1"/>
  <c r="T108" i="1"/>
  <c r="S108" i="1"/>
  <c r="V107" i="1"/>
  <c r="U107" i="1"/>
  <c r="T107" i="1"/>
  <c r="S107" i="1"/>
  <c r="V106" i="1"/>
  <c r="U106" i="1"/>
  <c r="T106" i="1"/>
  <c r="R106" i="1"/>
  <c r="S106" i="1"/>
  <c r="V102" i="1"/>
  <c r="U102" i="1"/>
  <c r="S102" i="1"/>
  <c r="O102" i="1"/>
  <c r="K102" i="1"/>
  <c r="L98" i="1" s="1"/>
  <c r="H102" i="1"/>
  <c r="D102" i="1"/>
  <c r="B15" i="2" s="1"/>
  <c r="B5" i="2" s="1"/>
  <c r="V101" i="1"/>
  <c r="U101" i="1"/>
  <c r="T101" i="1"/>
  <c r="S101" i="1"/>
  <c r="R101" i="1"/>
  <c r="V100" i="1"/>
  <c r="U100" i="1"/>
  <c r="T100" i="1"/>
  <c r="S100" i="1"/>
  <c r="R100" i="1"/>
  <c r="V99" i="1"/>
  <c r="U99" i="1"/>
  <c r="T99" i="1"/>
  <c r="S99" i="1"/>
  <c r="R99" i="1"/>
  <c r="V98" i="1"/>
  <c r="U98" i="1"/>
  <c r="T98" i="1"/>
  <c r="S98" i="1"/>
  <c r="R98" i="1"/>
  <c r="V97" i="1"/>
  <c r="U97" i="1"/>
  <c r="T97" i="1"/>
  <c r="S97" i="1"/>
  <c r="R97" i="1"/>
  <c r="V96" i="1"/>
  <c r="U96" i="1"/>
  <c r="T96" i="1"/>
  <c r="S96" i="1"/>
  <c r="R96" i="1"/>
  <c r="V95" i="1"/>
  <c r="U95" i="1"/>
  <c r="T95" i="1"/>
  <c r="S95" i="1"/>
  <c r="R95" i="1"/>
  <c r="V94" i="1"/>
  <c r="U94" i="1"/>
  <c r="T94" i="1"/>
  <c r="S94" i="1"/>
  <c r="R94" i="1"/>
  <c r="V93" i="1"/>
  <c r="U93" i="1"/>
  <c r="T93" i="1"/>
  <c r="S93" i="1"/>
  <c r="R93" i="1"/>
  <c r="V92" i="1"/>
  <c r="U92" i="1"/>
  <c r="T92" i="1"/>
  <c r="S92" i="1"/>
  <c r="R92" i="1"/>
  <c r="V91" i="1"/>
  <c r="U91" i="1"/>
  <c r="T91" i="1"/>
  <c r="S91" i="1"/>
  <c r="R91" i="1"/>
  <c r="V90" i="1"/>
  <c r="U90" i="1"/>
  <c r="T90" i="1"/>
  <c r="S90" i="1"/>
  <c r="R90" i="1"/>
  <c r="V89" i="1"/>
  <c r="U89" i="1"/>
  <c r="T89" i="1"/>
  <c r="S89" i="1"/>
  <c r="R89" i="1"/>
  <c r="V88" i="1"/>
  <c r="U88" i="1"/>
  <c r="T88" i="1"/>
  <c r="S88" i="1"/>
  <c r="R88" i="1"/>
  <c r="V87" i="1"/>
  <c r="U87" i="1"/>
  <c r="T87" i="1"/>
  <c r="S87" i="1"/>
  <c r="R87" i="1"/>
  <c r="V86" i="1"/>
  <c r="U86" i="1"/>
  <c r="T86" i="1"/>
  <c r="S86" i="1"/>
  <c r="R86" i="1"/>
  <c r="V85" i="1"/>
  <c r="U85" i="1"/>
  <c r="T85" i="1"/>
  <c r="S85" i="1"/>
  <c r="R85" i="1"/>
  <c r="V84" i="1"/>
  <c r="U84" i="1"/>
  <c r="T84" i="1"/>
  <c r="S84" i="1"/>
  <c r="R84" i="1"/>
  <c r="V83" i="1"/>
  <c r="U83" i="1"/>
  <c r="T83" i="1"/>
  <c r="S83" i="1"/>
  <c r="R83" i="1"/>
  <c r="V82" i="1"/>
  <c r="U82" i="1"/>
  <c r="T82" i="1"/>
  <c r="S82" i="1"/>
  <c r="R82" i="1"/>
  <c r="V81" i="1"/>
  <c r="U81" i="1"/>
  <c r="T81" i="1"/>
  <c r="S81" i="1"/>
  <c r="R81" i="1"/>
  <c r="V80" i="1"/>
  <c r="U80" i="1"/>
  <c r="T80" i="1"/>
  <c r="S80" i="1"/>
  <c r="R80" i="1"/>
  <c r="V79" i="1"/>
  <c r="U79" i="1"/>
  <c r="T79" i="1"/>
  <c r="S79" i="1"/>
  <c r="R79" i="1"/>
  <c r="V78" i="1"/>
  <c r="U78" i="1"/>
  <c r="T78" i="1"/>
  <c r="S78" i="1"/>
  <c r="R78" i="1"/>
  <c r="V77" i="1"/>
  <c r="U77" i="1"/>
  <c r="T77" i="1"/>
  <c r="S77" i="1"/>
  <c r="R77" i="1"/>
  <c r="V76" i="1"/>
  <c r="U76" i="1"/>
  <c r="T76" i="1"/>
  <c r="S76" i="1"/>
  <c r="R76" i="1"/>
  <c r="V75" i="1"/>
  <c r="U75" i="1"/>
  <c r="T75" i="1"/>
  <c r="S75" i="1"/>
  <c r="R75" i="1"/>
  <c r="V74" i="1"/>
  <c r="U74" i="1"/>
  <c r="T74" i="1"/>
  <c r="S74" i="1"/>
  <c r="R74" i="1"/>
  <c r="V73" i="1"/>
  <c r="U73" i="1"/>
  <c r="T73" i="1"/>
  <c r="S73" i="1"/>
  <c r="R73" i="1"/>
  <c r="V72" i="1"/>
  <c r="U72" i="1"/>
  <c r="T72" i="1"/>
  <c r="S72" i="1"/>
  <c r="R72" i="1"/>
  <c r="V71" i="1"/>
  <c r="U71" i="1"/>
  <c r="T71" i="1"/>
  <c r="S71" i="1"/>
  <c r="R71" i="1"/>
  <c r="U70" i="1"/>
  <c r="T70" i="1"/>
  <c r="S70" i="1"/>
  <c r="R70" i="1"/>
  <c r="V69" i="1"/>
  <c r="U69" i="1"/>
  <c r="T69" i="1"/>
  <c r="S69" i="1"/>
  <c r="R69" i="1"/>
  <c r="V68" i="1"/>
  <c r="U68" i="1"/>
  <c r="T68" i="1"/>
  <c r="S68" i="1"/>
  <c r="R68" i="1"/>
  <c r="V67" i="1"/>
  <c r="U67" i="1"/>
  <c r="T67" i="1"/>
  <c r="S67" i="1"/>
  <c r="R67" i="1"/>
  <c r="V66" i="1"/>
  <c r="U66" i="1"/>
  <c r="T66" i="1"/>
  <c r="S66" i="1"/>
  <c r="R66" i="1"/>
  <c r="V63" i="1"/>
  <c r="U63" i="1"/>
  <c r="S63" i="1"/>
  <c r="O63" i="1"/>
  <c r="K63" i="1"/>
  <c r="H63" i="1"/>
  <c r="D63" i="1"/>
  <c r="B14" i="2" s="1"/>
  <c r="B4" i="2" s="1"/>
  <c r="V62" i="1"/>
  <c r="U62" i="1"/>
  <c r="T62" i="1"/>
  <c r="S62" i="1"/>
  <c r="R62" i="1"/>
  <c r="V61" i="1"/>
  <c r="U61" i="1"/>
  <c r="T61" i="1"/>
  <c r="S61" i="1"/>
  <c r="R61" i="1"/>
  <c r="V60" i="1"/>
  <c r="U60" i="1"/>
  <c r="T60" i="1"/>
  <c r="S60" i="1"/>
  <c r="R60" i="1"/>
  <c r="V59" i="1"/>
  <c r="U59" i="1"/>
  <c r="T59" i="1"/>
  <c r="S59" i="1"/>
  <c r="R59" i="1"/>
  <c r="V58" i="1"/>
  <c r="U58" i="1"/>
  <c r="T58" i="1"/>
  <c r="S58" i="1"/>
  <c r="R58" i="1"/>
  <c r="V57" i="1"/>
  <c r="U57" i="1"/>
  <c r="T57" i="1"/>
  <c r="S57" i="1"/>
  <c r="R57" i="1"/>
  <c r="V56" i="1"/>
  <c r="U56" i="1"/>
  <c r="T56" i="1"/>
  <c r="S56" i="1"/>
  <c r="R56" i="1"/>
  <c r="V55" i="1"/>
  <c r="U55" i="1"/>
  <c r="T55" i="1"/>
  <c r="S55" i="1"/>
  <c r="R55" i="1"/>
  <c r="V54" i="1"/>
  <c r="U54" i="1"/>
  <c r="T54" i="1"/>
  <c r="S54" i="1"/>
  <c r="R54" i="1"/>
  <c r="V53" i="1"/>
  <c r="U53" i="1"/>
  <c r="T53" i="1"/>
  <c r="S53" i="1"/>
  <c r="R53" i="1"/>
  <c r="V52" i="1"/>
  <c r="U52" i="1"/>
  <c r="T52" i="1"/>
  <c r="S52" i="1"/>
  <c r="R52" i="1"/>
  <c r="V51" i="1"/>
  <c r="U51" i="1"/>
  <c r="T51" i="1"/>
  <c r="S51" i="1"/>
  <c r="R51" i="1"/>
  <c r="V50" i="1"/>
  <c r="U50" i="1"/>
  <c r="T50" i="1"/>
  <c r="S50" i="1"/>
  <c r="R50" i="1"/>
  <c r="V49" i="1"/>
  <c r="U49" i="1"/>
  <c r="T49" i="1"/>
  <c r="S49" i="1"/>
  <c r="R49" i="1"/>
  <c r="V48" i="1"/>
  <c r="U48" i="1"/>
  <c r="T48" i="1"/>
  <c r="S48" i="1"/>
  <c r="R48" i="1"/>
  <c r="V47" i="1"/>
  <c r="U47" i="1"/>
  <c r="T47" i="1"/>
  <c r="S47" i="1"/>
  <c r="R47" i="1"/>
  <c r="V46" i="1"/>
  <c r="U46" i="1"/>
  <c r="T46" i="1"/>
  <c r="S46" i="1"/>
  <c r="R46" i="1"/>
  <c r="V45" i="1"/>
  <c r="U45" i="1"/>
  <c r="T45" i="1"/>
  <c r="S45" i="1"/>
  <c r="R45" i="1"/>
  <c r="V44" i="1"/>
  <c r="U44" i="1"/>
  <c r="T44" i="1"/>
  <c r="S44" i="1"/>
  <c r="R44" i="1"/>
  <c r="V43" i="1"/>
  <c r="U43" i="1"/>
  <c r="T43" i="1"/>
  <c r="S43" i="1"/>
  <c r="R43" i="1"/>
  <c r="V42" i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7" i="1"/>
  <c r="U37" i="1"/>
  <c r="T37" i="1"/>
  <c r="S37" i="1"/>
  <c r="R37" i="1"/>
  <c r="V36" i="1"/>
  <c r="U36" i="1"/>
  <c r="T36" i="1"/>
  <c r="S36" i="1"/>
  <c r="R36" i="1"/>
  <c r="V35" i="1"/>
  <c r="U35" i="1"/>
  <c r="T35" i="1"/>
  <c r="S35" i="1"/>
  <c r="R35" i="1"/>
  <c r="V34" i="1"/>
  <c r="U34" i="1"/>
  <c r="T34" i="1"/>
  <c r="S34" i="1"/>
  <c r="R34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8" i="1"/>
  <c r="U28" i="1"/>
  <c r="T28" i="1"/>
  <c r="S28" i="1"/>
  <c r="R28" i="1"/>
  <c r="V27" i="1"/>
  <c r="U27" i="1"/>
  <c r="T27" i="1"/>
  <c r="S27" i="1"/>
  <c r="R27" i="1"/>
  <c r="V24" i="1"/>
  <c r="U24" i="1"/>
  <c r="S24" i="1"/>
  <c r="O24" i="1"/>
  <c r="K24" i="1"/>
  <c r="H24" i="1"/>
  <c r="D24" i="1"/>
  <c r="E14" i="1" s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R19" i="1"/>
  <c r="V18" i="1"/>
  <c r="U18" i="1"/>
  <c r="T18" i="1"/>
  <c r="S18" i="1"/>
  <c r="R18" i="1"/>
  <c r="V17" i="1"/>
  <c r="U17" i="1"/>
  <c r="T17" i="1"/>
  <c r="S17" i="1"/>
  <c r="R17" i="1"/>
  <c r="V16" i="1"/>
  <c r="U16" i="1"/>
  <c r="T16" i="1"/>
  <c r="S16" i="1"/>
  <c r="R16" i="1"/>
  <c r="V15" i="1"/>
  <c r="U15" i="1"/>
  <c r="T15" i="1"/>
  <c r="S15" i="1"/>
  <c r="R15" i="1"/>
  <c r="V14" i="1"/>
  <c r="U14" i="1"/>
  <c r="T14" i="1"/>
  <c r="S14" i="1"/>
  <c r="R14" i="1"/>
  <c r="V13" i="1"/>
  <c r="U13" i="1"/>
  <c r="T13" i="1"/>
  <c r="S13" i="1"/>
  <c r="R13" i="1"/>
  <c r="V12" i="1"/>
  <c r="U12" i="1"/>
  <c r="T12" i="1"/>
  <c r="S12" i="1"/>
  <c r="R12" i="1"/>
  <c r="V11" i="1"/>
  <c r="U11" i="1"/>
  <c r="T11" i="1"/>
  <c r="S11" i="1"/>
  <c r="R11" i="1"/>
  <c r="V10" i="1"/>
  <c r="U10" i="1"/>
  <c r="T10" i="1"/>
  <c r="S10" i="1"/>
  <c r="R10" i="1"/>
  <c r="V9" i="1"/>
  <c r="U9" i="1"/>
  <c r="T9" i="1"/>
  <c r="S9" i="1"/>
  <c r="R9" i="1"/>
  <c r="V8" i="1"/>
  <c r="U8" i="1"/>
  <c r="T8" i="1"/>
  <c r="S8" i="1"/>
  <c r="R8" i="1"/>
  <c r="V7" i="1"/>
  <c r="U7" i="1"/>
  <c r="T7" i="1"/>
  <c r="S7" i="1"/>
  <c r="R7" i="1"/>
  <c r="V6" i="1"/>
  <c r="U6" i="1"/>
  <c r="T6" i="1"/>
  <c r="S6" i="1"/>
  <c r="R6" i="1"/>
  <c r="R210" i="1" l="1"/>
  <c r="B5" i="3"/>
  <c r="L156" i="1"/>
  <c r="L21" i="1"/>
  <c r="L7" i="1"/>
  <c r="D4" i="5"/>
  <c r="D3" i="5" s="1"/>
  <c r="B4" i="3"/>
  <c r="L192" i="1"/>
  <c r="R230" i="1"/>
  <c r="E226" i="1"/>
  <c r="E224" i="1"/>
  <c r="E222" i="1"/>
  <c r="E8" i="1"/>
  <c r="L201" i="1"/>
  <c r="E187" i="1"/>
  <c r="T230" i="1"/>
  <c r="J12" i="4"/>
  <c r="E12" i="1"/>
  <c r="E10" i="1"/>
  <c r="E6" i="1"/>
  <c r="E18" i="1"/>
  <c r="E191" i="1"/>
  <c r="E213" i="1"/>
  <c r="E220" i="1"/>
  <c r="E154" i="1"/>
  <c r="L170" i="1"/>
  <c r="E80" i="1"/>
  <c r="E168" i="1"/>
  <c r="E158" i="1"/>
  <c r="E22" i="1"/>
  <c r="E45" i="1"/>
  <c r="E20" i="1"/>
  <c r="E148" i="1"/>
  <c r="E16" i="1"/>
  <c r="E162" i="1"/>
  <c r="E69" i="1"/>
  <c r="E100" i="1"/>
  <c r="E96" i="1"/>
  <c r="E72" i="1"/>
  <c r="E94" i="1"/>
  <c r="S135" i="1"/>
  <c r="E150" i="1"/>
  <c r="E166" i="1"/>
  <c r="E218" i="1"/>
  <c r="E229" i="1"/>
  <c r="E92" i="1"/>
  <c r="E90" i="1"/>
  <c r="E74" i="1"/>
  <c r="E66" i="1"/>
  <c r="E68" i="1"/>
  <c r="E140" i="1"/>
  <c r="T182" i="1"/>
  <c r="E86" i="1"/>
  <c r="E78" i="1"/>
  <c r="E98" i="1"/>
  <c r="E84" i="1"/>
  <c r="E67" i="1"/>
  <c r="E76" i="1"/>
  <c r="E82" i="1"/>
  <c r="L23" i="1"/>
  <c r="E89" i="1"/>
  <c r="E91" i="1"/>
  <c r="E93" i="1"/>
  <c r="E95" i="1"/>
  <c r="E97" i="1"/>
  <c r="E99" i="1"/>
  <c r="E101" i="1"/>
  <c r="E174" i="1"/>
  <c r="E219" i="1"/>
  <c r="E221" i="1"/>
  <c r="E223" i="1"/>
  <c r="E225" i="1"/>
  <c r="E227" i="1"/>
  <c r="L19" i="1"/>
  <c r="E71" i="1"/>
  <c r="E73" i="1"/>
  <c r="E75" i="1"/>
  <c r="E77" i="1"/>
  <c r="E79" i="1"/>
  <c r="E81" i="1"/>
  <c r="E83" i="1"/>
  <c r="E85" i="1"/>
  <c r="E87" i="1"/>
  <c r="E170" i="1"/>
  <c r="E172" i="1"/>
  <c r="L15" i="1"/>
  <c r="E164" i="1"/>
  <c r="T136" i="1"/>
  <c r="L11" i="1"/>
  <c r="L139" i="1"/>
  <c r="L143" i="1"/>
  <c r="E160" i="1"/>
  <c r="L229" i="1"/>
  <c r="T63" i="1"/>
  <c r="L179" i="1"/>
  <c r="L181" i="1"/>
  <c r="E194" i="1"/>
  <c r="E196" i="1"/>
  <c r="E198" i="1"/>
  <c r="E200" i="1"/>
  <c r="T205" i="1"/>
  <c r="L6" i="1"/>
  <c r="L10" i="1"/>
  <c r="L14" i="1"/>
  <c r="L18" i="1"/>
  <c r="L22" i="1"/>
  <c r="E156" i="1"/>
  <c r="E186" i="1"/>
  <c r="E190" i="1"/>
  <c r="E192" i="1"/>
  <c r="E204" i="1"/>
  <c r="H206" i="1"/>
  <c r="H231" i="1" s="1"/>
  <c r="R215" i="1"/>
  <c r="D136" i="1"/>
  <c r="E120" i="1" s="1"/>
  <c r="T102" i="1"/>
  <c r="L142" i="1"/>
  <c r="T144" i="1"/>
  <c r="L174" i="1"/>
  <c r="T176" i="1"/>
  <c r="L180" i="1"/>
  <c r="E195" i="1"/>
  <c r="E197" i="1"/>
  <c r="E199" i="1"/>
  <c r="E201" i="1"/>
  <c r="C4" i="5"/>
  <c r="C3" i="5" s="1"/>
  <c r="D12" i="4"/>
  <c r="G12" i="4"/>
  <c r="H4" i="5"/>
  <c r="H3" i="5" s="1"/>
  <c r="I12" i="4"/>
  <c r="E88" i="1"/>
  <c r="L41" i="1"/>
  <c r="L61" i="1"/>
  <c r="L166" i="1"/>
  <c r="L162" i="1"/>
  <c r="L158" i="1"/>
  <c r="L154" i="1"/>
  <c r="L150" i="1"/>
  <c r="L147" i="1"/>
  <c r="L151" i="1"/>
  <c r="L155" i="1"/>
  <c r="L159" i="1"/>
  <c r="L163" i="1"/>
  <c r="L167" i="1"/>
  <c r="L171" i="1"/>
  <c r="L175" i="1"/>
  <c r="L76" i="1"/>
  <c r="L100" i="1"/>
  <c r="L57" i="1"/>
  <c r="L55" i="1"/>
  <c r="L53" i="1"/>
  <c r="L51" i="1"/>
  <c r="L59" i="1"/>
  <c r="L49" i="1"/>
  <c r="L47" i="1"/>
  <c r="E52" i="1"/>
  <c r="E54" i="1"/>
  <c r="E56" i="1"/>
  <c r="E58" i="1"/>
  <c r="E60" i="1"/>
  <c r="E62" i="1"/>
  <c r="E50" i="1"/>
  <c r="E48" i="1"/>
  <c r="E46" i="1"/>
  <c r="L190" i="1"/>
  <c r="L195" i="1"/>
  <c r="L186" i="1"/>
  <c r="L193" i="1"/>
  <c r="L197" i="1"/>
  <c r="L221" i="1"/>
  <c r="L225" i="1"/>
  <c r="L219" i="1"/>
  <c r="L223" i="1"/>
  <c r="L227" i="1"/>
  <c r="L218" i="1"/>
  <c r="L220" i="1"/>
  <c r="L222" i="1"/>
  <c r="L224" i="1"/>
  <c r="L226" i="1"/>
  <c r="L228" i="1"/>
  <c r="L84" i="1"/>
  <c r="L92" i="1"/>
  <c r="L199" i="1"/>
  <c r="L69" i="1"/>
  <c r="E70" i="1"/>
  <c r="L72" i="1"/>
  <c r="L80" i="1"/>
  <c r="L96" i="1"/>
  <c r="L45" i="1"/>
  <c r="L148" i="1"/>
  <c r="L149" i="1"/>
  <c r="L152" i="1"/>
  <c r="L153" i="1"/>
  <c r="L157" i="1"/>
  <c r="L160" i="1"/>
  <c r="L161" i="1"/>
  <c r="L164" i="1"/>
  <c r="L165" i="1"/>
  <c r="L168" i="1"/>
  <c r="L169" i="1"/>
  <c r="L172" i="1"/>
  <c r="L173" i="1"/>
  <c r="L67" i="1"/>
  <c r="L74" i="1"/>
  <c r="L78" i="1"/>
  <c r="L82" i="1"/>
  <c r="L86" i="1"/>
  <c r="L90" i="1"/>
  <c r="L94" i="1"/>
  <c r="R144" i="1"/>
  <c r="L140" i="1"/>
  <c r="L141" i="1"/>
  <c r="L27" i="1"/>
  <c r="E28" i="1"/>
  <c r="L29" i="1"/>
  <c r="E30" i="1"/>
  <c r="L31" i="1"/>
  <c r="E32" i="1"/>
  <c r="L33" i="1"/>
  <c r="E34" i="1"/>
  <c r="L35" i="1"/>
  <c r="E36" i="1"/>
  <c r="L37" i="1"/>
  <c r="E38" i="1"/>
  <c r="L39" i="1"/>
  <c r="E40" i="1"/>
  <c r="E42" i="1"/>
  <c r="L43" i="1"/>
  <c r="E44" i="1"/>
  <c r="L8" i="1"/>
  <c r="L9" i="1"/>
  <c r="L12" i="1"/>
  <c r="L13" i="1"/>
  <c r="L16" i="1"/>
  <c r="L17" i="1"/>
  <c r="L20" i="1"/>
  <c r="R176" i="1"/>
  <c r="B7" i="3"/>
  <c r="C15" i="2"/>
  <c r="C5" i="2" s="1"/>
  <c r="R108" i="1"/>
  <c r="R110" i="1"/>
  <c r="R111" i="1"/>
  <c r="R117" i="1"/>
  <c r="E7" i="1"/>
  <c r="E9" i="1"/>
  <c r="E11" i="1"/>
  <c r="E13" i="1"/>
  <c r="E15" i="1"/>
  <c r="E17" i="1"/>
  <c r="E19" i="1"/>
  <c r="E21" i="1"/>
  <c r="E23" i="1"/>
  <c r="B3" i="3"/>
  <c r="C13" i="2"/>
  <c r="C3" i="2" s="1"/>
  <c r="O206" i="1"/>
  <c r="O231" i="1" s="1"/>
  <c r="E27" i="1"/>
  <c r="L28" i="1"/>
  <c r="E29" i="1"/>
  <c r="L30" i="1"/>
  <c r="E31" i="1"/>
  <c r="L32" i="1"/>
  <c r="E33" i="1"/>
  <c r="L34" i="1"/>
  <c r="E35" i="1"/>
  <c r="L36" i="1"/>
  <c r="E37" i="1"/>
  <c r="L38" i="1"/>
  <c r="E39" i="1"/>
  <c r="L40" i="1"/>
  <c r="E41" i="1"/>
  <c r="L42" i="1"/>
  <c r="E43" i="1"/>
  <c r="L44" i="1"/>
  <c r="L46" i="1"/>
  <c r="E47" i="1"/>
  <c r="L48" i="1"/>
  <c r="E49" i="1"/>
  <c r="L50" i="1"/>
  <c r="E51" i="1"/>
  <c r="L52" i="1"/>
  <c r="E53" i="1"/>
  <c r="L54" i="1"/>
  <c r="E55" i="1"/>
  <c r="L56" i="1"/>
  <c r="E57" i="1"/>
  <c r="L58" i="1"/>
  <c r="E59" i="1"/>
  <c r="L60" i="1"/>
  <c r="E61" i="1"/>
  <c r="L62" i="1"/>
  <c r="R63" i="1"/>
  <c r="L66" i="1"/>
  <c r="L68" i="1"/>
  <c r="L70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R102" i="1"/>
  <c r="K136" i="1"/>
  <c r="L117" i="1" s="1"/>
  <c r="R107" i="1"/>
  <c r="R120" i="1"/>
  <c r="R124" i="1"/>
  <c r="S127" i="1"/>
  <c r="B19" i="2"/>
  <c r="B9" i="2" s="1"/>
  <c r="E181" i="1"/>
  <c r="E179" i="1"/>
  <c r="B13" i="2"/>
  <c r="B3" i="2" s="1"/>
  <c r="R24" i="1"/>
  <c r="T24" i="1"/>
  <c r="B8" i="3"/>
  <c r="C14" i="2"/>
  <c r="C4" i="2" s="1"/>
  <c r="L88" i="1"/>
  <c r="R129" i="1"/>
  <c r="R131" i="1"/>
  <c r="R133" i="1"/>
  <c r="B17" i="2"/>
  <c r="B7" i="2" s="1"/>
  <c r="E143" i="1"/>
  <c r="E141" i="1"/>
  <c r="E139" i="1"/>
  <c r="B18" i="2"/>
  <c r="B8" i="2" s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80" i="1"/>
  <c r="R182" i="1"/>
  <c r="L187" i="1"/>
  <c r="L191" i="1"/>
  <c r="L194" i="1"/>
  <c r="L196" i="1"/>
  <c r="L198" i="1"/>
  <c r="L200" i="1"/>
  <c r="L204" i="1"/>
  <c r="R205" i="1"/>
  <c r="E209" i="1"/>
  <c r="L213" i="1"/>
  <c r="C17" i="2"/>
  <c r="C7" i="2" s="1"/>
  <c r="C18" i="2"/>
  <c r="C8" i="2" s="1"/>
  <c r="C19" i="2"/>
  <c r="C9" i="2" s="1"/>
  <c r="C20" i="2"/>
  <c r="C10" i="2" s="1"/>
  <c r="E123" i="1" l="1"/>
  <c r="E127" i="1"/>
  <c r="E128" i="1"/>
  <c r="E119" i="1"/>
  <c r="E106" i="1"/>
  <c r="E110" i="1"/>
  <c r="E124" i="1"/>
  <c r="D206" i="1"/>
  <c r="E63" i="1" s="1"/>
  <c r="E117" i="1"/>
  <c r="E133" i="1"/>
  <c r="E125" i="1"/>
  <c r="E108" i="1"/>
  <c r="E109" i="1"/>
  <c r="E135" i="1"/>
  <c r="E131" i="1"/>
  <c r="E112" i="1"/>
  <c r="E126" i="1"/>
  <c r="E113" i="1"/>
  <c r="E130" i="1"/>
  <c r="E129" i="1"/>
  <c r="E115" i="1"/>
  <c r="E132" i="1"/>
  <c r="E116" i="1"/>
  <c r="B16" i="2"/>
  <c r="B6" i="2" s="1"/>
  <c r="E118" i="1"/>
  <c r="E114" i="1"/>
  <c r="E107" i="1"/>
  <c r="L131" i="1"/>
  <c r="K206" i="1"/>
  <c r="L136" i="1" s="1"/>
  <c r="L124" i="1"/>
  <c r="L108" i="1"/>
  <c r="B9" i="3"/>
  <c r="C16" i="2"/>
  <c r="C6" i="2" s="1"/>
  <c r="L134" i="1"/>
  <c r="L127" i="1"/>
  <c r="L135" i="1"/>
  <c r="L132" i="1"/>
  <c r="L130" i="1"/>
  <c r="R136" i="1"/>
  <c r="L128" i="1"/>
  <c r="L126" i="1"/>
  <c r="L125" i="1"/>
  <c r="L123" i="1"/>
  <c r="L119" i="1"/>
  <c r="L115" i="1"/>
  <c r="L113" i="1"/>
  <c r="L106" i="1"/>
  <c r="L118" i="1"/>
  <c r="L116" i="1"/>
  <c r="L114" i="1"/>
  <c r="L112" i="1"/>
  <c r="L109" i="1"/>
  <c r="L107" i="1"/>
  <c r="L133" i="1"/>
  <c r="L129" i="1"/>
  <c r="L120" i="1"/>
  <c r="L110" i="1"/>
  <c r="L111" i="1"/>
  <c r="E182" i="1" l="1"/>
  <c r="E102" i="1"/>
  <c r="E176" i="1"/>
  <c r="E144" i="1"/>
  <c r="E205" i="1"/>
  <c r="D231" i="1"/>
  <c r="E24" i="1"/>
  <c r="E136" i="1"/>
  <c r="K231" i="1"/>
  <c r="R206" i="1"/>
  <c r="L182" i="1"/>
  <c r="L24" i="1"/>
  <c r="L176" i="1"/>
  <c r="L144" i="1"/>
  <c r="L63" i="1"/>
  <c r="L102" i="1"/>
  <c r="L205" i="1"/>
</calcChain>
</file>

<file path=xl/sharedStrings.xml><?xml version="1.0" encoding="utf-8"?>
<sst xmlns="http://schemas.openxmlformats.org/spreadsheetml/2006/main" count="475" uniqueCount="301">
  <si>
    <t>% Change (Current from Previous)</t>
  </si>
  <si>
    <t>Difference</t>
  </si>
  <si>
    <t>S/N</t>
  </si>
  <si>
    <t>FUND</t>
  </si>
  <si>
    <t>FUND MANAGER</t>
  </si>
  <si>
    <t>NAV (N)</t>
  </si>
  <si>
    <t>% to Total</t>
  </si>
  <si>
    <t>Bid Price (N)</t>
  </si>
  <si>
    <t>Offer Price (N)</t>
  </si>
  <si>
    <t>Unitholders</t>
  </si>
  <si>
    <t>Yield (WTD)</t>
  </si>
  <si>
    <t>Yield  (YTD)</t>
  </si>
  <si>
    <t>NAV (%)</t>
  </si>
  <si>
    <t>Unit Price (%)</t>
  </si>
  <si>
    <t>Uniholders</t>
  </si>
  <si>
    <t>Yield (%) WYD</t>
  </si>
  <si>
    <t>Yield (%) YTD</t>
  </si>
  <si>
    <t>EQUITY BASED FUNDS</t>
  </si>
  <si>
    <t>Afrinvest Equity Fund</t>
  </si>
  <si>
    <t>Afrinvest Asset Mgt Ltd.</t>
  </si>
  <si>
    <t>Anchoria Equity Fund</t>
  </si>
  <si>
    <t>Anchoria Asset Management Limited</t>
  </si>
  <si>
    <t>ARM Aggressive Growth Fund</t>
  </si>
  <si>
    <t>ARM Investment Managers Limited</t>
  </si>
  <si>
    <t>AXA Mansard Equity Income Fund</t>
  </si>
  <si>
    <t>AXA Mansard Investments Limited</t>
  </si>
  <si>
    <t>CardinalStone Equity Fund</t>
  </si>
  <si>
    <t>CardinalStone Asset Mgt. Limited</t>
  </si>
  <si>
    <t>Cowry Equity Fund</t>
  </si>
  <si>
    <t>Cowry Treasurers Limited</t>
  </si>
  <si>
    <t>FBN Nigeria Smart Beta Equity Fund</t>
  </si>
  <si>
    <t>FBNQuest Asset Management Limited</t>
  </si>
  <si>
    <t>Frontier Fund</t>
  </si>
  <si>
    <t>SCM Capital Limited</t>
  </si>
  <si>
    <t>Futureview Equity Fund</t>
  </si>
  <si>
    <t>Futureview Asset Management Limited</t>
  </si>
  <si>
    <t>Guaranty Trust Equity Income Fund</t>
  </si>
  <si>
    <t>Guaranty Trust Fund Managers</t>
  </si>
  <si>
    <t>Halo Equity Fund</t>
  </si>
  <si>
    <t>Halo Asset Management Limited</t>
  </si>
  <si>
    <t>Legacy Equity Fund</t>
  </si>
  <si>
    <t>FCMB Asset Management Limited</t>
  </si>
  <si>
    <t>Meristem Equity Market Fund</t>
  </si>
  <si>
    <t>Meristem Wealth Management Limited</t>
  </si>
  <si>
    <t>PACAM Equity Fund</t>
  </si>
  <si>
    <t>PAC Asset Management Limited</t>
  </si>
  <si>
    <t>Paramount Equity Fund</t>
  </si>
  <si>
    <t>Chapel Hill Denham Mgt. Limited</t>
  </si>
  <si>
    <t>Stanbic IBTC Aggressive Fund (Sub Fund)</t>
  </si>
  <si>
    <t>Stanbic IBTC Asset Mgt. Limited</t>
  </si>
  <si>
    <t>Stanbic IBTC Nigerian Equity Fund</t>
  </si>
  <si>
    <t>United Capital Equity Fund</t>
  </si>
  <si>
    <t>United Capital Asset Mgt. Ltd</t>
  </si>
  <si>
    <t>Sub-Total</t>
  </si>
  <si>
    <t>MONEY MARKET FUNDS</t>
  </si>
  <si>
    <t>Afrinvest Plutus Fund</t>
  </si>
  <si>
    <t>AIICO Money Market Fund</t>
  </si>
  <si>
    <t>AIICO Capital Ltd</t>
  </si>
  <si>
    <t>Anchoria Money Market Fund</t>
  </si>
  <si>
    <t>ARM Money Market Fund</t>
  </si>
  <si>
    <t>AXA Mansard Money Market Fund</t>
  </si>
  <si>
    <t>Chapel Hill Denham Money Market Fund</t>
  </si>
  <si>
    <t>Comercio Partners Money Market Fund</t>
  </si>
  <si>
    <t>Comercio Partners Asset Management Limited</t>
  </si>
  <si>
    <t>Coral Money Market Fund</t>
  </si>
  <si>
    <t>FSDH Asset Management Ltd</t>
  </si>
  <si>
    <t>Cordros Money Market Fund</t>
  </si>
  <si>
    <t>Cordros Asset Management Limited</t>
  </si>
  <si>
    <t>Core Investment Money Market Fund</t>
  </si>
  <si>
    <t>Core Asset Management Limited</t>
  </si>
  <si>
    <t>Coronation Money Market Fund</t>
  </si>
  <si>
    <t>Coronation Asset Management Ltd</t>
  </si>
  <si>
    <t>EDC Money Market Fund Class A</t>
  </si>
  <si>
    <t>EDC Fund Management Limited</t>
  </si>
  <si>
    <t>EDC Money Market Fund Class B</t>
  </si>
  <si>
    <t>Emerging Africa Money Market Fund</t>
  </si>
  <si>
    <t>Emerging Africa Asset Management Limited</t>
  </si>
  <si>
    <t>FBN Money Market Fund</t>
  </si>
  <si>
    <t>First Ally Money Market Fund</t>
  </si>
  <si>
    <t>First Ally Asset Management Limited</t>
  </si>
  <si>
    <t>GDL Money Market Fund</t>
  </si>
  <si>
    <t>Growth &amp; Development Asset Management Limited</t>
  </si>
  <si>
    <t>Greenwich Plus Money Market Fund</t>
  </si>
  <si>
    <t>Greenwich Asset Management Limited</t>
  </si>
  <si>
    <t>GTI  Money Market Fund</t>
  </si>
  <si>
    <t>GTI Asset Management &amp; Trust Limited</t>
  </si>
  <si>
    <t>Guaranty Trust Money Market Fund</t>
  </si>
  <si>
    <t>Legacy Money Market Fund</t>
  </si>
  <si>
    <t>Meristem Money Market Fund</t>
  </si>
  <si>
    <t>Norrenberger Money Market Fund</t>
  </si>
  <si>
    <t>Norrenberger Investment &amp; Capital Mgt. Ltd.</t>
  </si>
  <si>
    <t>Nova Prime Money Market Fund</t>
  </si>
  <si>
    <t xml:space="preserve">Novambl Asset Management </t>
  </si>
  <si>
    <t>PACAM Money Market Fund</t>
  </si>
  <si>
    <t>Page Money Market Fund</t>
  </si>
  <si>
    <t>Page Asset Management Limited</t>
  </si>
  <si>
    <t>RMBN Money Market Fund</t>
  </si>
  <si>
    <t>RMB Nigeria Asset Management Ltd.</t>
  </si>
  <si>
    <t>RT Briscoe Savings &amp; Investment Fund</t>
  </si>
  <si>
    <t>DLM Asset Management Limited</t>
  </si>
  <si>
    <t>Stanbic IBTC Money Market Fund</t>
  </si>
  <si>
    <t>STL Money Market Fund</t>
  </si>
  <si>
    <t>STL Asset Management Limited</t>
  </si>
  <si>
    <t>Trustbanc Money Market Fund</t>
  </si>
  <si>
    <t>Trustbanc Asset Management Limited</t>
  </si>
  <si>
    <t>United Capital Money Market Fund</t>
  </si>
  <si>
    <t>ValuAlliance Money Market  Fund</t>
  </si>
  <si>
    <t>ValuAlliance Asset Management Limited</t>
  </si>
  <si>
    <t>Vetiva Money Market Fund</t>
  </si>
  <si>
    <t>Vetiva Fund Managers</t>
  </si>
  <si>
    <t>Zedcrest Money Market Fund</t>
  </si>
  <si>
    <t>Zedcrest Investment Managers Limited</t>
  </si>
  <si>
    <t>Zenith Money Market Fund</t>
  </si>
  <si>
    <t>Zenith Asset Management Ltd</t>
  </si>
  <si>
    <t>BOND/FIXED INCOME FUNDS</t>
  </si>
  <si>
    <t>Anchoria Fixed Income Fund</t>
  </si>
  <si>
    <t>ARM Fixed Income Fund</t>
  </si>
  <si>
    <t>ARM Short Term Bond Fund</t>
  </si>
  <si>
    <t>AVA GAM Fixed Income Fund</t>
  </si>
  <si>
    <t>AVA Global Asset Managers Limited</t>
  </si>
  <si>
    <t>CardinalStone Fixed Income Alpha Fund</t>
  </si>
  <si>
    <t>CEAT Fixed Income Fund</t>
  </si>
  <si>
    <t>Capital Express Asset and Trust Limited</t>
  </si>
  <si>
    <t>Comercio Partners Fixed Income Fund</t>
  </si>
  <si>
    <t>Coral Income Fund</t>
  </si>
  <si>
    <t>Cordros Fixed Income Fund</t>
  </si>
  <si>
    <t>Coronation Fixed Income Fund</t>
  </si>
  <si>
    <t xml:space="preserve">Coronation Asset Management </t>
  </si>
  <si>
    <t>Cowry Fixed Income Fund</t>
  </si>
  <si>
    <t>DLM Fixed Income Fund</t>
  </si>
  <si>
    <t>EDC Fixed Income Fund</t>
  </si>
  <si>
    <t>Emerging Africa Bond Fund</t>
  </si>
  <si>
    <t>FBN Bond Fund</t>
  </si>
  <si>
    <t>GDL Income Fund</t>
  </si>
  <si>
    <t>Guaranty Trust Fixed Income Fund</t>
  </si>
  <si>
    <t>Lead Fixed Income Fund</t>
  </si>
  <si>
    <t>Lead Asset Management Limited</t>
  </si>
  <si>
    <t>Legacy Debt Fund</t>
  </si>
  <si>
    <t>Meristem Fixed Income Fund</t>
  </si>
  <si>
    <t>Nigeria Bond Fund</t>
  </si>
  <si>
    <t>Nigeria International Debt Fund</t>
  </si>
  <si>
    <t>Norrenberger Turbo Fund (NTF)</t>
  </si>
  <si>
    <t>PACAM Fixed Income Fund</t>
  </si>
  <si>
    <t>Radix Horizon Fund</t>
  </si>
  <si>
    <t>Radix Capital Partners Limited</t>
  </si>
  <si>
    <t>SFS Fixed Income Fund</t>
  </si>
  <si>
    <t>SFS Capital Nigeria Ltd</t>
  </si>
  <si>
    <t>Stanbic IBTC Absolute Fund (Sub Fund)</t>
  </si>
  <si>
    <t>Stanbic IBTC Bond Fund</t>
  </si>
  <si>
    <t>Stanbic IBTC Conservative Fund (Sub Fund)</t>
  </si>
  <si>
    <t>Stanbic IBTC Enhanced Short-Term Fixed Income Fund</t>
  </si>
  <si>
    <t>Stanbic IBTC Guaranteed Investment Fund</t>
  </si>
  <si>
    <t>United Capital Fixed Income Fund</t>
  </si>
  <si>
    <t>United Capital Stable Income Fund</t>
  </si>
  <si>
    <t>Utica Custodian Assured Fixed Income Fund</t>
  </si>
  <si>
    <t>Utica Capital Limited</t>
  </si>
  <si>
    <t>Zedcrest Fixed Income Fund</t>
  </si>
  <si>
    <t>Zenith Income Fund</t>
  </si>
  <si>
    <t>DOLLAR FUNDS</t>
  </si>
  <si>
    <t>EUROBONDS</t>
  </si>
  <si>
    <t>Afrinvest Dollar Fund</t>
  </si>
  <si>
    <t>AIICO Eurobond Fund</t>
  </si>
  <si>
    <t>ARM Eurobond Fund</t>
  </si>
  <si>
    <t>CardinalStone Dollar Fund</t>
  </si>
  <si>
    <t>Comercio Partners Dollar Fund</t>
  </si>
  <si>
    <t>Cowry Eurobond Fund</t>
  </si>
  <si>
    <t>EDC Dollar Fund</t>
  </si>
  <si>
    <t>Emerging Africa Eurobond Fund</t>
  </si>
  <si>
    <t>FBN Dollar Fund (Retail)</t>
  </si>
  <si>
    <t>FBN Specialized Dollar Fund</t>
  </si>
  <si>
    <t>Futureview Dollar Fund</t>
  </si>
  <si>
    <t>Legacy USD Bond Fund</t>
  </si>
  <si>
    <t>Norrenberger Dollar Fund</t>
  </si>
  <si>
    <t>PACAM Eurobond Fund</t>
  </si>
  <si>
    <t>United Capital Nigerian Eurobond Fund</t>
  </si>
  <si>
    <t>FIXED INCOME</t>
  </si>
  <si>
    <t>AVA GAM Fixed Income Dollar Fund</t>
  </si>
  <si>
    <t>AXA Mansard Dollar Bond Fund</t>
  </si>
  <si>
    <t>Cordros Dollar Fund</t>
  </si>
  <si>
    <t>FSDH Dollar Fund</t>
  </si>
  <si>
    <t>Guaranty Dollar Fund</t>
  </si>
  <si>
    <t>Lead Dollar Fixed Income Fund</t>
  </si>
  <si>
    <t>Meristem Dollar Fund</t>
  </si>
  <si>
    <t>Nigeria Dollar Income Fund</t>
  </si>
  <si>
    <t>Nova Dollar Fixed Income Fund</t>
  </si>
  <si>
    <t>Stanbic IBTC Dollar Fund</t>
  </si>
  <si>
    <t>United Capital Global Fixed Income Fund</t>
  </si>
  <si>
    <t>RMBN Dollar Fixed Income Fund</t>
  </si>
  <si>
    <t>Zedcrest Dollar Fund</t>
  </si>
  <si>
    <t>REAL ESTATE INVESTMENT TRUSTS</t>
  </si>
  <si>
    <t>Housing Solution Fund</t>
  </si>
  <si>
    <t>Fundco Capital Managers Limited</t>
  </si>
  <si>
    <t>Nigeria Real Estate Investment Trust</t>
  </si>
  <si>
    <t>SFS Real Estate Investment Trust Fund</t>
  </si>
  <si>
    <t>Union Homes REITS</t>
  </si>
  <si>
    <t>UPDC Real Estate Investment Trust</t>
  </si>
  <si>
    <t>BALANCED FUNDS</t>
  </si>
  <si>
    <t>AIICO Balanced Fund</t>
  </si>
  <si>
    <t>Alpha Morgan Balanced Fund</t>
  </si>
  <si>
    <t>Alpha Morgan Capital Managers Limited</t>
  </si>
  <si>
    <t>ARM Discovery Balanced Fund</t>
  </si>
  <si>
    <t>Balanced Strategy Fund</t>
  </si>
  <si>
    <t>Capital Express Balanced Fund</t>
  </si>
  <si>
    <t>Coral Balanced Fund</t>
  </si>
  <si>
    <t>Cordros Milestone Fund</t>
  </si>
  <si>
    <t>Core Value Mixed Fund</t>
  </si>
  <si>
    <t>Coronation Balanced Fund</t>
  </si>
  <si>
    <t>Cowry Balanced Fund</t>
  </si>
  <si>
    <t>EDC Balanced Fund</t>
  </si>
  <si>
    <t>Emerging Africa Balanced-Diversity Fund</t>
  </si>
  <si>
    <t>FBN Balanced Fund</t>
  </si>
  <si>
    <t>GDL Canary Growth Fund</t>
  </si>
  <si>
    <t>Greenwich Balanced Fund</t>
  </si>
  <si>
    <t>GTI Balanced Fund</t>
  </si>
  <si>
    <t>Guaranty Trust Balanced Fund</t>
  </si>
  <si>
    <t>Hillcrest Balanced Fund</t>
  </si>
  <si>
    <t>Hillcrest Capital Management Limited</t>
  </si>
  <si>
    <t>Lead Balanced Fund</t>
  </si>
  <si>
    <t>Nigeria Energy Sector Fund</t>
  </si>
  <si>
    <t>Nova Hybrid Balanced Fund</t>
  </si>
  <si>
    <t>PACAM Balanced Fund</t>
  </si>
  <si>
    <t>Stanbic IBTC Balanced Fund</t>
  </si>
  <si>
    <t>STL Balanced Fund</t>
  </si>
  <si>
    <t>The Nigeria Football Fund</t>
  </si>
  <si>
    <t>United Capital Balanced Fund</t>
  </si>
  <si>
    <t>United Capital Wealth for Women Fund</t>
  </si>
  <si>
    <t>ValuAlliance Value Fund</t>
  </si>
  <si>
    <t>Women's Balanced Fund</t>
  </si>
  <si>
    <t>ETHICAL FUNDS</t>
  </si>
  <si>
    <t>ARM Ethical Fund</t>
  </si>
  <si>
    <t>ESG Impact Fund</t>
  </si>
  <si>
    <t>Zenith Asset Management Ltd.</t>
  </si>
  <si>
    <t>Stanbic IBTC Ethical Fund</t>
  </si>
  <si>
    <t>SHARI'AH COMPLIANT FUNDS</t>
  </si>
  <si>
    <t>EQUITIES</t>
  </si>
  <si>
    <t>Lotus Halal Investment Fund</t>
  </si>
  <si>
    <t>Lotus Capital Limited</t>
  </si>
  <si>
    <t>Stanbic IBTC Imaan Fund</t>
  </si>
  <si>
    <t>CapitalTrust Halal Fixed Income Fund</t>
  </si>
  <si>
    <t>CapitalTrust Investments &amp; Asset Management Ltd.</t>
  </si>
  <si>
    <t>Cordros Halal Fixed Income Fund</t>
  </si>
  <si>
    <t>EDC Halal Fund</t>
  </si>
  <si>
    <t>Emerging Africa Halal Fund</t>
  </si>
  <si>
    <t>FBN Halal Fund</t>
  </si>
  <si>
    <t>FSDH Halal Fund</t>
  </si>
  <si>
    <t>Lotus Halal Fixed Income Fund</t>
  </si>
  <si>
    <t>Marble Halal Commodities Fund</t>
  </si>
  <si>
    <t xml:space="preserve">Marble Capital Limited </t>
  </si>
  <si>
    <t>Marble Halal Fixed Income Fund</t>
  </si>
  <si>
    <t>Norrenberger Islamic Fund</t>
  </si>
  <si>
    <t>Stanbic IBTC Shariah Fixed Income Fund</t>
  </si>
  <si>
    <t>United Capital Sukuk Fund</t>
  </si>
  <si>
    <t>BALANCED</t>
  </si>
  <si>
    <t>Lotus Waqf (Endowment) Fund</t>
  </si>
  <si>
    <t>Mutual Funds Total</t>
  </si>
  <si>
    <t>SPECIALISED FUNDS</t>
  </si>
  <si>
    <t>Clean Energy Fund</t>
  </si>
  <si>
    <t>INFRASTRUCTURE FUNDS</t>
  </si>
  <si>
    <t>Nigeria Infrastructure Debt Fund (NIDF)</t>
  </si>
  <si>
    <t>Chapel Hill Denham Management Limited</t>
  </si>
  <si>
    <t>United Capital Infrastructure Fund</t>
  </si>
  <si>
    <t>Infrastructure Funds Total</t>
  </si>
  <si>
    <t>EXCHANGE TRADED FUNDS</t>
  </si>
  <si>
    <t>Greenwich ALPHA ETF</t>
  </si>
  <si>
    <t>Lotus Halal ETF</t>
  </si>
  <si>
    <t>Meristem Growth ETF</t>
  </si>
  <si>
    <t>Meristem Value ETF</t>
  </si>
  <si>
    <t>New Gold ETF</t>
  </si>
  <si>
    <t>New Gold Managers (Proprietary) Ltd</t>
  </si>
  <si>
    <t>SIAML ETF 40</t>
  </si>
  <si>
    <t>Stanbic IBTC Asset Mgt.Limited</t>
  </si>
  <si>
    <t>Stanbic IBTC ETF 30 Fund</t>
  </si>
  <si>
    <t>VCG ETF</t>
  </si>
  <si>
    <t>Vetiva Fund Managers Limited</t>
  </si>
  <si>
    <t>VETBANK ETF</t>
  </si>
  <si>
    <t>Vetiva S &amp; P Nig. Sovereign Bond ETF</t>
  </si>
  <si>
    <t>VG 30 ETF</t>
  </si>
  <si>
    <t>VI ETF</t>
  </si>
  <si>
    <t>ETF Total</t>
  </si>
  <si>
    <t>Grand Total</t>
  </si>
  <si>
    <t>Note:</t>
  </si>
  <si>
    <t>FUNDS</t>
  </si>
  <si>
    <t>BONDS/FIXED INCOME FUNDS</t>
  </si>
  <si>
    <t>REAL ESTATE INVESTMENT TRUST</t>
  </si>
  <si>
    <t>SHARI'AH COMPLAINT FUNDS</t>
  </si>
  <si>
    <t>dayo</t>
  </si>
  <si>
    <t>DATE</t>
  </si>
  <si>
    <t>TOTAL NAV</t>
  </si>
  <si>
    <t>ETFs AGGREGATE</t>
  </si>
  <si>
    <t>TOTAL</t>
  </si>
  <si>
    <t>MOVING AVERAGE:</t>
  </si>
  <si>
    <t>-</t>
  </si>
  <si>
    <t>EXCHANGE TRADED FUNDS (ETFs)</t>
  </si>
  <si>
    <t xml:space="preserve"> </t>
  </si>
  <si>
    <t>NAV, Unit Price and Yield as at Week Ended November 15, 2024</t>
  </si>
  <si>
    <t>Week Ended November 15, 2024</t>
  </si>
  <si>
    <t>WEEKLY VALUATION REPORT OF COLLECTIVE INVESTMENT SCHEMES AS AT WEEK ENDED FRIDAY, NOVEMBER 22, 2024</t>
  </si>
  <si>
    <t>NAV, Unit Price and Yield as at Week Ended November 22, 2024</t>
  </si>
  <si>
    <r>
      <t>US$/NG</t>
    </r>
    <r>
      <rPr>
        <b/>
        <strike/>
        <sz val="6"/>
        <color theme="0"/>
        <rFont val="Times New Roman"/>
        <family val="1"/>
      </rPr>
      <t>N</t>
    </r>
    <r>
      <rPr>
        <b/>
        <sz val="6"/>
        <color theme="0"/>
        <rFont val="Times New Roman"/>
        <family val="1"/>
      </rPr>
      <t xml:space="preserve"> I&amp;E as at 22nd November, 2024 = N1,663.697</t>
    </r>
  </si>
  <si>
    <t>Week Ended November 22, 2024</t>
  </si>
  <si>
    <t>The chart above shows that the Dollar Fund category (Eurobonds and Fixed Income) has the highest share of the Aggregate Net Asset Value (NAV) at 47.21%, followed by Money Market Fund with 40.99%, Bond/Fixed Income Fund at 5.52%, Real Estate Investment Trust at 2.61%.  Next is Balanced Fund at 1.39%, Shari'ah Compliant Fund at 1.34%, Equity Fund at 0.79% and Ethical Fund at 0.15%.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</si>
</sst>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.000_);_(* \(#,##0.000\);_(* &quot;-&quot;??_);_(@_)"/>
    <numFmt numFmtId="166" formatCode="0.0%"/>
  </numFmts>
  <fonts count="58">
    <font>
      <sz val="11"/>
      <color theme="1"/>
      <name val="Calibri"/>
      <charset val="134"/>
      <scheme val="minor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2"/>
      <name val="Arial Narrow"/>
      <family val="2"/>
    </font>
    <font>
      <sz val="11"/>
      <name val="Calibri"/>
      <family val="2"/>
      <scheme val="minor"/>
    </font>
    <font>
      <b/>
      <sz val="11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Calibri"/>
      <family val="2"/>
      <scheme val="minor"/>
    </font>
    <font>
      <sz val="10"/>
      <color theme="0"/>
      <name val="Arial Narrow"/>
      <family val="2"/>
    </font>
    <font>
      <b/>
      <sz val="8"/>
      <color theme="0"/>
      <name val="Arial Narrow"/>
      <family val="2"/>
    </font>
    <font>
      <sz val="8"/>
      <color theme="0"/>
      <name val="Arial"/>
      <family val="2"/>
    </font>
    <font>
      <b/>
      <sz val="18"/>
      <color theme="0"/>
      <name val="Ebrima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Arial Narrow"/>
      <family val="2"/>
    </font>
    <font>
      <sz val="8"/>
      <name val="Arial Narrow"/>
      <family val="2"/>
    </font>
    <font>
      <b/>
      <sz val="8"/>
      <color rgb="FFFF0000"/>
      <name val="Arial Narrow"/>
      <family val="2"/>
    </font>
    <font>
      <sz val="10"/>
      <color rgb="FF000000"/>
      <name val="Times New Roman"/>
      <family val="1"/>
    </font>
    <font>
      <b/>
      <sz val="9"/>
      <color theme="1"/>
      <name val="Arial Narrow"/>
      <family val="2"/>
    </font>
    <font>
      <sz val="8"/>
      <color rgb="FF000000"/>
      <name val="Arial Narrow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b/>
      <sz val="10"/>
      <name val="Arial Narrow"/>
      <family val="2"/>
    </font>
    <font>
      <sz val="8"/>
      <color indexed="8"/>
      <name val="Arial Narrow"/>
      <family val="2"/>
    </font>
    <font>
      <sz val="8"/>
      <color rgb="FFFF0000"/>
      <name val="Arial Narrow"/>
      <family val="2"/>
    </font>
    <font>
      <b/>
      <sz val="12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6"/>
      <color theme="0"/>
      <name val="Times New Roman"/>
      <family val="1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ptos"/>
      <charset val="134"/>
    </font>
    <font>
      <sz val="11"/>
      <color theme="1"/>
      <name val="Aptos"/>
      <charset val="134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theme="1"/>
      <name val="Futura Bk BT"/>
      <charset val="134"/>
    </font>
    <font>
      <b/>
      <sz val="18"/>
      <color theme="3"/>
      <name val="Calibri Light"/>
      <family val="2"/>
      <scheme val="major"/>
    </font>
    <font>
      <b/>
      <strike/>
      <sz val="6"/>
      <color theme="0"/>
      <name val="Times New Roman"/>
      <family val="1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Aptos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Arial Narrow"/>
      <family val="2"/>
    </font>
    <font>
      <sz val="6"/>
      <color theme="0"/>
      <name val="Arial Narrow"/>
      <family val="2"/>
    </font>
    <font>
      <sz val="6"/>
      <color theme="0"/>
      <name val="Calibri"/>
      <family val="2"/>
      <scheme val="minor"/>
    </font>
    <font>
      <sz val="8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164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43" fontId="43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4" fillId="21" borderId="0" applyNumberFormat="0" applyBorder="0" applyAlignment="0" applyProtection="0"/>
    <xf numFmtId="0" fontId="45" fillId="0" borderId="0"/>
    <xf numFmtId="0" fontId="49" fillId="0" borderId="0"/>
    <xf numFmtId="0" fontId="46" fillId="0" borderId="0"/>
    <xf numFmtId="9" fontId="4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</cellStyleXfs>
  <cellXfs count="190">
    <xf numFmtId="0" fontId="0" fillId="0" borderId="0" xfId="0"/>
    <xf numFmtId="0" fontId="1" fillId="0" borderId="1" xfId="0" applyFont="1" applyBorder="1" applyAlignment="1">
      <alignment horizontal="right"/>
    </xf>
    <xf numFmtId="16" fontId="2" fillId="2" borderId="1" xfId="0" applyNumberFormat="1" applyFont="1" applyFill="1" applyBorder="1"/>
    <xf numFmtId="0" fontId="2" fillId="0" borderId="1" xfId="0" applyFont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/>
    <xf numFmtId="4" fontId="4" fillId="2" borderId="1" xfId="0" applyNumberFormat="1" applyFont="1" applyFill="1" applyBorder="1"/>
    <xf numFmtId="164" fontId="3" fillId="2" borderId="1" xfId="1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right"/>
    </xf>
    <xf numFmtId="43" fontId="5" fillId="3" borderId="1" xfId="0" applyNumberFormat="1" applyFont="1" applyFill="1" applyBorder="1"/>
    <xf numFmtId="0" fontId="4" fillId="0" borderId="0" xfId="0" applyFont="1"/>
    <xf numFmtId="164" fontId="4" fillId="0" borderId="0" xfId="1" applyFont="1"/>
    <xf numFmtId="0" fontId="1" fillId="4" borderId="1" xfId="0" applyFont="1" applyFill="1" applyBorder="1" applyAlignment="1">
      <alignment horizontal="right"/>
    </xf>
    <xf numFmtId="43" fontId="1" fillId="4" borderId="1" xfId="0" applyNumberFormat="1" applyFont="1" applyFill="1" applyBorder="1"/>
    <xf numFmtId="164" fontId="1" fillId="4" borderId="1" xfId="1" applyFont="1" applyFill="1" applyBorder="1"/>
    <xf numFmtId="0" fontId="6" fillId="0" borderId="0" xfId="0" applyFont="1"/>
    <xf numFmtId="0" fontId="7" fillId="0" borderId="1" xfId="0" applyFont="1" applyBorder="1" applyAlignment="1">
      <alignment horizontal="right"/>
    </xf>
    <xf numFmtId="164" fontId="3" fillId="0" borderId="1" xfId="1" applyFont="1" applyBorder="1"/>
    <xf numFmtId="164" fontId="6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horizontal="right"/>
    </xf>
    <xf numFmtId="4" fontId="11" fillId="2" borderId="0" xfId="0" applyNumberFormat="1" applyFont="1" applyFill="1" applyBorder="1"/>
    <xf numFmtId="164" fontId="11" fillId="2" borderId="0" xfId="1" applyFont="1" applyFill="1" applyBorder="1" applyAlignment="1">
      <alignment horizontal="right" vertical="top" wrapText="1"/>
    </xf>
    <xf numFmtId="4" fontId="11" fillId="2" borderId="0" xfId="0" applyNumberFormat="1" applyFont="1" applyFill="1" applyBorder="1" applyAlignment="1">
      <alignment horizontal="right"/>
    </xf>
    <xf numFmtId="0" fontId="4" fillId="2" borderId="0" xfId="0" applyFont="1" applyFill="1" applyAlignment="1">
      <alignment wrapText="1"/>
    </xf>
    <xf numFmtId="0" fontId="14" fillId="0" borderId="0" xfId="0" applyFont="1" applyBorder="1" applyAlignment="1">
      <alignment horizontal="right"/>
    </xf>
    <xf numFmtId="16" fontId="14" fillId="2" borderId="0" xfId="0" applyNumberFormat="1" applyFont="1" applyFill="1" applyBorder="1" applyAlignment="1">
      <alignment horizontal="center" wrapText="1"/>
    </xf>
    <xf numFmtId="0" fontId="15" fillId="0" borderId="0" xfId="0" applyFont="1" applyBorder="1"/>
    <xf numFmtId="0" fontId="14" fillId="0" borderId="0" xfId="0" applyFont="1" applyBorder="1" applyAlignment="1">
      <alignment horizontal="right" wrapText="1"/>
    </xf>
    <xf numFmtId="4" fontId="16" fillId="2" borderId="0" xfId="0" applyNumberFormat="1" applyFont="1" applyFill="1" applyBorder="1"/>
    <xf numFmtId="4" fontId="16" fillId="2" borderId="0" xfId="0" applyNumberFormat="1" applyFont="1" applyFill="1" applyBorder="1" applyAlignment="1">
      <alignment horizontal="right"/>
    </xf>
    <xf numFmtId="164" fontId="16" fillId="2" borderId="0" xfId="1" applyFont="1" applyFill="1" applyBorder="1" applyAlignment="1">
      <alignment horizontal="right" vertical="top" wrapText="1"/>
    </xf>
    <xf numFmtId="0" fontId="17" fillId="0" borderId="0" xfId="0" applyFont="1" applyBorder="1" applyAlignment="1">
      <alignment horizontal="right" wrapText="1"/>
    </xf>
    <xf numFmtId="164" fontId="18" fillId="0" borderId="0" xfId="1" applyFont="1" applyBorder="1"/>
    <xf numFmtId="4" fontId="18" fillId="2" borderId="0" xfId="0" applyNumberFormat="1" applyFont="1" applyFill="1" applyBorder="1"/>
    <xf numFmtId="0" fontId="17" fillId="0" borderId="0" xfId="0" applyFont="1" applyBorder="1" applyAlignment="1">
      <alignment horizontal="right"/>
    </xf>
    <xf numFmtId="4" fontId="18" fillId="2" borderId="0" xfId="0" applyNumberFormat="1" applyFont="1" applyFill="1" applyBorder="1" applyAlignment="1">
      <alignment horizontal="right"/>
    </xf>
    <xf numFmtId="164" fontId="18" fillId="2" borderId="0" xfId="1" applyFont="1" applyFill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4" fontId="11" fillId="2" borderId="0" xfId="0" applyNumberFormat="1" applyFont="1" applyFill="1"/>
    <xf numFmtId="0" fontId="7" fillId="0" borderId="0" xfId="0" applyFont="1" applyAlignment="1">
      <alignment horizontal="right"/>
    </xf>
    <xf numFmtId="4" fontId="3" fillId="2" borderId="0" xfId="0" applyNumberFormat="1" applyFont="1" applyFill="1"/>
    <xf numFmtId="0" fontId="0" fillId="7" borderId="1" xfId="0" applyFill="1" applyBorder="1"/>
    <xf numFmtId="0" fontId="20" fillId="8" borderId="1" xfId="0" applyFont="1" applyFill="1" applyBorder="1"/>
    <xf numFmtId="0" fontId="21" fillId="3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horizontal="center" vertical="top" wrapText="1"/>
    </xf>
    <xf numFmtId="0" fontId="0" fillId="0" borderId="1" xfId="0" applyBorder="1"/>
    <xf numFmtId="164" fontId="24" fillId="2" borderId="1" xfId="10" applyFont="1" applyFill="1" applyBorder="1"/>
    <xf numFmtId="10" fontId="24" fillId="8" borderId="1" xfId="2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right"/>
    </xf>
    <xf numFmtId="164" fontId="24" fillId="10" borderId="1" xfId="1" applyFont="1" applyFill="1" applyBorder="1" applyAlignment="1">
      <alignment horizontal="center"/>
    </xf>
    <xf numFmtId="4" fontId="24" fillId="2" borderId="1" xfId="0" applyNumberFormat="1" applyFont="1" applyFill="1" applyBorder="1"/>
    <xf numFmtId="164" fontId="22" fillId="10" borderId="1" xfId="1" applyFont="1" applyFill="1" applyBorder="1" applyAlignment="1">
      <alignment horizontal="center"/>
    </xf>
    <xf numFmtId="164" fontId="24" fillId="2" borderId="1" xfId="1" applyFont="1" applyFill="1" applyBorder="1"/>
    <xf numFmtId="0" fontId="22" fillId="0" borderId="1" xfId="0" applyFont="1" applyBorder="1"/>
    <xf numFmtId="0" fontId="22" fillId="2" borderId="1" xfId="0" applyFont="1" applyFill="1" applyBorder="1"/>
    <xf numFmtId="0" fontId="21" fillId="2" borderId="1" xfId="0" applyFont="1" applyFill="1" applyBorder="1" applyAlignment="1">
      <alignment horizontal="right"/>
    </xf>
    <xf numFmtId="164" fontId="21" fillId="2" borderId="1" xfId="1" applyFont="1" applyFill="1" applyBorder="1" applyAlignment="1">
      <alignment horizontal="right" vertical="top" wrapText="1"/>
    </xf>
    <xf numFmtId="10" fontId="26" fillId="8" borderId="1" xfId="2" applyNumberFormat="1" applyFont="1" applyFill="1" applyBorder="1" applyAlignment="1">
      <alignment horizontal="center" vertical="top" wrapText="1"/>
    </xf>
    <xf numFmtId="10" fontId="24" fillId="2" borderId="1" xfId="2" applyNumberFormat="1" applyFont="1" applyFill="1" applyBorder="1" applyAlignment="1">
      <alignment horizontal="center" vertical="top" wrapText="1"/>
    </xf>
    <xf numFmtId="4" fontId="24" fillId="2" borderId="1" xfId="1" applyNumberFormat="1" applyFont="1" applyFill="1" applyBorder="1" applyAlignment="1">
      <alignment vertical="top" wrapText="1"/>
    </xf>
    <xf numFmtId="164" fontId="21" fillId="10" borderId="1" xfId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164" fontId="24" fillId="2" borderId="1" xfId="10" applyFont="1" applyFill="1" applyBorder="1" applyAlignment="1">
      <alignment horizontal="right"/>
    </xf>
    <xf numFmtId="4" fontId="24" fillId="2" borderId="1" xfId="1" applyNumberFormat="1" applyFont="1" applyFill="1" applyBorder="1" applyAlignment="1">
      <alignment horizontal="right"/>
    </xf>
    <xf numFmtId="164" fontId="24" fillId="10" borderId="1" xfId="1" applyFont="1" applyFill="1" applyBorder="1" applyAlignment="1">
      <alignment horizontal="center" wrapText="1"/>
    </xf>
    <xf numFmtId="164" fontId="24" fillId="2" borderId="1" xfId="10" applyFont="1" applyFill="1" applyBorder="1" applyAlignment="1">
      <alignment horizontal="right" wrapText="1"/>
    </xf>
    <xf numFmtId="164" fontId="21" fillId="2" borderId="1" xfId="1" applyFont="1" applyFill="1" applyBorder="1" applyAlignment="1">
      <alignment horizontal="right"/>
    </xf>
    <xf numFmtId="164" fontId="20" fillId="3" borderId="1" xfId="1" applyFont="1" applyFill="1" applyBorder="1" applyAlignment="1">
      <alignment horizontal="center" vertical="top"/>
    </xf>
    <xf numFmtId="10" fontId="24" fillId="10" borderId="1" xfId="2" applyNumberFormat="1" applyFont="1" applyFill="1" applyBorder="1" applyAlignment="1">
      <alignment horizontal="center"/>
    </xf>
    <xf numFmtId="10" fontId="22" fillId="10" borderId="1" xfId="2" applyNumberFormat="1" applyFont="1" applyFill="1" applyBorder="1" applyAlignment="1">
      <alignment horizontal="center"/>
    </xf>
    <xf numFmtId="10" fontId="24" fillId="10" borderId="1" xfId="2" applyNumberFormat="1" applyFont="1" applyFill="1" applyBorder="1" applyAlignment="1">
      <alignment horizontal="center" vertical="top" wrapText="1"/>
    </xf>
    <xf numFmtId="10" fontId="24" fillId="10" borderId="1" xfId="2" applyNumberFormat="1" applyFont="1" applyFill="1" applyBorder="1" applyAlignment="1">
      <alignment horizontal="center" wrapText="1"/>
    </xf>
    <xf numFmtId="10" fontId="24" fillId="8" borderId="1" xfId="2" applyNumberFormat="1" applyFont="1" applyFill="1" applyBorder="1" applyAlignment="1">
      <alignment horizontal="center" wrapText="1"/>
    </xf>
    <xf numFmtId="10" fontId="24" fillId="10" borderId="1" xfId="1" applyNumberFormat="1" applyFont="1" applyFill="1" applyBorder="1" applyAlignment="1">
      <alignment horizontal="center"/>
    </xf>
    <xf numFmtId="10" fontId="24" fillId="3" borderId="1" xfId="2" applyNumberFormat="1" applyFont="1" applyFill="1" applyBorder="1" applyAlignment="1">
      <alignment horizontal="center" vertical="top" wrapText="1"/>
    </xf>
    <xf numFmtId="10" fontId="22" fillId="3" borderId="1" xfId="2" applyNumberFormat="1" applyFont="1" applyFill="1" applyBorder="1" applyAlignment="1">
      <alignment horizontal="center" vertical="top" wrapText="1"/>
    </xf>
    <xf numFmtId="10" fontId="22" fillId="3" borderId="1" xfId="1" applyNumberFormat="1" applyFont="1" applyFill="1" applyBorder="1" applyAlignment="1">
      <alignment horizontal="center" vertical="top" wrapText="1"/>
    </xf>
    <xf numFmtId="10" fontId="27" fillId="11" borderId="0" xfId="0" applyNumberFormat="1" applyFont="1" applyFill="1" applyAlignment="1">
      <alignment horizontal="right" vertical="center" wrapText="1"/>
    </xf>
    <xf numFmtId="2" fontId="24" fillId="2" borderId="1" xfId="0" applyNumberFormat="1" applyFont="1" applyFill="1" applyBorder="1"/>
    <xf numFmtId="164" fontId="24" fillId="2" borderId="1" xfId="10" applyFont="1" applyFill="1" applyBorder="1" applyAlignment="1">
      <alignment wrapText="1"/>
    </xf>
    <xf numFmtId="164" fontId="24" fillId="12" borderId="1" xfId="1" applyFont="1" applyFill="1" applyBorder="1" applyAlignment="1">
      <alignment horizontal="center"/>
    </xf>
    <xf numFmtId="10" fontId="24" fillId="12" borderId="1" xfId="2" applyNumberFormat="1" applyFont="1" applyFill="1" applyBorder="1" applyAlignment="1">
      <alignment horizontal="center"/>
    </xf>
    <xf numFmtId="10" fontId="24" fillId="7" borderId="1" xfId="2" applyNumberFormat="1" applyFont="1" applyFill="1" applyBorder="1" applyAlignment="1">
      <alignment horizontal="center"/>
    </xf>
    <xf numFmtId="10" fontId="25" fillId="10" borderId="1" xfId="2" applyNumberFormat="1" applyFont="1" applyFill="1" applyBorder="1" applyAlignment="1">
      <alignment horizontal="center" wrapText="1"/>
    </xf>
    <xf numFmtId="4" fontId="0" fillId="0" borderId="0" xfId="0" applyNumberFormat="1"/>
    <xf numFmtId="164" fontId="29" fillId="0" borderId="0" xfId="1" applyFont="1"/>
    <xf numFmtId="4" fontId="30" fillId="0" borderId="0" xfId="0" applyNumberFormat="1" applyFont="1"/>
    <xf numFmtId="2" fontId="0" fillId="0" borderId="0" xfId="0" applyNumberFormat="1"/>
    <xf numFmtId="165" fontId="0" fillId="0" borderId="0" xfId="0" applyNumberFormat="1"/>
    <xf numFmtId="4" fontId="31" fillId="11" borderId="0" xfId="0" applyNumberFormat="1" applyFont="1" applyFill="1" applyAlignment="1">
      <alignment horizontal="right" vertical="center" wrapText="1"/>
    </xf>
    <xf numFmtId="0" fontId="21" fillId="0" borderId="1" xfId="0" applyFont="1" applyBorder="1" applyAlignment="1">
      <alignment horizontal="right"/>
    </xf>
    <xf numFmtId="4" fontId="33" fillId="0" borderId="1" xfId="0" applyNumberFormat="1" applyFont="1" applyFill="1" applyBorder="1" applyAlignment="1" applyProtection="1"/>
    <xf numFmtId="0" fontId="34" fillId="2" borderId="1" xfId="0" applyFont="1" applyFill="1" applyBorder="1"/>
    <xf numFmtId="4" fontId="24" fillId="2" borderId="1" xfId="1" applyNumberFormat="1" applyFont="1" applyFill="1" applyBorder="1" applyAlignment="1">
      <alignment horizontal="right" vertical="top" wrapText="1"/>
    </xf>
    <xf numFmtId="164" fontId="21" fillId="2" borderId="1" xfId="1" applyFont="1" applyFill="1" applyBorder="1"/>
    <xf numFmtId="43" fontId="24" fillId="2" borderId="1" xfId="0" applyNumberFormat="1" applyFont="1" applyFill="1" applyBorder="1"/>
    <xf numFmtId="4" fontId="24" fillId="2" borderId="1" xfId="10" applyNumberFormat="1" applyFont="1" applyFill="1" applyBorder="1" applyAlignment="1">
      <alignment horizontal="right"/>
    </xf>
    <xf numFmtId="4" fontId="24" fillId="2" borderId="1" xfId="0" applyNumberFormat="1" applyFont="1" applyFill="1" applyBorder="1" applyAlignment="1">
      <alignment horizontal="right" wrapText="1"/>
    </xf>
    <xf numFmtId="4" fontId="24" fillId="2" borderId="1" xfId="10" applyNumberFormat="1" applyFont="1" applyFill="1" applyBorder="1" applyAlignment="1">
      <alignment horizontal="right" wrapText="1"/>
    </xf>
    <xf numFmtId="4" fontId="24" fillId="10" borderId="1" xfId="1" applyNumberFormat="1" applyFont="1" applyFill="1" applyBorder="1" applyAlignment="1">
      <alignment horizontal="center"/>
    </xf>
    <xf numFmtId="4" fontId="24" fillId="10" borderId="1" xfId="1" applyNumberFormat="1" applyFont="1" applyFill="1" applyBorder="1" applyAlignment="1">
      <alignment horizontal="center" vertical="top" wrapText="1"/>
    </xf>
    <xf numFmtId="43" fontId="24" fillId="10" borderId="1" xfId="0" applyNumberFormat="1" applyFont="1" applyFill="1" applyBorder="1" applyAlignment="1">
      <alignment horizontal="center"/>
    </xf>
    <xf numFmtId="164" fontId="0" fillId="0" borderId="0" xfId="1" applyFont="1"/>
    <xf numFmtId="4" fontId="21" fillId="10" borderId="1" xfId="1" applyNumberFormat="1" applyFont="1" applyFill="1" applyBorder="1" applyAlignment="1">
      <alignment horizontal="right" vertical="top" wrapText="1"/>
    </xf>
    <xf numFmtId="0" fontId="24" fillId="15" borderId="1" xfId="0" applyFont="1" applyFill="1" applyBorder="1" applyAlignment="1">
      <alignment horizontal="right" vertical="center"/>
    </xf>
    <xf numFmtId="0" fontId="21" fillId="15" borderId="1" xfId="0" applyFont="1" applyFill="1" applyBorder="1" applyAlignment="1">
      <alignment horizontal="right" vertical="center"/>
    </xf>
    <xf numFmtId="164" fontId="21" fillId="15" borderId="1" xfId="1" applyFont="1" applyFill="1" applyBorder="1" applyAlignment="1">
      <alignment horizontal="right" vertical="center" wrapText="1"/>
    </xf>
    <xf numFmtId="10" fontId="24" fillId="15" borderId="1" xfId="1" applyNumberFormat="1" applyFont="1" applyFill="1" applyBorder="1" applyAlignment="1">
      <alignment horizontal="right" vertical="center" wrapText="1"/>
    </xf>
    <xf numFmtId="4" fontId="24" fillId="15" borderId="1" xfId="1" applyNumberFormat="1" applyFont="1" applyFill="1" applyBorder="1" applyAlignment="1">
      <alignment horizontal="right" vertical="center" wrapText="1"/>
    </xf>
    <xf numFmtId="164" fontId="21" fillId="15" borderId="1" xfId="1" applyFont="1" applyFill="1" applyBorder="1" applyAlignment="1">
      <alignment horizontal="right" vertical="top" wrapText="1"/>
    </xf>
    <xf numFmtId="4" fontId="24" fillId="2" borderId="1" xfId="10" applyNumberFormat="1" applyFont="1" applyFill="1" applyBorder="1" applyAlignment="1">
      <alignment horizontal="right" vertical="top" wrapText="1"/>
    </xf>
    <xf numFmtId="164" fontId="36" fillId="15" borderId="1" xfId="1" applyFont="1" applyFill="1" applyBorder="1" applyAlignment="1">
      <alignment horizontal="right" vertical="top" wrapText="1"/>
    </xf>
    <xf numFmtId="4" fontId="24" fillId="15" borderId="1" xfId="1" applyNumberFormat="1" applyFont="1" applyFill="1" applyBorder="1" applyAlignment="1">
      <alignment horizontal="right" vertical="top" wrapText="1"/>
    </xf>
    <xf numFmtId="164" fontId="24" fillId="2" borderId="1" xfId="10" applyFont="1" applyFill="1" applyBorder="1" applyAlignment="1">
      <alignment horizontal="right" vertical="top" wrapText="1"/>
    </xf>
    <xf numFmtId="10" fontId="24" fillId="8" borderId="1" xfId="2" applyNumberFormat="1" applyFont="1" applyFill="1" applyBorder="1" applyAlignment="1">
      <alignment horizontal="center" vertical="top" wrapText="1"/>
    </xf>
    <xf numFmtId="164" fontId="24" fillId="10" borderId="1" xfId="1" applyFont="1" applyFill="1" applyBorder="1" applyAlignment="1">
      <alignment horizontal="center" vertical="top" wrapText="1"/>
    </xf>
    <xf numFmtId="164" fontId="24" fillId="2" borderId="1" xfId="1" applyFont="1" applyFill="1" applyBorder="1" applyAlignment="1">
      <alignment horizontal="right" vertical="top" wrapText="1"/>
    </xf>
    <xf numFmtId="0" fontId="25" fillId="15" borderId="1" xfId="0" applyFont="1" applyFill="1" applyBorder="1" applyAlignment="1">
      <alignment horizontal="right"/>
    </xf>
    <xf numFmtId="0" fontId="37" fillId="15" borderId="1" xfId="0" applyFont="1" applyFill="1" applyBorder="1" applyAlignment="1">
      <alignment horizontal="right"/>
    </xf>
    <xf numFmtId="0" fontId="24" fillId="16" borderId="1" xfId="0" applyFont="1" applyFill="1" applyBorder="1" applyAlignment="1">
      <alignment horizontal="right" vertical="top" wrapText="1"/>
    </xf>
    <xf numFmtId="0" fontId="32" fillId="16" borderId="1" xfId="0" applyFont="1" applyFill="1" applyBorder="1" applyAlignment="1">
      <alignment horizontal="right" vertical="top" wrapText="1"/>
    </xf>
    <xf numFmtId="164" fontId="32" fillId="16" borderId="1" xfId="1" applyFont="1" applyFill="1" applyBorder="1" applyAlignment="1">
      <alignment horizontal="right" vertical="top" wrapText="1"/>
    </xf>
    <xf numFmtId="164" fontId="38" fillId="16" borderId="1" xfId="1" applyFont="1" applyFill="1" applyBorder="1" applyAlignment="1">
      <alignment horizontal="right" vertical="top" wrapText="1"/>
    </xf>
    <xf numFmtId="4" fontId="38" fillId="16" borderId="1" xfId="0" applyNumberFormat="1" applyFont="1" applyFill="1" applyBorder="1" applyAlignment="1">
      <alignment horizontal="right"/>
    </xf>
    <xf numFmtId="0" fontId="39" fillId="6" borderId="1" xfId="0" applyFont="1" applyFill="1" applyBorder="1" applyAlignment="1">
      <alignment horizontal="right" vertical="center"/>
    </xf>
    <xf numFmtId="0" fontId="8" fillId="6" borderId="1" xfId="0" applyFont="1" applyFill="1" applyBorder="1"/>
    <xf numFmtId="0" fontId="40" fillId="0" borderId="0" xfId="0" applyFont="1"/>
    <xf numFmtId="43" fontId="0" fillId="0" borderId="0" xfId="0" applyNumberFormat="1"/>
    <xf numFmtId="0" fontId="41" fillId="0" borderId="0" xfId="0" applyFont="1"/>
    <xf numFmtId="0" fontId="34" fillId="2" borderId="0" xfId="0" applyFont="1" applyFill="1" applyAlignment="1">
      <alignment wrapText="1"/>
    </xf>
    <xf numFmtId="43" fontId="41" fillId="0" borderId="0" xfId="11" applyFont="1" applyBorder="1"/>
    <xf numFmtId="2" fontId="41" fillId="0" borderId="0" xfId="0" applyNumberFormat="1" applyFont="1"/>
    <xf numFmtId="9" fontId="24" fillId="15" borderId="1" xfId="2" applyFont="1" applyFill="1" applyBorder="1" applyAlignment="1">
      <alignment horizontal="center" vertical="center" wrapText="1"/>
    </xf>
    <xf numFmtId="4" fontId="24" fillId="15" borderId="1" xfId="1" applyNumberFormat="1" applyFont="1" applyFill="1" applyBorder="1" applyAlignment="1">
      <alignment horizontal="center" vertical="center" wrapText="1"/>
    </xf>
    <xf numFmtId="4" fontId="24" fillId="15" borderId="1" xfId="1" applyNumberFormat="1" applyFont="1" applyFill="1" applyBorder="1" applyAlignment="1">
      <alignment horizontal="center" vertical="top" wrapText="1"/>
    </xf>
    <xf numFmtId="9" fontId="38" fillId="16" borderId="1" xfId="2" applyFont="1" applyFill="1" applyBorder="1" applyAlignment="1">
      <alignment horizontal="center"/>
    </xf>
    <xf numFmtId="4" fontId="38" fillId="16" borderId="1" xfId="0" applyNumberFormat="1" applyFont="1" applyFill="1" applyBorder="1" applyAlignment="1">
      <alignment horizontal="center"/>
    </xf>
    <xf numFmtId="10" fontId="41" fillId="0" borderId="0" xfId="2" applyNumberFormat="1" applyFont="1" applyBorder="1"/>
    <xf numFmtId="10" fontId="42" fillId="0" borderId="0" xfId="2" applyNumberFormat="1" applyFont="1" applyBorder="1"/>
    <xf numFmtId="10" fontId="22" fillId="15" borderId="1" xfId="2" applyNumberFormat="1" applyFont="1" applyFill="1" applyBorder="1" applyAlignment="1">
      <alignment horizontal="center" vertical="top" wrapText="1"/>
    </xf>
    <xf numFmtId="166" fontId="22" fillId="15" borderId="1" xfId="2" applyNumberFormat="1" applyFont="1" applyFill="1" applyBorder="1" applyAlignment="1">
      <alignment horizontal="center" vertical="top" wrapText="1"/>
    </xf>
    <xf numFmtId="10" fontId="22" fillId="15" borderId="1" xfId="1" applyNumberFormat="1" applyFont="1" applyFill="1" applyBorder="1" applyAlignment="1">
      <alignment horizontal="center" vertical="top" wrapText="1"/>
    </xf>
    <xf numFmtId="10" fontId="38" fillId="16" borderId="1" xfId="2" applyNumberFormat="1" applyFont="1" applyFill="1" applyBorder="1" applyAlignment="1">
      <alignment horizontal="center" vertical="top" wrapText="1"/>
    </xf>
    <xf numFmtId="166" fontId="38" fillId="16" borderId="1" xfId="2" applyNumberFormat="1" applyFont="1" applyFill="1" applyBorder="1" applyAlignment="1">
      <alignment horizontal="center" vertical="top" wrapText="1"/>
    </xf>
    <xf numFmtId="166" fontId="24" fillId="16" borderId="1" xfId="2" applyNumberFormat="1" applyFont="1" applyFill="1" applyBorder="1" applyAlignment="1">
      <alignment horizontal="center" vertical="top" wrapText="1"/>
    </xf>
    <xf numFmtId="43" fontId="1" fillId="4" borderId="1" xfId="0" quotePrefix="1" applyNumberFormat="1" applyFont="1" applyFill="1" applyBorder="1" applyAlignment="1">
      <alignment horizontal="center"/>
    </xf>
    <xf numFmtId="164" fontId="50" fillId="2" borderId="1" xfId="10" applyFont="1" applyFill="1" applyBorder="1"/>
    <xf numFmtId="0" fontId="51" fillId="3" borderId="1" xfId="0" applyFont="1" applyFill="1" applyBorder="1" applyAlignment="1">
      <alignment horizontal="center" vertical="top" wrapText="1"/>
    </xf>
    <xf numFmtId="10" fontId="50" fillId="10" borderId="1" xfId="2" applyNumberFormat="1" applyFont="1" applyFill="1" applyBorder="1" applyAlignment="1">
      <alignment horizontal="center"/>
    </xf>
    <xf numFmtId="164" fontId="3" fillId="2" borderId="0" xfId="1" applyFont="1" applyFill="1" applyBorder="1" applyAlignment="1">
      <alignment horizontal="right" vertical="top" wrapText="1"/>
    </xf>
    <xf numFmtId="0" fontId="8" fillId="0" borderId="0" xfId="0" applyFont="1" applyBorder="1"/>
    <xf numFmtId="4" fontId="3" fillId="2" borderId="0" xfId="0" applyNumberFormat="1" applyFont="1" applyFill="1" applyAlignment="1">
      <alignment horizontal="right"/>
    </xf>
    <xf numFmtId="0" fontId="54" fillId="0" borderId="0" xfId="0" applyFont="1" applyBorder="1" applyAlignment="1">
      <alignment horizontal="right"/>
    </xf>
    <xf numFmtId="16" fontId="10" fillId="2" borderId="0" xfId="0" applyNumberFormat="1" applyFont="1" applyFill="1" applyBorder="1"/>
    <xf numFmtId="164" fontId="8" fillId="0" borderId="0" xfId="1" applyFont="1" applyBorder="1"/>
    <xf numFmtId="0" fontId="53" fillId="0" borderId="0" xfId="0" applyFont="1"/>
    <xf numFmtId="16" fontId="55" fillId="2" borderId="0" xfId="0" applyNumberFormat="1" applyFont="1" applyFill="1"/>
    <xf numFmtId="164" fontId="56" fillId="0" borderId="0" xfId="1" applyFont="1"/>
    <xf numFmtId="43" fontId="56" fillId="0" borderId="0" xfId="0" applyNumberFormat="1" applyFont="1"/>
    <xf numFmtId="4" fontId="56" fillId="0" borderId="0" xfId="0" applyNumberFormat="1" applyFont="1"/>
    <xf numFmtId="0" fontId="39" fillId="6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4" fontId="24" fillId="2" borderId="1" xfId="0" applyNumberFormat="1" applyFont="1" applyFill="1" applyBorder="1" applyAlignment="1">
      <alignment wrapText="1"/>
    </xf>
    <xf numFmtId="0" fontId="24" fillId="2" borderId="1" xfId="0" applyFont="1" applyFill="1" applyBorder="1" applyAlignment="1">
      <alignment wrapText="1"/>
    </xf>
    <xf numFmtId="0" fontId="24" fillId="0" borderId="1" xfId="0" applyFont="1" applyBorder="1" applyAlignment="1">
      <alignment horizontal="center" vertical="center"/>
    </xf>
    <xf numFmtId="0" fontId="57" fillId="0" borderId="0" xfId="0" applyFont="1"/>
    <xf numFmtId="0" fontId="24" fillId="2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49" fontId="24" fillId="0" borderId="1" xfId="0" applyNumberFormat="1" applyFont="1" applyBorder="1" applyAlignment="1">
      <alignment wrapText="1"/>
    </xf>
    <xf numFmtId="0" fontId="24" fillId="2" borderId="1" xfId="0" applyFont="1" applyFill="1" applyBorder="1" applyAlignment="1">
      <alignment horizontal="left" wrapText="1"/>
    </xf>
    <xf numFmtId="4" fontId="24" fillId="0" borderId="1" xfId="0" applyNumberFormat="1" applyFont="1" applyBorder="1" applyAlignment="1">
      <alignment wrapText="1"/>
    </xf>
    <xf numFmtId="0" fontId="19" fillId="6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top" wrapText="1"/>
    </xf>
    <xf numFmtId="0" fontId="23" fillId="9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8" fillId="13" borderId="1" xfId="0" applyFont="1" applyFill="1" applyBorder="1" applyAlignment="1">
      <alignment horizontal="center"/>
    </xf>
    <xf numFmtId="0" fontId="32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2" fillId="14" borderId="1" xfId="0" applyFont="1" applyFill="1" applyBorder="1" applyAlignment="1">
      <alignment horizontal="center" wrapText="1"/>
    </xf>
    <xf numFmtId="0" fontId="35" fillId="9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3" fillId="5" borderId="0" xfId="0" applyFont="1" applyFill="1" applyAlignment="1">
      <alignment horizontal="center" wrapText="1"/>
    </xf>
    <xf numFmtId="0" fontId="7" fillId="0" borderId="0" xfId="0" applyFont="1" applyBorder="1" applyAlignment="1">
      <alignment horizontal="right"/>
    </xf>
  </cellXfs>
  <cellStyles count="30">
    <cellStyle name="60% - Accent1 2" xfId="3"/>
    <cellStyle name="60% - Accent2 2" xfId="4"/>
    <cellStyle name="60% - Accent3 2" xfId="5"/>
    <cellStyle name="60% - Accent4 2" xfId="6"/>
    <cellStyle name="60% - Accent5 2" xfId="7"/>
    <cellStyle name="60% - Accent6 2" xfId="8"/>
    <cellStyle name="Comma" xfId="1" builtinId="3"/>
    <cellStyle name="Comma 10" xfId="9"/>
    <cellStyle name="Comma 10 13" xfId="10"/>
    <cellStyle name="Comma 14" xfId="28"/>
    <cellStyle name="Comma 2" xfId="11"/>
    <cellStyle name="Comma 2 2" xfId="12"/>
    <cellStyle name="Comma 3" xfId="13"/>
    <cellStyle name="Comma 3 2" xfId="14"/>
    <cellStyle name="Comma 3 2 2" xfId="15"/>
    <cellStyle name="Comma 4" xfId="16"/>
    <cellStyle name="Comma 5" xfId="17"/>
    <cellStyle name="Comma 6" xfId="18"/>
    <cellStyle name="Comma 8" xfId="19"/>
    <cellStyle name="Neutral 2" xfId="20"/>
    <cellStyle name="Normal" xfId="0" builtinId="0"/>
    <cellStyle name="Normal 2" xfId="21"/>
    <cellStyle name="Normal 2 2" xfId="22"/>
    <cellStyle name="Normal 27 2" xfId="23"/>
    <cellStyle name="Percent" xfId="2" builtinId="5"/>
    <cellStyle name="Percent 13" xfId="29"/>
    <cellStyle name="Percent 2 2" xfId="24"/>
    <cellStyle name="Percent 5" xfId="25"/>
    <cellStyle name="Percent 6" xfId="26"/>
    <cellStyle name="Title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800">
                <a:solidFill>
                  <a:schemeClr val="dk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NAV BY CLASS OF FUNDS (N'Bn)</a:t>
            </a:r>
            <a:endParaRPr lang="en-GB" sz="18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52501734696999E-2"/>
          <c:y val="0.12704985666184501"/>
          <c:w val="0.94540908679518498"/>
          <c:h val="0.73327195070502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'NAV Comparison'!$B$2</c:f>
              <c:strCache>
                <c:ptCount val="1"/>
                <c:pt idx="0">
                  <c:v>Week Ended November 15, 2024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'NAV Comparison'!$A$4:$A$10</c:f>
              <c:strCache>
                <c:ptCount val="7"/>
                <c:pt idx="0">
                  <c:v>MONEY MARKET FUNDS</c:v>
                </c:pt>
                <c:pt idx="1">
                  <c:v>BONDS/FIXED INCOME FUNDS</c:v>
                </c:pt>
                <c:pt idx="2">
                  <c:v>DOLLAR FUNDS</c:v>
                </c:pt>
                <c:pt idx="3">
                  <c:v>REAL ESTATE INVESTMENT TRUST</c:v>
                </c:pt>
                <c:pt idx="4">
                  <c:v>BALANCED FUNDS</c:v>
                </c:pt>
                <c:pt idx="5">
                  <c:v>ETHICAL FUNDS</c:v>
                </c:pt>
                <c:pt idx="6">
                  <c:v>SHARI'AH COMPLAINT FUNDS</c:v>
                </c:pt>
              </c:strCache>
            </c:strRef>
          </c:cat>
          <c:val>
            <c:numRef>
              <c:f>'NAV Comparison'!$B$4:$B$10</c:f>
              <c:numCache>
                <c:formatCode>#,##0.00</c:formatCode>
                <c:ptCount val="7"/>
                <c:pt idx="0">
                  <c:v>1544.0785013121094</c:v>
                </c:pt>
                <c:pt idx="1">
                  <c:v>212.51270482016042</c:v>
                </c:pt>
                <c:pt idx="2">
                  <c:v>1779.5642671213723</c:v>
                </c:pt>
                <c:pt idx="3">
                  <c:v>99.228057377568973</c:v>
                </c:pt>
                <c:pt idx="4" formatCode="_-* #,##0.00_-;\-* #,##0.00_-;_-* &quot;-&quot;??_-;_-@_-">
                  <c:v>53.058098833391156</c:v>
                </c:pt>
                <c:pt idx="5">
                  <c:v>5.6403794305800004</c:v>
                </c:pt>
                <c:pt idx="6">
                  <c:v>51.275165827272346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4-4569-86DB-18C6F766F1CB}"/>
            </c:ext>
          </c:extLst>
        </c:ser>
        <c:ser>
          <c:idx val="1"/>
          <c:order val="1"/>
          <c:tx>
            <c:strRef>
              <c:f>'NAV Comparison'!$C$2</c:f>
              <c:strCache>
                <c:ptCount val="1"/>
                <c:pt idx="0">
                  <c:v>Week Ended November 22, 2024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'NAV Comparison'!$A$4:$A$10</c:f>
              <c:strCache>
                <c:ptCount val="7"/>
                <c:pt idx="0">
                  <c:v>MONEY MARKET FUNDS</c:v>
                </c:pt>
                <c:pt idx="1">
                  <c:v>BONDS/FIXED INCOME FUNDS</c:v>
                </c:pt>
                <c:pt idx="2">
                  <c:v>DOLLAR FUNDS</c:v>
                </c:pt>
                <c:pt idx="3">
                  <c:v>REAL ESTATE INVESTMENT TRUST</c:v>
                </c:pt>
                <c:pt idx="4">
                  <c:v>BALANCED FUNDS</c:v>
                </c:pt>
                <c:pt idx="5">
                  <c:v>ETHICAL FUNDS</c:v>
                </c:pt>
                <c:pt idx="6">
                  <c:v>SHARI'AH COMPLAINT FUNDS</c:v>
                </c:pt>
              </c:strCache>
            </c:strRef>
          </c:cat>
          <c:val>
            <c:numRef>
              <c:f>'NAV Comparison'!$C$4:$C$10</c:f>
              <c:numCache>
                <c:formatCode>#,##0.00</c:formatCode>
                <c:ptCount val="7"/>
                <c:pt idx="0">
                  <c:v>1568.5114634132885</c:v>
                </c:pt>
                <c:pt idx="1">
                  <c:v>211.30871801890351</c:v>
                </c:pt>
                <c:pt idx="2">
                  <c:v>1806.7945870197611</c:v>
                </c:pt>
                <c:pt idx="3">
                  <c:v>99.71236588885381</c:v>
                </c:pt>
                <c:pt idx="4" formatCode="_-* #,##0.00_-;\-* #,##0.00_-;_-* &quot;-&quot;??_-;_-@_-">
                  <c:v>53.247703123154459</c:v>
                </c:pt>
                <c:pt idx="5">
                  <c:v>5.6522069194699993</c:v>
                </c:pt>
                <c:pt idx="6">
                  <c:v>51.456186883054208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4-4569-86DB-18C6F766F1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44175"/>
        <c:axId val="10939183"/>
      </c:barChart>
      <c:catAx>
        <c:axId val="109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939183"/>
        <c:crosses val="autoZero"/>
        <c:auto val="1"/>
        <c:lblAlgn val="ctr"/>
        <c:lblOffset val="100"/>
        <c:noMultiLvlLbl val="0"/>
      </c:catAx>
      <c:valAx>
        <c:axId val="109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94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pattFill prst="pct40">
      <a:fgClr>
        <a:schemeClr val="accent1"/>
      </a:fgClr>
      <a:bgClr>
        <a:schemeClr val="bg1"/>
      </a:bgClr>
    </a:pattFill>
    <a:ln>
      <a:noFill/>
    </a:ln>
    <a:effectLst/>
  </c:spPr>
  <c:txPr>
    <a:bodyPr/>
    <a:lstStyle/>
    <a:p>
      <a:pPr>
        <a:defRPr lang="en-US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20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PERCENTAGE MARKET</a:t>
            </a:r>
            <a:r>
              <a:rPr lang="en-US" sz="200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SHARE OF FUNDS BY CLASS</a:t>
            </a:r>
          </a:p>
          <a:p>
            <a:pPr>
              <a:defRPr lang="en-US" sz="2000" b="0" i="0" u="none" strike="noStrike" kern="1200" spc="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60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AS AT 22ND NOVEMBER, 2024</a:t>
            </a:r>
            <a:endParaRPr lang="en-US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23407699914128499"/>
          <c:y val="3.1719518867076697E-2"/>
        </c:manualLayout>
      </c:layout>
      <c:overlay val="0"/>
      <c:spPr>
        <a:solidFill>
          <a:schemeClr val="dk1"/>
        </a:solidFill>
        <a:ln w="12700" cap="flat" cmpd="sng" algn="ctr">
          <a:solidFill>
            <a:schemeClr val="dk1">
              <a:shade val="15000"/>
            </a:schemeClr>
          </a:solidFill>
          <a:prstDash val="solid"/>
          <a:miter lim="800000"/>
        </a:ln>
        <a:effectLst/>
      </c:spPr>
    </c:title>
    <c:autoTitleDeleted val="0"/>
    <c:view3D>
      <c:rotX val="30"/>
      <c:rotY val="235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15552536576715401"/>
          <c:y val="0.147427288479518"/>
          <c:w val="0.84316500743410205"/>
          <c:h val="0.81423920364184199"/>
        </c:manualLayout>
      </c:layout>
      <c:pie3DChart>
        <c:varyColors val="1"/>
        <c:ser>
          <c:idx val="0"/>
          <c:order val="0"/>
          <c:tx>
            <c:strRef>
              <c:f>'Market Share'!$B$1</c:f>
              <c:strCache>
                <c:ptCount val="1"/>
                <c:pt idx="0">
                  <c:v>22-Nov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6C1-41E2-BD65-8D78AE0E5F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6C1-41E2-BD65-8D78AE0E5F1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6C1-41E2-BD65-8D78AE0E5F1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6C1-41E2-BD65-8D78AE0E5F1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6C1-41E2-BD65-8D78AE0E5F1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6C1-41E2-BD65-8D78AE0E5F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6C1-41E2-BD65-8D78AE0E5F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6C1-41E2-BD65-8D78AE0E5F1E}"/>
              </c:ext>
            </c:extLst>
          </c:dPt>
          <c:dLbls>
            <c:dLbl>
              <c:idx val="0"/>
              <c:layout>
                <c:manualLayout>
                  <c:x val="-4.31242058258033E-2"/>
                  <c:y val="0.115998558608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6C1-41E2-BD65-8D78AE0E5F1E}"/>
                </c:ext>
              </c:extLst>
            </c:dLbl>
            <c:dLbl>
              <c:idx val="1"/>
              <c:layout>
                <c:manualLayout>
                  <c:x val="-8.3929154372232501E-2"/>
                  <c:y val="5.5237408860993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6C1-41E2-BD65-8D78AE0E5F1E}"/>
                </c:ext>
              </c:extLst>
            </c:dLbl>
            <c:dLbl>
              <c:idx val="2"/>
              <c:layout>
                <c:manualLayout>
                  <c:x val="-2.65269710991878E-2"/>
                  <c:y val="-9.7563117557189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6C1-41E2-BD65-8D78AE0E5F1E}"/>
                </c:ext>
              </c:extLst>
            </c:dLbl>
            <c:dLbl>
              <c:idx val="3"/>
              <c:layout>
                <c:manualLayout>
                  <c:x val="-1.82320668832372E-2"/>
                  <c:y val="3.1761457967088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6C1-41E2-BD65-8D78AE0E5F1E}"/>
                </c:ext>
              </c:extLst>
            </c:dLbl>
            <c:dLbl>
              <c:idx val="4"/>
              <c:layout>
                <c:manualLayout>
                  <c:x val="-2.2105334402515699E-2"/>
                  <c:y val="-0.1021892063928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6C1-41E2-BD65-8D78AE0E5F1E}"/>
                </c:ext>
              </c:extLst>
            </c:dLbl>
            <c:dLbl>
              <c:idx val="5"/>
              <c:layout>
                <c:manualLayout>
                  <c:x val="0.17345977414073499"/>
                  <c:y val="7.18087014623515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6C1-41E2-BD65-8D78AE0E5F1E}"/>
                </c:ext>
              </c:extLst>
            </c:dLbl>
            <c:dLbl>
              <c:idx val="6"/>
              <c:layout>
                <c:manualLayout>
                  <c:x val="-0.11676596925004"/>
                  <c:y val="0.115998558608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6C1-41E2-BD65-8D78AE0E5F1E}"/>
                </c:ext>
              </c:extLst>
            </c:dLbl>
            <c:dLbl>
              <c:idx val="7"/>
              <c:layout>
                <c:manualLayout>
                  <c:x val="-0.23297582723395899"/>
                  <c:y val="-0.328662582722912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6C1-41E2-BD65-8D78AE0E5F1E}"/>
                </c:ext>
              </c:extLst>
            </c:dLbl>
            <c:spPr>
              <a:gradFill rotWithShape="1">
                <a:gsLst>
                  <a:gs pos="0">
                    <a:schemeClr val="dk1"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2540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Share'!$A$2:$A$9</c:f>
              <c:strCache>
                <c:ptCount val="8"/>
                <c:pt idx="0">
                  <c:v>ETHICAL FUNDS</c:v>
                </c:pt>
                <c:pt idx="1">
                  <c:v>EQUITY BASED FUNDS</c:v>
                </c:pt>
                <c:pt idx="2">
                  <c:v>SHARI'AH COMPLAINT FUNDS</c:v>
                </c:pt>
                <c:pt idx="3">
                  <c:v>BALANCED FUNDS</c:v>
                </c:pt>
                <c:pt idx="4">
                  <c:v>REAL ESTATE INVESTMENT TRUST</c:v>
                </c:pt>
                <c:pt idx="5">
                  <c:v>BONDS/FIXED INCOME FUNDS</c:v>
                </c:pt>
                <c:pt idx="6">
                  <c:v>MONEY MARKET FUNDS</c:v>
                </c:pt>
                <c:pt idx="7">
                  <c:v>DOLLAR FUNDS</c:v>
                </c:pt>
              </c:strCache>
            </c:strRef>
          </c:cat>
          <c:val>
            <c:numRef>
              <c:f>'Market Share'!$B$2:$B$9</c:f>
              <c:numCache>
                <c:formatCode>#,##0.00</c:formatCode>
                <c:ptCount val="8"/>
                <c:pt idx="0">
                  <c:v>5652206919.4699993</c:v>
                </c:pt>
                <c:pt idx="1">
                  <c:v>30063948704.580002</c:v>
                </c:pt>
                <c:pt idx="2" formatCode="_-* #,##0.00_-;\-* #,##0.00_-;_-* &quot;-&quot;??_-;_-@_-">
                  <c:v>51456186883.054207</c:v>
                </c:pt>
                <c:pt idx="3">
                  <c:v>53247703123.154457</c:v>
                </c:pt>
                <c:pt idx="4">
                  <c:v>99712365888.853806</c:v>
                </c:pt>
                <c:pt idx="5">
                  <c:v>211308718018.9035</c:v>
                </c:pt>
                <c:pt idx="6">
                  <c:v>1568511463413.2886</c:v>
                </c:pt>
                <c:pt idx="7">
                  <c:v>1806794587019.7612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C1-41E2-BD65-8D78AE0E5F1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40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50800" dist="50800" dir="5400000" algn="ctr" rotWithShape="0">
        <a:schemeClr val="accent3">
          <a:lumMod val="20000"/>
          <a:lumOff val="80000"/>
        </a:schemeClr>
      </a:outerShdw>
    </a:effectLst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8-WEEK MOVEMENT IN TOTAL NAV (N'Bn)</a:t>
            </a:r>
          </a:p>
        </c:rich>
      </c:tx>
      <c:layout>
        <c:manualLayout>
          <c:xMode val="edge"/>
          <c:yMode val="edge"/>
          <c:x val="0.259825017515738"/>
          <c:y val="1.5686278384753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'8-Week Movement in NAV'!$A$3</c:f>
              <c:strCache>
                <c:ptCount val="1"/>
                <c:pt idx="0">
                  <c:v>TOTAL NAV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'8-Week Movement in NAV'!$B$2:$I$2</c:f>
              <c:numCache>
                <c:formatCode>d\-mmm</c:formatCode>
                <c:ptCount val="8"/>
                <c:pt idx="0">
                  <c:v>45569</c:v>
                </c:pt>
                <c:pt idx="1">
                  <c:v>45576</c:v>
                </c:pt>
                <c:pt idx="2">
                  <c:v>45583</c:v>
                </c:pt>
                <c:pt idx="3">
                  <c:v>45590</c:v>
                </c:pt>
                <c:pt idx="4">
                  <c:v>45597</c:v>
                </c:pt>
                <c:pt idx="5">
                  <c:v>45604</c:v>
                </c:pt>
                <c:pt idx="6">
                  <c:v>45611</c:v>
                </c:pt>
                <c:pt idx="7">
                  <c:v>45618</c:v>
                </c:pt>
              </c:numCache>
            </c:numRef>
          </c:cat>
          <c:val>
            <c:numRef>
              <c:f>'8-Week Movement in NAV'!$B$3:$I$3</c:f>
              <c:numCache>
                <c:formatCode>_-* #,##0.00_-;\-* #,##0.00_-;_-* "-"??_-;_-@_-</c:formatCode>
                <c:ptCount val="8"/>
                <c:pt idx="0">
                  <c:v>3587.8911717657538</c:v>
                </c:pt>
                <c:pt idx="1">
                  <c:v>3608.6485199322269</c:v>
                </c:pt>
                <c:pt idx="2">
                  <c:v>3649.8560176552623</c:v>
                </c:pt>
                <c:pt idx="3">
                  <c:v>3681.0930784539851</c:v>
                </c:pt>
                <c:pt idx="4">
                  <c:v>3756.0739614136678</c:v>
                </c:pt>
                <c:pt idx="5">
                  <c:v>3781.6039580427923</c:v>
                </c:pt>
                <c:pt idx="6">
                  <c:v>3775.5209725078448</c:v>
                </c:pt>
                <c:pt idx="7">
                  <c:v>3826.7471799710661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B-4464-8D73-A29E32154D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7563183"/>
        <c:axId val="917583983"/>
      </c:lineChart>
      <c:dateAx>
        <c:axId val="9175631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3983"/>
        <c:crosses val="autoZero"/>
        <c:auto val="1"/>
        <c:lblOffset val="100"/>
        <c:baseTimeUnit val="days"/>
      </c:dateAx>
      <c:valAx>
        <c:axId val="917583983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chemeClr val="bg1"/>
                </a:solidFill>
              </a:rPr>
              <a:t>8-WEEK MOVEMENT IN </a:t>
            </a:r>
            <a:r>
              <a:rPr lang="en-US"/>
              <a:t>AGGREGATE 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ETFs </a:t>
            </a:r>
            <a:r>
              <a:rPr lang="en-US" sz="1600" b="1" i="0" u="none" strike="noStrike" kern="1200" cap="all" spc="120" normalizeH="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(N'Bn)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'8-Week Movement in ETFs'!$A$3</c:f>
              <c:strCache>
                <c:ptCount val="1"/>
                <c:pt idx="0">
                  <c:v>ETFs AGGREGATE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'8-Week Movement in ETFs'!$B$2:$I$2</c:f>
              <c:numCache>
                <c:formatCode>d\-mmm</c:formatCode>
                <c:ptCount val="8"/>
                <c:pt idx="0">
                  <c:v>45569</c:v>
                </c:pt>
                <c:pt idx="1">
                  <c:v>45576</c:v>
                </c:pt>
                <c:pt idx="2">
                  <c:v>45583</c:v>
                </c:pt>
                <c:pt idx="3">
                  <c:v>45590</c:v>
                </c:pt>
                <c:pt idx="4">
                  <c:v>45597</c:v>
                </c:pt>
                <c:pt idx="5">
                  <c:v>45604</c:v>
                </c:pt>
                <c:pt idx="6">
                  <c:v>45611</c:v>
                </c:pt>
                <c:pt idx="7">
                  <c:v>45618</c:v>
                </c:pt>
              </c:numCache>
            </c:numRef>
          </c:cat>
          <c:val>
            <c:numRef>
              <c:f>'8-Week Movement in ETFs'!$B$3:$I$3</c:f>
              <c:numCache>
                <c:formatCode>_-* #,##0.00_-;\-* #,##0.00_-;_-* "-"??_-;_-@_-</c:formatCode>
                <c:ptCount val="8"/>
                <c:pt idx="0">
                  <c:v>12.728824087969999</c:v>
                </c:pt>
                <c:pt idx="1">
                  <c:v>12.697813827940001</c:v>
                </c:pt>
                <c:pt idx="2">
                  <c:v>12.701048297550301</c:v>
                </c:pt>
                <c:pt idx="3">
                  <c:v>12.789155111611999</c:v>
                </c:pt>
                <c:pt idx="4">
                  <c:v>13.1600670153069</c:v>
                </c:pt>
                <c:pt idx="5">
                  <c:v>12.888080361994271</c:v>
                </c:pt>
                <c:pt idx="6">
                  <c:v>12.879805353681869</c:v>
                </c:pt>
                <c:pt idx="7">
                  <c:v>12.922326068600094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E-4C32-8EA2-A8782F5202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2158223"/>
        <c:axId val="602149103"/>
      </c:lineChart>
      <c:dateAx>
        <c:axId val="6021582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49103"/>
        <c:crosses val="autoZero"/>
        <c:auto val="1"/>
        <c:lblOffset val="100"/>
        <c:baseTimeUnit val="days"/>
      </c:dateAx>
      <c:valAx>
        <c:axId val="6021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510540</xdr:colOff>
      <xdr:row>22</xdr:row>
      <xdr:rowOff>127635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514575</xdr:colOff>
      <xdr:row>30</xdr:row>
      <xdr:rowOff>156883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588819</xdr:colOff>
      <xdr:row>19</xdr:row>
      <xdr:rowOff>8659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38099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AB238"/>
  <sheetViews>
    <sheetView tabSelected="1" view="pageBreakPreview" zoomScale="120" zoomScaleNormal="160" zoomScaleSheetLayoutView="120" workbookViewId="0">
      <selection sqref="A1:V1"/>
    </sheetView>
  </sheetViews>
  <sheetFormatPr defaultColWidth="9" defaultRowHeight="14.4"/>
  <cols>
    <col min="1" max="1" width="6" customWidth="1"/>
    <col min="2" max="2" width="39.109375" customWidth="1"/>
    <col min="3" max="3" width="36.109375" customWidth="1"/>
    <col min="4" max="4" width="21" customWidth="1"/>
    <col min="8" max="8" width="9.88671875" customWidth="1"/>
    <col min="11" max="11" width="20.5546875" customWidth="1"/>
    <col min="13" max="13" width="10" customWidth="1"/>
    <col min="14" max="14" width="10.109375" customWidth="1"/>
    <col min="15" max="15" width="9.88671875" customWidth="1"/>
    <col min="17" max="17" width="9.109375" customWidth="1"/>
    <col min="20" max="20" width="8.33203125" customWidth="1"/>
    <col min="24" max="24" width="18.88671875" customWidth="1"/>
    <col min="25" max="25" width="11.33203125" customWidth="1"/>
    <col min="26" max="26" width="15.88671875" customWidth="1"/>
    <col min="27" max="27" width="17.33203125" customWidth="1"/>
  </cols>
  <sheetData>
    <row r="1" spans="1:25" ht="27">
      <c r="A1" s="176" t="s">
        <v>296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</row>
    <row r="2" spans="1:25" ht="15" customHeight="1">
      <c r="A2" s="43"/>
      <c r="B2" s="44"/>
      <c r="C2" s="44"/>
      <c r="D2" s="177" t="s">
        <v>294</v>
      </c>
      <c r="E2" s="177"/>
      <c r="F2" s="177"/>
      <c r="G2" s="177"/>
      <c r="H2" s="177"/>
      <c r="I2" s="177"/>
      <c r="J2" s="177"/>
      <c r="K2" s="177" t="s">
        <v>297</v>
      </c>
      <c r="L2" s="177"/>
      <c r="M2" s="177"/>
      <c r="N2" s="177"/>
      <c r="O2" s="177"/>
      <c r="P2" s="177"/>
      <c r="Q2" s="177"/>
      <c r="R2" s="177" t="s">
        <v>0</v>
      </c>
      <c r="S2" s="177"/>
      <c r="T2" s="177"/>
      <c r="U2" s="177" t="s">
        <v>1</v>
      </c>
      <c r="V2" s="177"/>
    </row>
    <row r="3" spans="1:25" ht="20.399999999999999">
      <c r="A3" s="45" t="s">
        <v>2</v>
      </c>
      <c r="B3" s="46" t="s">
        <v>3</v>
      </c>
      <c r="C3" s="47" t="s">
        <v>4</v>
      </c>
      <c r="D3" s="48" t="s">
        <v>5</v>
      </c>
      <c r="E3" s="49" t="s">
        <v>6</v>
      </c>
      <c r="F3" s="152" t="s">
        <v>293</v>
      </c>
      <c r="G3" s="49" t="s">
        <v>8</v>
      </c>
      <c r="H3" s="49" t="s">
        <v>9</v>
      </c>
      <c r="I3" s="49" t="s">
        <v>10</v>
      </c>
      <c r="J3" s="49" t="s">
        <v>11</v>
      </c>
      <c r="K3" s="72" t="s">
        <v>5</v>
      </c>
      <c r="L3" s="49" t="s">
        <v>6</v>
      </c>
      <c r="M3" s="49" t="s">
        <v>7</v>
      </c>
      <c r="N3" s="49" t="s">
        <v>8</v>
      </c>
      <c r="O3" s="49" t="s">
        <v>9</v>
      </c>
      <c r="P3" s="49" t="s">
        <v>10</v>
      </c>
      <c r="Q3" s="49" t="s">
        <v>11</v>
      </c>
      <c r="R3" s="48" t="s">
        <v>12</v>
      </c>
      <c r="S3" s="49" t="s">
        <v>13</v>
      </c>
      <c r="T3" s="49" t="s">
        <v>14</v>
      </c>
      <c r="U3" s="49" t="s">
        <v>15</v>
      </c>
      <c r="V3" s="49" t="s">
        <v>16</v>
      </c>
    </row>
    <row r="4" spans="1:25" ht="5.25" customHeight="1">
      <c r="A4" s="50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5" customHeight="1">
      <c r="A5" s="179" t="s">
        <v>17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5">
      <c r="A6" s="169">
        <v>1</v>
      </c>
      <c r="B6" s="167" t="s">
        <v>18</v>
      </c>
      <c r="C6" s="168" t="s">
        <v>19</v>
      </c>
      <c r="D6" s="51">
        <v>1201912793.77</v>
      </c>
      <c r="E6" s="52">
        <f t="shared" ref="E6:E23" si="0">(D6/$D$24)</f>
        <v>3.9846202468316272E-2</v>
      </c>
      <c r="F6" s="53">
        <v>373.98180000000002</v>
      </c>
      <c r="G6" s="53">
        <v>373.98180000000002</v>
      </c>
      <c r="H6" s="54">
        <v>1948</v>
      </c>
      <c r="I6" s="73">
        <v>1.23E-2</v>
      </c>
      <c r="J6" s="73">
        <v>0.2427</v>
      </c>
      <c r="K6" s="51">
        <v>1190194521.9200001</v>
      </c>
      <c r="L6" s="52">
        <f>(K6/$K$24)</f>
        <v>3.9588762394963888E-2</v>
      </c>
      <c r="M6" s="53">
        <v>375.73020000000002</v>
      </c>
      <c r="N6" s="53">
        <v>375.73020000000002</v>
      </c>
      <c r="O6" s="54">
        <v>1948</v>
      </c>
      <c r="P6" s="73">
        <v>4.7000000000000002E-3</v>
      </c>
      <c r="Q6" s="73">
        <v>0.24840000000000001</v>
      </c>
      <c r="R6" s="79">
        <f>((K6-D6)/D6)</f>
        <v>-9.7496855934477485E-3</v>
      </c>
      <c r="S6" s="79">
        <f>((N6-G6)/G6)</f>
        <v>4.675093814725753E-3</v>
      </c>
      <c r="T6" s="79">
        <f>((O6-H6)/H6)</f>
        <v>0</v>
      </c>
      <c r="U6" s="80">
        <f>P6-I6</f>
        <v>-7.6E-3</v>
      </c>
      <c r="V6" s="81">
        <f>Q6-J6</f>
        <v>5.7000000000000106E-3</v>
      </c>
    </row>
    <row r="7" spans="1:25">
      <c r="A7" s="169">
        <v>2</v>
      </c>
      <c r="B7" s="167" t="s">
        <v>20</v>
      </c>
      <c r="C7" s="168" t="s">
        <v>21</v>
      </c>
      <c r="D7" s="55">
        <v>617889357.61000001</v>
      </c>
      <c r="E7" s="52">
        <f t="shared" si="0"/>
        <v>2.0484468235935402E-2</v>
      </c>
      <c r="F7" s="55">
        <v>237.90469999999999</v>
      </c>
      <c r="G7" s="55">
        <v>240.65430000000001</v>
      </c>
      <c r="H7" s="54">
        <v>456</v>
      </c>
      <c r="I7" s="73">
        <v>1.2462000000000001E-2</v>
      </c>
      <c r="J7" s="73">
        <v>0.2298</v>
      </c>
      <c r="K7" s="55">
        <v>632083981.60000002</v>
      </c>
      <c r="L7" s="52">
        <f t="shared" ref="L7:L23" si="1">(K7/$K$24)</f>
        <v>2.1024649416851456E-2</v>
      </c>
      <c r="M7" s="55">
        <v>242.6079</v>
      </c>
      <c r="N7" s="55">
        <v>245.41130000000001</v>
      </c>
      <c r="O7" s="54">
        <v>456</v>
      </c>
      <c r="P7" s="73">
        <v>-4.6119999999999998E-3</v>
      </c>
      <c r="Q7" s="73">
        <v>0.25409999999999999</v>
      </c>
      <c r="R7" s="79">
        <f t="shared" ref="R7:R24" si="2">((K7-D7)/D7)</f>
        <v>2.2972760115022705E-2</v>
      </c>
      <c r="S7" s="79">
        <f t="shared" ref="S7:S24" si="3">((N7-G7)/G7)</f>
        <v>1.9766943703062877E-2</v>
      </c>
      <c r="T7" s="79">
        <f t="shared" ref="T7:T24" si="4">((O7-H7)/H7)</f>
        <v>0</v>
      </c>
      <c r="U7" s="80">
        <f t="shared" ref="U7:U24" si="5">P7-I7</f>
        <v>-1.7073999999999999E-2</v>
      </c>
      <c r="V7" s="81">
        <f t="shared" ref="V7:V24" si="6">Q7-J7</f>
        <v>2.4299999999999988E-2</v>
      </c>
    </row>
    <row r="8" spans="1:25">
      <c r="A8" s="169">
        <v>3</v>
      </c>
      <c r="B8" s="167" t="s">
        <v>22</v>
      </c>
      <c r="C8" s="168" t="s">
        <v>23</v>
      </c>
      <c r="D8" s="55">
        <v>3920541452.6500001</v>
      </c>
      <c r="E8" s="52">
        <f t="shared" si="0"/>
        <v>0.12997506085088981</v>
      </c>
      <c r="F8" s="55">
        <v>35.487900000000003</v>
      </c>
      <c r="G8" s="55">
        <v>36.557899999999997</v>
      </c>
      <c r="H8" s="56">
        <v>6613</v>
      </c>
      <c r="I8" s="74">
        <v>0.29249999999999998</v>
      </c>
      <c r="J8" s="74">
        <v>0.18490000000000001</v>
      </c>
      <c r="K8" s="55">
        <v>3876264524.3200002</v>
      </c>
      <c r="L8" s="52">
        <f t="shared" si="1"/>
        <v>0.12893397878002241</v>
      </c>
      <c r="M8" s="55">
        <v>35.102899999999998</v>
      </c>
      <c r="N8" s="55">
        <v>36.161299999999997</v>
      </c>
      <c r="O8" s="56">
        <v>6612</v>
      </c>
      <c r="P8" s="74">
        <v>-0.56720000000000004</v>
      </c>
      <c r="Q8" s="74">
        <v>0.1668</v>
      </c>
      <c r="R8" s="79">
        <f t="shared" si="2"/>
        <v>-1.1293574845400996E-2</v>
      </c>
      <c r="S8" s="79">
        <f t="shared" si="3"/>
        <v>-1.0848544363872089E-2</v>
      </c>
      <c r="T8" s="79">
        <f t="shared" si="4"/>
        <v>-1.5121729925903524E-4</v>
      </c>
      <c r="U8" s="80">
        <f t="shared" si="5"/>
        <v>-0.85970000000000002</v>
      </c>
      <c r="V8" s="81">
        <f t="shared" si="6"/>
        <v>-1.8100000000000005E-2</v>
      </c>
      <c r="X8" s="82"/>
      <c r="Y8" s="82"/>
    </row>
    <row r="9" spans="1:25">
      <c r="A9" s="169">
        <v>4</v>
      </c>
      <c r="B9" s="167" t="s">
        <v>24</v>
      </c>
      <c r="C9" s="168" t="s">
        <v>25</v>
      </c>
      <c r="D9" s="55">
        <v>571877364.99000001</v>
      </c>
      <c r="E9" s="52">
        <f t="shared" si="0"/>
        <v>1.895906374451933E-2</v>
      </c>
      <c r="F9" s="55">
        <v>209.3777</v>
      </c>
      <c r="G9" s="55">
        <v>209.3777</v>
      </c>
      <c r="H9" s="54">
        <v>1840</v>
      </c>
      <c r="I9" s="73">
        <v>2.1600000000000001E-2</v>
      </c>
      <c r="J9" s="73">
        <v>0.20610000000000001</v>
      </c>
      <c r="K9" s="55">
        <v>575846073.72000003</v>
      </c>
      <c r="L9" s="52">
        <f t="shared" si="1"/>
        <v>1.9154039922649101E-2</v>
      </c>
      <c r="M9" s="55">
        <v>209.82900000000001</v>
      </c>
      <c r="N9" s="55">
        <v>209.82900000000001</v>
      </c>
      <c r="O9" s="54">
        <v>1843</v>
      </c>
      <c r="P9" s="73">
        <v>2.2000000000000001E-3</v>
      </c>
      <c r="Q9" s="73">
        <v>0.20383000000000001</v>
      </c>
      <c r="R9" s="79">
        <f t="shared" si="2"/>
        <v>6.9397898447500486E-3</v>
      </c>
      <c r="S9" s="79">
        <f t="shared" si="3"/>
        <v>2.155434891108286E-3</v>
      </c>
      <c r="T9" s="79">
        <f t="shared" si="4"/>
        <v>1.6304347826086956E-3</v>
      </c>
      <c r="U9" s="80">
        <f t="shared" si="5"/>
        <v>-1.9400000000000001E-2</v>
      </c>
      <c r="V9" s="81">
        <f t="shared" si="6"/>
        <v>-2.2699999999999942E-3</v>
      </c>
    </row>
    <row r="10" spans="1:25">
      <c r="A10" s="169">
        <v>5</v>
      </c>
      <c r="B10" s="167" t="s">
        <v>26</v>
      </c>
      <c r="C10" s="168" t="s">
        <v>27</v>
      </c>
      <c r="D10" s="55">
        <v>934672825.36000001</v>
      </c>
      <c r="E10" s="52">
        <f t="shared" si="0"/>
        <v>3.0986576425489562E-2</v>
      </c>
      <c r="F10" s="55">
        <v>1.1910000000000001</v>
      </c>
      <c r="G10" s="55">
        <v>1.2022999999999999</v>
      </c>
      <c r="H10" s="54">
        <v>508</v>
      </c>
      <c r="I10" s="73">
        <v>2.35E-2</v>
      </c>
      <c r="J10" s="73">
        <v>0.19670000000000001</v>
      </c>
      <c r="K10" s="55">
        <v>914158929.48000002</v>
      </c>
      <c r="L10" s="52">
        <f t="shared" si="1"/>
        <v>3.0407147725765485E-2</v>
      </c>
      <c r="M10" s="55">
        <v>1.1657</v>
      </c>
      <c r="N10" s="55">
        <v>1.1768000000000001</v>
      </c>
      <c r="O10" s="54">
        <v>508</v>
      </c>
      <c r="P10" s="73">
        <v>-2.1899999999999999E-2</v>
      </c>
      <c r="Q10" s="73">
        <v>0.17130000000000001</v>
      </c>
      <c r="R10" s="79">
        <f t="shared" si="2"/>
        <v>-2.1947675511052579E-2</v>
      </c>
      <c r="S10" s="79">
        <f t="shared" si="3"/>
        <v>-2.1209348748232437E-2</v>
      </c>
      <c r="T10" s="79">
        <f t="shared" si="4"/>
        <v>0</v>
      </c>
      <c r="U10" s="80">
        <f t="shared" si="5"/>
        <v>-4.5399999999999996E-2</v>
      </c>
      <c r="V10" s="81">
        <f t="shared" si="6"/>
        <v>-2.5400000000000006E-2</v>
      </c>
    </row>
    <row r="11" spans="1:25">
      <c r="A11" s="169">
        <v>6</v>
      </c>
      <c r="B11" s="167" t="s">
        <v>28</v>
      </c>
      <c r="C11" s="168" t="s">
        <v>29</v>
      </c>
      <c r="D11" s="57">
        <v>93334178.489999995</v>
      </c>
      <c r="E11" s="52">
        <f t="shared" si="0"/>
        <v>3.0942449340781259E-3</v>
      </c>
      <c r="F11" s="55">
        <v>167.38820000000001</v>
      </c>
      <c r="G11" s="55">
        <v>168.02019999999999</v>
      </c>
      <c r="H11" s="56">
        <v>94</v>
      </c>
      <c r="I11" s="74">
        <v>2.7989999999999998E-3</v>
      </c>
      <c r="J11" s="74">
        <v>0.2079</v>
      </c>
      <c r="K11" s="57">
        <v>93349061.900000006</v>
      </c>
      <c r="L11" s="52">
        <f t="shared" si="1"/>
        <v>3.1050166702080296E-3</v>
      </c>
      <c r="M11" s="55">
        <v>167.49260000000001</v>
      </c>
      <c r="N11" s="55">
        <v>168.04349999999999</v>
      </c>
      <c r="O11" s="56">
        <v>94</v>
      </c>
      <c r="P11" s="74">
        <v>5.2499999999999997E-4</v>
      </c>
      <c r="Q11" s="74">
        <v>0.2084</v>
      </c>
      <c r="R11" s="79">
        <f t="shared" si="2"/>
        <v>1.5946366315964267E-4</v>
      </c>
      <c r="S11" s="79">
        <f t="shared" si="3"/>
        <v>1.3867380231666248E-4</v>
      </c>
      <c r="T11" s="79">
        <f t="shared" si="4"/>
        <v>0</v>
      </c>
      <c r="U11" s="80">
        <f t="shared" si="5"/>
        <v>-2.274E-3</v>
      </c>
      <c r="V11" s="81">
        <f t="shared" si="6"/>
        <v>5.0000000000000044E-4</v>
      </c>
    </row>
    <row r="12" spans="1:25">
      <c r="A12" s="169">
        <v>7</v>
      </c>
      <c r="B12" s="167" t="s">
        <v>30</v>
      </c>
      <c r="C12" s="168" t="s">
        <v>31</v>
      </c>
      <c r="D12" s="55">
        <v>1087140433.24</v>
      </c>
      <c r="E12" s="52">
        <f t="shared" si="0"/>
        <v>3.6041231975323822E-2</v>
      </c>
      <c r="F12" s="55">
        <v>301.5</v>
      </c>
      <c r="G12" s="55">
        <v>305.7</v>
      </c>
      <c r="H12" s="56">
        <v>1634</v>
      </c>
      <c r="I12" s="74">
        <v>3.5000000000000001E-3</v>
      </c>
      <c r="J12" s="74">
        <v>0.34229999999999999</v>
      </c>
      <c r="K12" s="55">
        <v>1128169271.54</v>
      </c>
      <c r="L12" s="52">
        <f t="shared" si="1"/>
        <v>3.7525651823911356E-2</v>
      </c>
      <c r="M12" s="55">
        <v>300.56</v>
      </c>
      <c r="N12" s="55">
        <v>304.75</v>
      </c>
      <c r="O12" s="56">
        <v>1634</v>
      </c>
      <c r="P12" s="74">
        <v>-3.0999999999999999E-3</v>
      </c>
      <c r="Q12" s="74">
        <v>0.33860000000000001</v>
      </c>
      <c r="R12" s="79">
        <f t="shared" si="2"/>
        <v>3.7740145656915622E-2</v>
      </c>
      <c r="S12" s="79">
        <f t="shared" si="3"/>
        <v>-3.1076218514883504E-3</v>
      </c>
      <c r="T12" s="79">
        <f t="shared" si="4"/>
        <v>0</v>
      </c>
      <c r="U12" s="80">
        <f t="shared" si="5"/>
        <v>-6.6E-3</v>
      </c>
      <c r="V12" s="81">
        <f t="shared" si="6"/>
        <v>-3.6999999999999811E-3</v>
      </c>
    </row>
    <row r="13" spans="1:25">
      <c r="A13" s="169">
        <v>8</v>
      </c>
      <c r="B13" s="167" t="s">
        <v>32</v>
      </c>
      <c r="C13" s="168" t="s">
        <v>33</v>
      </c>
      <c r="D13" s="51">
        <v>406528555.00999999</v>
      </c>
      <c r="E13" s="52">
        <f t="shared" si="0"/>
        <v>1.3477366407982761E-2</v>
      </c>
      <c r="F13" s="55">
        <v>203.94</v>
      </c>
      <c r="G13" s="55">
        <v>212.87</v>
      </c>
      <c r="H13" s="54">
        <v>2465</v>
      </c>
      <c r="I13" s="73">
        <v>1.01E-2</v>
      </c>
      <c r="J13" s="73">
        <v>0.62229999999999996</v>
      </c>
      <c r="K13" s="51">
        <v>412184037.86000001</v>
      </c>
      <c r="L13" s="52">
        <f t="shared" si="1"/>
        <v>1.3710242853002442E-2</v>
      </c>
      <c r="M13" s="55">
        <v>206.78</v>
      </c>
      <c r="N13" s="55">
        <v>215.78</v>
      </c>
      <c r="O13" s="54">
        <v>2466</v>
      </c>
      <c r="P13" s="73">
        <v>1.3899999999999999E-2</v>
      </c>
      <c r="Q13" s="73">
        <v>0.23236999999999999</v>
      </c>
      <c r="R13" s="79">
        <f t="shared" si="2"/>
        <v>1.3911649699148211E-2</v>
      </c>
      <c r="S13" s="79">
        <f t="shared" si="3"/>
        <v>1.3670315215859428E-2</v>
      </c>
      <c r="T13" s="79">
        <f t="shared" si="4"/>
        <v>4.0567951318458417E-4</v>
      </c>
      <c r="U13" s="80">
        <f t="shared" si="5"/>
        <v>3.7999999999999996E-3</v>
      </c>
      <c r="V13" s="81">
        <f t="shared" si="6"/>
        <v>-0.38993</v>
      </c>
    </row>
    <row r="14" spans="1:25">
      <c r="A14" s="169">
        <v>9</v>
      </c>
      <c r="B14" s="167" t="s">
        <v>34</v>
      </c>
      <c r="C14" s="168" t="s">
        <v>35</v>
      </c>
      <c r="D14" s="57">
        <v>56204312.670000002</v>
      </c>
      <c r="E14" s="52">
        <f t="shared" si="0"/>
        <v>1.8633035889540034E-3</v>
      </c>
      <c r="F14" s="55">
        <v>201.86</v>
      </c>
      <c r="G14" s="55">
        <v>208.24</v>
      </c>
      <c r="H14" s="54">
        <v>16</v>
      </c>
      <c r="I14" s="73">
        <v>8.5000000000000006E-3</v>
      </c>
      <c r="J14" s="73">
        <v>0.1206</v>
      </c>
      <c r="K14" s="57">
        <v>57232556.009999998</v>
      </c>
      <c r="L14" s="52">
        <f t="shared" si="1"/>
        <v>1.9036939083547956E-3</v>
      </c>
      <c r="M14" s="55">
        <v>203.83</v>
      </c>
      <c r="N14" s="55">
        <v>210.27</v>
      </c>
      <c r="O14" s="54">
        <v>16</v>
      </c>
      <c r="P14" s="73">
        <v>9.7999999999999997E-3</v>
      </c>
      <c r="Q14" s="73">
        <v>0.13150000000000001</v>
      </c>
      <c r="R14" s="79">
        <f t="shared" si="2"/>
        <v>1.8294740939850302E-2</v>
      </c>
      <c r="S14" s="79">
        <f t="shared" si="3"/>
        <v>9.7483672685363086E-3</v>
      </c>
      <c r="T14" s="79">
        <f t="shared" si="4"/>
        <v>0</v>
      </c>
      <c r="U14" s="80">
        <f t="shared" si="5"/>
        <v>1.2999999999999991E-3</v>
      </c>
      <c r="V14" s="81">
        <f t="shared" si="6"/>
        <v>1.0900000000000007E-2</v>
      </c>
    </row>
    <row r="15" spans="1:25" ht="14.25" customHeight="1">
      <c r="A15" s="169">
        <v>10</v>
      </c>
      <c r="B15" s="167" t="s">
        <v>36</v>
      </c>
      <c r="C15" s="168" t="s">
        <v>37</v>
      </c>
      <c r="D15" s="51">
        <v>585039911.95000005</v>
      </c>
      <c r="E15" s="52">
        <f t="shared" si="0"/>
        <v>1.9395432767201726E-2</v>
      </c>
      <c r="F15" s="55">
        <v>2.003101</v>
      </c>
      <c r="G15" s="55">
        <v>2.0345710000000001</v>
      </c>
      <c r="H15" s="54">
        <v>464</v>
      </c>
      <c r="I15" s="73">
        <v>4.8999999999999998E-3</v>
      </c>
      <c r="J15" s="73">
        <v>0.182</v>
      </c>
      <c r="K15" s="51">
        <v>581827643.07000005</v>
      </c>
      <c r="L15" s="52">
        <f t="shared" si="1"/>
        <v>1.9353001456570582E-2</v>
      </c>
      <c r="M15" s="55">
        <v>1.993614</v>
      </c>
      <c r="N15" s="55">
        <v>2.0261809999999998</v>
      </c>
      <c r="O15" s="54">
        <v>468</v>
      </c>
      <c r="P15" s="73">
        <v>-4.7361565892084512E-3</v>
      </c>
      <c r="Q15" s="73">
        <v>0.17638166047087966</v>
      </c>
      <c r="R15" s="79">
        <f t="shared" si="2"/>
        <v>-5.4906833096107282E-3</v>
      </c>
      <c r="S15" s="79">
        <f t="shared" si="3"/>
        <v>-4.123719447490572E-3</v>
      </c>
      <c r="T15" s="79">
        <f t="shared" si="4"/>
        <v>8.6206896551724137E-3</v>
      </c>
      <c r="U15" s="80">
        <f t="shared" si="5"/>
        <v>-9.636156589208451E-3</v>
      </c>
      <c r="V15" s="81">
        <f t="shared" si="6"/>
        <v>-5.6183395291203309E-3</v>
      </c>
    </row>
    <row r="16" spans="1:25" ht="14.25" customHeight="1">
      <c r="A16" s="169">
        <v>11</v>
      </c>
      <c r="B16" s="167" t="s">
        <v>38</v>
      </c>
      <c r="C16" s="168" t="s">
        <v>39</v>
      </c>
      <c r="D16" s="51">
        <v>14314515.640000001</v>
      </c>
      <c r="E16" s="52">
        <f t="shared" si="0"/>
        <v>4.7455946170456412E-4</v>
      </c>
      <c r="F16" s="55">
        <v>12.38</v>
      </c>
      <c r="G16" s="55">
        <v>13.07</v>
      </c>
      <c r="H16" s="54">
        <v>28</v>
      </c>
      <c r="I16" s="73">
        <v>-0.33</v>
      </c>
      <c r="J16" s="73">
        <v>0.80159999999999998</v>
      </c>
      <c r="K16" s="51">
        <v>14182558.289999999</v>
      </c>
      <c r="L16" s="52">
        <f t="shared" si="1"/>
        <v>4.717463573851628E-4</v>
      </c>
      <c r="M16" s="55">
        <v>12.26</v>
      </c>
      <c r="N16" s="55">
        <v>12.97</v>
      </c>
      <c r="O16" s="54">
        <v>28</v>
      </c>
      <c r="P16" s="73">
        <v>3.4099999999999998E-2</v>
      </c>
      <c r="Q16" s="73">
        <v>0.77680000000000005</v>
      </c>
      <c r="R16" s="79">
        <f t="shared" ref="R16" si="7">((K16-D16)/D16)</f>
        <v>-9.2184292726792873E-3</v>
      </c>
      <c r="S16" s="79">
        <f t="shared" ref="S16" si="8">((N16-G16)/G16)</f>
        <v>-7.6511094108645478E-3</v>
      </c>
      <c r="T16" s="79">
        <f t="shared" ref="T16" si="9">((O16-H16)/H16)</f>
        <v>0</v>
      </c>
      <c r="U16" s="80">
        <f t="shared" ref="U16" si="10">P16-I16</f>
        <v>0.36410000000000003</v>
      </c>
      <c r="V16" s="81">
        <f t="shared" ref="V16" si="11">Q16-J16</f>
        <v>-2.4799999999999933E-2</v>
      </c>
    </row>
    <row r="17" spans="1:22">
      <c r="A17" s="169">
        <v>12</v>
      </c>
      <c r="B17" s="167" t="s">
        <v>40</v>
      </c>
      <c r="C17" s="168" t="s">
        <v>41</v>
      </c>
      <c r="D17" s="51">
        <v>1712808350.5699999</v>
      </c>
      <c r="E17" s="52">
        <f t="shared" si="0"/>
        <v>5.678357754405873E-2</v>
      </c>
      <c r="F17" s="55">
        <v>3.48</v>
      </c>
      <c r="G17" s="55">
        <v>3.56</v>
      </c>
      <c r="H17" s="54">
        <v>3661</v>
      </c>
      <c r="I17" s="73">
        <v>-2.8999999999999998E-3</v>
      </c>
      <c r="J17" s="73">
        <v>0.25800000000000001</v>
      </c>
      <c r="K17" s="51">
        <v>1719470625.3199999</v>
      </c>
      <c r="L17" s="52">
        <f t="shared" si="1"/>
        <v>5.7193771923182278E-2</v>
      </c>
      <c r="M17" s="55">
        <v>3.5</v>
      </c>
      <c r="N17" s="55">
        <v>3.57</v>
      </c>
      <c r="O17" s="54">
        <v>3661</v>
      </c>
      <c r="P17" s="73">
        <v>-6.6E-3</v>
      </c>
      <c r="Q17" s="73">
        <v>0.26290000000000002</v>
      </c>
      <c r="R17" s="79">
        <f t="shared" si="2"/>
        <v>3.8896790454010124E-3</v>
      </c>
      <c r="S17" s="79">
        <f t="shared" si="3"/>
        <v>2.8089887640448839E-3</v>
      </c>
      <c r="T17" s="79">
        <f t="shared" si="4"/>
        <v>0</v>
      </c>
      <c r="U17" s="80">
        <f t="shared" si="5"/>
        <v>-3.7000000000000002E-3</v>
      </c>
      <c r="V17" s="81">
        <f t="shared" si="6"/>
        <v>4.9000000000000155E-3</v>
      </c>
    </row>
    <row r="18" spans="1:22">
      <c r="A18" s="169">
        <v>13</v>
      </c>
      <c r="B18" s="167" t="s">
        <v>42</v>
      </c>
      <c r="C18" s="168" t="s">
        <v>43</v>
      </c>
      <c r="D18" s="55">
        <v>662064359.64999998</v>
      </c>
      <c r="E18" s="52">
        <f t="shared" si="0"/>
        <v>2.1948972220290991E-2</v>
      </c>
      <c r="F18" s="55">
        <v>22.426721000000001</v>
      </c>
      <c r="G18" s="55">
        <v>22.535708</v>
      </c>
      <c r="H18" s="54">
        <v>338</v>
      </c>
      <c r="I18" s="73">
        <v>-1.4179692162755386E-2</v>
      </c>
      <c r="J18" s="73">
        <v>0.25866644865273525</v>
      </c>
      <c r="K18" s="55">
        <v>671216557.85000002</v>
      </c>
      <c r="L18" s="52">
        <f t="shared" si="1"/>
        <v>2.2326294009001737E-2</v>
      </c>
      <c r="M18" s="55">
        <v>22.502258999999999</v>
      </c>
      <c r="N18" s="55">
        <v>22.618040000000001</v>
      </c>
      <c r="O18" s="54">
        <v>347</v>
      </c>
      <c r="P18" s="73">
        <v>1.7800309262631542E-2</v>
      </c>
      <c r="Q18" s="73">
        <v>0.28010156820245746</v>
      </c>
      <c r="R18" s="79">
        <f t="shared" si="2"/>
        <v>1.3823728866538524E-2</v>
      </c>
      <c r="S18" s="79">
        <f t="shared" si="3"/>
        <v>3.6534019698871213E-3</v>
      </c>
      <c r="T18" s="79">
        <f t="shared" si="4"/>
        <v>2.6627218934911243E-2</v>
      </c>
      <c r="U18" s="80">
        <f t="shared" si="5"/>
        <v>3.1980001425386928E-2</v>
      </c>
      <c r="V18" s="81">
        <f t="shared" si="6"/>
        <v>2.1435119549722215E-2</v>
      </c>
    </row>
    <row r="19" spans="1:22">
      <c r="A19" s="169">
        <v>14</v>
      </c>
      <c r="B19" s="167" t="s">
        <v>44</v>
      </c>
      <c r="C19" s="168" t="s">
        <v>45</v>
      </c>
      <c r="D19" s="55">
        <v>125962951.45</v>
      </c>
      <c r="E19" s="52">
        <f t="shared" si="0"/>
        <v>4.1759645899433406E-3</v>
      </c>
      <c r="F19" s="55">
        <v>1.360905</v>
      </c>
      <c r="G19" s="55">
        <v>1.4094709999999999</v>
      </c>
      <c r="H19" s="54">
        <v>21</v>
      </c>
      <c r="I19" s="73">
        <v>1.61E-2</v>
      </c>
      <c r="J19" s="73">
        <v>-0.3619</v>
      </c>
      <c r="K19" s="55">
        <v>127607777.31999999</v>
      </c>
      <c r="L19" s="52">
        <f t="shared" si="1"/>
        <v>4.2445448059376173E-3</v>
      </c>
      <c r="M19" s="55">
        <v>1.3786750000000001</v>
      </c>
      <c r="N19" s="55">
        <v>1.427859</v>
      </c>
      <c r="O19" s="54">
        <v>21</v>
      </c>
      <c r="P19" s="73">
        <v>6.0000000000000001E-3</v>
      </c>
      <c r="Q19" s="73">
        <v>-0.35360000000000003</v>
      </c>
      <c r="R19" s="79">
        <f t="shared" si="2"/>
        <v>1.3058013098818905E-2</v>
      </c>
      <c r="S19" s="79">
        <f t="shared" si="3"/>
        <v>1.3046029325896078E-2</v>
      </c>
      <c r="T19" s="79">
        <f t="shared" si="4"/>
        <v>0</v>
      </c>
      <c r="U19" s="80">
        <f t="shared" si="5"/>
        <v>-1.01E-2</v>
      </c>
      <c r="V19" s="81">
        <f t="shared" si="6"/>
        <v>8.2999999999999741E-3</v>
      </c>
    </row>
    <row r="20" spans="1:22">
      <c r="A20" s="169">
        <v>15</v>
      </c>
      <c r="B20" s="167" t="s">
        <v>46</v>
      </c>
      <c r="C20" s="168" t="s">
        <v>47</v>
      </c>
      <c r="D20" s="51">
        <v>1671592838.3399999</v>
      </c>
      <c r="E20" s="52">
        <f t="shared" si="0"/>
        <v>5.5417187525028597E-2</v>
      </c>
      <c r="F20" s="55">
        <v>29.56</v>
      </c>
      <c r="G20" s="55">
        <v>30.16</v>
      </c>
      <c r="H20" s="54">
        <v>8834</v>
      </c>
      <c r="I20" s="73">
        <v>4.3E-3</v>
      </c>
      <c r="J20" s="73">
        <v>0.17449999999999999</v>
      </c>
      <c r="K20" s="51">
        <v>1660903021.3</v>
      </c>
      <c r="L20" s="52">
        <f t="shared" si="1"/>
        <v>5.5245671073373498E-2</v>
      </c>
      <c r="M20" s="55">
        <v>29.36</v>
      </c>
      <c r="N20" s="55">
        <v>29.95</v>
      </c>
      <c r="O20" s="54">
        <v>8834</v>
      </c>
      <c r="P20" s="73">
        <v>-1.6000000000000001E-3</v>
      </c>
      <c r="Q20" s="73">
        <v>0.16639999999999999</v>
      </c>
      <c r="R20" s="79">
        <f t="shared" si="2"/>
        <v>-6.3949885371701182E-3</v>
      </c>
      <c r="S20" s="79">
        <f t="shared" si="3"/>
        <v>-6.9628647214854391E-3</v>
      </c>
      <c r="T20" s="79">
        <f t="shared" si="4"/>
        <v>0</v>
      </c>
      <c r="U20" s="80">
        <f t="shared" si="5"/>
        <v>-5.8999999999999999E-3</v>
      </c>
      <c r="V20" s="81">
        <f t="shared" si="6"/>
        <v>-8.0999999999999961E-3</v>
      </c>
    </row>
    <row r="21" spans="1:22" ht="12.75" customHeight="1">
      <c r="A21" s="169">
        <v>16</v>
      </c>
      <c r="B21" s="167" t="s">
        <v>48</v>
      </c>
      <c r="C21" s="168" t="s">
        <v>49</v>
      </c>
      <c r="D21" s="55">
        <v>700835524.32000005</v>
      </c>
      <c r="E21" s="52">
        <f t="shared" si="0"/>
        <v>2.3234326436820683E-2</v>
      </c>
      <c r="F21" s="55">
        <v>7470.55</v>
      </c>
      <c r="G21" s="55">
        <v>7571.64</v>
      </c>
      <c r="H21" s="54">
        <v>19</v>
      </c>
      <c r="I21" s="73">
        <v>8.5000000000000006E-3</v>
      </c>
      <c r="J21" s="73">
        <v>0.38990000000000002</v>
      </c>
      <c r="K21" s="55">
        <v>711733855.11000001</v>
      </c>
      <c r="L21" s="52">
        <f t="shared" si="1"/>
        <v>2.367399778730906E-2</v>
      </c>
      <c r="M21" s="55">
        <v>7565.89</v>
      </c>
      <c r="N21" s="55">
        <v>7667.18</v>
      </c>
      <c r="O21" s="54">
        <v>19</v>
      </c>
      <c r="P21" s="73">
        <v>1.26E-2</v>
      </c>
      <c r="Q21" s="73">
        <v>0.40739999999999998</v>
      </c>
      <c r="R21" s="79">
        <f t="shared" si="2"/>
        <v>1.5550482833435547E-2</v>
      </c>
      <c r="S21" s="79">
        <f t="shared" si="3"/>
        <v>1.2618138210480155E-2</v>
      </c>
      <c r="T21" s="79">
        <f t="shared" si="4"/>
        <v>0</v>
      </c>
      <c r="U21" s="80">
        <f t="shared" si="5"/>
        <v>4.0999999999999995E-3</v>
      </c>
      <c r="V21" s="81">
        <f t="shared" si="6"/>
        <v>1.749999999999996E-2</v>
      </c>
    </row>
    <row r="22" spans="1:22">
      <c r="A22" s="169">
        <v>17</v>
      </c>
      <c r="B22" s="167" t="s">
        <v>50</v>
      </c>
      <c r="C22" s="168" t="s">
        <v>49</v>
      </c>
      <c r="D22" s="55">
        <v>12272650845.190001</v>
      </c>
      <c r="E22" s="52">
        <f t="shared" si="0"/>
        <v>0.40686689827679212</v>
      </c>
      <c r="F22" s="55">
        <v>24379.98</v>
      </c>
      <c r="G22" s="55">
        <v>24752.6</v>
      </c>
      <c r="H22" s="54">
        <v>17442</v>
      </c>
      <c r="I22" s="73">
        <v>7.3000000000000001E-3</v>
      </c>
      <c r="J22" s="73">
        <v>0.34799999999999998</v>
      </c>
      <c r="K22" s="55">
        <v>12197921622.959999</v>
      </c>
      <c r="L22" s="52">
        <f t="shared" si="1"/>
        <v>0.40573251846660263</v>
      </c>
      <c r="M22" s="55">
        <v>24231.06</v>
      </c>
      <c r="N22" s="55">
        <v>24601.15</v>
      </c>
      <c r="O22" s="54">
        <v>17444</v>
      </c>
      <c r="P22" s="73">
        <v>-6.1000000000000004E-3</v>
      </c>
      <c r="Q22" s="73">
        <v>0.3397</v>
      </c>
      <c r="R22" s="79">
        <f t="shared" si="2"/>
        <v>-6.0890856566077527E-3</v>
      </c>
      <c r="S22" s="79">
        <f t="shared" si="3"/>
        <v>-6.1185491625121036E-3</v>
      </c>
      <c r="T22" s="79">
        <f t="shared" si="4"/>
        <v>1.1466574934067194E-4</v>
      </c>
      <c r="U22" s="80">
        <f t="shared" si="5"/>
        <v>-1.34E-2</v>
      </c>
      <c r="V22" s="81">
        <f t="shared" si="6"/>
        <v>-8.2999999999999741E-3</v>
      </c>
    </row>
    <row r="23" spans="1:22">
      <c r="A23" s="169">
        <v>18</v>
      </c>
      <c r="B23" s="168" t="s">
        <v>51</v>
      </c>
      <c r="C23" s="168" t="s">
        <v>52</v>
      </c>
      <c r="D23" s="55">
        <v>3528427214.4899998</v>
      </c>
      <c r="E23" s="52">
        <f t="shared" si="0"/>
        <v>0.1169755625466702</v>
      </c>
      <c r="F23" s="55">
        <v>1.4172</v>
      </c>
      <c r="G23" s="53">
        <v>1.4308000000000001</v>
      </c>
      <c r="H23" s="54">
        <v>4400</v>
      </c>
      <c r="I23" s="73">
        <v>-8.0000000000000004E-4</v>
      </c>
      <c r="J23" s="73">
        <v>0.26290000000000002</v>
      </c>
      <c r="K23" s="55">
        <v>3499602085.0100002</v>
      </c>
      <c r="L23" s="52">
        <f t="shared" si="1"/>
        <v>0.11640527062490842</v>
      </c>
      <c r="M23" s="55">
        <v>1.4054</v>
      </c>
      <c r="N23" s="53">
        <v>1.4189000000000001</v>
      </c>
      <c r="O23" s="54">
        <v>4436</v>
      </c>
      <c r="P23" s="73">
        <v>-8.3000000000000001E-3</v>
      </c>
      <c r="Q23" s="73">
        <v>0.25430000000000003</v>
      </c>
      <c r="R23" s="79">
        <f t="shared" si="2"/>
        <v>-8.169398921316828E-3</v>
      </c>
      <c r="S23" s="79">
        <f t="shared" si="3"/>
        <v>-8.3170254403131267E-3</v>
      </c>
      <c r="T23" s="79">
        <f t="shared" si="4"/>
        <v>8.1818181818181825E-3</v>
      </c>
      <c r="U23" s="80">
        <f t="shared" si="5"/>
        <v>-7.4999999999999997E-3</v>
      </c>
      <c r="V23" s="81">
        <f t="shared" si="6"/>
        <v>-8.5999999999999965E-3</v>
      </c>
    </row>
    <row r="24" spans="1:22">
      <c r="A24" s="58"/>
      <c r="B24" s="59"/>
      <c r="C24" s="60" t="s">
        <v>53</v>
      </c>
      <c r="D24" s="61">
        <f>SUM(D6:D23)</f>
        <v>30163797785.389999</v>
      </c>
      <c r="E24" s="62">
        <f>(D24/$D$206)</f>
        <v>7.9893074373134938E-3</v>
      </c>
      <c r="F24" s="63"/>
      <c r="G24" s="64"/>
      <c r="H24" s="65">
        <f>SUM(H6:H23)</f>
        <v>50781</v>
      </c>
      <c r="I24" s="75"/>
      <c r="J24" s="54">
        <v>0</v>
      </c>
      <c r="K24" s="61">
        <f>SUM(K6:K23)</f>
        <v>30063948704.580002</v>
      </c>
      <c r="L24" s="62">
        <f>(K24/$K$206)</f>
        <v>7.8562672919529827E-3</v>
      </c>
      <c r="M24" s="63"/>
      <c r="N24" s="64"/>
      <c r="O24" s="65">
        <f>SUM(O6:O23)</f>
        <v>50835</v>
      </c>
      <c r="P24" s="75"/>
      <c r="Q24" s="65"/>
      <c r="R24" s="79">
        <f t="shared" si="2"/>
        <v>-3.3102290872126191E-3</v>
      </c>
      <c r="S24" s="79" t="e">
        <f t="shared" si="3"/>
        <v>#DIV/0!</v>
      </c>
      <c r="T24" s="79">
        <f t="shared" si="4"/>
        <v>1.0633898505346489E-3</v>
      </c>
      <c r="U24" s="80">
        <f t="shared" si="5"/>
        <v>0</v>
      </c>
      <c r="V24" s="81">
        <f t="shared" si="6"/>
        <v>0</v>
      </c>
    </row>
    <row r="25" spans="1:22" ht="4.5" customHeight="1">
      <c r="A25" s="58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</row>
    <row r="26" spans="1:22" ht="15" customHeight="1">
      <c r="A26" s="179" t="s">
        <v>54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>
      <c r="A27" s="166">
        <v>19</v>
      </c>
      <c r="B27" s="167" t="s">
        <v>55</v>
      </c>
      <c r="C27" s="168" t="s">
        <v>19</v>
      </c>
      <c r="D27" s="67">
        <v>1554745375.78</v>
      </c>
      <c r="E27" s="52">
        <f>(D27/$K$63)</f>
        <v>9.9122347017896071E-4</v>
      </c>
      <c r="F27" s="53">
        <v>100</v>
      </c>
      <c r="G27" s="53">
        <v>100</v>
      </c>
      <c r="H27" s="54">
        <v>876</v>
      </c>
      <c r="I27" s="73">
        <v>0.20399999999999999</v>
      </c>
      <c r="J27" s="73">
        <v>0.20399999999999999</v>
      </c>
      <c r="K27" s="67">
        <v>1549343887.55</v>
      </c>
      <c r="L27" s="52">
        <f t="shared" ref="L27:L62" si="12">(K27/$K$63)</f>
        <v>9.8777976679776552E-4</v>
      </c>
      <c r="M27" s="53">
        <v>100</v>
      </c>
      <c r="N27" s="53">
        <v>100</v>
      </c>
      <c r="O27" s="54">
        <v>876</v>
      </c>
      <c r="P27" s="73">
        <v>0.21690000000000001</v>
      </c>
      <c r="Q27" s="73">
        <v>0.21690000000000001</v>
      </c>
      <c r="R27" s="79">
        <f>((K27-D27)/D27)</f>
        <v>-3.4741947550673033E-3</v>
      </c>
      <c r="S27" s="79">
        <f>((N27-G27)/G27)</f>
        <v>0</v>
      </c>
      <c r="T27" s="79">
        <f>((O27-H27)/H27)</f>
        <v>0</v>
      </c>
      <c r="U27" s="80">
        <f>P27-I27</f>
        <v>1.2900000000000023E-2</v>
      </c>
      <c r="V27" s="81">
        <f>Q27-J27</f>
        <v>1.2900000000000023E-2</v>
      </c>
    </row>
    <row r="28" spans="1:22">
      <c r="A28" s="166">
        <v>20</v>
      </c>
      <c r="B28" s="167" t="s">
        <v>56</v>
      </c>
      <c r="C28" s="168" t="s">
        <v>57</v>
      </c>
      <c r="D28" s="67">
        <v>9423859313.8999996</v>
      </c>
      <c r="E28" s="52">
        <f t="shared" ref="E28:E62" si="13">(D28/$K$63)</f>
        <v>6.0081545680210936E-3</v>
      </c>
      <c r="F28" s="53">
        <v>100</v>
      </c>
      <c r="G28" s="53">
        <v>100</v>
      </c>
      <c r="H28" s="54">
        <v>1806</v>
      </c>
      <c r="I28" s="73">
        <v>0.225465</v>
      </c>
      <c r="J28" s="73">
        <v>0.225465</v>
      </c>
      <c r="K28" s="67">
        <v>9568262133.2399998</v>
      </c>
      <c r="L28" s="52">
        <f t="shared" si="12"/>
        <v>6.1002181727242179E-3</v>
      </c>
      <c r="M28" s="53">
        <v>100</v>
      </c>
      <c r="N28" s="53">
        <v>100</v>
      </c>
      <c r="O28" s="54">
        <v>1822</v>
      </c>
      <c r="P28" s="73">
        <v>0.215417</v>
      </c>
      <c r="Q28" s="73">
        <v>0.215417</v>
      </c>
      <c r="R28" s="79">
        <f t="shared" ref="R28:R63" si="14">((K28-D28)/D28)</f>
        <v>1.5323108562010147E-2</v>
      </c>
      <c r="S28" s="79">
        <f t="shared" ref="S28:S63" si="15">((N28-G28)/G28)</f>
        <v>0</v>
      </c>
      <c r="T28" s="79">
        <f t="shared" ref="T28:T63" si="16">((O28-H28)/H28)</f>
        <v>8.8593576965669985E-3</v>
      </c>
      <c r="U28" s="80">
        <f t="shared" ref="U28:U63" si="17">P28-I28</f>
        <v>-1.0048000000000001E-2</v>
      </c>
      <c r="V28" s="81">
        <f t="shared" ref="V28:V63" si="18">Q28-J28</f>
        <v>-1.0048000000000001E-2</v>
      </c>
    </row>
    <row r="29" spans="1:22">
      <c r="A29" s="166">
        <v>21</v>
      </c>
      <c r="B29" s="167" t="s">
        <v>58</v>
      </c>
      <c r="C29" s="168" t="s">
        <v>21</v>
      </c>
      <c r="D29" s="67">
        <v>1067596891.51</v>
      </c>
      <c r="E29" s="52">
        <f t="shared" si="13"/>
        <v>6.8064334651834026E-4</v>
      </c>
      <c r="F29" s="53">
        <v>100</v>
      </c>
      <c r="G29" s="53">
        <v>100</v>
      </c>
      <c r="H29" s="54">
        <v>1770</v>
      </c>
      <c r="I29" s="73">
        <v>0.2041</v>
      </c>
      <c r="J29" s="73">
        <v>0.2041</v>
      </c>
      <c r="K29" s="67">
        <v>988362670.58000004</v>
      </c>
      <c r="L29" s="52">
        <f t="shared" si="12"/>
        <v>6.3012779545084871E-4</v>
      </c>
      <c r="M29" s="53">
        <v>100</v>
      </c>
      <c r="N29" s="53">
        <v>100</v>
      </c>
      <c r="O29" s="54">
        <v>1772</v>
      </c>
      <c r="P29" s="73">
        <v>0.21079999999999999</v>
      </c>
      <c r="Q29" s="73">
        <v>0.21079999999999999</v>
      </c>
      <c r="R29" s="79">
        <f t="shared" si="14"/>
        <v>-7.4217358218354998E-2</v>
      </c>
      <c r="S29" s="79">
        <f t="shared" si="15"/>
        <v>0</v>
      </c>
      <c r="T29" s="79">
        <f t="shared" si="16"/>
        <v>1.1299435028248588E-3</v>
      </c>
      <c r="U29" s="80">
        <f t="shared" si="17"/>
        <v>6.6999999999999837E-3</v>
      </c>
      <c r="V29" s="81">
        <f t="shared" si="18"/>
        <v>6.6999999999999837E-3</v>
      </c>
    </row>
    <row r="30" spans="1:22">
      <c r="A30" s="166">
        <v>22</v>
      </c>
      <c r="B30" s="167" t="s">
        <v>59</v>
      </c>
      <c r="C30" s="168" t="s">
        <v>23</v>
      </c>
      <c r="D30" s="67">
        <v>112170310774.92999</v>
      </c>
      <c r="E30" s="52">
        <f t="shared" si="13"/>
        <v>7.1513861002222165E-2</v>
      </c>
      <c r="F30" s="53">
        <v>1</v>
      </c>
      <c r="G30" s="53">
        <v>1</v>
      </c>
      <c r="H30" s="54">
        <v>62821</v>
      </c>
      <c r="I30" s="73">
        <v>0.20219999999999999</v>
      </c>
      <c r="J30" s="73">
        <v>0.20219999999999999</v>
      </c>
      <c r="K30" s="67">
        <v>113089362229.78</v>
      </c>
      <c r="L30" s="52">
        <f t="shared" si="12"/>
        <v>7.2099799630206449E-2</v>
      </c>
      <c r="M30" s="53">
        <v>1</v>
      </c>
      <c r="N30" s="53">
        <v>1</v>
      </c>
      <c r="O30" s="54">
        <v>63077</v>
      </c>
      <c r="P30" s="73">
        <v>0.20710000000000001</v>
      </c>
      <c r="Q30" s="73">
        <v>0.20710000000000001</v>
      </c>
      <c r="R30" s="79">
        <f t="shared" si="14"/>
        <v>8.1933574802523744E-3</v>
      </c>
      <c r="S30" s="79">
        <f t="shared" si="15"/>
        <v>0</v>
      </c>
      <c r="T30" s="79">
        <f t="shared" si="16"/>
        <v>4.0750704382292542E-3</v>
      </c>
      <c r="U30" s="80">
        <f t="shared" si="17"/>
        <v>4.9000000000000155E-3</v>
      </c>
      <c r="V30" s="81">
        <f t="shared" si="18"/>
        <v>4.9000000000000155E-3</v>
      </c>
    </row>
    <row r="31" spans="1:22">
      <c r="A31" s="166">
        <v>23</v>
      </c>
      <c r="B31" s="167" t="s">
        <v>60</v>
      </c>
      <c r="C31" s="168" t="s">
        <v>25</v>
      </c>
      <c r="D31" s="67">
        <v>75594260085.300003</v>
      </c>
      <c r="E31" s="52">
        <f t="shared" si="13"/>
        <v>4.8194904435570327E-2</v>
      </c>
      <c r="F31" s="53">
        <v>1</v>
      </c>
      <c r="G31" s="53">
        <v>1</v>
      </c>
      <c r="H31" s="54">
        <v>30090</v>
      </c>
      <c r="I31" s="73">
        <v>0.20660000000000001</v>
      </c>
      <c r="J31" s="73">
        <v>0.20660000000000001</v>
      </c>
      <c r="K31" s="67">
        <v>75586761600.080002</v>
      </c>
      <c r="L31" s="52">
        <f t="shared" si="12"/>
        <v>4.8190123797752296E-2</v>
      </c>
      <c r="M31" s="53">
        <v>1</v>
      </c>
      <c r="N31" s="53">
        <v>1</v>
      </c>
      <c r="O31" s="54">
        <v>30148</v>
      </c>
      <c r="P31" s="73">
        <v>0.20374999999999999</v>
      </c>
      <c r="Q31" s="73">
        <v>0.20749999999999999</v>
      </c>
      <c r="R31" s="79">
        <f t="shared" si="14"/>
        <v>-9.9193843706387046E-5</v>
      </c>
      <c r="S31" s="79">
        <f t="shared" si="15"/>
        <v>0</v>
      </c>
      <c r="T31" s="79">
        <f t="shared" si="16"/>
        <v>1.927550681289465E-3</v>
      </c>
      <c r="U31" s="80">
        <f t="shared" si="17"/>
        <v>-2.8500000000000192E-3</v>
      </c>
      <c r="V31" s="81">
        <f t="shared" si="18"/>
        <v>8.9999999999998415E-4</v>
      </c>
    </row>
    <row r="32" spans="1:22" ht="15" customHeight="1">
      <c r="A32" s="166">
        <v>24</v>
      </c>
      <c r="B32" s="167" t="s">
        <v>61</v>
      </c>
      <c r="C32" s="168" t="s">
        <v>47</v>
      </c>
      <c r="D32" s="67">
        <v>9767519353</v>
      </c>
      <c r="E32" s="52">
        <f t="shared" si="13"/>
        <v>6.2272540436169874E-3</v>
      </c>
      <c r="F32" s="53">
        <v>100</v>
      </c>
      <c r="G32" s="53">
        <v>100</v>
      </c>
      <c r="H32" s="54">
        <v>2891</v>
      </c>
      <c r="I32" s="73">
        <v>0.223</v>
      </c>
      <c r="J32" s="73">
        <v>0.223</v>
      </c>
      <c r="K32" s="67">
        <v>9716483027</v>
      </c>
      <c r="L32" s="52">
        <f t="shared" si="12"/>
        <v>6.1947159798600689E-3</v>
      </c>
      <c r="M32" s="53">
        <v>100</v>
      </c>
      <c r="N32" s="53">
        <v>100</v>
      </c>
      <c r="O32" s="54">
        <v>2891</v>
      </c>
      <c r="P32" s="73">
        <v>0.21199999999999999</v>
      </c>
      <c r="Q32" s="73">
        <v>0.21199999999999999</v>
      </c>
      <c r="R32" s="79">
        <f t="shared" si="14"/>
        <v>-5.2251062071686279E-3</v>
      </c>
      <c r="S32" s="79">
        <f t="shared" si="15"/>
        <v>0</v>
      </c>
      <c r="T32" s="79">
        <f t="shared" si="16"/>
        <v>0</v>
      </c>
      <c r="U32" s="80">
        <f t="shared" si="17"/>
        <v>-1.100000000000001E-2</v>
      </c>
      <c r="V32" s="81">
        <f t="shared" si="18"/>
        <v>-1.100000000000001E-2</v>
      </c>
    </row>
    <row r="33" spans="1:22" ht="15" customHeight="1">
      <c r="A33" s="166">
        <v>25</v>
      </c>
      <c r="B33" s="167" t="s">
        <v>62</v>
      </c>
      <c r="C33" s="168" t="s">
        <v>63</v>
      </c>
      <c r="D33" s="67">
        <v>334938420.62</v>
      </c>
      <c r="E33" s="52">
        <f t="shared" si="13"/>
        <v>2.1353903266421124E-4</v>
      </c>
      <c r="F33" s="53">
        <v>1</v>
      </c>
      <c r="G33" s="53">
        <v>1</v>
      </c>
      <c r="H33" s="54">
        <v>272</v>
      </c>
      <c r="I33" s="73">
        <v>0.21</v>
      </c>
      <c r="J33" s="73">
        <v>0.21</v>
      </c>
      <c r="K33" s="67">
        <v>328167405.52999997</v>
      </c>
      <c r="L33" s="52">
        <f t="shared" si="12"/>
        <v>2.0922219134813605E-4</v>
      </c>
      <c r="M33" s="53">
        <v>1</v>
      </c>
      <c r="N33" s="53">
        <v>1</v>
      </c>
      <c r="O33" s="54">
        <v>277</v>
      </c>
      <c r="P33" s="73">
        <v>0.21</v>
      </c>
      <c r="Q33" s="73">
        <v>0.21</v>
      </c>
      <c r="R33" s="79">
        <f t="shared" si="14"/>
        <v>-2.0215701374199768E-2</v>
      </c>
      <c r="S33" s="79">
        <f t="shared" si="15"/>
        <v>0</v>
      </c>
      <c r="T33" s="79">
        <f t="shared" si="16"/>
        <v>1.8382352941176471E-2</v>
      </c>
      <c r="U33" s="80">
        <f t="shared" si="17"/>
        <v>0</v>
      </c>
      <c r="V33" s="81">
        <f t="shared" si="18"/>
        <v>0</v>
      </c>
    </row>
    <row r="34" spans="1:22">
      <c r="A34" s="166">
        <v>26</v>
      </c>
      <c r="B34" s="167" t="s">
        <v>64</v>
      </c>
      <c r="C34" s="168" t="s">
        <v>65</v>
      </c>
      <c r="D34" s="67">
        <v>30100036536.380001</v>
      </c>
      <c r="E34" s="52">
        <f t="shared" si="13"/>
        <v>1.919019225455856E-2</v>
      </c>
      <c r="F34" s="53">
        <v>100</v>
      </c>
      <c r="G34" s="53">
        <v>100</v>
      </c>
      <c r="H34" s="54">
        <v>3136</v>
      </c>
      <c r="I34" s="73">
        <v>0.22912976916540001</v>
      </c>
      <c r="J34" s="73">
        <v>0.22912976916540001</v>
      </c>
      <c r="K34" s="67">
        <v>31445255801.93</v>
      </c>
      <c r="L34" s="52">
        <f t="shared" si="12"/>
        <v>2.0047832952078629E-2</v>
      </c>
      <c r="M34" s="53">
        <v>100</v>
      </c>
      <c r="N34" s="53">
        <v>100</v>
      </c>
      <c r="O34" s="54">
        <v>3166</v>
      </c>
      <c r="P34" s="73">
        <v>0.23176953059219799</v>
      </c>
      <c r="Q34" s="73">
        <v>0.23176953059219799</v>
      </c>
      <c r="R34" s="79">
        <f t="shared" si="14"/>
        <v>4.4691615703659301E-2</v>
      </c>
      <c r="S34" s="79">
        <f t="shared" si="15"/>
        <v>0</v>
      </c>
      <c r="T34" s="79">
        <f t="shared" si="16"/>
        <v>9.5663265306122451E-3</v>
      </c>
      <c r="U34" s="80">
        <f t="shared" si="17"/>
        <v>2.6397614267979763E-3</v>
      </c>
      <c r="V34" s="81">
        <f t="shared" si="18"/>
        <v>2.6397614267979763E-3</v>
      </c>
    </row>
    <row r="35" spans="1:22">
      <c r="A35" s="166">
        <v>27</v>
      </c>
      <c r="B35" s="167" t="s">
        <v>66</v>
      </c>
      <c r="C35" s="168" t="s">
        <v>67</v>
      </c>
      <c r="D35" s="67">
        <v>13281292406.139999</v>
      </c>
      <c r="E35" s="52">
        <f t="shared" si="13"/>
        <v>8.4674500097297028E-3</v>
      </c>
      <c r="F35" s="53">
        <v>100</v>
      </c>
      <c r="G35" s="53">
        <v>100</v>
      </c>
      <c r="H35" s="54">
        <v>6403</v>
      </c>
      <c r="I35" s="73">
        <v>0.223</v>
      </c>
      <c r="J35" s="73">
        <v>0.223</v>
      </c>
      <c r="K35" s="67">
        <v>13711291393.92</v>
      </c>
      <c r="L35" s="52">
        <f t="shared" si="12"/>
        <v>8.7415946352616472E-3</v>
      </c>
      <c r="M35" s="53">
        <v>100</v>
      </c>
      <c r="N35" s="53">
        <v>100</v>
      </c>
      <c r="O35" s="54">
        <v>6417</v>
      </c>
      <c r="P35" s="73">
        <v>0.22409999999999999</v>
      </c>
      <c r="Q35" s="73">
        <v>0.22409999999999999</v>
      </c>
      <c r="R35" s="79">
        <f t="shared" si="14"/>
        <v>3.2376290998699063E-2</v>
      </c>
      <c r="S35" s="79">
        <f t="shared" si="15"/>
        <v>0</v>
      </c>
      <c r="T35" s="79">
        <f t="shared" si="16"/>
        <v>2.1864750898016555E-3</v>
      </c>
      <c r="U35" s="80">
        <f t="shared" si="17"/>
        <v>1.0999999999999899E-3</v>
      </c>
      <c r="V35" s="81">
        <f t="shared" si="18"/>
        <v>1.0999999999999899E-3</v>
      </c>
    </row>
    <row r="36" spans="1:22">
      <c r="A36" s="166">
        <v>28</v>
      </c>
      <c r="B36" s="167" t="s">
        <v>68</v>
      </c>
      <c r="C36" s="168" t="s">
        <v>69</v>
      </c>
      <c r="D36" s="67">
        <v>44514190.369999997</v>
      </c>
      <c r="E36" s="52">
        <f t="shared" si="13"/>
        <v>2.8379894829159379E-5</v>
      </c>
      <c r="F36" s="53">
        <v>100</v>
      </c>
      <c r="G36" s="53">
        <v>100</v>
      </c>
      <c r="H36" s="54">
        <v>0</v>
      </c>
      <c r="I36" s="73">
        <v>0</v>
      </c>
      <c r="J36" s="73">
        <v>0</v>
      </c>
      <c r="K36" s="67">
        <v>44514190.369999997</v>
      </c>
      <c r="L36" s="52">
        <f t="shared" si="12"/>
        <v>2.8379894829159379E-5</v>
      </c>
      <c r="M36" s="53">
        <v>100</v>
      </c>
      <c r="N36" s="53">
        <v>100</v>
      </c>
      <c r="O36" s="54">
        <v>0</v>
      </c>
      <c r="P36" s="73">
        <v>0</v>
      </c>
      <c r="Q36" s="73">
        <v>0</v>
      </c>
      <c r="R36" s="79">
        <f t="shared" si="14"/>
        <v>0</v>
      </c>
      <c r="S36" s="79">
        <f t="shared" si="15"/>
        <v>0</v>
      </c>
      <c r="T36" s="79" t="e">
        <f t="shared" si="16"/>
        <v>#DIV/0!</v>
      </c>
      <c r="U36" s="80">
        <f t="shared" si="17"/>
        <v>0</v>
      </c>
      <c r="V36" s="81">
        <f t="shared" si="18"/>
        <v>0</v>
      </c>
    </row>
    <row r="37" spans="1:22">
      <c r="A37" s="166">
        <v>29</v>
      </c>
      <c r="B37" s="167" t="s">
        <v>70</v>
      </c>
      <c r="C37" s="168" t="s">
        <v>71</v>
      </c>
      <c r="D37" s="67">
        <v>8488759829.7299995</v>
      </c>
      <c r="E37" s="52">
        <f t="shared" si="13"/>
        <v>5.4119845648162076E-3</v>
      </c>
      <c r="F37" s="53">
        <v>1</v>
      </c>
      <c r="G37" s="53">
        <v>1</v>
      </c>
      <c r="H37" s="54">
        <v>3140</v>
      </c>
      <c r="I37" s="73">
        <v>0.20549999999999999</v>
      </c>
      <c r="J37" s="73">
        <v>0.20549999999999999</v>
      </c>
      <c r="K37" s="67">
        <v>7806365704.29</v>
      </c>
      <c r="L37" s="52">
        <f t="shared" si="12"/>
        <v>4.9769261407260068E-3</v>
      </c>
      <c r="M37" s="53">
        <v>1</v>
      </c>
      <c r="N37" s="53">
        <v>1</v>
      </c>
      <c r="O37" s="54">
        <v>3190</v>
      </c>
      <c r="P37" s="73">
        <v>0.2001</v>
      </c>
      <c r="Q37" s="73">
        <v>0.2001</v>
      </c>
      <c r="R37" s="79">
        <f t="shared" si="14"/>
        <v>-8.0387964688324126E-2</v>
      </c>
      <c r="S37" s="79">
        <f t="shared" si="15"/>
        <v>0</v>
      </c>
      <c r="T37" s="79">
        <f t="shared" si="16"/>
        <v>1.5923566878980892E-2</v>
      </c>
      <c r="U37" s="80">
        <f t="shared" si="17"/>
        <v>-5.3999999999999881E-3</v>
      </c>
      <c r="V37" s="81">
        <f t="shared" si="18"/>
        <v>-5.3999999999999881E-3</v>
      </c>
    </row>
    <row r="38" spans="1:22">
      <c r="A38" s="166">
        <v>30</v>
      </c>
      <c r="B38" s="167" t="s">
        <v>72</v>
      </c>
      <c r="C38" s="168" t="s">
        <v>73</v>
      </c>
      <c r="D38" s="67">
        <v>27804215574.970001</v>
      </c>
      <c r="E38" s="52">
        <f t="shared" si="13"/>
        <v>1.7726498163082818E-2</v>
      </c>
      <c r="F38" s="68">
        <v>100</v>
      </c>
      <c r="G38" s="68">
        <v>100</v>
      </c>
      <c r="H38" s="54">
        <v>3009</v>
      </c>
      <c r="I38" s="73">
        <v>0.2092</v>
      </c>
      <c r="J38" s="73">
        <v>0.2092</v>
      </c>
      <c r="K38" s="67">
        <v>29087344125.93</v>
      </c>
      <c r="L38" s="52">
        <f t="shared" si="12"/>
        <v>1.8544553102998743E-2</v>
      </c>
      <c r="M38" s="68">
        <v>100</v>
      </c>
      <c r="N38" s="68">
        <v>100</v>
      </c>
      <c r="O38" s="54">
        <v>3009</v>
      </c>
      <c r="P38" s="73">
        <v>0.20730000000000001</v>
      </c>
      <c r="Q38" s="73">
        <v>0.20730000000000001</v>
      </c>
      <c r="R38" s="79">
        <f t="shared" si="14"/>
        <v>4.6148705310539356E-2</v>
      </c>
      <c r="S38" s="79">
        <f t="shared" si="15"/>
        <v>0</v>
      </c>
      <c r="T38" s="79">
        <f t="shared" si="16"/>
        <v>0</v>
      </c>
      <c r="U38" s="80">
        <f t="shared" si="17"/>
        <v>-1.899999999999985E-3</v>
      </c>
      <c r="V38" s="81">
        <f t="shared" si="18"/>
        <v>-1.899999999999985E-3</v>
      </c>
    </row>
    <row r="39" spans="1:22">
      <c r="A39" s="166">
        <v>31</v>
      </c>
      <c r="B39" s="167" t="s">
        <v>74</v>
      </c>
      <c r="C39" s="168" t="s">
        <v>73</v>
      </c>
      <c r="D39" s="67">
        <v>699222425.5</v>
      </c>
      <c r="E39" s="52">
        <f t="shared" si="13"/>
        <v>4.4578725869073307E-4</v>
      </c>
      <c r="F39" s="68">
        <v>1000000</v>
      </c>
      <c r="G39" s="68">
        <v>1000000</v>
      </c>
      <c r="H39" s="54">
        <v>4</v>
      </c>
      <c r="I39" s="73">
        <v>0.22109999999999999</v>
      </c>
      <c r="J39" s="73">
        <v>0.22109999999999999</v>
      </c>
      <c r="K39" s="67">
        <v>948984304.90999997</v>
      </c>
      <c r="L39" s="52">
        <f t="shared" si="12"/>
        <v>6.0502223097871693E-4</v>
      </c>
      <c r="M39" s="68">
        <v>1000000</v>
      </c>
      <c r="N39" s="68">
        <v>1000000</v>
      </c>
      <c r="O39" s="54">
        <v>4</v>
      </c>
      <c r="P39" s="73">
        <v>0.23019999999999999</v>
      </c>
      <c r="Q39" s="73">
        <v>0.23019999999999999</v>
      </c>
      <c r="R39" s="79">
        <f t="shared" si="14"/>
        <v>0.35719946944121567</v>
      </c>
      <c r="S39" s="79">
        <f t="shared" si="15"/>
        <v>0</v>
      </c>
      <c r="T39" s="79">
        <f t="shared" si="16"/>
        <v>0</v>
      </c>
      <c r="U39" s="80">
        <f t="shared" si="17"/>
        <v>9.099999999999997E-3</v>
      </c>
      <c r="V39" s="81">
        <f t="shared" si="18"/>
        <v>9.099999999999997E-3</v>
      </c>
    </row>
    <row r="40" spans="1:22">
      <c r="A40" s="166">
        <v>32</v>
      </c>
      <c r="B40" s="167" t="s">
        <v>75</v>
      </c>
      <c r="C40" s="168" t="s">
        <v>76</v>
      </c>
      <c r="D40" s="67">
        <v>3706826955.9200001</v>
      </c>
      <c r="E40" s="52">
        <f t="shared" si="13"/>
        <v>2.3632769299967078E-3</v>
      </c>
      <c r="F40" s="53">
        <v>1</v>
      </c>
      <c r="G40" s="53">
        <v>1</v>
      </c>
      <c r="H40" s="54">
        <v>662</v>
      </c>
      <c r="I40" s="73">
        <v>0.21479999999999999</v>
      </c>
      <c r="J40" s="73">
        <v>0.21479999999999999</v>
      </c>
      <c r="K40" s="67">
        <v>3669760500.6599998</v>
      </c>
      <c r="L40" s="52">
        <f t="shared" si="12"/>
        <v>2.3396453173980094E-3</v>
      </c>
      <c r="M40" s="53">
        <v>1</v>
      </c>
      <c r="N40" s="53">
        <v>1</v>
      </c>
      <c r="O40" s="54">
        <v>667</v>
      </c>
      <c r="P40" s="73">
        <v>0.21290000000000001</v>
      </c>
      <c r="Q40" s="73">
        <v>0.21290000000000001</v>
      </c>
      <c r="R40" s="79">
        <f t="shared" si="14"/>
        <v>-9.9995105519568774E-3</v>
      </c>
      <c r="S40" s="79">
        <f t="shared" si="15"/>
        <v>0</v>
      </c>
      <c r="T40" s="79">
        <f t="shared" si="16"/>
        <v>7.5528700906344415E-3</v>
      </c>
      <c r="U40" s="80">
        <f t="shared" si="17"/>
        <v>-1.899999999999985E-3</v>
      </c>
      <c r="V40" s="81">
        <f t="shared" si="18"/>
        <v>-1.899999999999985E-3</v>
      </c>
    </row>
    <row r="41" spans="1:22">
      <c r="A41" s="166">
        <v>33</v>
      </c>
      <c r="B41" s="167" t="s">
        <v>77</v>
      </c>
      <c r="C41" s="168" t="s">
        <v>31</v>
      </c>
      <c r="D41" s="67">
        <v>335873814034.56</v>
      </c>
      <c r="E41" s="52">
        <f t="shared" si="13"/>
        <v>0.21413539006189608</v>
      </c>
      <c r="F41" s="53">
        <v>100</v>
      </c>
      <c r="G41" s="53">
        <v>100</v>
      </c>
      <c r="H41" s="54">
        <v>15559</v>
      </c>
      <c r="I41" s="73">
        <v>0.2218</v>
      </c>
      <c r="J41" s="73">
        <v>0.2218</v>
      </c>
      <c r="K41" s="67">
        <v>337768614704.42999</v>
      </c>
      <c r="L41" s="52">
        <f t="shared" si="12"/>
        <v>0.21534341481279376</v>
      </c>
      <c r="M41" s="53">
        <v>100</v>
      </c>
      <c r="N41" s="53">
        <v>100</v>
      </c>
      <c r="O41" s="54">
        <v>15559</v>
      </c>
      <c r="P41" s="73">
        <v>0.22839999999999999</v>
      </c>
      <c r="Q41" s="73">
        <v>0.22839999999999999</v>
      </c>
      <c r="R41" s="79">
        <f t="shared" si="14"/>
        <v>5.6414063576716586E-3</v>
      </c>
      <c r="S41" s="79">
        <f t="shared" si="15"/>
        <v>0</v>
      </c>
      <c r="T41" s="79">
        <f t="shared" si="16"/>
        <v>0</v>
      </c>
      <c r="U41" s="80">
        <f t="shared" si="17"/>
        <v>6.5999999999999948E-3</v>
      </c>
      <c r="V41" s="81">
        <f t="shared" si="18"/>
        <v>6.5999999999999948E-3</v>
      </c>
    </row>
    <row r="42" spans="1:22">
      <c r="A42" s="166">
        <v>34</v>
      </c>
      <c r="B42" s="167" t="s">
        <v>78</v>
      </c>
      <c r="C42" s="168" t="s">
        <v>79</v>
      </c>
      <c r="D42" s="67">
        <v>610496050.80999994</v>
      </c>
      <c r="E42" s="52">
        <f t="shared" si="13"/>
        <v>3.8922001212632497E-4</v>
      </c>
      <c r="F42" s="53">
        <v>1</v>
      </c>
      <c r="G42" s="53">
        <v>1</v>
      </c>
      <c r="H42" s="69">
        <v>741</v>
      </c>
      <c r="I42" s="76">
        <v>0.23449999999999999</v>
      </c>
      <c r="J42" s="76">
        <v>0.23449999999999999</v>
      </c>
      <c r="K42" s="67">
        <v>641041272.82000005</v>
      </c>
      <c r="L42" s="52">
        <f t="shared" si="12"/>
        <v>4.0869403110705316E-4</v>
      </c>
      <c r="M42" s="53">
        <v>1</v>
      </c>
      <c r="N42" s="53">
        <v>1</v>
      </c>
      <c r="O42" s="69">
        <v>745</v>
      </c>
      <c r="P42" s="76">
        <v>0.22159999999999999</v>
      </c>
      <c r="Q42" s="76">
        <v>0.22159999999999999</v>
      </c>
      <c r="R42" s="79">
        <f t="shared" si="14"/>
        <v>5.0033447340851786E-2</v>
      </c>
      <c r="S42" s="79">
        <f t="shared" si="15"/>
        <v>0</v>
      </c>
      <c r="T42" s="79">
        <f t="shared" si="16"/>
        <v>5.3981106612685558E-3</v>
      </c>
      <c r="U42" s="80">
        <f t="shared" si="17"/>
        <v>-1.2899999999999995E-2</v>
      </c>
      <c r="V42" s="81">
        <f t="shared" si="18"/>
        <v>-1.2899999999999995E-2</v>
      </c>
    </row>
    <row r="43" spans="1:22">
      <c r="A43" s="166">
        <v>35</v>
      </c>
      <c r="B43" s="167" t="s">
        <v>80</v>
      </c>
      <c r="C43" s="168" t="s">
        <v>81</v>
      </c>
      <c r="D43" s="67">
        <v>725500387.35000002</v>
      </c>
      <c r="E43" s="52">
        <f t="shared" si="13"/>
        <v>4.6254069815416913E-4</v>
      </c>
      <c r="F43" s="53">
        <v>10</v>
      </c>
      <c r="G43" s="53">
        <v>10</v>
      </c>
      <c r="H43" s="54">
        <v>393</v>
      </c>
      <c r="I43" s="73">
        <v>0.1739</v>
      </c>
      <c r="J43" s="73">
        <v>0.1739</v>
      </c>
      <c r="K43" s="67">
        <v>732179896.46000004</v>
      </c>
      <c r="L43" s="52">
        <f t="shared" si="12"/>
        <v>4.6679920009425985E-4</v>
      </c>
      <c r="M43" s="53">
        <v>10</v>
      </c>
      <c r="N43" s="53">
        <v>10</v>
      </c>
      <c r="O43" s="54">
        <v>396</v>
      </c>
      <c r="P43" s="73">
        <v>0.18360000000000001</v>
      </c>
      <c r="Q43" s="73">
        <v>0.18360000000000001</v>
      </c>
      <c r="R43" s="79">
        <f t="shared" si="14"/>
        <v>9.2067616040811939E-3</v>
      </c>
      <c r="S43" s="79">
        <f t="shared" si="15"/>
        <v>0</v>
      </c>
      <c r="T43" s="79">
        <f t="shared" si="16"/>
        <v>7.6335877862595417E-3</v>
      </c>
      <c r="U43" s="80">
        <f t="shared" si="17"/>
        <v>9.7000000000000142E-3</v>
      </c>
      <c r="V43" s="81">
        <f t="shared" si="18"/>
        <v>9.7000000000000142E-3</v>
      </c>
    </row>
    <row r="44" spans="1:22">
      <c r="A44" s="166">
        <v>36</v>
      </c>
      <c r="B44" s="167" t="s">
        <v>82</v>
      </c>
      <c r="C44" s="168" t="s">
        <v>83</v>
      </c>
      <c r="D44" s="67">
        <v>4777473357.75</v>
      </c>
      <c r="E44" s="52">
        <f t="shared" si="13"/>
        <v>3.0458644831027155E-3</v>
      </c>
      <c r="F44" s="53">
        <v>100</v>
      </c>
      <c r="G44" s="53">
        <v>100</v>
      </c>
      <c r="H44" s="54">
        <v>682</v>
      </c>
      <c r="I44" s="73">
        <v>0.19420000000000001</v>
      </c>
      <c r="J44" s="73">
        <v>0.19420000000000001</v>
      </c>
      <c r="K44" s="67">
        <v>4849072210.4399996</v>
      </c>
      <c r="L44" s="52">
        <f t="shared" si="12"/>
        <v>3.0915121269740526E-3</v>
      </c>
      <c r="M44" s="53">
        <v>100</v>
      </c>
      <c r="N44" s="53">
        <v>100</v>
      </c>
      <c r="O44" s="54">
        <v>702</v>
      </c>
      <c r="P44" s="73">
        <v>0.20380000000000001</v>
      </c>
      <c r="Q44" s="73">
        <v>0.20380000000000001</v>
      </c>
      <c r="R44" s="79">
        <f t="shared" si="14"/>
        <v>1.4986761270756682E-2</v>
      </c>
      <c r="S44" s="79">
        <f t="shared" si="15"/>
        <v>0</v>
      </c>
      <c r="T44" s="79">
        <f t="shared" si="16"/>
        <v>2.932551319648094E-2</v>
      </c>
      <c r="U44" s="80">
        <f t="shared" si="17"/>
        <v>9.5999999999999974E-3</v>
      </c>
      <c r="V44" s="81">
        <f t="shared" si="18"/>
        <v>9.5999999999999974E-3</v>
      </c>
    </row>
    <row r="45" spans="1:22">
      <c r="A45" s="166">
        <v>37</v>
      </c>
      <c r="B45" s="167" t="s">
        <v>84</v>
      </c>
      <c r="C45" s="167" t="s">
        <v>85</v>
      </c>
      <c r="D45" s="55">
        <v>63186976.289999999</v>
      </c>
      <c r="E45" s="52">
        <f t="shared" ref="E45" si="19">(D45/$D$176)</f>
        <v>1.1909016282022229E-3</v>
      </c>
      <c r="F45" s="55">
        <v>1</v>
      </c>
      <c r="G45" s="55">
        <v>1</v>
      </c>
      <c r="H45" s="54">
        <v>41</v>
      </c>
      <c r="I45" s="73">
        <v>0.19270000000000001</v>
      </c>
      <c r="J45" s="73">
        <v>0.19270000000000001</v>
      </c>
      <c r="K45" s="55">
        <v>63427743.850000001</v>
      </c>
      <c r="L45" s="77">
        <f t="shared" ref="L45" si="20">(K45/$K$176)</f>
        <v>1.191182720187959E-3</v>
      </c>
      <c r="M45" s="55">
        <v>1</v>
      </c>
      <c r="N45" s="55">
        <v>1</v>
      </c>
      <c r="O45" s="54">
        <v>41</v>
      </c>
      <c r="P45" s="73">
        <v>0.1883</v>
      </c>
      <c r="Q45" s="73">
        <v>0.1883</v>
      </c>
      <c r="R45" s="80">
        <f t="shared" si="14"/>
        <v>3.8103985051442693E-3</v>
      </c>
      <c r="S45" s="80">
        <f t="shared" si="15"/>
        <v>0</v>
      </c>
      <c r="T45" s="80">
        <f t="shared" si="16"/>
        <v>0</v>
      </c>
      <c r="U45" s="80">
        <f t="shared" si="17"/>
        <v>-4.400000000000015E-3</v>
      </c>
      <c r="V45" s="81">
        <f t="shared" si="18"/>
        <v>-4.400000000000015E-3</v>
      </c>
    </row>
    <row r="46" spans="1:22">
      <c r="A46" s="166">
        <v>38</v>
      </c>
      <c r="B46" s="167" t="s">
        <v>86</v>
      </c>
      <c r="C46" s="168" t="s">
        <v>37</v>
      </c>
      <c r="D46" s="67">
        <v>38851292862.330002</v>
      </c>
      <c r="E46" s="52">
        <f t="shared" si="13"/>
        <v>2.4769530710208803E-2</v>
      </c>
      <c r="F46" s="53">
        <v>100</v>
      </c>
      <c r="G46" s="53">
        <v>100</v>
      </c>
      <c r="H46" s="54">
        <v>12703</v>
      </c>
      <c r="I46" s="73">
        <v>0.20830000000000001</v>
      </c>
      <c r="J46" s="73">
        <v>0.20830000000000001</v>
      </c>
      <c r="K46" s="67">
        <v>38684565101.470001</v>
      </c>
      <c r="L46" s="52">
        <f t="shared" si="12"/>
        <v>2.4663233902854152E-2</v>
      </c>
      <c r="M46" s="53">
        <v>100</v>
      </c>
      <c r="N46" s="53">
        <v>100</v>
      </c>
      <c r="O46" s="54">
        <v>12735</v>
      </c>
      <c r="P46" s="73">
        <v>0.19651278</v>
      </c>
      <c r="Q46" s="73">
        <v>0.19651278</v>
      </c>
      <c r="R46" s="79">
        <f t="shared" si="14"/>
        <v>-4.2914340444422877E-3</v>
      </c>
      <c r="S46" s="79">
        <f t="shared" si="15"/>
        <v>0</v>
      </c>
      <c r="T46" s="79">
        <f t="shared" si="16"/>
        <v>2.5190899787451782E-3</v>
      </c>
      <c r="U46" s="80">
        <f t="shared" si="17"/>
        <v>-1.1787220000000015E-2</v>
      </c>
      <c r="V46" s="81">
        <f t="shared" si="18"/>
        <v>-1.1787220000000015E-2</v>
      </c>
    </row>
    <row r="47" spans="1:22">
      <c r="A47" s="166">
        <v>39</v>
      </c>
      <c r="B47" s="167" t="s">
        <v>87</v>
      </c>
      <c r="C47" s="168" t="s">
        <v>41</v>
      </c>
      <c r="D47" s="67">
        <v>7049356213.9499998</v>
      </c>
      <c r="E47" s="52">
        <f t="shared" si="13"/>
        <v>4.4942969040275083E-3</v>
      </c>
      <c r="F47" s="53">
        <v>1</v>
      </c>
      <c r="G47" s="53">
        <v>1</v>
      </c>
      <c r="H47" s="54">
        <v>1117</v>
      </c>
      <c r="I47" s="73">
        <v>0.21970000000000001</v>
      </c>
      <c r="J47" s="73">
        <v>0.21970000000000001</v>
      </c>
      <c r="K47" s="67">
        <v>7229106690</v>
      </c>
      <c r="L47" s="52">
        <f t="shared" si="12"/>
        <v>4.6088963062268645E-3</v>
      </c>
      <c r="M47" s="53">
        <v>1</v>
      </c>
      <c r="N47" s="53">
        <v>1</v>
      </c>
      <c r="O47" s="54">
        <v>1123</v>
      </c>
      <c r="P47" s="73">
        <v>0.25659999999999999</v>
      </c>
      <c r="Q47" s="73">
        <v>0.25659999999999999</v>
      </c>
      <c r="R47" s="79">
        <f t="shared" si="14"/>
        <v>2.5498849908349254E-2</v>
      </c>
      <c r="S47" s="79">
        <f t="shared" si="15"/>
        <v>0</v>
      </c>
      <c r="T47" s="79">
        <f t="shared" si="16"/>
        <v>5.3715308863025966E-3</v>
      </c>
      <c r="U47" s="80">
        <f t="shared" si="17"/>
        <v>3.6899999999999988E-2</v>
      </c>
      <c r="V47" s="81">
        <f t="shared" si="18"/>
        <v>3.6899999999999988E-2</v>
      </c>
    </row>
    <row r="48" spans="1:22">
      <c r="A48" s="166">
        <v>40</v>
      </c>
      <c r="B48" s="167" t="s">
        <v>88</v>
      </c>
      <c r="C48" s="168" t="s">
        <v>43</v>
      </c>
      <c r="D48" s="70">
        <v>14666779543.75</v>
      </c>
      <c r="E48" s="52">
        <f t="shared" si="13"/>
        <v>9.3507633739782475E-3</v>
      </c>
      <c r="F48" s="53">
        <v>10</v>
      </c>
      <c r="G48" s="53">
        <v>10</v>
      </c>
      <c r="H48" s="54">
        <v>2950</v>
      </c>
      <c r="I48" s="73">
        <v>0.2409</v>
      </c>
      <c r="J48" s="73">
        <v>0.2409</v>
      </c>
      <c r="K48" s="70">
        <v>15521223873.33</v>
      </c>
      <c r="L48" s="52">
        <f t="shared" si="12"/>
        <v>9.8955119139223641E-3</v>
      </c>
      <c r="M48" s="53">
        <v>10</v>
      </c>
      <c r="N48" s="53">
        <v>10</v>
      </c>
      <c r="O48" s="54">
        <v>2966</v>
      </c>
      <c r="P48" s="73">
        <v>0.24079999999999999</v>
      </c>
      <c r="Q48" s="73">
        <v>0.24079999999999999</v>
      </c>
      <c r="R48" s="79">
        <f t="shared" si="14"/>
        <v>5.8257119569517693E-2</v>
      </c>
      <c r="S48" s="79">
        <f t="shared" si="15"/>
        <v>0</v>
      </c>
      <c r="T48" s="79">
        <f t="shared" si="16"/>
        <v>5.4237288135593224E-3</v>
      </c>
      <c r="U48" s="80">
        <f t="shared" si="17"/>
        <v>-1.0000000000001674E-4</v>
      </c>
      <c r="V48" s="81">
        <f t="shared" si="18"/>
        <v>-1.0000000000001674E-4</v>
      </c>
    </row>
    <row r="49" spans="1:22">
      <c r="A49" s="166">
        <v>41</v>
      </c>
      <c r="B49" s="167" t="s">
        <v>89</v>
      </c>
      <c r="C49" s="168" t="s">
        <v>90</v>
      </c>
      <c r="D49" s="67">
        <v>10782824566</v>
      </c>
      <c r="E49" s="52">
        <f t="shared" si="13"/>
        <v>6.874558979974011E-3</v>
      </c>
      <c r="F49" s="53">
        <v>100</v>
      </c>
      <c r="G49" s="53">
        <v>100</v>
      </c>
      <c r="H49" s="54">
        <v>3043</v>
      </c>
      <c r="I49" s="73">
        <v>0.22339999999999999</v>
      </c>
      <c r="J49" s="73">
        <v>0.22339999999999999</v>
      </c>
      <c r="K49" s="67">
        <v>10914844965.610001</v>
      </c>
      <c r="L49" s="52">
        <f t="shared" si="12"/>
        <v>6.9587282083727036E-3</v>
      </c>
      <c r="M49" s="53">
        <v>100</v>
      </c>
      <c r="N49" s="53">
        <v>100</v>
      </c>
      <c r="O49" s="54">
        <v>3067</v>
      </c>
      <c r="P49" s="73">
        <v>0.22309999999999999</v>
      </c>
      <c r="Q49" s="73">
        <v>0.22309999999999999</v>
      </c>
      <c r="R49" s="79">
        <f t="shared" si="14"/>
        <v>1.2243582263805201E-2</v>
      </c>
      <c r="S49" s="79">
        <f t="shared" si="15"/>
        <v>0</v>
      </c>
      <c r="T49" s="79">
        <f t="shared" si="16"/>
        <v>7.8869536641472237E-3</v>
      </c>
      <c r="U49" s="80">
        <f t="shared" si="17"/>
        <v>-2.9999999999999472E-4</v>
      </c>
      <c r="V49" s="81">
        <f t="shared" si="18"/>
        <v>-2.9999999999999472E-4</v>
      </c>
    </row>
    <row r="50" spans="1:22">
      <c r="A50" s="166">
        <v>42</v>
      </c>
      <c r="B50" s="167" t="s">
        <v>91</v>
      </c>
      <c r="C50" s="168" t="s">
        <v>92</v>
      </c>
      <c r="D50" s="67">
        <v>189566883.25</v>
      </c>
      <c r="E50" s="52">
        <f t="shared" si="13"/>
        <v>1.2085782455008481E-4</v>
      </c>
      <c r="F50" s="53">
        <v>1</v>
      </c>
      <c r="G50" s="53">
        <v>1</v>
      </c>
      <c r="H50" s="54">
        <v>83</v>
      </c>
      <c r="I50" s="73">
        <v>0.1492</v>
      </c>
      <c r="J50" s="73">
        <v>0.1492</v>
      </c>
      <c r="K50" s="67">
        <v>194522614.33000001</v>
      </c>
      <c r="L50" s="52">
        <f t="shared" si="12"/>
        <v>1.2401733673446865E-4</v>
      </c>
      <c r="M50" s="53">
        <v>1</v>
      </c>
      <c r="N50" s="53">
        <v>1</v>
      </c>
      <c r="O50" s="54">
        <v>83</v>
      </c>
      <c r="P50" s="73">
        <v>0.30669999999999997</v>
      </c>
      <c r="Q50" s="73">
        <v>0.30669999999999997</v>
      </c>
      <c r="R50" s="79">
        <f t="shared" si="14"/>
        <v>2.614238834883631E-2</v>
      </c>
      <c r="S50" s="79">
        <f t="shared" si="15"/>
        <v>0</v>
      </c>
      <c r="T50" s="79">
        <f t="shared" si="16"/>
        <v>0</v>
      </c>
      <c r="U50" s="80">
        <f t="shared" si="17"/>
        <v>0.15749999999999997</v>
      </c>
      <c r="V50" s="81">
        <f t="shared" si="18"/>
        <v>0.15749999999999997</v>
      </c>
    </row>
    <row r="51" spans="1:22">
      <c r="A51" s="166">
        <v>43</v>
      </c>
      <c r="B51" s="167" t="s">
        <v>93</v>
      </c>
      <c r="C51" s="168" t="s">
        <v>45</v>
      </c>
      <c r="D51" s="70">
        <v>885774013.25999999</v>
      </c>
      <c r="E51" s="52">
        <f t="shared" si="13"/>
        <v>5.6472269022021587E-4</v>
      </c>
      <c r="F51" s="53">
        <v>10</v>
      </c>
      <c r="G51" s="53">
        <v>10</v>
      </c>
      <c r="H51" s="54">
        <v>734</v>
      </c>
      <c r="I51" s="73">
        <v>0.16059999999999999</v>
      </c>
      <c r="J51" s="153">
        <v>0.16059999999999999</v>
      </c>
      <c r="K51" s="70">
        <v>937828987.54999995</v>
      </c>
      <c r="L51" s="52">
        <f t="shared" si="12"/>
        <v>5.9791019028267731E-4</v>
      </c>
      <c r="M51" s="53">
        <v>10</v>
      </c>
      <c r="N51" s="53">
        <v>10</v>
      </c>
      <c r="O51" s="54">
        <v>734</v>
      </c>
      <c r="P51" s="73">
        <v>0.1855</v>
      </c>
      <c r="Q51" s="153">
        <v>0.1855</v>
      </c>
      <c r="R51" s="79">
        <f t="shared" si="14"/>
        <v>5.8767782200357166E-2</v>
      </c>
      <c r="S51" s="79">
        <f t="shared" si="15"/>
        <v>0</v>
      </c>
      <c r="T51" s="79">
        <f t="shared" si="16"/>
        <v>0</v>
      </c>
      <c r="U51" s="80">
        <f t="shared" si="17"/>
        <v>2.4900000000000005E-2</v>
      </c>
      <c r="V51" s="81">
        <f t="shared" si="18"/>
        <v>2.4900000000000005E-2</v>
      </c>
    </row>
    <row r="52" spans="1:22">
      <c r="A52" s="166">
        <v>44</v>
      </c>
      <c r="B52" s="167" t="s">
        <v>94</v>
      </c>
      <c r="C52" s="168" t="s">
        <v>95</v>
      </c>
      <c r="D52" s="70">
        <v>724394692.76999998</v>
      </c>
      <c r="E52" s="52">
        <f t="shared" si="13"/>
        <v>4.6183576573525403E-4</v>
      </c>
      <c r="F52" s="53">
        <v>1</v>
      </c>
      <c r="G52" s="53">
        <v>1</v>
      </c>
      <c r="H52" s="54">
        <v>61</v>
      </c>
      <c r="I52" s="73">
        <v>0.2253</v>
      </c>
      <c r="J52" s="73">
        <v>0.2253</v>
      </c>
      <c r="K52" s="70">
        <v>705123381.51999998</v>
      </c>
      <c r="L52" s="52">
        <f t="shared" si="12"/>
        <v>4.4954939633374316E-4</v>
      </c>
      <c r="M52" s="53">
        <v>1</v>
      </c>
      <c r="N52" s="53">
        <v>1</v>
      </c>
      <c r="O52" s="54">
        <v>61</v>
      </c>
      <c r="P52" s="73">
        <v>0.2253</v>
      </c>
      <c r="Q52" s="73">
        <v>0.2253</v>
      </c>
      <c r="R52" s="79">
        <f t="shared" si="14"/>
        <v>-2.6603330259514706E-2</v>
      </c>
      <c r="S52" s="79">
        <f t="shared" si="15"/>
        <v>0</v>
      </c>
      <c r="T52" s="79">
        <f t="shared" si="16"/>
        <v>0</v>
      </c>
      <c r="U52" s="80">
        <f t="shared" si="17"/>
        <v>0</v>
      </c>
      <c r="V52" s="81">
        <f t="shared" si="18"/>
        <v>0</v>
      </c>
    </row>
    <row r="53" spans="1:22">
      <c r="A53" s="166">
        <v>45</v>
      </c>
      <c r="B53" s="167" t="s">
        <v>96</v>
      </c>
      <c r="C53" s="168" t="s">
        <v>97</v>
      </c>
      <c r="D53" s="70">
        <v>5304473802.0088997</v>
      </c>
      <c r="E53" s="52">
        <f t="shared" si="13"/>
        <v>3.3818521099397403E-3</v>
      </c>
      <c r="F53" s="53">
        <v>100</v>
      </c>
      <c r="G53" s="53">
        <v>100</v>
      </c>
      <c r="H53" s="54">
        <v>72</v>
      </c>
      <c r="I53" s="73">
        <v>0.23200000000000001</v>
      </c>
      <c r="J53" s="73">
        <v>0.23200000000000001</v>
      </c>
      <c r="K53" s="70">
        <v>5491773802.0092001</v>
      </c>
      <c r="L53" s="52">
        <f t="shared" si="12"/>
        <v>3.5012646895537336E-3</v>
      </c>
      <c r="M53" s="53">
        <v>100</v>
      </c>
      <c r="N53" s="53">
        <v>100</v>
      </c>
      <c r="O53" s="54">
        <v>74</v>
      </c>
      <c r="P53" s="73">
        <v>0.23350000000000001</v>
      </c>
      <c r="Q53" s="73">
        <v>0.23350000000000001</v>
      </c>
      <c r="R53" s="79">
        <f t="shared" si="14"/>
        <v>3.5309817145174047E-2</v>
      </c>
      <c r="S53" s="79">
        <f t="shared" si="15"/>
        <v>0</v>
      </c>
      <c r="T53" s="79">
        <f t="shared" si="16"/>
        <v>2.7777777777777776E-2</v>
      </c>
      <c r="U53" s="80">
        <f t="shared" si="17"/>
        <v>1.5000000000000013E-3</v>
      </c>
      <c r="V53" s="81">
        <f t="shared" si="18"/>
        <v>1.5000000000000013E-3</v>
      </c>
    </row>
    <row r="54" spans="1:22">
      <c r="A54" s="166">
        <v>46</v>
      </c>
      <c r="B54" s="167" t="s">
        <v>98</v>
      </c>
      <c r="C54" s="168" t="s">
        <v>99</v>
      </c>
      <c r="D54" s="70">
        <v>56988974.409999996</v>
      </c>
      <c r="E54" s="52">
        <f t="shared" si="13"/>
        <v>3.6333157735413963E-5</v>
      </c>
      <c r="F54" s="53">
        <v>1000</v>
      </c>
      <c r="G54" s="53">
        <v>1000</v>
      </c>
      <c r="H54" s="54">
        <v>20</v>
      </c>
      <c r="I54" s="73">
        <v>0.19600000000000001</v>
      </c>
      <c r="J54" s="73">
        <v>0.19600000000000001</v>
      </c>
      <c r="K54" s="70">
        <v>57455492.920000002</v>
      </c>
      <c r="L54" s="52">
        <f t="shared" si="12"/>
        <v>3.6630585277948332E-5</v>
      </c>
      <c r="M54" s="53">
        <v>1000</v>
      </c>
      <c r="N54" s="53">
        <v>1000</v>
      </c>
      <c r="O54" s="54">
        <v>21</v>
      </c>
      <c r="P54" s="73">
        <v>0.19500000000000001</v>
      </c>
      <c r="Q54" s="73">
        <v>0.19500000000000001</v>
      </c>
      <c r="R54" s="79">
        <f t="shared" si="14"/>
        <v>8.186118715590435E-3</v>
      </c>
      <c r="S54" s="79">
        <f t="shared" si="15"/>
        <v>0</v>
      </c>
      <c r="T54" s="79">
        <f t="shared" si="16"/>
        <v>0.05</v>
      </c>
      <c r="U54" s="80">
        <f t="shared" si="17"/>
        <v>-1.0000000000000009E-3</v>
      </c>
      <c r="V54" s="81">
        <f t="shared" si="18"/>
        <v>-1.0000000000000009E-3</v>
      </c>
    </row>
    <row r="55" spans="1:22">
      <c r="A55" s="166">
        <v>47</v>
      </c>
      <c r="B55" s="167" t="s">
        <v>100</v>
      </c>
      <c r="C55" s="168" t="s">
        <v>49</v>
      </c>
      <c r="D55" s="67">
        <v>708159761615.04004</v>
      </c>
      <c r="E55" s="52">
        <f t="shared" si="13"/>
        <v>0.45148523178401939</v>
      </c>
      <c r="F55" s="53">
        <v>100</v>
      </c>
      <c r="G55" s="53">
        <v>100</v>
      </c>
      <c r="H55" s="54">
        <v>142534</v>
      </c>
      <c r="I55" s="73">
        <v>0.20599999999999999</v>
      </c>
      <c r="J55" s="73">
        <v>0.20599999999999999</v>
      </c>
      <c r="K55" s="67">
        <v>722292444121.09998</v>
      </c>
      <c r="L55" s="52">
        <f t="shared" si="12"/>
        <v>0.46049548311830379</v>
      </c>
      <c r="M55" s="53">
        <v>100</v>
      </c>
      <c r="N55" s="53">
        <v>100</v>
      </c>
      <c r="O55" s="54">
        <v>143463</v>
      </c>
      <c r="P55" s="73">
        <v>0.20499999999999999</v>
      </c>
      <c r="Q55" s="73">
        <v>0.20499999999999999</v>
      </c>
      <c r="R55" s="79">
        <f t="shared" si="14"/>
        <v>1.9956912651784568E-2</v>
      </c>
      <c r="S55" s="79">
        <f t="shared" si="15"/>
        <v>0</v>
      </c>
      <c r="T55" s="79">
        <f t="shared" si="16"/>
        <v>6.5177431349713053E-3</v>
      </c>
      <c r="U55" s="80">
        <f t="shared" si="17"/>
        <v>-1.0000000000000009E-3</v>
      </c>
      <c r="V55" s="81">
        <f t="shared" si="18"/>
        <v>-1.0000000000000009E-3</v>
      </c>
    </row>
    <row r="56" spans="1:22">
      <c r="A56" s="166">
        <v>48</v>
      </c>
      <c r="B56" s="167" t="s">
        <v>101</v>
      </c>
      <c r="C56" s="167" t="s">
        <v>102</v>
      </c>
      <c r="D56" s="67">
        <v>1655529322.8199999</v>
      </c>
      <c r="E56" s="52">
        <f t="shared" si="13"/>
        <v>1.0554779875292393E-3</v>
      </c>
      <c r="F56" s="53">
        <v>100</v>
      </c>
      <c r="G56" s="53">
        <v>100</v>
      </c>
      <c r="H56" s="54">
        <v>287</v>
      </c>
      <c r="I56" s="73">
        <v>0.2155</v>
      </c>
      <c r="J56" s="73">
        <v>0.2155</v>
      </c>
      <c r="K56" s="67">
        <v>1596920704.1400001</v>
      </c>
      <c r="L56" s="52">
        <f t="shared" si="12"/>
        <v>1.0181122302191463E-3</v>
      </c>
      <c r="M56" s="53">
        <v>100</v>
      </c>
      <c r="N56" s="53">
        <v>100</v>
      </c>
      <c r="O56" s="54">
        <v>295</v>
      </c>
      <c r="P56" s="73">
        <v>0.21640000000000001</v>
      </c>
      <c r="Q56" s="73">
        <v>0.21640000000000001</v>
      </c>
      <c r="R56" s="79">
        <f t="shared" si="14"/>
        <v>-3.5401740018815811E-2</v>
      </c>
      <c r="S56" s="79">
        <f t="shared" si="15"/>
        <v>0</v>
      </c>
      <c r="T56" s="79">
        <f t="shared" si="16"/>
        <v>2.7874564459930314E-2</v>
      </c>
      <c r="U56" s="80">
        <f t="shared" si="17"/>
        <v>9.000000000000119E-4</v>
      </c>
      <c r="V56" s="81">
        <f t="shared" si="18"/>
        <v>9.000000000000119E-4</v>
      </c>
    </row>
    <row r="57" spans="1:22">
      <c r="A57" s="166">
        <v>49</v>
      </c>
      <c r="B57" s="167" t="s">
        <v>103</v>
      </c>
      <c r="C57" s="168" t="s">
        <v>104</v>
      </c>
      <c r="D57" s="67">
        <v>3656302124.5500002</v>
      </c>
      <c r="E57" s="52">
        <f t="shared" si="13"/>
        <v>2.3310649681790676E-3</v>
      </c>
      <c r="F57" s="53">
        <v>1</v>
      </c>
      <c r="G57" s="53">
        <v>1</v>
      </c>
      <c r="H57" s="54">
        <v>393</v>
      </c>
      <c r="I57" s="73">
        <v>0.2077386276</v>
      </c>
      <c r="J57" s="73">
        <v>0.2077386276</v>
      </c>
      <c r="K57" s="67">
        <v>3228217112.8899999</v>
      </c>
      <c r="L57" s="52">
        <f t="shared" si="12"/>
        <v>2.0581405926514379E-3</v>
      </c>
      <c r="M57" s="53">
        <v>1</v>
      </c>
      <c r="N57" s="53">
        <v>1</v>
      </c>
      <c r="O57" s="54">
        <v>390</v>
      </c>
      <c r="P57" s="73">
        <v>0.21753098309999999</v>
      </c>
      <c r="Q57" s="73">
        <v>0.21753098309999999</v>
      </c>
      <c r="R57" s="79">
        <f t="shared" si="14"/>
        <v>-0.11708141096591873</v>
      </c>
      <c r="S57" s="79">
        <f t="shared" si="15"/>
        <v>0</v>
      </c>
      <c r="T57" s="79">
        <f t="shared" si="16"/>
        <v>-7.6335877862595417E-3</v>
      </c>
      <c r="U57" s="80">
        <f t="shared" si="17"/>
        <v>9.7923554999999884E-3</v>
      </c>
      <c r="V57" s="81">
        <f t="shared" si="18"/>
        <v>9.7923554999999884E-3</v>
      </c>
    </row>
    <row r="58" spans="1:22">
      <c r="A58" s="166">
        <v>50</v>
      </c>
      <c r="B58" s="167" t="s">
        <v>105</v>
      </c>
      <c r="C58" s="168" t="s">
        <v>52</v>
      </c>
      <c r="D58" s="67">
        <v>64026385788.019997</v>
      </c>
      <c r="E58" s="52">
        <f t="shared" si="13"/>
        <v>4.0819839243437919E-2</v>
      </c>
      <c r="F58" s="53">
        <v>1</v>
      </c>
      <c r="G58" s="53">
        <v>1</v>
      </c>
      <c r="H58" s="54">
        <v>36948</v>
      </c>
      <c r="I58" s="73">
        <v>0.21279999999999999</v>
      </c>
      <c r="J58" s="73">
        <v>0.21279999999999999</v>
      </c>
      <c r="K58" s="67">
        <v>65401780683.93</v>
      </c>
      <c r="L58" s="52">
        <f t="shared" si="12"/>
        <v>4.1696718327838722E-2</v>
      </c>
      <c r="M58" s="53">
        <v>1</v>
      </c>
      <c r="N58" s="53">
        <v>1</v>
      </c>
      <c r="O58" s="54">
        <v>37420</v>
      </c>
      <c r="P58" s="73">
        <v>0.21879999999999999</v>
      </c>
      <c r="Q58" s="73">
        <v>0.21879999999999999</v>
      </c>
      <c r="R58" s="79">
        <f t="shared" si="14"/>
        <v>2.148168882222545E-2</v>
      </c>
      <c r="S58" s="79">
        <f t="shared" si="15"/>
        <v>0</v>
      </c>
      <c r="T58" s="79">
        <f t="shared" si="16"/>
        <v>1.2774710403810761E-2</v>
      </c>
      <c r="U58" s="80">
        <f t="shared" si="17"/>
        <v>6.0000000000000053E-3</v>
      </c>
      <c r="V58" s="81">
        <f t="shared" si="18"/>
        <v>6.0000000000000053E-3</v>
      </c>
    </row>
    <row r="59" spans="1:22">
      <c r="A59" s="166">
        <v>51</v>
      </c>
      <c r="B59" s="167" t="s">
        <v>106</v>
      </c>
      <c r="C59" s="168" t="s">
        <v>107</v>
      </c>
      <c r="D59" s="67">
        <v>1164598045.5699999</v>
      </c>
      <c r="E59" s="52">
        <f t="shared" si="13"/>
        <v>7.4248615501711437E-4</v>
      </c>
      <c r="F59" s="53">
        <v>1</v>
      </c>
      <c r="G59" s="53">
        <v>1</v>
      </c>
      <c r="H59" s="54">
        <v>130</v>
      </c>
      <c r="I59" s="73">
        <v>0.21859999999999999</v>
      </c>
      <c r="J59" s="73">
        <v>0.21859999999999999</v>
      </c>
      <c r="K59" s="67">
        <v>1184373365.9400001</v>
      </c>
      <c r="L59" s="52">
        <f t="shared" si="12"/>
        <v>7.5509385399240043E-4</v>
      </c>
      <c r="M59" s="53">
        <v>1</v>
      </c>
      <c r="N59" s="53">
        <v>1</v>
      </c>
      <c r="O59" s="54">
        <v>131</v>
      </c>
      <c r="P59" s="73">
        <v>0.22220000000000001</v>
      </c>
      <c r="Q59" s="73">
        <v>0.22220000000000001</v>
      </c>
      <c r="R59" s="79">
        <f t="shared" si="14"/>
        <v>1.6980382583693335E-2</v>
      </c>
      <c r="S59" s="79">
        <f t="shared" si="15"/>
        <v>0</v>
      </c>
      <c r="T59" s="79">
        <f t="shared" si="16"/>
        <v>7.6923076923076927E-3</v>
      </c>
      <c r="U59" s="80">
        <f t="shared" si="17"/>
        <v>3.6000000000000199E-3</v>
      </c>
      <c r="V59" s="81">
        <f t="shared" si="18"/>
        <v>3.6000000000000199E-3</v>
      </c>
    </row>
    <row r="60" spans="1:22">
      <c r="A60" s="166">
        <v>52</v>
      </c>
      <c r="B60" s="167" t="s">
        <v>108</v>
      </c>
      <c r="C60" s="168" t="s">
        <v>109</v>
      </c>
      <c r="D60" s="67">
        <v>2877260942.29</v>
      </c>
      <c r="E60" s="52">
        <f t="shared" si="13"/>
        <v>1.834389489273288E-3</v>
      </c>
      <c r="F60" s="53">
        <v>1</v>
      </c>
      <c r="G60" s="53">
        <v>1</v>
      </c>
      <c r="H60" s="54">
        <v>332</v>
      </c>
      <c r="I60" s="73">
        <v>0.20680000000000001</v>
      </c>
      <c r="J60" s="73">
        <v>0.20680000000000001</v>
      </c>
      <c r="K60" s="67">
        <v>2942046981.5300002</v>
      </c>
      <c r="L60" s="52">
        <f t="shared" si="12"/>
        <v>1.8756936434036104E-3</v>
      </c>
      <c r="M60" s="53">
        <v>1</v>
      </c>
      <c r="N60" s="53">
        <v>1</v>
      </c>
      <c r="O60" s="54">
        <v>332</v>
      </c>
      <c r="P60" s="73">
        <v>0.20019999999999999</v>
      </c>
      <c r="Q60" s="73">
        <v>0.20019999999999999</v>
      </c>
      <c r="R60" s="79">
        <f t="shared" si="14"/>
        <v>2.2516567158638489E-2</v>
      </c>
      <c r="S60" s="79">
        <f t="shared" si="15"/>
        <v>0</v>
      </c>
      <c r="T60" s="79">
        <f t="shared" si="16"/>
        <v>0</v>
      </c>
      <c r="U60" s="80">
        <f t="shared" si="17"/>
        <v>-6.6000000000000225E-3</v>
      </c>
      <c r="V60" s="81">
        <f t="shared" si="18"/>
        <v>-6.6000000000000225E-3</v>
      </c>
    </row>
    <row r="61" spans="1:22">
      <c r="A61" s="166">
        <v>53</v>
      </c>
      <c r="B61" s="167" t="s">
        <v>110</v>
      </c>
      <c r="C61" s="168" t="s">
        <v>111</v>
      </c>
      <c r="D61" s="67">
        <v>2429875801.29</v>
      </c>
      <c r="E61" s="52">
        <f t="shared" si="13"/>
        <v>1.5491603714532431E-3</v>
      </c>
      <c r="F61" s="53">
        <v>1</v>
      </c>
      <c r="G61" s="53">
        <v>1</v>
      </c>
      <c r="H61" s="54">
        <v>1569</v>
      </c>
      <c r="I61" s="73">
        <v>0.2344</v>
      </c>
      <c r="J61" s="73">
        <v>0.2344</v>
      </c>
      <c r="K61" s="67">
        <v>2491979949.2800002</v>
      </c>
      <c r="L61" s="52">
        <f t="shared" si="12"/>
        <v>1.5887546934831589E-3</v>
      </c>
      <c r="M61" s="53">
        <v>1</v>
      </c>
      <c r="N61" s="53">
        <v>1</v>
      </c>
      <c r="O61" s="54">
        <v>1620</v>
      </c>
      <c r="P61" s="73">
        <v>0.22950000000000001</v>
      </c>
      <c r="Q61" s="73">
        <v>0.22950000000000001</v>
      </c>
      <c r="R61" s="79">
        <f t="shared" si="14"/>
        <v>2.5558568860609952E-2</v>
      </c>
      <c r="S61" s="79">
        <f t="shared" si="15"/>
        <v>0</v>
      </c>
      <c r="T61" s="79">
        <f t="shared" si="16"/>
        <v>3.2504780114722756E-2</v>
      </c>
      <c r="U61" s="80">
        <f t="shared" si="17"/>
        <v>-4.8999999999999877E-3</v>
      </c>
      <c r="V61" s="81">
        <f t="shared" si="18"/>
        <v>-4.8999999999999877E-3</v>
      </c>
    </row>
    <row r="62" spans="1:22">
      <c r="A62" s="166">
        <v>54</v>
      </c>
      <c r="B62" s="167" t="s">
        <v>112</v>
      </c>
      <c r="C62" s="168" t="s">
        <v>113</v>
      </c>
      <c r="D62" s="67">
        <v>45508767179.989998</v>
      </c>
      <c r="E62" s="52">
        <f t="shared" si="13"/>
        <v>2.9013984431428316E-2</v>
      </c>
      <c r="F62" s="53">
        <v>1</v>
      </c>
      <c r="G62" s="53">
        <v>1</v>
      </c>
      <c r="H62" s="54">
        <v>4141</v>
      </c>
      <c r="I62" s="73">
        <v>0.21490000000000001</v>
      </c>
      <c r="J62" s="73">
        <v>0.21490000000000001</v>
      </c>
      <c r="K62" s="67">
        <v>48042660781.970001</v>
      </c>
      <c r="L62" s="52">
        <f t="shared" si="12"/>
        <v>3.0629461054382613E-2</v>
      </c>
      <c r="M62" s="53">
        <v>1</v>
      </c>
      <c r="N62" s="53">
        <v>1</v>
      </c>
      <c r="O62" s="54">
        <v>4156</v>
      </c>
      <c r="P62" s="73">
        <v>0.219</v>
      </c>
      <c r="Q62" s="73">
        <v>0.219</v>
      </c>
      <c r="R62" s="79">
        <f t="shared" si="14"/>
        <v>5.5679240704506389E-2</v>
      </c>
      <c r="S62" s="79">
        <f t="shared" si="15"/>
        <v>0</v>
      </c>
      <c r="T62" s="79">
        <f t="shared" si="16"/>
        <v>3.622313450857281E-3</v>
      </c>
      <c r="U62" s="80">
        <f t="shared" si="17"/>
        <v>4.0999999999999925E-3</v>
      </c>
      <c r="V62" s="81">
        <f t="shared" si="18"/>
        <v>4.0999999999999925E-3</v>
      </c>
    </row>
    <row r="63" spans="1:22">
      <c r="A63" s="58"/>
      <c r="B63" s="59"/>
      <c r="C63" s="60" t="s">
        <v>53</v>
      </c>
      <c r="D63" s="71">
        <f>SUM(D27:D62)</f>
        <v>1544078501312.1094</v>
      </c>
      <c r="E63" s="62">
        <f>(D63/$D$206)</f>
        <v>0.40897097713285213</v>
      </c>
      <c r="F63" s="63"/>
      <c r="G63" s="68"/>
      <c r="H63" s="65">
        <f>SUM(H27:H62)</f>
        <v>341413</v>
      </c>
      <c r="I63" s="78"/>
      <c r="J63" s="78"/>
      <c r="K63" s="71">
        <f>SUM(K27:K62)</f>
        <v>1568511463413.2886</v>
      </c>
      <c r="L63" s="62">
        <f>(K63/$K$206)</f>
        <v>0.40988113132290804</v>
      </c>
      <c r="M63" s="63"/>
      <c r="N63" s="68"/>
      <c r="O63" s="65">
        <f>SUM(O27:O62)</f>
        <v>343430</v>
      </c>
      <c r="P63" s="78"/>
      <c r="Q63" s="78"/>
      <c r="R63" s="79">
        <f t="shared" si="14"/>
        <v>1.5823652800305708E-2</v>
      </c>
      <c r="S63" s="79" t="e">
        <f t="shared" si="15"/>
        <v>#DIV/0!</v>
      </c>
      <c r="T63" s="79">
        <f t="shared" si="16"/>
        <v>5.9078008160204799E-3</v>
      </c>
      <c r="U63" s="80">
        <f t="shared" si="17"/>
        <v>0</v>
      </c>
      <c r="V63" s="81">
        <f t="shared" si="18"/>
        <v>0</v>
      </c>
    </row>
    <row r="64" spans="1:22" ht="3" customHeight="1">
      <c r="A64" s="58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</row>
    <row r="65" spans="1:22" ht="15" customHeight="1">
      <c r="A65" s="179" t="s">
        <v>114</v>
      </c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</row>
    <row r="66" spans="1:22">
      <c r="A66" s="166">
        <v>55</v>
      </c>
      <c r="B66" s="167" t="s">
        <v>115</v>
      </c>
      <c r="C66" s="168" t="s">
        <v>21</v>
      </c>
      <c r="D66" s="51">
        <v>497243039.06999999</v>
      </c>
      <c r="E66" s="52">
        <f>(D66/$D$102)</f>
        <v>2.3398273505143776E-3</v>
      </c>
      <c r="F66" s="83">
        <v>1.2968</v>
      </c>
      <c r="G66" s="83">
        <v>1.2968</v>
      </c>
      <c r="H66" s="54">
        <v>464</v>
      </c>
      <c r="I66" s="73">
        <v>3.86E-4</v>
      </c>
      <c r="J66" s="73">
        <v>1.2999999999999999E-2</v>
      </c>
      <c r="K66" s="51">
        <v>498836394.25</v>
      </c>
      <c r="L66" s="52">
        <f t="shared" ref="L66:L87" si="21">(K66/$K$102)</f>
        <v>2.3606995439032219E-3</v>
      </c>
      <c r="M66" s="83">
        <v>1.3009999999999999</v>
      </c>
      <c r="N66" s="83">
        <v>1.3009999999999999</v>
      </c>
      <c r="O66" s="54">
        <v>465</v>
      </c>
      <c r="P66" s="73">
        <v>1.2999999999999999E-2</v>
      </c>
      <c r="Q66" s="73">
        <v>1.6299999999999999E-2</v>
      </c>
      <c r="R66" s="79">
        <f>((K66-D66)/D66)</f>
        <v>3.2043790557230922E-3</v>
      </c>
      <c r="S66" s="79">
        <f>((N66-G66)/G66)</f>
        <v>3.2387415175817256E-3</v>
      </c>
      <c r="T66" s="79">
        <f>((O66-H66)/H66)</f>
        <v>2.1551724137931034E-3</v>
      </c>
      <c r="U66" s="80">
        <f>P66-I66</f>
        <v>1.2614E-2</v>
      </c>
      <c r="V66" s="81">
        <f>Q66-J66</f>
        <v>3.2999999999999991E-3</v>
      </c>
    </row>
    <row r="67" spans="1:22">
      <c r="A67" s="166">
        <v>56</v>
      </c>
      <c r="B67" s="167" t="s">
        <v>116</v>
      </c>
      <c r="C67" s="168" t="s">
        <v>23</v>
      </c>
      <c r="D67" s="51">
        <v>1389719631.9100001</v>
      </c>
      <c r="E67" s="52">
        <f>(D67/$D$102)</f>
        <v>6.5394661137368462E-3</v>
      </c>
      <c r="F67" s="83">
        <v>1.2118</v>
      </c>
      <c r="G67" s="83">
        <v>1.2118</v>
      </c>
      <c r="H67" s="54">
        <v>770</v>
      </c>
      <c r="I67" s="73">
        <v>0.1341</v>
      </c>
      <c r="J67" s="73">
        <v>5.0900000000000001E-2</v>
      </c>
      <c r="K67" s="51">
        <v>1394846445.9000001</v>
      </c>
      <c r="L67" s="52">
        <f t="shared" si="21"/>
        <v>6.6009886339626475E-3</v>
      </c>
      <c r="M67" s="83">
        <v>1.214</v>
      </c>
      <c r="N67" s="83">
        <v>1.214</v>
      </c>
      <c r="O67" s="54">
        <v>781</v>
      </c>
      <c r="P67" s="73">
        <v>9.4899999999999998E-2</v>
      </c>
      <c r="Q67" s="73">
        <v>5.1900000000000002E-2</v>
      </c>
      <c r="R67" s="79">
        <f t="shared" ref="R67:R102" si="22">((K67-D67)/D67)</f>
        <v>3.689099493366032E-3</v>
      </c>
      <c r="S67" s="79">
        <f t="shared" ref="S67:S102" si="23">((N67-G67)/G67)</f>
        <v>1.8154811024921438E-3</v>
      </c>
      <c r="T67" s="79">
        <f t="shared" ref="T67:T102" si="24">((O67-H67)/H67)</f>
        <v>1.4285714285714285E-2</v>
      </c>
      <c r="U67" s="80">
        <f t="shared" ref="U67:U102" si="25">P67-I67</f>
        <v>-3.9199999999999999E-2</v>
      </c>
      <c r="V67" s="81">
        <f t="shared" ref="V67:V102" si="26">Q67-J67</f>
        <v>1.0000000000000009E-3</v>
      </c>
    </row>
    <row r="68" spans="1:22">
      <c r="A68" s="166">
        <v>57</v>
      </c>
      <c r="B68" s="167" t="s">
        <v>117</v>
      </c>
      <c r="C68" s="168" t="s">
        <v>23</v>
      </c>
      <c r="D68" s="51">
        <v>836551778.46000004</v>
      </c>
      <c r="E68" s="52">
        <f>(D68/$D$102)</f>
        <v>3.9364788997812376E-3</v>
      </c>
      <c r="F68" s="83">
        <v>1.1013999999999999</v>
      </c>
      <c r="G68" s="83">
        <v>1.1013999999999999</v>
      </c>
      <c r="H68" s="54">
        <v>197</v>
      </c>
      <c r="I68" s="73">
        <v>0.1142</v>
      </c>
      <c r="J68" s="73">
        <v>3.3300000000000003E-2</v>
      </c>
      <c r="K68" s="51">
        <v>838969419.35000002</v>
      </c>
      <c r="L68" s="52">
        <f t="shared" si="21"/>
        <v>3.9703492937520285E-3</v>
      </c>
      <c r="M68" s="83">
        <v>1.1037999999999999</v>
      </c>
      <c r="N68" s="83">
        <v>1.1037999999999999</v>
      </c>
      <c r="O68" s="54">
        <v>198</v>
      </c>
      <c r="P68" s="73">
        <v>0.1139</v>
      </c>
      <c r="Q68" s="73">
        <v>3.5099999999999999E-2</v>
      </c>
      <c r="R68" s="79">
        <f t="shared" si="22"/>
        <v>2.8900074714449798E-3</v>
      </c>
      <c r="S68" s="79">
        <f t="shared" si="23"/>
        <v>2.179044852006499E-3</v>
      </c>
      <c r="T68" s="79">
        <f t="shared" si="24"/>
        <v>5.076142131979695E-3</v>
      </c>
      <c r="U68" s="80">
        <f t="shared" si="25"/>
        <v>-2.9999999999999472E-4</v>
      </c>
      <c r="V68" s="81">
        <f t="shared" si="26"/>
        <v>1.799999999999996E-3</v>
      </c>
    </row>
    <row r="69" spans="1:22">
      <c r="A69" s="166">
        <v>58</v>
      </c>
      <c r="B69" s="167" t="s">
        <v>118</v>
      </c>
      <c r="C69" s="168" t="s">
        <v>119</v>
      </c>
      <c r="D69" s="51">
        <v>277783613.31999999</v>
      </c>
      <c r="E69" s="52">
        <f>(D69/$D$102)</f>
        <v>1.3071388534397286E-3</v>
      </c>
      <c r="F69" s="57">
        <v>1096.3599999999999</v>
      </c>
      <c r="G69" s="57">
        <v>1096.3599999999999</v>
      </c>
      <c r="H69" s="54">
        <v>110</v>
      </c>
      <c r="I69" s="73">
        <v>1.143</v>
      </c>
      <c r="J69" s="73">
        <v>6.0069999999999998E-2</v>
      </c>
      <c r="K69" s="51">
        <v>277922609.85000002</v>
      </c>
      <c r="L69" s="52">
        <f t="shared" si="21"/>
        <v>1.3152444085394398E-3</v>
      </c>
      <c r="M69" s="57">
        <v>1096.9000000000001</v>
      </c>
      <c r="N69" s="57">
        <v>1096.9000000000001</v>
      </c>
      <c r="O69" s="54">
        <v>110</v>
      </c>
      <c r="P69" s="73">
        <v>3.6000000000000001E-5</v>
      </c>
      <c r="Q69" s="73">
        <v>6.0042999999999999E-2</v>
      </c>
      <c r="R69" s="79">
        <f t="shared" si="22"/>
        <v>5.0037699610419551E-4</v>
      </c>
      <c r="S69" s="79">
        <f t="shared" si="23"/>
        <v>4.9253894706135853E-4</v>
      </c>
      <c r="T69" s="79">
        <f t="shared" si="24"/>
        <v>0</v>
      </c>
      <c r="U69" s="80">
        <f t="shared" si="25"/>
        <v>-1.1429640000000001</v>
      </c>
      <c r="V69" s="81">
        <f t="shared" si="26"/>
        <v>-2.6999999999999247E-5</v>
      </c>
    </row>
    <row r="70" spans="1:22" ht="15" customHeight="1">
      <c r="A70" s="166">
        <v>59</v>
      </c>
      <c r="B70" s="167" t="s">
        <v>120</v>
      </c>
      <c r="C70" s="168" t="s">
        <v>27</v>
      </c>
      <c r="D70" s="51">
        <v>1236225535.2</v>
      </c>
      <c r="E70" s="52">
        <f>(D70/$K$102)</f>
        <v>5.8503290673005189E-3</v>
      </c>
      <c r="F70" s="57">
        <v>1.0839000000000001</v>
      </c>
      <c r="G70" s="57">
        <v>1.0839000000000001</v>
      </c>
      <c r="H70" s="54">
        <v>891</v>
      </c>
      <c r="I70" s="73">
        <v>2.8E-3</v>
      </c>
      <c r="J70" s="73">
        <v>0.1061</v>
      </c>
      <c r="K70" s="51">
        <v>1484270306.45</v>
      </c>
      <c r="L70" s="52">
        <f t="shared" si="21"/>
        <v>7.0241792215937748E-3</v>
      </c>
      <c r="M70" s="57">
        <v>1.0867</v>
      </c>
      <c r="N70" s="57">
        <v>1.0867</v>
      </c>
      <c r="O70" s="54">
        <v>892</v>
      </c>
      <c r="P70" s="73">
        <v>2.5999999999999999E-3</v>
      </c>
      <c r="Q70" s="73">
        <v>0.1087</v>
      </c>
      <c r="R70" s="79">
        <f t="shared" si="22"/>
        <v>0.20064685948253821</v>
      </c>
      <c r="S70" s="79">
        <f t="shared" si="23"/>
        <v>2.5832641387581083E-3</v>
      </c>
      <c r="T70" s="79">
        <f t="shared" si="24"/>
        <v>1.1223344556677891E-3</v>
      </c>
      <c r="U70" s="80">
        <f t="shared" si="25"/>
        <v>-2.0000000000000009E-4</v>
      </c>
      <c r="V70" s="81">
        <v>7.87</v>
      </c>
    </row>
    <row r="71" spans="1:22">
      <c r="A71" s="166">
        <v>60</v>
      </c>
      <c r="B71" s="167" t="s">
        <v>121</v>
      </c>
      <c r="C71" s="168" t="s">
        <v>122</v>
      </c>
      <c r="D71" s="51">
        <v>420740299.14263803</v>
      </c>
      <c r="E71" s="52">
        <f t="shared" ref="E71:E87" si="27">(D71/$D$102)</f>
        <v>1.9798359796826775E-3</v>
      </c>
      <c r="F71" s="57">
        <v>2.4217</v>
      </c>
      <c r="G71" s="57">
        <v>2.4217</v>
      </c>
      <c r="H71" s="54">
        <v>1390</v>
      </c>
      <c r="I71" s="73">
        <v>0.12989999999999999</v>
      </c>
      <c r="J71" s="73">
        <v>0.12509999999999999</v>
      </c>
      <c r="K71" s="51">
        <v>421773320.73871017</v>
      </c>
      <c r="L71" s="52">
        <f t="shared" si="21"/>
        <v>1.9960052982810612E-3</v>
      </c>
      <c r="M71" s="57">
        <v>2.4276</v>
      </c>
      <c r="N71" s="57">
        <v>2.4276</v>
      </c>
      <c r="O71" s="54">
        <v>1390</v>
      </c>
      <c r="P71" s="73">
        <v>0.12740000000000001</v>
      </c>
      <c r="Q71" s="73">
        <v>0.12529999999999999</v>
      </c>
      <c r="R71" s="79">
        <f t="shared" si="22"/>
        <v>2.4552475676258567E-3</v>
      </c>
      <c r="S71" s="79">
        <f t="shared" si="23"/>
        <v>2.4363050749473579E-3</v>
      </c>
      <c r="T71" s="79">
        <f t="shared" si="24"/>
        <v>0</v>
      </c>
      <c r="U71" s="80">
        <f t="shared" si="25"/>
        <v>-2.4999999999999745E-3</v>
      </c>
      <c r="V71" s="81">
        <f t="shared" si="26"/>
        <v>2.0000000000000573E-4</v>
      </c>
    </row>
    <row r="72" spans="1:22">
      <c r="A72" s="166">
        <v>61</v>
      </c>
      <c r="B72" s="167" t="s">
        <v>123</v>
      </c>
      <c r="C72" s="168" t="s">
        <v>63</v>
      </c>
      <c r="D72" s="51">
        <v>139240340.59</v>
      </c>
      <c r="E72" s="52">
        <f t="shared" si="27"/>
        <v>6.5520948833545077E-4</v>
      </c>
      <c r="F72" s="57">
        <v>11.18</v>
      </c>
      <c r="G72" s="57">
        <v>11.19</v>
      </c>
      <c r="H72" s="54">
        <v>29</v>
      </c>
      <c r="I72" s="73">
        <v>0.27100000000000002</v>
      </c>
      <c r="J72" s="73">
        <v>7.5999999999999998E-2</v>
      </c>
      <c r="K72" s="51">
        <v>140048672.74000001</v>
      </c>
      <c r="L72" s="52">
        <f t="shared" si="21"/>
        <v>6.6276807721426514E-4</v>
      </c>
      <c r="M72" s="57">
        <v>11.2</v>
      </c>
      <c r="N72" s="57">
        <v>11.24</v>
      </c>
      <c r="O72" s="54">
        <v>29</v>
      </c>
      <c r="P72" s="73">
        <v>0.34699999999999998</v>
      </c>
      <c r="Q72" s="73">
        <v>7.5999999999999998E-2</v>
      </c>
      <c r="R72" s="79">
        <f t="shared" si="22"/>
        <v>5.8053014419160286E-3</v>
      </c>
      <c r="S72" s="79">
        <f t="shared" si="23"/>
        <v>4.4682752457552025E-3</v>
      </c>
      <c r="T72" s="79">
        <f t="shared" si="24"/>
        <v>0</v>
      </c>
      <c r="U72" s="80">
        <f t="shared" si="25"/>
        <v>7.5999999999999956E-2</v>
      </c>
      <c r="V72" s="81">
        <f t="shared" si="26"/>
        <v>0</v>
      </c>
    </row>
    <row r="73" spans="1:22">
      <c r="A73" s="166">
        <v>62</v>
      </c>
      <c r="B73" s="167" t="s">
        <v>124</v>
      </c>
      <c r="C73" s="168" t="s">
        <v>65</v>
      </c>
      <c r="D73" s="51">
        <v>2125876293.91259</v>
      </c>
      <c r="E73" s="52">
        <f t="shared" si="27"/>
        <v>1.0003525651379854E-2</v>
      </c>
      <c r="F73" s="51">
        <v>4334.78091117437</v>
      </c>
      <c r="G73" s="51">
        <v>4334.78091117437</v>
      </c>
      <c r="H73" s="54">
        <v>1046</v>
      </c>
      <c r="I73" s="73">
        <v>9.4681830230625305E-2</v>
      </c>
      <c r="J73" s="73">
        <v>9.6134370603636193E-2</v>
      </c>
      <c r="K73" s="51">
        <v>2116792400.977</v>
      </c>
      <c r="L73" s="52">
        <f t="shared" si="21"/>
        <v>1.001753463284763E-2</v>
      </c>
      <c r="M73" s="51">
        <v>4342.5763642415304</v>
      </c>
      <c r="N73" s="51">
        <v>4342.5763642415304</v>
      </c>
      <c r="O73" s="54">
        <v>1040</v>
      </c>
      <c r="P73" s="73">
        <v>9.4028012060896254E-2</v>
      </c>
      <c r="Q73" s="73">
        <v>9.6258462736394088E-2</v>
      </c>
      <c r="R73" s="79">
        <f t="shared" si="22"/>
        <v>-4.2730110691772604E-3</v>
      </c>
      <c r="S73" s="79">
        <f t="shared" si="23"/>
        <v>1.7983499574488354E-3</v>
      </c>
      <c r="T73" s="79">
        <f t="shared" si="24"/>
        <v>-5.7361376673040155E-3</v>
      </c>
      <c r="U73" s="80">
        <f t="shared" si="25"/>
        <v>-6.5381816972905071E-4</v>
      </c>
      <c r="V73" s="81">
        <f t="shared" si="26"/>
        <v>1.2409213275789421E-4</v>
      </c>
    </row>
    <row r="74" spans="1:22">
      <c r="A74" s="166">
        <v>63</v>
      </c>
      <c r="B74" s="167" t="s">
        <v>125</v>
      </c>
      <c r="C74" s="168" t="s">
        <v>67</v>
      </c>
      <c r="D74" s="51">
        <v>351520070.64999998</v>
      </c>
      <c r="E74" s="52">
        <f t="shared" si="27"/>
        <v>1.6541132020670246E-3</v>
      </c>
      <c r="F74" s="83">
        <v>108.21</v>
      </c>
      <c r="G74" s="83">
        <v>108.21</v>
      </c>
      <c r="H74" s="54">
        <v>135</v>
      </c>
      <c r="I74" s="73">
        <v>2.3999999999999998E-3</v>
      </c>
      <c r="J74" s="73">
        <v>0.12889999999999999</v>
      </c>
      <c r="K74" s="51">
        <v>352416194.86000001</v>
      </c>
      <c r="L74" s="52">
        <f t="shared" si="21"/>
        <v>1.6677787748845892E-3</v>
      </c>
      <c r="M74" s="83">
        <v>108.44</v>
      </c>
      <c r="N74" s="83">
        <v>108.44</v>
      </c>
      <c r="O74" s="54">
        <v>135</v>
      </c>
      <c r="P74" s="73">
        <v>2.0999999999999999E-3</v>
      </c>
      <c r="Q74" s="73">
        <v>0.1283</v>
      </c>
      <c r="R74" s="79">
        <f t="shared" si="22"/>
        <v>2.5492831983761387E-3</v>
      </c>
      <c r="S74" s="79">
        <f t="shared" si="23"/>
        <v>2.125496719342057E-3</v>
      </c>
      <c r="T74" s="79">
        <f t="shared" si="24"/>
        <v>0</v>
      </c>
      <c r="U74" s="80">
        <f t="shared" si="25"/>
        <v>-2.9999999999999992E-4</v>
      </c>
      <c r="V74" s="81">
        <f t="shared" si="26"/>
        <v>-5.9999999999998943E-4</v>
      </c>
    </row>
    <row r="75" spans="1:22" ht="13.5" customHeight="1">
      <c r="A75" s="166">
        <v>64</v>
      </c>
      <c r="B75" s="167" t="s">
        <v>126</v>
      </c>
      <c r="C75" s="168" t="s">
        <v>127</v>
      </c>
      <c r="D75" s="51">
        <v>349126472.52999997</v>
      </c>
      <c r="E75" s="52">
        <f t="shared" si="27"/>
        <v>1.642849884318443E-3</v>
      </c>
      <c r="F75" s="83">
        <v>1.3842000000000001</v>
      </c>
      <c r="G75" s="83">
        <v>1.3842000000000001</v>
      </c>
      <c r="H75" s="54">
        <v>364</v>
      </c>
      <c r="I75" s="73">
        <v>2.7799999999999998E-2</v>
      </c>
      <c r="J75" s="73">
        <v>5.5E-2</v>
      </c>
      <c r="K75" s="51">
        <v>350585395.37</v>
      </c>
      <c r="L75" s="52">
        <f t="shared" si="21"/>
        <v>1.6591146766535062E-3</v>
      </c>
      <c r="M75" s="83">
        <v>1.3892</v>
      </c>
      <c r="N75" s="83">
        <v>1.3892</v>
      </c>
      <c r="O75" s="54">
        <v>365</v>
      </c>
      <c r="P75" s="73">
        <v>5.8641074724356979E-2</v>
      </c>
      <c r="Q75" s="73">
        <v>5.4990107217967821E-2</v>
      </c>
      <c r="R75" s="79">
        <f t="shared" si="22"/>
        <v>4.1787803411976162E-3</v>
      </c>
      <c r="S75" s="79">
        <f t="shared" si="23"/>
        <v>3.6121947695418963E-3</v>
      </c>
      <c r="T75" s="79">
        <f t="shared" si="24"/>
        <v>2.7472527472527475E-3</v>
      </c>
      <c r="U75" s="80">
        <f t="shared" si="25"/>
        <v>3.084107472435698E-2</v>
      </c>
      <c r="V75" s="81">
        <f t="shared" si="26"/>
        <v>-9.8927820321795257E-6</v>
      </c>
    </row>
    <row r="76" spans="1:22">
      <c r="A76" s="166">
        <v>65</v>
      </c>
      <c r="B76" s="167" t="s">
        <v>128</v>
      </c>
      <c r="C76" s="168" t="s">
        <v>29</v>
      </c>
      <c r="D76" s="51">
        <v>130884586.45999999</v>
      </c>
      <c r="E76" s="52">
        <f t="shared" si="27"/>
        <v>6.1589064320065714E-4</v>
      </c>
      <c r="F76" s="83">
        <v>128.16800000000001</v>
      </c>
      <c r="G76" s="83">
        <v>128.16800000000001</v>
      </c>
      <c r="H76" s="54">
        <v>164</v>
      </c>
      <c r="I76" s="73">
        <v>4.2999999999999999E-4</v>
      </c>
      <c r="J76" s="73">
        <v>0.18459999999999999</v>
      </c>
      <c r="K76" s="51">
        <v>131780284.90000001</v>
      </c>
      <c r="L76" s="52">
        <f t="shared" si="21"/>
        <v>6.2363865596975067E-4</v>
      </c>
      <c r="M76" s="83">
        <v>128.57390000000001</v>
      </c>
      <c r="N76" s="83">
        <v>128.57390000000001</v>
      </c>
      <c r="O76" s="54">
        <v>164</v>
      </c>
      <c r="P76" s="73">
        <v>4.5100000000000001E-4</v>
      </c>
      <c r="Q76" s="73">
        <v>0.18690000000000001</v>
      </c>
      <c r="R76" s="79">
        <f t="shared" si="22"/>
        <v>6.8434218591029387E-3</v>
      </c>
      <c r="S76" s="79">
        <f t="shared" si="23"/>
        <v>3.1669371449972112E-3</v>
      </c>
      <c r="T76" s="79">
        <f t="shared" si="24"/>
        <v>0</v>
      </c>
      <c r="U76" s="80">
        <f t="shared" si="25"/>
        <v>2.1000000000000023E-5</v>
      </c>
      <c r="V76" s="81">
        <f t="shared" si="26"/>
        <v>2.3000000000000242E-3</v>
      </c>
    </row>
    <row r="77" spans="1:22">
      <c r="A77" s="166">
        <v>66</v>
      </c>
      <c r="B77" s="167" t="s">
        <v>129</v>
      </c>
      <c r="C77" s="168" t="s">
        <v>99</v>
      </c>
      <c r="D77" s="51">
        <v>1580900131.4300003</v>
      </c>
      <c r="E77" s="52">
        <f t="shared" si="27"/>
        <v>7.4390852667742483E-3</v>
      </c>
      <c r="F77" s="57">
        <v>1000</v>
      </c>
      <c r="G77" s="57">
        <v>1000</v>
      </c>
      <c r="H77" s="54">
        <v>338</v>
      </c>
      <c r="I77" s="73">
        <v>1.12E-2</v>
      </c>
      <c r="J77" s="73">
        <v>0.20469999999999999</v>
      </c>
      <c r="K77" s="51">
        <v>1600054989.0100002</v>
      </c>
      <c r="L77" s="52">
        <f t="shared" si="21"/>
        <v>7.5721200905059707E-3</v>
      </c>
      <c r="M77" s="57">
        <v>1000</v>
      </c>
      <c r="N77" s="57">
        <v>1000</v>
      </c>
      <c r="O77" s="54">
        <v>337</v>
      </c>
      <c r="P77" s="73">
        <v>1.14E-2</v>
      </c>
      <c r="Q77" s="73">
        <v>0.20480000000000001</v>
      </c>
      <c r="R77" s="79">
        <f t="shared" si="22"/>
        <v>1.21164248134216E-2</v>
      </c>
      <c r="S77" s="79">
        <f t="shared" si="23"/>
        <v>0</v>
      </c>
      <c r="T77" s="79">
        <f t="shared" si="24"/>
        <v>-2.9585798816568047E-3</v>
      </c>
      <c r="U77" s="80">
        <f t="shared" si="25"/>
        <v>2.0000000000000052E-4</v>
      </c>
      <c r="V77" s="81">
        <f t="shared" si="26"/>
        <v>1.0000000000001674E-4</v>
      </c>
    </row>
    <row r="78" spans="1:22">
      <c r="A78" s="166">
        <v>67</v>
      </c>
      <c r="B78" s="167" t="s">
        <v>130</v>
      </c>
      <c r="C78" s="168" t="s">
        <v>73</v>
      </c>
      <c r="D78" s="51">
        <v>210845185.5</v>
      </c>
      <c r="E78" s="52">
        <f t="shared" si="27"/>
        <v>9.9215331939061439E-4</v>
      </c>
      <c r="F78" s="57">
        <v>1068.8800000000001</v>
      </c>
      <c r="G78" s="57">
        <v>1077.73</v>
      </c>
      <c r="H78" s="54">
        <v>74</v>
      </c>
      <c r="I78" s="73">
        <v>6.0000000000000001E-3</v>
      </c>
      <c r="J78" s="73">
        <v>6.8599999999999994E-2</v>
      </c>
      <c r="K78" s="51">
        <v>196039610.18000001</v>
      </c>
      <c r="L78" s="52">
        <f t="shared" si="21"/>
        <v>9.2774028453697051E-4</v>
      </c>
      <c r="M78" s="57">
        <v>1068.8800000000001</v>
      </c>
      <c r="N78" s="57">
        <v>1077.73</v>
      </c>
      <c r="O78" s="54">
        <v>74</v>
      </c>
      <c r="P78" s="73">
        <v>0</v>
      </c>
      <c r="Q78" s="73">
        <v>6.8599999999999994E-2</v>
      </c>
      <c r="R78" s="79">
        <f t="shared" si="22"/>
        <v>-7.0220125182796703E-2</v>
      </c>
      <c r="S78" s="79">
        <f t="shared" si="23"/>
        <v>0</v>
      </c>
      <c r="T78" s="79">
        <f t="shared" si="24"/>
        <v>0</v>
      </c>
      <c r="U78" s="80">
        <f t="shared" si="25"/>
        <v>-6.0000000000000001E-3</v>
      </c>
      <c r="V78" s="81">
        <f t="shared" si="26"/>
        <v>0</v>
      </c>
    </row>
    <row r="79" spans="1:22">
      <c r="A79" s="166">
        <v>68</v>
      </c>
      <c r="B79" s="167" t="s">
        <v>131</v>
      </c>
      <c r="C79" s="168" t="s">
        <v>76</v>
      </c>
      <c r="D79" s="51">
        <v>981253850.23000002</v>
      </c>
      <c r="E79" s="52">
        <f t="shared" si="27"/>
        <v>4.6173891159137486E-3</v>
      </c>
      <c r="F79" s="84">
        <v>1.1512</v>
      </c>
      <c r="G79" s="84">
        <v>1.1512</v>
      </c>
      <c r="H79" s="54">
        <v>43</v>
      </c>
      <c r="I79" s="73">
        <v>1.915E-3</v>
      </c>
      <c r="J79" s="73">
        <v>0.12230000000000001</v>
      </c>
      <c r="K79" s="51">
        <v>772849695.94000006</v>
      </c>
      <c r="L79" s="52">
        <f t="shared" si="21"/>
        <v>3.6574434939823995E-3</v>
      </c>
      <c r="M79" s="84">
        <v>1.1509</v>
      </c>
      <c r="N79" s="84">
        <v>1.1509</v>
      </c>
      <c r="O79" s="54">
        <v>43</v>
      </c>
      <c r="P79" s="73">
        <v>-9.5500000000000001E-4</v>
      </c>
      <c r="Q79" s="73">
        <v>0.1193</v>
      </c>
      <c r="R79" s="79">
        <f t="shared" si="22"/>
        <v>-0.21238556591767899</v>
      </c>
      <c r="S79" s="79">
        <f t="shared" si="23"/>
        <v>-2.6059763724806025E-4</v>
      </c>
      <c r="T79" s="79">
        <f t="shared" si="24"/>
        <v>0</v>
      </c>
      <c r="U79" s="80">
        <f t="shared" si="25"/>
        <v>-2.8700000000000002E-3</v>
      </c>
      <c r="V79" s="81">
        <f t="shared" si="26"/>
        <v>-3.0000000000000027E-3</v>
      </c>
    </row>
    <row r="80" spans="1:22">
      <c r="A80" s="166">
        <v>69</v>
      </c>
      <c r="B80" s="167" t="s">
        <v>132</v>
      </c>
      <c r="C80" s="168" t="s">
        <v>31</v>
      </c>
      <c r="D80" s="51">
        <v>24285916341.970001</v>
      </c>
      <c r="E80" s="52">
        <f t="shared" si="27"/>
        <v>0.11427983264587421</v>
      </c>
      <c r="F80" s="84">
        <v>1686.89</v>
      </c>
      <c r="G80" s="84">
        <v>1686.89</v>
      </c>
      <c r="H80" s="54">
        <v>2237</v>
      </c>
      <c r="I80" s="73">
        <v>6.9999999999999999E-4</v>
      </c>
      <c r="J80" s="73">
        <v>9.01E-2</v>
      </c>
      <c r="K80" s="51">
        <v>23987273306.43</v>
      </c>
      <c r="L80" s="52">
        <f t="shared" si="21"/>
        <v>0.11351766993486809</v>
      </c>
      <c r="M80" s="84">
        <v>1687.44</v>
      </c>
      <c r="N80" s="84">
        <v>1687.44</v>
      </c>
      <c r="O80" s="54">
        <v>2237</v>
      </c>
      <c r="P80" s="73">
        <v>2.9999999999999997E-4</v>
      </c>
      <c r="Q80" s="73">
        <v>9.0499999999999997E-2</v>
      </c>
      <c r="R80" s="79">
        <f t="shared" si="22"/>
        <v>-1.2296963859004049E-2</v>
      </c>
      <c r="S80" s="79">
        <f t="shared" si="23"/>
        <v>3.2604378471622601E-4</v>
      </c>
      <c r="T80" s="79">
        <f t="shared" si="24"/>
        <v>0</v>
      </c>
      <c r="U80" s="80">
        <f t="shared" si="25"/>
        <v>-4.0000000000000002E-4</v>
      </c>
      <c r="V80" s="81">
        <f t="shared" si="26"/>
        <v>3.9999999999999758E-4</v>
      </c>
    </row>
    <row r="81" spans="1:22">
      <c r="A81" s="166">
        <v>70</v>
      </c>
      <c r="B81" s="167" t="s">
        <v>133</v>
      </c>
      <c r="C81" s="168" t="s">
        <v>81</v>
      </c>
      <c r="D81" s="51">
        <v>23161209.600000001</v>
      </c>
      <c r="E81" s="52">
        <f t="shared" si="27"/>
        <v>1.0898741145664797E-4</v>
      </c>
      <c r="F81" s="83">
        <v>0.70640000000000003</v>
      </c>
      <c r="G81" s="83">
        <v>0.70640000000000003</v>
      </c>
      <c r="H81" s="54">
        <v>746</v>
      </c>
      <c r="I81" s="73">
        <v>2.5546409310247299E-3</v>
      </c>
      <c r="J81" s="73">
        <v>-7.5876504447932897E-2</v>
      </c>
      <c r="K81" s="51">
        <v>23218829.829999998</v>
      </c>
      <c r="L81" s="52">
        <f t="shared" si="21"/>
        <v>1.0988107848878654E-4</v>
      </c>
      <c r="M81" s="83">
        <v>0.70809999999999995</v>
      </c>
      <c r="N81" s="83">
        <v>0.70809999999999995</v>
      </c>
      <c r="O81" s="54">
        <v>746</v>
      </c>
      <c r="P81" s="73">
        <v>2.0999999999999999E-3</v>
      </c>
      <c r="Q81" s="73">
        <v>-7.3700000000000002E-2</v>
      </c>
      <c r="R81" s="79">
        <f t="shared" si="22"/>
        <v>2.4877901886435462E-3</v>
      </c>
      <c r="S81" s="79">
        <f t="shared" si="23"/>
        <v>2.4065685164211831E-3</v>
      </c>
      <c r="T81" s="79">
        <f t="shared" si="24"/>
        <v>0</v>
      </c>
      <c r="U81" s="80">
        <f t="shared" si="25"/>
        <v>-4.5464093102473005E-4</v>
      </c>
      <c r="V81" s="81">
        <f t="shared" si="26"/>
        <v>2.1765044479328949E-3</v>
      </c>
    </row>
    <row r="82" spans="1:22">
      <c r="A82" s="166">
        <v>71</v>
      </c>
      <c r="B82" s="167" t="s">
        <v>134</v>
      </c>
      <c r="C82" s="168" t="s">
        <v>37</v>
      </c>
      <c r="D82" s="51">
        <v>10541786912.68</v>
      </c>
      <c r="E82" s="52">
        <f t="shared" si="27"/>
        <v>4.9605443220917179E-2</v>
      </c>
      <c r="F82" s="83">
        <v>1</v>
      </c>
      <c r="G82" s="83">
        <v>1</v>
      </c>
      <c r="H82" s="54">
        <v>5245</v>
      </c>
      <c r="I82" s="73">
        <v>0.06</v>
      </c>
      <c r="J82" s="73">
        <v>0.06</v>
      </c>
      <c r="K82" s="51">
        <v>10590714436.9</v>
      </c>
      <c r="L82" s="52">
        <f t="shared" si="21"/>
        <v>5.0119628457319793E-2</v>
      </c>
      <c r="M82" s="83">
        <v>1</v>
      </c>
      <c r="N82" s="83">
        <v>1</v>
      </c>
      <c r="O82" s="54">
        <v>5246</v>
      </c>
      <c r="P82" s="73">
        <v>0.06</v>
      </c>
      <c r="Q82" s="73">
        <v>0.06</v>
      </c>
      <c r="R82" s="79">
        <f t="shared" si="22"/>
        <v>4.6412932290585112E-3</v>
      </c>
      <c r="S82" s="79">
        <f t="shared" si="23"/>
        <v>0</v>
      </c>
      <c r="T82" s="79">
        <f t="shared" si="24"/>
        <v>1.9065776930409913E-4</v>
      </c>
      <c r="U82" s="80">
        <f t="shared" si="25"/>
        <v>0</v>
      </c>
      <c r="V82" s="81">
        <f t="shared" si="26"/>
        <v>0</v>
      </c>
    </row>
    <row r="83" spans="1:22">
      <c r="A83" s="166">
        <v>72</v>
      </c>
      <c r="B83" s="167" t="s">
        <v>135</v>
      </c>
      <c r="C83" s="168" t="s">
        <v>136</v>
      </c>
      <c r="D83" s="51">
        <v>1105059746.0799999</v>
      </c>
      <c r="E83" s="52">
        <f t="shared" si="27"/>
        <v>5.1999702653785351E-3</v>
      </c>
      <c r="F83" s="51">
        <v>232.1207</v>
      </c>
      <c r="G83" s="51">
        <v>234.40549999999999</v>
      </c>
      <c r="H83" s="54">
        <v>491</v>
      </c>
      <c r="I83" s="73">
        <v>3.8E-3</v>
      </c>
      <c r="J83" s="73">
        <v>0.17810000000000001</v>
      </c>
      <c r="K83" s="51">
        <v>1126515173.8199999</v>
      </c>
      <c r="L83" s="52">
        <f t="shared" si="21"/>
        <v>5.3311343913374307E-3</v>
      </c>
      <c r="M83" s="51">
        <v>235.82</v>
      </c>
      <c r="N83" s="51">
        <v>238.2</v>
      </c>
      <c r="O83" s="54">
        <v>491</v>
      </c>
      <c r="P83" s="73">
        <v>1.2999999999999999E-3</v>
      </c>
      <c r="Q83" s="73">
        <v>0.17899999999999999</v>
      </c>
      <c r="R83" s="79">
        <f t="shared" si="22"/>
        <v>1.9415626907150738E-2</v>
      </c>
      <c r="S83" s="79">
        <f t="shared" si="23"/>
        <v>1.6187760099485717E-2</v>
      </c>
      <c r="T83" s="79">
        <f t="shared" si="24"/>
        <v>0</v>
      </c>
      <c r="U83" s="80">
        <f t="shared" si="25"/>
        <v>-2.5000000000000001E-3</v>
      </c>
      <c r="V83" s="81">
        <f t="shared" si="26"/>
        <v>8.9999999999998415E-4</v>
      </c>
    </row>
    <row r="84" spans="1:22">
      <c r="A84" s="166">
        <v>73</v>
      </c>
      <c r="B84" s="167" t="s">
        <v>137</v>
      </c>
      <c r="C84" s="168" t="s">
        <v>41</v>
      </c>
      <c r="D84" s="51">
        <v>1069282512.27</v>
      </c>
      <c r="E84" s="52">
        <f t="shared" si="27"/>
        <v>5.0316168775644907E-3</v>
      </c>
      <c r="F84" s="83">
        <v>3.57</v>
      </c>
      <c r="G84" s="83">
        <v>3.57</v>
      </c>
      <c r="H84" s="69">
        <v>770</v>
      </c>
      <c r="I84" s="76">
        <v>1.6999999999999999E-3</v>
      </c>
      <c r="J84" s="76">
        <v>-3.7000000000000002E-3</v>
      </c>
      <c r="K84" s="51">
        <v>1073078685.9299999</v>
      </c>
      <c r="L84" s="52">
        <f t="shared" si="21"/>
        <v>5.0782508927719834E-3</v>
      </c>
      <c r="M84" s="83">
        <v>3.58</v>
      </c>
      <c r="N84" s="83">
        <v>3.58</v>
      </c>
      <c r="O84" s="69">
        <v>770</v>
      </c>
      <c r="P84" s="76">
        <v>3.5999999999999999E-3</v>
      </c>
      <c r="Q84" s="76">
        <v>2.9999999999999997E-4</v>
      </c>
      <c r="R84" s="79">
        <f t="shared" si="22"/>
        <v>3.5502064388400014E-3</v>
      </c>
      <c r="S84" s="79">
        <f t="shared" si="23"/>
        <v>2.8011204481793364E-3</v>
      </c>
      <c r="T84" s="79">
        <f t="shared" si="24"/>
        <v>0</v>
      </c>
      <c r="U84" s="80">
        <f t="shared" si="25"/>
        <v>1.9E-3</v>
      </c>
      <c r="V84" s="81">
        <f t="shared" si="26"/>
        <v>4.0000000000000001E-3</v>
      </c>
    </row>
    <row r="85" spans="1:22">
      <c r="A85" s="166">
        <v>74</v>
      </c>
      <c r="B85" s="167" t="s">
        <v>138</v>
      </c>
      <c r="C85" s="168" t="s">
        <v>43</v>
      </c>
      <c r="D85" s="51">
        <v>550148751.00999999</v>
      </c>
      <c r="E85" s="52">
        <f t="shared" si="27"/>
        <v>2.5887805224424827E-3</v>
      </c>
      <c r="F85" s="83">
        <v>109.55</v>
      </c>
      <c r="G85" s="83">
        <v>109.55</v>
      </c>
      <c r="H85" s="69">
        <v>59</v>
      </c>
      <c r="I85" s="76">
        <v>0.14680000000000001</v>
      </c>
      <c r="J85" s="76">
        <v>0.17030000000000001</v>
      </c>
      <c r="K85" s="51">
        <v>551177309.28999996</v>
      </c>
      <c r="L85" s="52">
        <f t="shared" si="21"/>
        <v>2.608398339914646E-3</v>
      </c>
      <c r="M85" s="83">
        <v>109.85</v>
      </c>
      <c r="N85" s="83">
        <v>109.85</v>
      </c>
      <c r="O85" s="69">
        <v>59</v>
      </c>
      <c r="P85" s="76">
        <v>0.1469</v>
      </c>
      <c r="Q85" s="76">
        <v>0.17050000000000001</v>
      </c>
      <c r="R85" s="79">
        <f t="shared" si="22"/>
        <v>1.8696003182987785E-3</v>
      </c>
      <c r="S85" s="79">
        <f t="shared" si="23"/>
        <v>2.7384755819260353E-3</v>
      </c>
      <c r="T85" s="79">
        <f t="shared" si="24"/>
        <v>0</v>
      </c>
      <c r="U85" s="80">
        <f t="shared" si="25"/>
        <v>9.9999999999988987E-5</v>
      </c>
      <c r="V85" s="81">
        <f t="shared" si="26"/>
        <v>2.0000000000000573E-4</v>
      </c>
    </row>
    <row r="86" spans="1:22">
      <c r="A86" s="166">
        <v>75</v>
      </c>
      <c r="B86" s="168" t="s">
        <v>139</v>
      </c>
      <c r="C86" s="174" t="s">
        <v>47</v>
      </c>
      <c r="D86" s="51">
        <v>1660797840.7</v>
      </c>
      <c r="E86" s="52">
        <f t="shared" si="27"/>
        <v>7.8150520087985117E-3</v>
      </c>
      <c r="F86" s="83">
        <v>102.65</v>
      </c>
      <c r="G86" s="83">
        <v>102.65</v>
      </c>
      <c r="H86" s="54">
        <v>139</v>
      </c>
      <c r="I86" s="73">
        <v>2.5000000000000001E-3</v>
      </c>
      <c r="J86" s="73">
        <v>9.2799999999999994E-2</v>
      </c>
      <c r="K86" s="51">
        <v>1639034186.5</v>
      </c>
      <c r="L86" s="52">
        <f t="shared" si="21"/>
        <v>7.7565857285328537E-3</v>
      </c>
      <c r="M86" s="83">
        <v>102.68</v>
      </c>
      <c r="N86" s="83">
        <v>102.68</v>
      </c>
      <c r="O86" s="54">
        <v>139</v>
      </c>
      <c r="P86" s="73">
        <v>2.5000000000000001E-3</v>
      </c>
      <c r="Q86" s="73">
        <v>9.7699999999999995E-2</v>
      </c>
      <c r="R86" s="79">
        <f t="shared" si="22"/>
        <v>-1.3104336763122844E-2</v>
      </c>
      <c r="S86" s="79">
        <f t="shared" si="23"/>
        <v>2.9225523623966037E-4</v>
      </c>
      <c r="T86" s="79">
        <f t="shared" si="24"/>
        <v>0</v>
      </c>
      <c r="U86" s="80">
        <f t="shared" si="25"/>
        <v>0</v>
      </c>
      <c r="V86" s="81">
        <f t="shared" si="26"/>
        <v>4.9000000000000016E-3</v>
      </c>
    </row>
    <row r="87" spans="1:22">
      <c r="A87" s="166">
        <v>76</v>
      </c>
      <c r="B87" s="167" t="s">
        <v>140</v>
      </c>
      <c r="C87" s="168" t="s">
        <v>19</v>
      </c>
      <c r="D87" s="51">
        <v>1331436492.29</v>
      </c>
      <c r="E87" s="52">
        <f t="shared" si="27"/>
        <v>6.265208912647046E-3</v>
      </c>
      <c r="F87" s="83">
        <v>348.83920000000001</v>
      </c>
      <c r="G87" s="83">
        <v>348.83920000000001</v>
      </c>
      <c r="H87" s="54">
        <v>150</v>
      </c>
      <c r="I87" s="73">
        <v>2.5999999999999999E-3</v>
      </c>
      <c r="J87" s="153">
        <v>0.10059999999999999</v>
      </c>
      <c r="K87" s="51">
        <v>1334858095.4400001</v>
      </c>
      <c r="L87" s="52">
        <f t="shared" si="21"/>
        <v>6.3170990196466234E-3</v>
      </c>
      <c r="M87" s="83">
        <v>349.73559999999998</v>
      </c>
      <c r="N87" s="83">
        <v>349.73559999999998</v>
      </c>
      <c r="O87" s="54">
        <v>105</v>
      </c>
      <c r="P87" s="73">
        <v>2.5999999999999999E-3</v>
      </c>
      <c r="Q87" s="153">
        <v>0.1032</v>
      </c>
      <c r="R87" s="79">
        <f t="shared" si="22"/>
        <v>2.569858322055692E-3</v>
      </c>
      <c r="S87" s="79">
        <f t="shared" si="23"/>
        <v>2.569665335776402E-3</v>
      </c>
      <c r="T87" s="79">
        <f t="shared" si="24"/>
        <v>-0.3</v>
      </c>
      <c r="U87" s="80">
        <f t="shared" si="25"/>
        <v>0</v>
      </c>
      <c r="V87" s="81">
        <f t="shared" si="26"/>
        <v>2.6000000000000051E-3</v>
      </c>
    </row>
    <row r="88" spans="1:22">
      <c r="A88" s="166">
        <v>77</v>
      </c>
      <c r="B88" s="167" t="s">
        <v>141</v>
      </c>
      <c r="C88" s="168" t="s">
        <v>90</v>
      </c>
      <c r="D88" s="67">
        <v>1466358180.96</v>
      </c>
      <c r="E88" s="52">
        <f>(D88/$K$63)</f>
        <v>9.3487246677114528E-4</v>
      </c>
      <c r="F88" s="83">
        <v>102.5</v>
      </c>
      <c r="G88" s="83">
        <v>102.5</v>
      </c>
      <c r="H88" s="54">
        <v>380</v>
      </c>
      <c r="I88" s="73">
        <v>2.8E-3</v>
      </c>
      <c r="J88" s="73">
        <v>0.12</v>
      </c>
      <c r="K88" s="67">
        <v>1469464129.49</v>
      </c>
      <c r="L88" s="52">
        <f>(K88/$K$63)</f>
        <v>9.3685265537827276E-4</v>
      </c>
      <c r="M88" s="83">
        <v>102.79</v>
      </c>
      <c r="N88" s="83">
        <v>102.79</v>
      </c>
      <c r="O88" s="54">
        <v>381</v>
      </c>
      <c r="P88" s="73">
        <v>2.8E-3</v>
      </c>
      <c r="Q88" s="73">
        <v>0.1381</v>
      </c>
      <c r="R88" s="79">
        <f t="shared" si="22"/>
        <v>2.1181376899104959E-3</v>
      </c>
      <c r="S88" s="79">
        <f t="shared" si="23"/>
        <v>2.8292682926829879E-3</v>
      </c>
      <c r="T88" s="79">
        <f t="shared" si="24"/>
        <v>2.631578947368421E-3</v>
      </c>
      <c r="U88" s="80">
        <f t="shared" si="25"/>
        <v>0</v>
      </c>
      <c r="V88" s="81">
        <f t="shared" si="26"/>
        <v>1.8100000000000005E-2</v>
      </c>
    </row>
    <row r="89" spans="1:22">
      <c r="A89" s="166">
        <v>78</v>
      </c>
      <c r="B89" s="167" t="s">
        <v>142</v>
      </c>
      <c r="C89" s="168" t="s">
        <v>45</v>
      </c>
      <c r="D89" s="51">
        <v>58237286.18</v>
      </c>
      <c r="E89" s="52">
        <f t="shared" ref="E89:E101" si="28">(D89/$D$102)</f>
        <v>2.740414330958871E-4</v>
      </c>
      <c r="F89" s="51">
        <v>12.104768</v>
      </c>
      <c r="G89" s="51">
        <v>12.385272000000001</v>
      </c>
      <c r="H89" s="54">
        <v>56</v>
      </c>
      <c r="I89" s="73">
        <v>1.1000000000000001E-3</v>
      </c>
      <c r="J89" s="73">
        <v>1.09E-2</v>
      </c>
      <c r="K89" s="51">
        <v>58360635.210000001</v>
      </c>
      <c r="L89" s="52">
        <f t="shared" ref="L89:L101" si="29">(K89/$K$102)</f>
        <v>2.761865944630789E-4</v>
      </c>
      <c r="M89" s="51">
        <v>12.130407</v>
      </c>
      <c r="N89" s="51">
        <v>12.418384</v>
      </c>
      <c r="O89" s="54">
        <v>56</v>
      </c>
      <c r="P89" s="73">
        <v>1.1000000000000001E-3</v>
      </c>
      <c r="Q89" s="73">
        <v>1.3100000000000001E-2</v>
      </c>
      <c r="R89" s="79">
        <f t="shared" si="22"/>
        <v>2.1180422044178638E-3</v>
      </c>
      <c r="S89" s="79">
        <f t="shared" si="23"/>
        <v>2.6734980063416566E-3</v>
      </c>
      <c r="T89" s="79">
        <f t="shared" si="24"/>
        <v>0</v>
      </c>
      <c r="U89" s="80">
        <f t="shared" si="25"/>
        <v>0</v>
      </c>
      <c r="V89" s="81">
        <f t="shared" si="26"/>
        <v>2.2000000000000006E-3</v>
      </c>
    </row>
    <row r="90" spans="1:22">
      <c r="A90" s="166">
        <v>79</v>
      </c>
      <c r="B90" s="167" t="s">
        <v>143</v>
      </c>
      <c r="C90" s="168" t="s">
        <v>144</v>
      </c>
      <c r="D90" s="51">
        <v>348055350.5</v>
      </c>
      <c r="E90" s="52">
        <f t="shared" si="28"/>
        <v>1.6378096114043768E-3</v>
      </c>
      <c r="F90" s="51">
        <v>128.49</v>
      </c>
      <c r="G90" s="51">
        <v>128.49</v>
      </c>
      <c r="H90" s="54">
        <v>109</v>
      </c>
      <c r="I90" s="73">
        <v>0.41249999999999998</v>
      </c>
      <c r="J90" s="73">
        <v>0.17169999999999999</v>
      </c>
      <c r="K90" s="51">
        <v>349090124.13999999</v>
      </c>
      <c r="L90" s="52">
        <f t="shared" si="29"/>
        <v>1.6520384365247564E-3</v>
      </c>
      <c r="M90" s="51">
        <v>128.55000000000001</v>
      </c>
      <c r="N90" s="51">
        <v>128.55000000000001</v>
      </c>
      <c r="O90" s="54">
        <v>107</v>
      </c>
      <c r="P90" s="73">
        <v>-3.8100000000000002E-2</v>
      </c>
      <c r="Q90" s="73">
        <v>0.16839999999999999</v>
      </c>
      <c r="R90" s="79">
        <f t="shared" si="22"/>
        <v>2.9730146038941174E-3</v>
      </c>
      <c r="S90" s="79">
        <f t="shared" si="23"/>
        <v>4.6696240952605084E-4</v>
      </c>
      <c r="T90" s="79">
        <f t="shared" si="24"/>
        <v>-1.834862385321101E-2</v>
      </c>
      <c r="U90" s="80">
        <f t="shared" si="25"/>
        <v>-0.4506</v>
      </c>
      <c r="V90" s="81">
        <f t="shared" si="26"/>
        <v>-3.2999999999999974E-3</v>
      </c>
    </row>
    <row r="91" spans="1:22">
      <c r="A91" s="166">
        <v>80</v>
      </c>
      <c r="B91" s="167" t="s">
        <v>145</v>
      </c>
      <c r="C91" s="168" t="s">
        <v>146</v>
      </c>
      <c r="D91" s="51">
        <v>7541043627.5451641</v>
      </c>
      <c r="E91" s="52">
        <f t="shared" si="28"/>
        <v>3.5485142565602354E-2</v>
      </c>
      <c r="F91" s="51">
        <v>1.1200000000000001</v>
      </c>
      <c r="G91" s="51">
        <v>1.1200000000000001</v>
      </c>
      <c r="H91" s="54">
        <v>4400</v>
      </c>
      <c r="I91" s="73">
        <v>0.17030000000000001</v>
      </c>
      <c r="J91" s="73">
        <v>0.17030000000000001</v>
      </c>
      <c r="K91" s="51">
        <v>7513470119.1577883</v>
      </c>
      <c r="L91" s="52">
        <f t="shared" si="29"/>
        <v>3.5556839252063606E-2</v>
      </c>
      <c r="M91" s="51">
        <v>1.1200000000000001</v>
      </c>
      <c r="N91" s="51">
        <v>1.1200000000000001</v>
      </c>
      <c r="O91" s="54">
        <v>4403</v>
      </c>
      <c r="P91" s="73">
        <v>0.17030000000000001</v>
      </c>
      <c r="Q91" s="73">
        <v>0.17030000000000001</v>
      </c>
      <c r="R91" s="79">
        <f t="shared" si="22"/>
        <v>-3.6564578789410659E-3</v>
      </c>
      <c r="S91" s="79">
        <f t="shared" si="23"/>
        <v>0</v>
      </c>
      <c r="T91" s="79">
        <f t="shared" si="24"/>
        <v>6.8181818181818187E-4</v>
      </c>
      <c r="U91" s="80">
        <f t="shared" si="25"/>
        <v>0</v>
      </c>
      <c r="V91" s="81">
        <f t="shared" si="26"/>
        <v>0</v>
      </c>
    </row>
    <row r="92" spans="1:22" ht="14.25" customHeight="1">
      <c r="A92" s="166">
        <v>81</v>
      </c>
      <c r="B92" s="167" t="s">
        <v>147</v>
      </c>
      <c r="C92" s="168" t="s">
        <v>49</v>
      </c>
      <c r="D92" s="51">
        <v>10762377841.190001</v>
      </c>
      <c r="E92" s="52">
        <f t="shared" si="28"/>
        <v>5.0643456118530411E-2</v>
      </c>
      <c r="F92" s="51">
        <v>5166.3999999999996</v>
      </c>
      <c r="G92" s="51">
        <v>5166.3999999999996</v>
      </c>
      <c r="H92" s="54">
        <v>303</v>
      </c>
      <c r="I92" s="73">
        <v>0</v>
      </c>
      <c r="J92" s="73">
        <v>3.09E-2</v>
      </c>
      <c r="K92" s="51">
        <v>9801882528.7399998</v>
      </c>
      <c r="L92" s="52">
        <f t="shared" si="29"/>
        <v>4.6386550543849929E-2</v>
      </c>
      <c r="M92" s="51">
        <v>5166.6099999999997</v>
      </c>
      <c r="N92" s="51">
        <v>5166.6099999999997</v>
      </c>
      <c r="O92" s="54">
        <v>296</v>
      </c>
      <c r="P92" s="73">
        <v>0</v>
      </c>
      <c r="Q92" s="73">
        <v>3.09E-2</v>
      </c>
      <c r="R92" s="79">
        <f t="shared" si="22"/>
        <v>-8.9245641309299947E-2</v>
      </c>
      <c r="S92" s="79">
        <f t="shared" si="23"/>
        <v>4.0647259213385801E-5</v>
      </c>
      <c r="T92" s="79">
        <f t="shared" si="24"/>
        <v>-2.3102310231023101E-2</v>
      </c>
      <c r="U92" s="80">
        <f t="shared" si="25"/>
        <v>0</v>
      </c>
      <c r="V92" s="81">
        <f t="shared" si="26"/>
        <v>0</v>
      </c>
    </row>
    <row r="93" spans="1:22" ht="13.5" customHeight="1">
      <c r="A93" s="166">
        <v>82</v>
      </c>
      <c r="B93" s="167" t="s">
        <v>148</v>
      </c>
      <c r="C93" s="168" t="s">
        <v>49</v>
      </c>
      <c r="D93" s="51">
        <v>24478441619.049999</v>
      </c>
      <c r="E93" s="52">
        <f t="shared" si="28"/>
        <v>0.11518577978556604</v>
      </c>
      <c r="F93" s="83">
        <v>258.45999999999998</v>
      </c>
      <c r="G93" s="83">
        <v>258.45999999999998</v>
      </c>
      <c r="H93" s="54">
        <v>6394</v>
      </c>
      <c r="I93" s="73">
        <v>0</v>
      </c>
      <c r="J93" s="73">
        <v>1.04E-2</v>
      </c>
      <c r="K93" s="51">
        <v>24308727966.450001</v>
      </c>
      <c r="L93" s="52">
        <f t="shared" si="29"/>
        <v>0.11503892595796905</v>
      </c>
      <c r="M93" s="83">
        <v>258.47000000000003</v>
      </c>
      <c r="N93" s="83">
        <v>258.47000000000003</v>
      </c>
      <c r="O93" s="54">
        <v>6382</v>
      </c>
      <c r="P93" s="73">
        <v>0</v>
      </c>
      <c r="Q93" s="73">
        <v>1.04E-2</v>
      </c>
      <c r="R93" s="79">
        <f t="shared" si="22"/>
        <v>-6.9331886090298021E-3</v>
      </c>
      <c r="S93" s="79">
        <f t="shared" si="23"/>
        <v>3.8690706492485293E-5</v>
      </c>
      <c r="T93" s="79">
        <f t="shared" si="24"/>
        <v>-1.876759461995621E-3</v>
      </c>
      <c r="U93" s="80">
        <f t="shared" si="25"/>
        <v>0</v>
      </c>
      <c r="V93" s="81">
        <f t="shared" si="26"/>
        <v>0</v>
      </c>
    </row>
    <row r="94" spans="1:22" ht="13.5" customHeight="1">
      <c r="A94" s="166">
        <v>83</v>
      </c>
      <c r="B94" s="167" t="s">
        <v>149</v>
      </c>
      <c r="C94" s="168" t="s">
        <v>49</v>
      </c>
      <c r="D94" s="51">
        <v>376832839.89999998</v>
      </c>
      <c r="E94" s="52">
        <f t="shared" si="28"/>
        <v>1.7732249948015861E-3</v>
      </c>
      <c r="F94" s="57">
        <v>6534.98</v>
      </c>
      <c r="G94" s="57">
        <v>6564.54</v>
      </c>
      <c r="H94" s="54">
        <v>15</v>
      </c>
      <c r="I94" s="73">
        <v>2.5999999999999999E-3</v>
      </c>
      <c r="J94" s="73">
        <v>0.23649999999999999</v>
      </c>
      <c r="K94" s="51">
        <v>378201009.31999999</v>
      </c>
      <c r="L94" s="52">
        <f t="shared" si="29"/>
        <v>1.7898031508864034E-3</v>
      </c>
      <c r="M94" s="57">
        <v>6560.1</v>
      </c>
      <c r="N94" s="57">
        <v>6587.42</v>
      </c>
      <c r="O94" s="54">
        <v>15</v>
      </c>
      <c r="P94" s="73">
        <v>3.5000000000000001E-3</v>
      </c>
      <c r="Q94" s="73">
        <v>0.24079999999999999</v>
      </c>
      <c r="R94" s="79">
        <f t="shared" si="22"/>
        <v>3.6307064436398042E-3</v>
      </c>
      <c r="S94" s="79">
        <f t="shared" si="23"/>
        <v>3.4853927312500357E-3</v>
      </c>
      <c r="T94" s="79">
        <f t="shared" si="24"/>
        <v>0</v>
      </c>
      <c r="U94" s="80">
        <f t="shared" si="25"/>
        <v>9.0000000000000019E-4</v>
      </c>
      <c r="V94" s="81">
        <f t="shared" si="26"/>
        <v>4.2999999999999983E-3</v>
      </c>
    </row>
    <row r="95" spans="1:22" ht="15" customHeight="1">
      <c r="A95" s="166">
        <v>84</v>
      </c>
      <c r="B95" s="167" t="s">
        <v>150</v>
      </c>
      <c r="C95" s="168" t="s">
        <v>49</v>
      </c>
      <c r="D95" s="51">
        <v>9664948553.1399994</v>
      </c>
      <c r="E95" s="52">
        <f t="shared" si="28"/>
        <v>4.5479391744220631E-2</v>
      </c>
      <c r="F95" s="83">
        <v>136.47999999999999</v>
      </c>
      <c r="G95" s="83">
        <v>136.47999999999999</v>
      </c>
      <c r="H95" s="54">
        <v>4478</v>
      </c>
      <c r="I95" s="73">
        <v>1E-3</v>
      </c>
      <c r="J95" s="73">
        <v>8.3900000000000002E-2</v>
      </c>
      <c r="K95" s="51">
        <v>9510537587.8099995</v>
      </c>
      <c r="L95" s="52">
        <f t="shared" si="29"/>
        <v>4.5007786129104214E-2</v>
      </c>
      <c r="M95" s="83">
        <v>136.6</v>
      </c>
      <c r="N95" s="83">
        <v>136.6</v>
      </c>
      <c r="O95" s="54">
        <v>4471</v>
      </c>
      <c r="P95" s="73">
        <v>8.9999999999999998E-4</v>
      </c>
      <c r="Q95" s="73">
        <v>8.48E-2</v>
      </c>
      <c r="R95" s="79">
        <f t="shared" si="22"/>
        <v>-1.5976387714948994E-2</v>
      </c>
      <c r="S95" s="79">
        <f t="shared" si="23"/>
        <v>8.7924970691679769E-4</v>
      </c>
      <c r="T95" s="79">
        <f t="shared" si="24"/>
        <v>-1.5631978561857973E-3</v>
      </c>
      <c r="U95" s="80">
        <f t="shared" si="25"/>
        <v>-1.0000000000000005E-4</v>
      </c>
      <c r="V95" s="81">
        <f t="shared" si="26"/>
        <v>8.9999999999999802E-4</v>
      </c>
    </row>
    <row r="96" spans="1:22" ht="15" customHeight="1">
      <c r="A96" s="166">
        <v>85</v>
      </c>
      <c r="B96" s="167" t="s">
        <v>151</v>
      </c>
      <c r="C96" s="168" t="s">
        <v>49</v>
      </c>
      <c r="D96" s="51">
        <v>8250717664.3599997</v>
      </c>
      <c r="E96" s="52">
        <f t="shared" si="28"/>
        <v>3.8824585435219959E-2</v>
      </c>
      <c r="F96" s="83">
        <v>358.35</v>
      </c>
      <c r="G96" s="83">
        <v>358.87</v>
      </c>
      <c r="H96" s="54">
        <v>10185</v>
      </c>
      <c r="I96" s="73">
        <v>-5.0000000000000001E-4</v>
      </c>
      <c r="J96" s="73">
        <v>1.5599999999999999E-2</v>
      </c>
      <c r="K96" s="51">
        <v>8210195668.5500002</v>
      </c>
      <c r="L96" s="52">
        <f t="shared" si="29"/>
        <v>3.8854031890040254E-2</v>
      </c>
      <c r="M96" s="83">
        <v>357.66</v>
      </c>
      <c r="N96" s="83">
        <v>358.18</v>
      </c>
      <c r="O96" s="54">
        <v>10186</v>
      </c>
      <c r="P96" s="73">
        <v>-1.9E-3</v>
      </c>
      <c r="Q96" s="73">
        <v>1.37E-2</v>
      </c>
      <c r="R96" s="79">
        <f t="shared" si="22"/>
        <v>-4.9113298331658183E-3</v>
      </c>
      <c r="S96" s="79">
        <f t="shared" si="23"/>
        <v>-1.9227018140273572E-3</v>
      </c>
      <c r="T96" s="79">
        <f t="shared" si="24"/>
        <v>9.8183603338242517E-5</v>
      </c>
      <c r="U96" s="80">
        <f t="shared" si="25"/>
        <v>-1.4E-3</v>
      </c>
      <c r="V96" s="81">
        <f t="shared" si="26"/>
        <v>-1.8999999999999989E-3</v>
      </c>
    </row>
    <row r="97" spans="1:28">
      <c r="A97" s="166">
        <v>86</v>
      </c>
      <c r="B97" s="167" t="s">
        <v>152</v>
      </c>
      <c r="C97" s="168" t="s">
        <v>52</v>
      </c>
      <c r="D97" s="51">
        <v>87202608767.270004</v>
      </c>
      <c r="E97" s="52">
        <f t="shared" si="28"/>
        <v>0.41034068453020489</v>
      </c>
      <c r="F97" s="51">
        <v>1.9447000000000001</v>
      </c>
      <c r="G97" s="51">
        <v>1.9447000000000001</v>
      </c>
      <c r="H97" s="54">
        <v>6346</v>
      </c>
      <c r="I97" s="73">
        <v>7.8E-2</v>
      </c>
      <c r="J97" s="73">
        <v>6.0900000000000003E-2</v>
      </c>
      <c r="K97" s="51">
        <v>87295908383.380005</v>
      </c>
      <c r="L97" s="52">
        <f t="shared" si="29"/>
        <v>0.41312024038483158</v>
      </c>
      <c r="M97" s="51">
        <v>1.9475</v>
      </c>
      <c r="N97" s="51">
        <v>1.9475</v>
      </c>
      <c r="O97" s="54">
        <v>6349</v>
      </c>
      <c r="P97" s="73">
        <v>7.7899999999999997E-2</v>
      </c>
      <c r="Q97" s="73">
        <v>6.1100000000000002E-2</v>
      </c>
      <c r="R97" s="79">
        <f t="shared" si="22"/>
        <v>1.0699177172440169E-3</v>
      </c>
      <c r="S97" s="79">
        <f t="shared" si="23"/>
        <v>1.4398107677276255E-3</v>
      </c>
      <c r="T97" s="79">
        <f t="shared" si="24"/>
        <v>4.7273873306019539E-4</v>
      </c>
      <c r="U97" s="80">
        <f t="shared" si="25"/>
        <v>-1.0000000000000286E-4</v>
      </c>
      <c r="V97" s="81">
        <f t="shared" si="26"/>
        <v>1.9999999999999879E-4</v>
      </c>
    </row>
    <row r="98" spans="1:28">
      <c r="A98" s="166">
        <v>87</v>
      </c>
      <c r="B98" s="167" t="s">
        <v>153</v>
      </c>
      <c r="C98" s="168" t="s">
        <v>52</v>
      </c>
      <c r="D98" s="51">
        <v>8838578539.2199993</v>
      </c>
      <c r="E98" s="52">
        <f t="shared" si="28"/>
        <v>4.1590824166017157E-2</v>
      </c>
      <c r="F98" s="51">
        <v>105.9264</v>
      </c>
      <c r="G98" s="51">
        <v>105.9264</v>
      </c>
      <c r="H98" s="54">
        <v>150</v>
      </c>
      <c r="I98" s="73">
        <v>0.15260000000000001</v>
      </c>
      <c r="J98" s="73">
        <v>0.21479999999999999</v>
      </c>
      <c r="K98" s="51">
        <v>9081100935.2800007</v>
      </c>
      <c r="L98" s="52">
        <f t="shared" si="29"/>
        <v>4.2975514784333757E-2</v>
      </c>
      <c r="M98" s="51">
        <v>106.3715</v>
      </c>
      <c r="N98" s="51">
        <v>106.3715</v>
      </c>
      <c r="O98" s="54">
        <v>155</v>
      </c>
      <c r="P98" s="73">
        <v>0.24440000000000001</v>
      </c>
      <c r="Q98" s="73">
        <v>0.2165</v>
      </c>
      <c r="R98" s="79">
        <f t="shared" ref="R98:R100" si="30">((K98-D98)/D98)</f>
        <v>2.7439072355791259E-2</v>
      </c>
      <c r="S98" s="79">
        <f t="shared" ref="S98:S100" si="31">((N98-G98)/G98)</f>
        <v>4.2019742009545922E-3</v>
      </c>
      <c r="T98" s="79">
        <f t="shared" ref="T98:T100" si="32">((O98-H98)/H98)</f>
        <v>3.3333333333333333E-2</v>
      </c>
      <c r="U98" s="80">
        <f t="shared" ref="U98:U100" si="33">P98-I98</f>
        <v>9.1799999999999993E-2</v>
      </c>
      <c r="V98" s="81">
        <f t="shared" ref="V98:V100" si="34">Q98-J98</f>
        <v>1.7000000000000071E-3</v>
      </c>
    </row>
    <row r="99" spans="1:28">
      <c r="A99" s="166">
        <v>88</v>
      </c>
      <c r="B99" s="167" t="s">
        <v>154</v>
      </c>
      <c r="C99" s="167" t="s">
        <v>155</v>
      </c>
      <c r="D99" s="51">
        <v>88700027.819999993</v>
      </c>
      <c r="E99" s="52">
        <f t="shared" si="28"/>
        <v>4.1738694114811951E-4</v>
      </c>
      <c r="F99" s="51">
        <v>109.01476846535201</v>
      </c>
      <c r="G99" s="51">
        <v>109.01476846535201</v>
      </c>
      <c r="H99" s="85">
        <v>55</v>
      </c>
      <c r="I99" s="86">
        <v>1.65742822875255E-3</v>
      </c>
      <c r="J99" s="86">
        <v>7.2990565510995503E-2</v>
      </c>
      <c r="K99" s="51">
        <v>86892482.219999999</v>
      </c>
      <c r="L99" s="87">
        <f t="shared" si="29"/>
        <v>4.11211061401767E-4</v>
      </c>
      <c r="M99" s="51">
        <v>107.0222</v>
      </c>
      <c r="N99" s="51">
        <v>109.218</v>
      </c>
      <c r="O99" s="85">
        <v>55</v>
      </c>
      <c r="P99" s="86">
        <v>1.9E-3</v>
      </c>
      <c r="Q99" s="86">
        <v>7.4999999999999997E-2</v>
      </c>
      <c r="R99" s="79">
        <f t="shared" si="30"/>
        <v>-2.0378185265827284E-2</v>
      </c>
      <c r="S99" s="79">
        <f t="shared" si="31"/>
        <v>1.8642569030689667E-3</v>
      </c>
      <c r="T99" s="79">
        <f t="shared" si="32"/>
        <v>0</v>
      </c>
      <c r="U99" s="80">
        <f t="shared" si="33"/>
        <v>2.4257177124745004E-4</v>
      </c>
      <c r="V99" s="81">
        <f t="shared" si="34"/>
        <v>2.0094344890044941E-3</v>
      </c>
    </row>
    <row r="100" spans="1:28">
      <c r="A100" s="166">
        <v>89</v>
      </c>
      <c r="B100" s="167" t="s">
        <v>156</v>
      </c>
      <c r="C100" s="168" t="s">
        <v>111</v>
      </c>
      <c r="D100" s="51">
        <v>252086653.84999999</v>
      </c>
      <c r="E100" s="52">
        <f t="shared" si="28"/>
        <v>1.186219214815082E-3</v>
      </c>
      <c r="F100" s="51">
        <v>1.07</v>
      </c>
      <c r="G100" s="51">
        <v>1.07</v>
      </c>
      <c r="H100" s="54">
        <v>348</v>
      </c>
      <c r="I100" s="73">
        <v>-3.2889999999999998E-3</v>
      </c>
      <c r="J100" s="73">
        <v>2.3163E-2</v>
      </c>
      <c r="K100" s="51">
        <v>249665827.78</v>
      </c>
      <c r="L100" s="52">
        <f t="shared" si="29"/>
        <v>1.1815216623370225E-3</v>
      </c>
      <c r="M100" s="51">
        <v>1.06</v>
      </c>
      <c r="N100" s="51">
        <v>1.06</v>
      </c>
      <c r="O100" s="54">
        <v>354</v>
      </c>
      <c r="P100" s="73">
        <v>-9.9620000000000004E-3</v>
      </c>
      <c r="Q100" s="73">
        <v>1.3983000000000001E-2</v>
      </c>
      <c r="R100" s="79">
        <f t="shared" si="30"/>
        <v>-9.6031504763455875E-3</v>
      </c>
      <c r="S100" s="79">
        <f t="shared" si="31"/>
        <v>-9.3457943925233725E-3</v>
      </c>
      <c r="T100" s="79">
        <f t="shared" si="32"/>
        <v>1.7241379310344827E-2</v>
      </c>
      <c r="U100" s="80">
        <f t="shared" si="33"/>
        <v>-6.6730000000000001E-3</v>
      </c>
      <c r="V100" s="81">
        <f t="shared" si="34"/>
        <v>-9.1799999999999989E-3</v>
      </c>
    </row>
    <row r="101" spans="1:28">
      <c r="A101" s="166">
        <v>90</v>
      </c>
      <c r="B101" s="167" t="s">
        <v>157</v>
      </c>
      <c r="C101" s="168" t="s">
        <v>113</v>
      </c>
      <c r="D101" s="51">
        <v>2088217234.1700001</v>
      </c>
      <c r="E101" s="52">
        <f t="shared" si="28"/>
        <v>9.826317141542952E-3</v>
      </c>
      <c r="F101" s="83">
        <v>27.757899999999999</v>
      </c>
      <c r="G101" s="83">
        <v>27.757899999999999</v>
      </c>
      <c r="H101" s="54">
        <v>1299</v>
      </c>
      <c r="I101" s="73">
        <v>0.105</v>
      </c>
      <c r="J101" s="73">
        <v>0.105</v>
      </c>
      <c r="K101" s="51">
        <v>2092164856.72</v>
      </c>
      <c r="L101" s="52">
        <f t="shared" si="29"/>
        <v>9.9009869367189893E-3</v>
      </c>
      <c r="M101" s="83">
        <v>27.804200000000002</v>
      </c>
      <c r="N101" s="83">
        <v>27.804200000000002</v>
      </c>
      <c r="O101" s="54">
        <v>1300</v>
      </c>
      <c r="P101" s="73">
        <v>0.11260000000000001</v>
      </c>
      <c r="Q101" s="73">
        <v>0.11260000000000001</v>
      </c>
      <c r="R101" s="79">
        <f t="shared" si="22"/>
        <v>1.8904271478101303E-3</v>
      </c>
      <c r="S101" s="79">
        <f t="shared" si="23"/>
        <v>1.6679936162318557E-3</v>
      </c>
      <c r="T101" s="79">
        <f t="shared" si="24"/>
        <v>7.6982294072363352E-4</v>
      </c>
      <c r="U101" s="80">
        <f t="shared" si="25"/>
        <v>7.6000000000000095E-3</v>
      </c>
      <c r="V101" s="81">
        <f t="shared" si="26"/>
        <v>7.6000000000000095E-3</v>
      </c>
    </row>
    <row r="102" spans="1:28">
      <c r="A102" s="58"/>
      <c r="B102" s="59"/>
      <c r="C102" s="60" t="s">
        <v>53</v>
      </c>
      <c r="D102" s="71">
        <f>SUM(D66:D101)</f>
        <v>212512704820.16043</v>
      </c>
      <c r="E102" s="62">
        <f>(D102/$D$206)</f>
        <v>5.6286988303762858E-2</v>
      </c>
      <c r="F102" s="63"/>
      <c r="G102" s="68"/>
      <c r="H102" s="65">
        <f>SUM(H66:H101)</f>
        <v>50370</v>
      </c>
      <c r="I102" s="76"/>
      <c r="J102" s="76"/>
      <c r="K102" s="71">
        <f>SUM(K66:K101)</f>
        <v>211308718018.9035</v>
      </c>
      <c r="L102" s="62">
        <f>(K102/$K$206)</f>
        <v>5.5218886453978183E-2</v>
      </c>
      <c r="M102" s="63"/>
      <c r="N102" s="68"/>
      <c r="O102" s="65">
        <f>SUM(O66:O101)</f>
        <v>50326</v>
      </c>
      <c r="P102" s="76"/>
      <c r="Q102" s="76"/>
      <c r="R102" s="79">
        <f t="shared" si="22"/>
        <v>-5.6654815168618051E-3</v>
      </c>
      <c r="S102" s="79" t="e">
        <f t="shared" si="23"/>
        <v>#DIV/0!</v>
      </c>
      <c r="T102" s="79">
        <f t="shared" si="24"/>
        <v>-8.7353583482231484E-4</v>
      </c>
      <c r="U102" s="80">
        <f t="shared" si="25"/>
        <v>0</v>
      </c>
      <c r="V102" s="81">
        <f t="shared" si="26"/>
        <v>0</v>
      </c>
    </row>
    <row r="103" spans="1:28" ht="3.75" customHeight="1">
      <c r="A103" s="58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</row>
    <row r="104" spans="1:28" ht="15" customHeight="1">
      <c r="A104" s="179" t="s">
        <v>158</v>
      </c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</row>
    <row r="105" spans="1:28">
      <c r="A105" s="181" t="s">
        <v>159</v>
      </c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Z105" s="89"/>
      <c r="AB105" s="92"/>
    </row>
    <row r="106" spans="1:28" ht="16.5" customHeight="1">
      <c r="A106" s="166">
        <v>91</v>
      </c>
      <c r="B106" s="167" t="s">
        <v>160</v>
      </c>
      <c r="C106" s="168" t="s">
        <v>19</v>
      </c>
      <c r="D106" s="51">
        <v>2893204480.1700001</v>
      </c>
      <c r="E106" s="52">
        <f>(D106/$D$136)</f>
        <v>1.6257937595308401E-3</v>
      </c>
      <c r="F106" s="51">
        <f>111.2623*1659.371</f>
        <v>184625.43401329999</v>
      </c>
      <c r="G106" s="51">
        <f>111.2623*1659.371</f>
        <v>184625.43401329999</v>
      </c>
      <c r="H106" s="54">
        <v>251</v>
      </c>
      <c r="I106" s="73">
        <v>1.1000000000000001E-3</v>
      </c>
      <c r="J106" s="73">
        <v>5.0200000000000002E-2</v>
      </c>
      <c r="K106" s="51">
        <f>1753217.08*1663.679</f>
        <v>2916790438.4373202</v>
      </c>
      <c r="L106" s="52">
        <f t="shared" ref="L106:L118" si="35">(K106/$K$136)</f>
        <v>1.6143453491569591E-3</v>
      </c>
      <c r="M106" s="51">
        <f>111.3829*1663.679</f>
        <v>185305.39168910001</v>
      </c>
      <c r="N106" s="51">
        <f>111.3829*1663.679</f>
        <v>185305.39168910001</v>
      </c>
      <c r="O106" s="54">
        <v>251</v>
      </c>
      <c r="P106" s="73">
        <v>1.1000000000000001E-3</v>
      </c>
      <c r="Q106" s="73">
        <v>5.1299999999999998E-2</v>
      </c>
      <c r="R106" s="80">
        <f>((K106-D106)/D106)</f>
        <v>8.1521919480555625E-3</v>
      </c>
      <c r="S106" s="80">
        <f>((N106-G106)/G106)</f>
        <v>3.6829036011963331E-3</v>
      </c>
      <c r="T106" s="80">
        <f>((O106-H106)/H106)</f>
        <v>0</v>
      </c>
      <c r="U106" s="80">
        <f>P106-I106</f>
        <v>0</v>
      </c>
      <c r="V106" s="81">
        <f>Q106-J106</f>
        <v>1.0999999999999968E-3</v>
      </c>
      <c r="X106" s="89"/>
      <c r="Y106" s="93"/>
      <c r="Z106" s="89"/>
      <c r="AA106" s="94"/>
    </row>
    <row r="107" spans="1:28" ht="16.5" customHeight="1">
      <c r="A107" s="166">
        <v>92</v>
      </c>
      <c r="B107" s="167" t="s">
        <v>161</v>
      </c>
      <c r="C107" s="168" t="s">
        <v>57</v>
      </c>
      <c r="D107" s="51">
        <f>1189370.9*1659.371</f>
        <v>1973607579.7038999</v>
      </c>
      <c r="E107" s="52">
        <f>(D107/$D$136)</f>
        <v>1.1090397892155996E-3</v>
      </c>
      <c r="F107" s="51">
        <f>100*1659.371</f>
        <v>165937.1</v>
      </c>
      <c r="G107" s="51">
        <f>100*1659.371</f>
        <v>165937.1</v>
      </c>
      <c r="H107" s="54">
        <v>29</v>
      </c>
      <c r="I107" s="73">
        <v>-2.6189E-2</v>
      </c>
      <c r="J107" s="73">
        <v>4.564E-2</v>
      </c>
      <c r="K107" s="51">
        <f>1210986.04*1663.697</f>
        <v>2014713841.78988</v>
      </c>
      <c r="L107" s="52">
        <f t="shared" si="35"/>
        <v>1.1150763104250127E-3</v>
      </c>
      <c r="M107" s="51">
        <f>100*1663.697</f>
        <v>166369.69999999998</v>
      </c>
      <c r="N107" s="51">
        <f>100*1663.697</f>
        <v>166369.69999999998</v>
      </c>
      <c r="O107" s="54">
        <v>32</v>
      </c>
      <c r="P107" s="73">
        <v>2.6036E-2</v>
      </c>
      <c r="Q107" s="73">
        <v>7.1676000000000004E-2</v>
      </c>
      <c r="R107" s="80">
        <f>((K107-D107)/D107)</f>
        <v>2.0827981463340015E-2</v>
      </c>
      <c r="S107" s="80">
        <f>((N107-G107)/G107)</f>
        <v>2.6070119340399268E-3</v>
      </c>
      <c r="T107" s="80">
        <f>((O107-H107)/H107)</f>
        <v>0.10344827586206896</v>
      </c>
      <c r="U107" s="80">
        <f>P107-I107</f>
        <v>5.2225000000000001E-2</v>
      </c>
      <c r="V107" s="81">
        <f>Q107-J107</f>
        <v>2.6036000000000004E-2</v>
      </c>
      <c r="X107" s="89"/>
      <c r="Y107" s="93"/>
      <c r="Z107" s="89"/>
      <c r="AA107" s="94"/>
    </row>
    <row r="108" spans="1:28">
      <c r="A108" s="166">
        <v>93</v>
      </c>
      <c r="B108" s="167" t="s">
        <v>162</v>
      </c>
      <c r="C108" s="168" t="s">
        <v>23</v>
      </c>
      <c r="D108" s="51">
        <f>9603968.3*1659.371</f>
        <v>15936546481.939302</v>
      </c>
      <c r="E108" s="52">
        <f>(D108/$D$136)</f>
        <v>8.9553082045855537E-3</v>
      </c>
      <c r="F108" s="51">
        <f>1.1529*1659.371</f>
        <v>1913.0888259000001</v>
      </c>
      <c r="G108" s="51">
        <f>1.1529*1659.371</f>
        <v>1913.0888259000001</v>
      </c>
      <c r="H108" s="54">
        <v>297</v>
      </c>
      <c r="I108" s="73">
        <v>-2.24E-2</v>
      </c>
      <c r="J108" s="73">
        <v>4.5400000000000003E-2</v>
      </c>
      <c r="K108" s="51">
        <f>9611934.57*1663.197</f>
        <v>15986540741.02029</v>
      </c>
      <c r="L108" s="52">
        <f t="shared" si="35"/>
        <v>8.8480123063626615E-3</v>
      </c>
      <c r="M108" s="51">
        <f>1.1541*1663.197</f>
        <v>1919.4956576999998</v>
      </c>
      <c r="N108" s="51">
        <f>1.1541*1663.197</f>
        <v>1919.4956576999998</v>
      </c>
      <c r="O108" s="54">
        <v>297</v>
      </c>
      <c r="P108" s="73">
        <v>5.4399999999999997E-2</v>
      </c>
      <c r="Q108" s="73">
        <v>-2.0799999999999999E-2</v>
      </c>
      <c r="R108" s="80">
        <f t="shared" ref="R108:R118" si="36">((K108-D108)/D108)</f>
        <v>3.1370823746315318E-3</v>
      </c>
      <c r="S108" s="80">
        <f t="shared" ref="S108:S118" si="37">((N108-G108)/G108)</f>
        <v>3.3489463287130353E-3</v>
      </c>
      <c r="T108" s="80">
        <f t="shared" ref="T108:T118" si="38">((O108-H108)/H108)</f>
        <v>0</v>
      </c>
      <c r="U108" s="80">
        <f t="shared" ref="U108:U118" si="39">P108-I108</f>
        <v>7.6799999999999993E-2</v>
      </c>
      <c r="V108" s="81">
        <f t="shared" ref="V108:V118" si="40">Q108-J108</f>
        <v>-6.6200000000000009E-2</v>
      </c>
    </row>
    <row r="109" spans="1:28">
      <c r="A109" s="166">
        <v>94</v>
      </c>
      <c r="B109" s="167" t="s">
        <v>163</v>
      </c>
      <c r="C109" s="168" t="s">
        <v>27</v>
      </c>
      <c r="D109" s="51">
        <f>2569081.19*1659.371</f>
        <v>4263058823.33149</v>
      </c>
      <c r="E109" s="52">
        <f>(D109/$D$136)</f>
        <v>2.3955632859651789E-3</v>
      </c>
      <c r="F109" s="51">
        <f>1.0584*1659.371</f>
        <v>1756.2782664000001</v>
      </c>
      <c r="G109" s="51">
        <f>1.0584*1659.371</f>
        <v>1756.2782664000001</v>
      </c>
      <c r="H109" s="54">
        <v>277</v>
      </c>
      <c r="I109" s="73">
        <v>3.7000000000000002E-3</v>
      </c>
      <c r="J109" s="73">
        <v>5.8400000000000001E-2</v>
      </c>
      <c r="K109" s="51">
        <f>2943023.08*1663.697</f>
        <v>4896298669.1267595</v>
      </c>
      <c r="L109" s="52">
        <f t="shared" si="35"/>
        <v>2.7099365386095259E-3</v>
      </c>
      <c r="M109" s="51">
        <f>1.0598*1663.697</f>
        <v>1763.1860806</v>
      </c>
      <c r="N109" s="51">
        <f>1.0598*1663.697</f>
        <v>1763.1860806</v>
      </c>
      <c r="O109" s="54">
        <v>278</v>
      </c>
      <c r="P109" s="73">
        <v>1.2999999999999999E-3</v>
      </c>
      <c r="Q109" s="73">
        <v>5.9799999999999999E-2</v>
      </c>
      <c r="R109" s="80">
        <f t="shared" si="36"/>
        <v>0.14854119355087997</v>
      </c>
      <c r="S109" s="80">
        <f t="shared" ref="S109:T112" si="41">((N109-G109)/G109)</f>
        <v>3.9332116852754829E-3</v>
      </c>
      <c r="T109" s="80">
        <f t="shared" si="41"/>
        <v>3.6101083032490976E-3</v>
      </c>
      <c r="U109" s="80">
        <f t="shared" si="39"/>
        <v>-2.4000000000000002E-3</v>
      </c>
      <c r="V109" s="81">
        <f t="shared" si="40"/>
        <v>1.3999999999999985E-3</v>
      </c>
    </row>
    <row r="110" spans="1:28">
      <c r="A110" s="166">
        <v>95</v>
      </c>
      <c r="B110" s="167" t="s">
        <v>164</v>
      </c>
      <c r="C110" s="168" t="s">
        <v>63</v>
      </c>
      <c r="D110" s="51">
        <f>399775.22*1659.371</f>
        <v>663375406.58661997</v>
      </c>
      <c r="E110" s="52">
        <f>(D110/$D$136)</f>
        <v>3.7277406545125664E-4</v>
      </c>
      <c r="F110" s="51">
        <f>1.06*1659.371</f>
        <v>1758.9332600000002</v>
      </c>
      <c r="G110" s="51">
        <f>1.07*1659.371</f>
        <v>1775.5269700000001</v>
      </c>
      <c r="H110" s="54">
        <v>18</v>
      </c>
      <c r="I110" s="73">
        <v>-8.4000000000000005E-2</v>
      </c>
      <c r="J110" s="73">
        <v>5.5E-2</v>
      </c>
      <c r="K110" s="51">
        <f>374532.47*1663.697</f>
        <v>623108546.7415899</v>
      </c>
      <c r="L110" s="52">
        <f t="shared" si="35"/>
        <v>3.448696111987936E-4</v>
      </c>
      <c r="M110" s="51">
        <f>1.06*1663.697</f>
        <v>1763.51882</v>
      </c>
      <c r="N110" s="51">
        <f>1.07*1663.697</f>
        <v>1780.15579</v>
      </c>
      <c r="O110" s="54">
        <v>18</v>
      </c>
      <c r="P110" s="73">
        <v>1.2E-2</v>
      </c>
      <c r="Q110" s="73">
        <v>5.2999999999999999E-2</v>
      </c>
      <c r="R110" s="80">
        <f t="shared" si="36"/>
        <v>-6.0699958794405866E-2</v>
      </c>
      <c r="S110" s="80">
        <f t="shared" si="41"/>
        <v>2.6070119340400135E-3</v>
      </c>
      <c r="T110" s="80">
        <f t="shared" si="41"/>
        <v>0</v>
      </c>
      <c r="U110" s="80">
        <f t="shared" si="39"/>
        <v>9.6000000000000002E-2</v>
      </c>
      <c r="V110" s="81">
        <f t="shared" si="40"/>
        <v>-2.0000000000000018E-3</v>
      </c>
    </row>
    <row r="111" spans="1:28">
      <c r="A111" s="171">
        <v>96</v>
      </c>
      <c r="B111" s="167" t="s">
        <v>165</v>
      </c>
      <c r="C111" s="168" t="s">
        <v>29</v>
      </c>
      <c r="D111" s="51">
        <f>399085.42*1659.371</f>
        <v>662230772.47082007</v>
      </c>
      <c r="E111" s="52">
        <v>0</v>
      </c>
      <c r="F111" s="51">
        <f>1.1801*1659.371</f>
        <v>1958.2237170999999</v>
      </c>
      <c r="G111" s="51">
        <f>1.1801*1659.371</f>
        <v>1958.2237170999999</v>
      </c>
      <c r="H111" s="54">
        <v>45</v>
      </c>
      <c r="I111" s="73">
        <v>2.5500000000000002E-4</v>
      </c>
      <c r="J111" s="73">
        <v>9.3399999999999997E-2</v>
      </c>
      <c r="K111" s="51">
        <f>399680.82*1663.697</f>
        <v>664947781.19154</v>
      </c>
      <c r="L111" s="52">
        <f t="shared" si="35"/>
        <v>3.6802621945439078E-4</v>
      </c>
      <c r="M111" s="51">
        <f>1.1818*1663.697</f>
        <v>1966.1571145999999</v>
      </c>
      <c r="N111" s="51">
        <f>1.1818*1663.697</f>
        <v>1966.1571145999999</v>
      </c>
      <c r="O111" s="54">
        <v>45</v>
      </c>
      <c r="P111" s="73">
        <v>1.6899999999999999E-4</v>
      </c>
      <c r="Q111" s="73">
        <v>9.35E-2</v>
      </c>
      <c r="R111" s="80">
        <f t="shared" si="36"/>
        <v>4.1028125446098225E-3</v>
      </c>
      <c r="S111" s="80">
        <f t="shared" si="41"/>
        <v>4.0513233655186205E-3</v>
      </c>
      <c r="T111" s="80">
        <f t="shared" si="41"/>
        <v>0</v>
      </c>
      <c r="U111" s="80">
        <f t="shared" si="39"/>
        <v>-8.600000000000003E-5</v>
      </c>
      <c r="V111" s="81">
        <f t="shared" si="40"/>
        <v>1.0000000000000286E-4</v>
      </c>
    </row>
    <row r="112" spans="1:28">
      <c r="A112" s="166">
        <v>97</v>
      </c>
      <c r="B112" s="167" t="s">
        <v>166</v>
      </c>
      <c r="C112" s="168" t="s">
        <v>73</v>
      </c>
      <c r="D112" s="51">
        <f>410195.04 *1659.371</f>
        <v>680665753.71984005</v>
      </c>
      <c r="E112" s="52">
        <f t="shared" ref="E112:E118" si="42">(D112/$D$136)</f>
        <v>3.8249012204593584E-4</v>
      </c>
      <c r="F112" s="151">
        <f>106.69*1659.371</f>
        <v>177038.29199</v>
      </c>
      <c r="G112" s="151">
        <f>108.16*1659.371</f>
        <v>179477.56736000002</v>
      </c>
      <c r="H112" s="54">
        <v>45</v>
      </c>
      <c r="I112" s="73">
        <v>1.5E-3</v>
      </c>
      <c r="J112" s="73">
        <v>7.1300000000000002E-2</v>
      </c>
      <c r="K112" s="51">
        <f>410483.86*1663.697</f>
        <v>682920766.43041992</v>
      </c>
      <c r="L112" s="52">
        <f t="shared" si="35"/>
        <v>3.7797366194065906E-4</v>
      </c>
      <c r="M112" s="151">
        <f>106.74*1663.697</f>
        <v>177583.01777999997</v>
      </c>
      <c r="N112" s="151">
        <f>108.26*1663.697</f>
        <v>180111.83721999999</v>
      </c>
      <c r="O112" s="54">
        <v>45</v>
      </c>
      <c r="P112" s="73">
        <v>6.9999999999999999E-4</v>
      </c>
      <c r="Q112" s="73">
        <v>7.1999999999999995E-2</v>
      </c>
      <c r="R112" s="80">
        <f t="shared" si="36"/>
        <v>3.3129516187001065E-3</v>
      </c>
      <c r="S112" s="80">
        <f t="shared" si="41"/>
        <v>3.5339784761386859E-3</v>
      </c>
      <c r="T112" s="80">
        <f t="shared" si="41"/>
        <v>0</v>
      </c>
      <c r="U112" s="80">
        <f t="shared" si="39"/>
        <v>-8.0000000000000004E-4</v>
      </c>
      <c r="V112" s="81">
        <f t="shared" si="40"/>
        <v>6.999999999999923E-4</v>
      </c>
    </row>
    <row r="113" spans="1:24">
      <c r="A113" s="166">
        <v>98</v>
      </c>
      <c r="B113" s="167" t="s">
        <v>167</v>
      </c>
      <c r="C113" s="168" t="s">
        <v>76</v>
      </c>
      <c r="D113" s="51">
        <v>5287947816.03333</v>
      </c>
      <c r="E113" s="52">
        <f t="shared" si="42"/>
        <v>2.9714846008832983E-3</v>
      </c>
      <c r="F113" s="51">
        <v>183280.845692</v>
      </c>
      <c r="G113" s="51">
        <v>183280.845692</v>
      </c>
      <c r="H113" s="54">
        <v>53</v>
      </c>
      <c r="I113" s="73">
        <v>8.6300000000000005E-4</v>
      </c>
      <c r="J113" s="73">
        <v>6.7100000000000007E-2</v>
      </c>
      <c r="K113" s="51">
        <v>5315509444.1796598</v>
      </c>
      <c r="L113" s="52">
        <f t="shared" si="35"/>
        <v>2.9419555949342256E-3</v>
      </c>
      <c r="M113" s="51">
        <v>184236.11228219999</v>
      </c>
      <c r="N113" s="51">
        <v>184236.11228219999</v>
      </c>
      <c r="O113" s="54">
        <v>53</v>
      </c>
      <c r="P113" s="73">
        <v>8.7200000000000005E-4</v>
      </c>
      <c r="Q113" s="73">
        <v>6.7100000000000007E-2</v>
      </c>
      <c r="R113" s="80">
        <f t="shared" si="36"/>
        <v>5.2121596326577969E-3</v>
      </c>
      <c r="S113" s="80">
        <f t="shared" si="37"/>
        <v>5.212037224038641E-3</v>
      </c>
      <c r="T113" s="80">
        <f t="shared" si="38"/>
        <v>0</v>
      </c>
      <c r="U113" s="80">
        <f t="shared" si="39"/>
        <v>9.0000000000000019E-6</v>
      </c>
      <c r="V113" s="81">
        <f t="shared" si="40"/>
        <v>0</v>
      </c>
      <c r="X113" s="90"/>
    </row>
    <row r="114" spans="1:24">
      <c r="A114" s="166">
        <v>99</v>
      </c>
      <c r="B114" s="167" t="s">
        <v>168</v>
      </c>
      <c r="C114" s="168" t="s">
        <v>31</v>
      </c>
      <c r="D114" s="151">
        <v>56200829674.519997</v>
      </c>
      <c r="E114" s="52">
        <f t="shared" si="42"/>
        <v>3.1581230705104345E-2</v>
      </c>
      <c r="F114" s="51">
        <v>206729.52</v>
      </c>
      <c r="G114" s="51">
        <v>206729.52</v>
      </c>
      <c r="H114" s="54">
        <v>2222</v>
      </c>
      <c r="I114" s="73">
        <v>1.5E-3</v>
      </c>
      <c r="J114" s="73">
        <v>6.8699999999999997E-2</v>
      </c>
      <c r="K114" s="151">
        <v>56030511329.389999</v>
      </c>
      <c r="L114" s="52">
        <f t="shared" si="35"/>
        <v>3.101100243044794E-2</v>
      </c>
      <c r="M114" s="51">
        <v>207106.34</v>
      </c>
      <c r="N114" s="51">
        <v>207106.34</v>
      </c>
      <c r="O114" s="54">
        <v>2222</v>
      </c>
      <c r="P114" s="73">
        <v>1.6000000000000001E-3</v>
      </c>
      <c r="Q114" s="73">
        <v>7.0300000000000001E-2</v>
      </c>
      <c r="R114" s="80">
        <f t="shared" si="36"/>
        <v>-3.030530796722654E-3</v>
      </c>
      <c r="S114" s="80">
        <f t="shared" si="37"/>
        <v>1.8227682239092269E-3</v>
      </c>
      <c r="T114" s="80">
        <f t="shared" si="38"/>
        <v>0</v>
      </c>
      <c r="U114" s="80">
        <f t="shared" si="39"/>
        <v>1.0000000000000005E-4</v>
      </c>
      <c r="V114" s="81">
        <f t="shared" si="40"/>
        <v>1.6000000000000042E-3</v>
      </c>
    </row>
    <row r="115" spans="1:24">
      <c r="A115" s="166">
        <v>100</v>
      </c>
      <c r="B115" s="173" t="s">
        <v>169</v>
      </c>
      <c r="C115" s="173" t="s">
        <v>31</v>
      </c>
      <c r="D115" s="51">
        <v>105104268458.17999</v>
      </c>
      <c r="E115" s="52">
        <f t="shared" si="42"/>
        <v>5.9061799790010916E-2</v>
      </c>
      <c r="F115" s="51">
        <v>194007.2</v>
      </c>
      <c r="G115" s="51">
        <v>194007.2</v>
      </c>
      <c r="H115" s="54">
        <v>617</v>
      </c>
      <c r="I115" s="73">
        <v>1.6999999999999999E-3</v>
      </c>
      <c r="J115" s="73">
        <v>8.3099999999999993E-2</v>
      </c>
      <c r="K115" s="51">
        <v>104755614847.58</v>
      </c>
      <c r="L115" s="52">
        <f t="shared" si="35"/>
        <v>5.7978707485708374E-2</v>
      </c>
      <c r="M115" s="51">
        <v>194364.64</v>
      </c>
      <c r="N115" s="51">
        <v>194364.64</v>
      </c>
      <c r="O115" s="54">
        <v>617</v>
      </c>
      <c r="P115" s="73">
        <v>1.6000000000000001E-3</v>
      </c>
      <c r="Q115" s="73">
        <v>8.48E-2</v>
      </c>
      <c r="R115" s="80">
        <f t="shared" si="36"/>
        <v>-3.3172164719334576E-3</v>
      </c>
      <c r="S115" s="80">
        <f t="shared" si="37"/>
        <v>1.8424058488551059E-3</v>
      </c>
      <c r="T115" s="80">
        <f t="shared" si="38"/>
        <v>0</v>
      </c>
      <c r="U115" s="80">
        <f t="shared" si="39"/>
        <v>-9.9999999999999829E-5</v>
      </c>
      <c r="V115" s="81">
        <f t="shared" si="40"/>
        <v>1.7000000000000071E-3</v>
      </c>
    </row>
    <row r="116" spans="1:24">
      <c r="A116" s="166">
        <v>101</v>
      </c>
      <c r="B116" s="167" t="s">
        <v>170</v>
      </c>
      <c r="C116" s="168" t="s">
        <v>35</v>
      </c>
      <c r="D116" s="51">
        <f>134086.12*1659.371</f>
        <v>222498619.03051999</v>
      </c>
      <c r="E116" s="52">
        <f t="shared" si="42"/>
        <v>1.2502983069582213E-4</v>
      </c>
      <c r="F116" s="51">
        <f>117.11*1659.371</f>
        <v>194328.93781</v>
      </c>
      <c r="G116" s="51">
        <f>117.11*1659.371</f>
        <v>194328.93781</v>
      </c>
      <c r="H116" s="54">
        <v>4</v>
      </c>
      <c r="I116" s="73">
        <v>2.3999999999999998E-3</v>
      </c>
      <c r="J116" s="73">
        <v>2.1899999999999999E-2</v>
      </c>
      <c r="K116" s="51">
        <f>129461.69*1663.697</f>
        <v>215385025.26793</v>
      </c>
      <c r="L116" s="52">
        <f t="shared" si="35"/>
        <v>1.1920836315056676E-4</v>
      </c>
      <c r="M116" s="51">
        <f>113.07*1663.697</f>
        <v>188114.21978999997</v>
      </c>
      <c r="N116" s="51">
        <f>113.07*1663.697</f>
        <v>188114.21978999997</v>
      </c>
      <c r="O116" s="54">
        <v>4</v>
      </c>
      <c r="P116" s="73">
        <v>-3.4500000000000003E-2</v>
      </c>
      <c r="Q116" s="73">
        <v>-1.3299999999999999E-2</v>
      </c>
      <c r="R116" s="80">
        <f t="shared" si="36"/>
        <v>-3.1971406355624274E-2</v>
      </c>
      <c r="S116" s="80">
        <f t="shared" si="37"/>
        <v>-3.1980404411391918E-2</v>
      </c>
      <c r="T116" s="80">
        <f t="shared" si="38"/>
        <v>0</v>
      </c>
      <c r="U116" s="80">
        <f t="shared" si="39"/>
        <v>-3.6900000000000002E-2</v>
      </c>
      <c r="V116" s="81">
        <f t="shared" si="40"/>
        <v>-3.5199999999999995E-2</v>
      </c>
    </row>
    <row r="117" spans="1:24">
      <c r="A117" s="166">
        <v>102</v>
      </c>
      <c r="B117" s="167" t="s">
        <v>171</v>
      </c>
      <c r="C117" s="168" t="s">
        <v>41</v>
      </c>
      <c r="D117" s="51">
        <f>10231844.86*1659.371</f>
        <v>16978426637.18306</v>
      </c>
      <c r="E117" s="52">
        <f t="shared" si="42"/>
        <v>9.5407774537119728E-3</v>
      </c>
      <c r="F117" s="51">
        <f>1.38*1659.371</f>
        <v>2289.9319799999998</v>
      </c>
      <c r="G117" s="51">
        <f>1.38*1659.371</f>
        <v>2289.9319799999998</v>
      </c>
      <c r="H117" s="69">
        <v>110</v>
      </c>
      <c r="I117" s="76">
        <v>8.9999999999999998E-4</v>
      </c>
      <c r="J117" s="76">
        <v>4.7600000000000003E-2</v>
      </c>
      <c r="K117" s="51">
        <f>10291999.65*1663.697</f>
        <v>17122768941.706049</v>
      </c>
      <c r="L117" s="52">
        <f t="shared" si="35"/>
        <v>9.4768763780443931E-3</v>
      </c>
      <c r="M117" s="51">
        <f>1.38*1663.697</f>
        <v>2295.9018599999995</v>
      </c>
      <c r="N117" s="51">
        <f>1.38*1663.697</f>
        <v>2295.9018599999995</v>
      </c>
      <c r="O117" s="69">
        <v>111</v>
      </c>
      <c r="P117" s="76">
        <v>8.9999999999999998E-4</v>
      </c>
      <c r="Q117" s="76">
        <v>4.7600000000000003E-2</v>
      </c>
      <c r="R117" s="80">
        <f t="shared" si="36"/>
        <v>8.5015123961414089E-3</v>
      </c>
      <c r="S117" s="80">
        <f t="shared" si="37"/>
        <v>2.6070119340399133E-3</v>
      </c>
      <c r="T117" s="80">
        <f t="shared" si="38"/>
        <v>9.0909090909090905E-3</v>
      </c>
      <c r="U117" s="80">
        <f t="shared" si="39"/>
        <v>0</v>
      </c>
      <c r="V117" s="81">
        <f t="shared" si="40"/>
        <v>0</v>
      </c>
    </row>
    <row r="118" spans="1:24">
      <c r="A118" s="166">
        <v>103</v>
      </c>
      <c r="B118" s="167" t="s">
        <v>172</v>
      </c>
      <c r="C118" s="168" t="s">
        <v>90</v>
      </c>
      <c r="D118" s="51">
        <f>18068961.69*1659.371</f>
        <v>29983111028.496994</v>
      </c>
      <c r="E118" s="52">
        <f t="shared" si="42"/>
        <v>1.6848568822410526E-2</v>
      </c>
      <c r="F118" s="51">
        <f>104.2*1659.371</f>
        <v>172906.45820000002</v>
      </c>
      <c r="G118" s="51">
        <f>104.2*1659.371</f>
        <v>172906.45820000002</v>
      </c>
      <c r="H118" s="54">
        <v>444</v>
      </c>
      <c r="I118" s="88">
        <v>4.0000000000000001E-3</v>
      </c>
      <c r="J118" s="73">
        <v>8.7400000000000005E-2</v>
      </c>
      <c r="K118" s="51">
        <f>18204632.49*1663.697</f>
        <v>30286992459.715527</v>
      </c>
      <c r="L118" s="52">
        <f t="shared" si="35"/>
        <v>1.6762831080689013E-2</v>
      </c>
      <c r="M118" s="51">
        <f>104.41*1663.697</f>
        <v>173706.60376999999</v>
      </c>
      <c r="N118" s="51">
        <f>104.41*1663.697</f>
        <v>173706.60376999999</v>
      </c>
      <c r="O118" s="54">
        <v>454</v>
      </c>
      <c r="P118" s="88">
        <v>2E-3</v>
      </c>
      <c r="Q118" s="73">
        <v>0.10009999999999999</v>
      </c>
      <c r="R118" s="80">
        <f t="shared" si="36"/>
        <v>1.0135086746992768E-2</v>
      </c>
      <c r="S118" s="80">
        <f t="shared" si="37"/>
        <v>4.6276210751737216E-3</v>
      </c>
      <c r="T118" s="80">
        <f t="shared" si="38"/>
        <v>2.2522522522522521E-2</v>
      </c>
      <c r="U118" s="80">
        <f t="shared" si="39"/>
        <v>-2E-3</v>
      </c>
      <c r="V118" s="81">
        <f t="shared" si="40"/>
        <v>1.2699999999999989E-2</v>
      </c>
    </row>
    <row r="119" spans="1:24">
      <c r="A119" s="166">
        <v>104</v>
      </c>
      <c r="B119" s="167" t="s">
        <v>173</v>
      </c>
      <c r="C119" s="168" t="s">
        <v>45</v>
      </c>
      <c r="D119" s="51">
        <f>1933971.71*1659.371</f>
        <v>3209176570.3944101</v>
      </c>
      <c r="E119" s="52">
        <f t="shared" ref="E119:E120" si="43">(D119/$D$136)</f>
        <v>1.8033496343380631E-3</v>
      </c>
      <c r="F119" s="51">
        <f>132.58*1659.371</f>
        <v>219999.40718000004</v>
      </c>
      <c r="G119" s="51">
        <f>136.1*1659.371</f>
        <v>225840.39310000002</v>
      </c>
      <c r="H119" s="54">
        <v>48</v>
      </c>
      <c r="I119" s="73">
        <v>-1.9699999999999999E-2</v>
      </c>
      <c r="J119" s="73">
        <v>6.1000000000000004E-3</v>
      </c>
      <c r="K119" s="51">
        <f>1941276.8*1663.697</f>
        <v>3229696388.3295999</v>
      </c>
      <c r="L119" s="52">
        <f t="shared" ref="L119:L120" si="44">(K119/$K$136)</f>
        <v>1.7875282622231345E-3</v>
      </c>
      <c r="M119" s="51">
        <f>133.09*1663.697</f>
        <v>221421.43372999999</v>
      </c>
      <c r="N119" s="51">
        <f>136.65*1663.697</f>
        <v>227344.19504999998</v>
      </c>
      <c r="O119" s="54">
        <v>47</v>
      </c>
      <c r="P119" s="73">
        <v>3.3999999999999998E-3</v>
      </c>
      <c r="Q119" s="73">
        <v>0.01</v>
      </c>
      <c r="R119" s="80">
        <f t="shared" ref="R119:R120" si="45">((K119-D119)/D119)</f>
        <v>6.3941068635771023E-3</v>
      </c>
      <c r="S119" s="80">
        <f t="shared" ref="S119:S120" si="46">((N119-G119)/G119)</f>
        <v>6.6586934664699029E-3</v>
      </c>
      <c r="T119" s="80">
        <f t="shared" ref="T119:T120" si="47">((O119-H119)/H119)</f>
        <v>-2.0833333333333332E-2</v>
      </c>
      <c r="U119" s="80">
        <f t="shared" ref="U119:U120" si="48">P119-I119</f>
        <v>2.3099999999999999E-2</v>
      </c>
      <c r="V119" s="81">
        <f t="shared" ref="V119:V120" si="49">Q119-J119</f>
        <v>3.8999999999999998E-3</v>
      </c>
    </row>
    <row r="120" spans="1:24">
      <c r="A120" s="166">
        <v>105</v>
      </c>
      <c r="B120" s="167" t="s">
        <v>174</v>
      </c>
      <c r="C120" s="168" t="s">
        <v>52</v>
      </c>
      <c r="D120" s="55">
        <f>129728771.13*1652.25</f>
        <v>214344362099.54248</v>
      </c>
      <c r="E120" s="52">
        <f t="shared" si="43"/>
        <v>0.12044766579083231</v>
      </c>
      <c r="F120" s="51">
        <f>123.4065*1652.25</f>
        <v>203898.38962499998</v>
      </c>
      <c r="G120" s="51">
        <f>123.4065*1652.25</f>
        <v>203898.38962499998</v>
      </c>
      <c r="H120" s="54">
        <v>3380</v>
      </c>
      <c r="I120" s="73">
        <v>5.4699999999999999E-2</v>
      </c>
      <c r="J120" s="73">
        <v>5.2999999999999999E-2</v>
      </c>
      <c r="K120" s="55">
        <f>129640043.02*1652.62</f>
        <v>214245727895.71237</v>
      </c>
      <c r="L120" s="52">
        <f t="shared" si="44"/>
        <v>0.11857780039572872</v>
      </c>
      <c r="M120" s="51">
        <f>123.5325*1652.62</f>
        <v>204152.28014999998</v>
      </c>
      <c r="N120" s="51">
        <f>123.5325*1652.62</f>
        <v>204152.28014999998</v>
      </c>
      <c r="O120" s="54">
        <v>3389</v>
      </c>
      <c r="P120" s="73">
        <v>5.4600000000000003E-2</v>
      </c>
      <c r="Q120" s="73">
        <v>5.2900000000000003E-2</v>
      </c>
      <c r="R120" s="80">
        <f t="shared" si="45"/>
        <v>-4.6016700819171758E-4</v>
      </c>
      <c r="S120" s="80">
        <f t="shared" si="46"/>
        <v>1.2451816096583125E-3</v>
      </c>
      <c r="T120" s="80">
        <f t="shared" si="47"/>
        <v>2.6627218934911242E-3</v>
      </c>
      <c r="U120" s="80">
        <f t="shared" si="48"/>
        <v>-9.9999999999995925E-5</v>
      </c>
      <c r="V120" s="81">
        <f t="shared" si="49"/>
        <v>-9.9999999999995925E-5</v>
      </c>
    </row>
    <row r="121" spans="1:24" ht="6" customHeight="1">
      <c r="A121" s="58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</row>
    <row r="122" spans="1:24">
      <c r="A122" s="181" t="s">
        <v>175</v>
      </c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</row>
    <row r="123" spans="1:24">
      <c r="A123" s="166">
        <v>106</v>
      </c>
      <c r="B123" s="167" t="s">
        <v>176</v>
      </c>
      <c r="C123" s="168" t="s">
        <v>119</v>
      </c>
      <c r="D123" s="55">
        <v>1915722497.98</v>
      </c>
      <c r="E123" s="52">
        <f t="shared" ref="E123:E133" si="50">(D123/$D$136)</f>
        <v>1.0765121178112199E-3</v>
      </c>
      <c r="F123" s="51">
        <v>172829.77</v>
      </c>
      <c r="G123" s="51">
        <v>145023.66</v>
      </c>
      <c r="H123" s="54">
        <v>21</v>
      </c>
      <c r="I123" s="73">
        <v>-6.4689999999999999E-3</v>
      </c>
      <c r="J123" s="73">
        <v>7.85E-2</v>
      </c>
      <c r="K123" s="55">
        <f>1162521.08*1663.697</f>
        <v>1934082833.23276</v>
      </c>
      <c r="L123" s="52">
        <f t="shared" ref="L123:L135" si="51">(K123/$K$136)</f>
        <v>1.0704497606576051E-3</v>
      </c>
      <c r="M123" s="51">
        <f>107.1*1663.697</f>
        <v>178181.94869999998</v>
      </c>
      <c r="N123" s="51">
        <f>107.1*1663.697</f>
        <v>178181.94869999998</v>
      </c>
      <c r="O123" s="54">
        <v>21</v>
      </c>
      <c r="P123" s="73">
        <v>2.7130000000000001E-3</v>
      </c>
      <c r="Q123" s="73">
        <v>7.5200000000000003E-2</v>
      </c>
      <c r="R123" s="80">
        <f>((K123-D123)/D123)</f>
        <v>9.5840265341768788E-3</v>
      </c>
      <c r="S123" s="80">
        <f>((N123-G123)/G123)</f>
        <v>0.2286405452737848</v>
      </c>
      <c r="T123" s="80">
        <f>((O123-H123)/H123)</f>
        <v>0</v>
      </c>
      <c r="U123" s="80">
        <f>P123-I123</f>
        <v>9.1819999999999992E-3</v>
      </c>
      <c r="V123" s="81">
        <f>Q123-J123</f>
        <v>-3.2999999999999974E-3</v>
      </c>
    </row>
    <row r="124" spans="1:24">
      <c r="A124" s="166">
        <v>107</v>
      </c>
      <c r="B124" s="168" t="s">
        <v>177</v>
      </c>
      <c r="C124" s="168" t="s">
        <v>25</v>
      </c>
      <c r="D124" s="51">
        <f>11223185.12*1659.371</f>
        <v>18623427915.759521</v>
      </c>
      <c r="E124" s="52">
        <f t="shared" si="50"/>
        <v>1.0465161758886531E-2</v>
      </c>
      <c r="F124" s="55">
        <f>132.79*1659.371</f>
        <v>220347.87508999999</v>
      </c>
      <c r="G124" s="55">
        <f>132.79*1659.371</f>
        <v>220347.87508999999</v>
      </c>
      <c r="H124" s="54">
        <v>493</v>
      </c>
      <c r="I124" s="73">
        <v>5.0000000000000001E-4</v>
      </c>
      <c r="J124" s="73">
        <v>5.0799999999999998E-2</v>
      </c>
      <c r="K124" s="51">
        <f>11109183.59*1663.697</f>
        <v>18482315411.132229</v>
      </c>
      <c r="L124" s="52">
        <f t="shared" si="51"/>
        <v>1.0229339596161898E-2</v>
      </c>
      <c r="M124" s="55">
        <f>132.94*1663.697</f>
        <v>221171.87917999999</v>
      </c>
      <c r="N124" s="55">
        <f>132.94*1663.697</f>
        <v>221171.87917999999</v>
      </c>
      <c r="O124" s="54">
        <v>495</v>
      </c>
      <c r="P124" s="73">
        <v>5.0000000000000001E-4</v>
      </c>
      <c r="Q124" s="73">
        <v>5.1900000000000002E-2</v>
      </c>
      <c r="R124" s="80">
        <f t="shared" ref="R124:R136" si="52">((K124-D124)/D124)</f>
        <v>-7.5771498816219742E-3</v>
      </c>
      <c r="S124" s="80">
        <f t="shared" ref="S124:S136" si="53">((N124-G124)/G124)</f>
        <v>3.7395599556539487E-3</v>
      </c>
      <c r="T124" s="80">
        <f t="shared" ref="T124:T136" si="54">((O124-H124)/H124)</f>
        <v>4.0567951318458417E-3</v>
      </c>
      <c r="U124" s="80">
        <f t="shared" ref="U124:U136" si="55">P124-I124</f>
        <v>0</v>
      </c>
      <c r="V124" s="81">
        <f t="shared" ref="V124:V136" si="56">Q124-J124</f>
        <v>1.1000000000000038E-3</v>
      </c>
    </row>
    <row r="125" spans="1:24">
      <c r="A125" s="166">
        <v>108</v>
      </c>
      <c r="B125" s="167" t="s">
        <v>178</v>
      </c>
      <c r="C125" s="168" t="s">
        <v>67</v>
      </c>
      <c r="D125" s="55">
        <v>16848594249.35</v>
      </c>
      <c r="E125" s="52">
        <f t="shared" si="50"/>
        <v>9.4678200504690561E-3</v>
      </c>
      <c r="F125" s="55">
        <v>191952.38</v>
      </c>
      <c r="G125" s="55">
        <v>191952.38</v>
      </c>
      <c r="H125" s="54">
        <v>633</v>
      </c>
      <c r="I125" s="73">
        <v>1.1999999999999999E-3</v>
      </c>
      <c r="J125" s="73">
        <v>6.4199999999999993E-2</v>
      </c>
      <c r="K125" s="55">
        <v>17269112088.639999</v>
      </c>
      <c r="L125" s="52">
        <f t="shared" si="51"/>
        <v>9.5578723849979765E-3</v>
      </c>
      <c r="M125" s="55">
        <v>195887.88</v>
      </c>
      <c r="N125" s="55">
        <v>195887.88</v>
      </c>
      <c r="O125" s="54">
        <v>634</v>
      </c>
      <c r="P125" s="73">
        <v>1.1999999999999999E-3</v>
      </c>
      <c r="Q125" s="73">
        <v>6.4399999999999999E-2</v>
      </c>
      <c r="R125" s="80">
        <f t="shared" si="52"/>
        <v>2.4958630557930499E-2</v>
      </c>
      <c r="S125" s="80">
        <f t="shared" si="53"/>
        <v>2.050248087572553E-2</v>
      </c>
      <c r="T125" s="80">
        <f t="shared" si="54"/>
        <v>1.5797788309636651E-3</v>
      </c>
      <c r="U125" s="80">
        <f t="shared" si="55"/>
        <v>0</v>
      </c>
      <c r="V125" s="81">
        <f t="shared" si="56"/>
        <v>2.0000000000000573E-4</v>
      </c>
    </row>
    <row r="126" spans="1:24">
      <c r="A126" s="171">
        <v>109</v>
      </c>
      <c r="B126" s="167" t="s">
        <v>179</v>
      </c>
      <c r="C126" s="168" t="s">
        <v>65</v>
      </c>
      <c r="D126" s="55">
        <v>6925374860.2569695</v>
      </c>
      <c r="E126" s="52">
        <f t="shared" si="50"/>
        <v>3.8916126763207455E-3</v>
      </c>
      <c r="F126" s="55">
        <v>2088.1044340430199</v>
      </c>
      <c r="G126" s="55">
        <v>2088.1044340430199</v>
      </c>
      <c r="H126" s="54">
        <v>227</v>
      </c>
      <c r="I126" s="73">
        <v>5.5727851619458021E-2</v>
      </c>
      <c r="J126" s="73">
        <v>5.3944165044376553E-2</v>
      </c>
      <c r="K126" s="55">
        <v>7006032728.5857744</v>
      </c>
      <c r="L126" s="52">
        <f t="shared" si="51"/>
        <v>3.8776033418065296E-3</v>
      </c>
      <c r="M126" s="55">
        <v>2123.9483006554919</v>
      </c>
      <c r="N126" s="55">
        <v>2123.9483006554919</v>
      </c>
      <c r="O126" s="54">
        <v>223</v>
      </c>
      <c r="P126" s="73">
        <v>5.7088663895661772E-2</v>
      </c>
      <c r="Q126" s="73">
        <v>5.4069117090176658E-2</v>
      </c>
      <c r="R126" s="80">
        <f t="shared" si="52"/>
        <v>1.1646715153526306E-2</v>
      </c>
      <c r="S126" s="80">
        <f t="shared" si="53"/>
        <v>1.716574421666767E-2</v>
      </c>
      <c r="T126" s="80">
        <f t="shared" si="54"/>
        <v>-1.7621145374449341E-2</v>
      </c>
      <c r="U126" s="80">
        <f t="shared" si="55"/>
        <v>1.3608122762037503E-3</v>
      </c>
      <c r="V126" s="81">
        <f t="shared" si="56"/>
        <v>1.2495204580010438E-4</v>
      </c>
    </row>
    <row r="127" spans="1:24">
      <c r="A127" s="166">
        <v>110</v>
      </c>
      <c r="B127" s="167" t="s">
        <v>180</v>
      </c>
      <c r="C127" s="168" t="s">
        <v>37</v>
      </c>
      <c r="D127" s="55">
        <v>79370342690.691895</v>
      </c>
      <c r="E127" s="52">
        <f t="shared" si="50"/>
        <v>4.460099820900628E-2</v>
      </c>
      <c r="F127" s="55">
        <f>100*1675.49</f>
        <v>167549</v>
      </c>
      <c r="G127" s="55">
        <f>100*1675.49</f>
        <v>167549</v>
      </c>
      <c r="H127" s="54">
        <v>1783</v>
      </c>
      <c r="I127" s="73">
        <v>5.4300000000000001E-2</v>
      </c>
      <c r="J127" s="73">
        <v>5.5599999999999997E-2</v>
      </c>
      <c r="K127" s="55">
        <v>78619184031.519699</v>
      </c>
      <c r="L127" s="52">
        <f t="shared" si="51"/>
        <v>4.3513072596259569E-2</v>
      </c>
      <c r="M127" s="55">
        <f>100*1663.697</f>
        <v>166369.69999999998</v>
      </c>
      <c r="N127" s="55">
        <f>100*1663.697</f>
        <v>166369.69999999998</v>
      </c>
      <c r="O127" s="54">
        <v>1793</v>
      </c>
      <c r="P127" s="73">
        <v>5.3400000000000003E-2</v>
      </c>
      <c r="Q127" s="73">
        <v>5.5500000000000001E-2</v>
      </c>
      <c r="R127" s="80">
        <f t="shared" si="52"/>
        <v>-9.4639714748300692E-3</v>
      </c>
      <c r="S127" s="80">
        <f t="shared" si="53"/>
        <v>-7.0385379799343326E-3</v>
      </c>
      <c r="T127" s="80">
        <f t="shared" si="54"/>
        <v>5.6085249579360631E-3</v>
      </c>
      <c r="U127" s="80">
        <f t="shared" si="55"/>
        <v>-8.9999999999999802E-4</v>
      </c>
      <c r="V127" s="81">
        <f t="shared" si="56"/>
        <v>-9.9999999999995925E-5</v>
      </c>
    </row>
    <row r="128" spans="1:24" ht="15.6">
      <c r="A128" s="166">
        <v>111</v>
      </c>
      <c r="B128" s="167" t="s">
        <v>181</v>
      </c>
      <c r="C128" s="168" t="s">
        <v>136</v>
      </c>
      <c r="D128" s="55">
        <f>1066091.54*1659.371</f>
        <v>1769041384.8213401</v>
      </c>
      <c r="E128" s="52">
        <f t="shared" si="50"/>
        <v>9.9408682086146055E-4</v>
      </c>
      <c r="F128" s="55">
        <f>1.09*1659.371</f>
        <v>1808.7143900000003</v>
      </c>
      <c r="G128" s="55">
        <f>1.11*1659.371</f>
        <v>1841.9018100000003</v>
      </c>
      <c r="H128" s="54">
        <v>38</v>
      </c>
      <c r="I128" s="73">
        <v>5.4999999999999997E-3</v>
      </c>
      <c r="J128" s="73">
        <v>0.1028</v>
      </c>
      <c r="K128" s="55">
        <f>1040221.44*1663.697</f>
        <v>1730613289.0636797</v>
      </c>
      <c r="L128" s="52">
        <f t="shared" si="51"/>
        <v>9.5783621530450805E-4</v>
      </c>
      <c r="M128" s="55">
        <f>1.09*1663.697</f>
        <v>1813.4297300000001</v>
      </c>
      <c r="N128" s="55">
        <f>1.12*1663.697</f>
        <v>1863.3406400000001</v>
      </c>
      <c r="O128" s="54">
        <v>38</v>
      </c>
      <c r="P128" s="73">
        <v>4.5999999999999999E-3</v>
      </c>
      <c r="Q128" s="73">
        <v>0.1031</v>
      </c>
      <c r="R128" s="80">
        <f t="shared" si="52"/>
        <v>-2.1722553292070856E-2</v>
      </c>
      <c r="S128" s="80">
        <f t="shared" si="53"/>
        <v>1.1639507537049341E-2</v>
      </c>
      <c r="T128" s="80">
        <f t="shared" si="54"/>
        <v>0</v>
      </c>
      <c r="U128" s="80">
        <f t="shared" si="55"/>
        <v>-8.9999999999999976E-4</v>
      </c>
      <c r="V128" s="81">
        <f t="shared" si="56"/>
        <v>2.9999999999999472E-4</v>
      </c>
      <c r="X128" s="91"/>
    </row>
    <row r="129" spans="1:24" ht="15.6">
      <c r="A129" s="166">
        <v>112</v>
      </c>
      <c r="B129" s="167" t="s">
        <v>182</v>
      </c>
      <c r="C129" s="168" t="s">
        <v>43</v>
      </c>
      <c r="D129" s="51">
        <f>2124977.07*1659.371</f>
        <v>3526125325.6229701</v>
      </c>
      <c r="E129" s="52">
        <f t="shared" si="50"/>
        <v>1.9814543316981968E-3</v>
      </c>
      <c r="F129" s="55">
        <f>10.53*1659.371</f>
        <v>17473.176630000002</v>
      </c>
      <c r="G129" s="55">
        <f>10.53*1659.371</f>
        <v>17473.176630000002</v>
      </c>
      <c r="H129" s="54">
        <v>68</v>
      </c>
      <c r="I129" s="73">
        <v>7.7600000000000002E-2</v>
      </c>
      <c r="J129" s="73">
        <v>9.7699999999999995E-2</v>
      </c>
      <c r="K129" s="51">
        <f>2161521.48*1663.697</f>
        <v>3596116801.7115598</v>
      </c>
      <c r="L129" s="52">
        <f t="shared" si="51"/>
        <v>1.9903296299128375E-3</v>
      </c>
      <c r="M129" s="55">
        <f>10.55*1663.697</f>
        <v>17552.003349999999</v>
      </c>
      <c r="N129" s="55">
        <f>10.55*1663.697</f>
        <v>17552.003349999999</v>
      </c>
      <c r="O129" s="54">
        <v>68</v>
      </c>
      <c r="P129" s="73">
        <v>7.7499999999999999E-2</v>
      </c>
      <c r="Q129" s="73">
        <v>9.7100000000000006E-2</v>
      </c>
      <c r="R129" s="80">
        <f t="shared" si="52"/>
        <v>1.9849401148617451E-2</v>
      </c>
      <c r="S129" s="80">
        <f t="shared" si="53"/>
        <v>4.5112987563267872E-3</v>
      </c>
      <c r="T129" s="80">
        <f t="shared" si="54"/>
        <v>0</v>
      </c>
      <c r="U129" s="80">
        <f t="shared" si="55"/>
        <v>-1.0000000000000286E-4</v>
      </c>
      <c r="V129" s="81">
        <f t="shared" si="56"/>
        <v>-5.9999999999998943E-4</v>
      </c>
      <c r="X129" s="91"/>
    </row>
    <row r="130" spans="1:24" ht="15.6">
      <c r="A130" s="166">
        <v>113</v>
      </c>
      <c r="B130" s="168" t="s">
        <v>183</v>
      </c>
      <c r="C130" s="174" t="s">
        <v>47</v>
      </c>
      <c r="D130" s="55">
        <v>24960039241</v>
      </c>
      <c r="E130" s="52">
        <f t="shared" si="50"/>
        <v>1.4025927415015712E-2</v>
      </c>
      <c r="F130" s="55">
        <f>1.0628*1659.371</f>
        <v>1763.5794988</v>
      </c>
      <c r="G130" s="55">
        <f>1.0628*1659.371</f>
        <v>1763.5794988</v>
      </c>
      <c r="H130" s="54">
        <v>371</v>
      </c>
      <c r="I130" s="73">
        <v>3.8999999999999998E-3</v>
      </c>
      <c r="J130" s="73">
        <v>9.5000000000000001E-2</v>
      </c>
      <c r="K130" s="55">
        <v>25119460692</v>
      </c>
      <c r="L130" s="52">
        <f t="shared" si="51"/>
        <v>1.3902776149796637E-2</v>
      </c>
      <c r="M130" s="55">
        <f>1.0641*1663.697</f>
        <v>1770.3399777</v>
      </c>
      <c r="N130" s="55">
        <f>1.0641*1663.697</f>
        <v>1770.3399777</v>
      </c>
      <c r="O130" s="54">
        <v>371</v>
      </c>
      <c r="P130" s="73">
        <v>2E-3</v>
      </c>
      <c r="Q130" s="73">
        <v>9.8699999999999996E-2</v>
      </c>
      <c r="R130" s="80">
        <f t="shared" si="52"/>
        <v>6.3870673223193593E-3</v>
      </c>
      <c r="S130" s="80">
        <f t="shared" si="53"/>
        <v>3.833384831588264E-3</v>
      </c>
      <c r="T130" s="80">
        <f t="shared" si="54"/>
        <v>0</v>
      </c>
      <c r="U130" s="80">
        <f t="shared" si="55"/>
        <v>-1.8999999999999998E-3</v>
      </c>
      <c r="V130" s="81">
        <f t="shared" si="56"/>
        <v>3.699999999999995E-3</v>
      </c>
      <c r="X130" s="91"/>
    </row>
    <row r="131" spans="1:24">
      <c r="A131" s="166">
        <v>114</v>
      </c>
      <c r="B131" s="167" t="s">
        <v>184</v>
      </c>
      <c r="C131" s="168" t="s">
        <v>92</v>
      </c>
      <c r="D131" s="51">
        <f>333534.27 *1666.63</f>
        <v>555878220.4101001</v>
      </c>
      <c r="E131" s="52">
        <f t="shared" si="50"/>
        <v>3.1236760069884415E-4</v>
      </c>
      <c r="F131" s="55">
        <f>1.1*1666.63</f>
        <v>1833.2930000000003</v>
      </c>
      <c r="G131" s="55">
        <f>1.1*1666.63</f>
        <v>1833.2930000000003</v>
      </c>
      <c r="H131" s="54">
        <v>3</v>
      </c>
      <c r="I131" s="73">
        <v>-1.0263E-2</v>
      </c>
      <c r="J131" s="73">
        <v>6.1019999999999998E-2</v>
      </c>
      <c r="K131" s="51">
        <f>333151.71*1693.39</f>
        <v>564155774.19690001</v>
      </c>
      <c r="L131" s="52">
        <f t="shared" si="51"/>
        <v>3.1224123552830291E-4</v>
      </c>
      <c r="M131" s="55">
        <f>1.1*1693.39</f>
        <v>1862.7290000000003</v>
      </c>
      <c r="N131" s="55">
        <f>1.1*1693.39</f>
        <v>1862.7290000000003</v>
      </c>
      <c r="O131" s="54">
        <v>3</v>
      </c>
      <c r="P131" s="73">
        <v>-1.147E-3</v>
      </c>
      <c r="Q131" s="73">
        <v>5.9803000000000002E-2</v>
      </c>
      <c r="R131" s="80">
        <f t="shared" si="52"/>
        <v>1.4890948202095647E-2</v>
      </c>
      <c r="S131" s="80">
        <f t="shared" si="53"/>
        <v>1.605635323977123E-2</v>
      </c>
      <c r="T131" s="80">
        <f t="shared" si="54"/>
        <v>0</v>
      </c>
      <c r="U131" s="80">
        <f t="shared" si="55"/>
        <v>9.1159999999999991E-3</v>
      </c>
      <c r="V131" s="81">
        <f t="shared" si="56"/>
        <v>-1.2169999999999959E-3</v>
      </c>
    </row>
    <row r="132" spans="1:24">
      <c r="A132" s="166">
        <v>115</v>
      </c>
      <c r="B132" s="167" t="s">
        <v>185</v>
      </c>
      <c r="C132" s="168" t="s">
        <v>49</v>
      </c>
      <c r="D132" s="51">
        <v>1050804927066.34</v>
      </c>
      <c r="E132" s="52">
        <f t="shared" si="50"/>
        <v>0.59048439355670179</v>
      </c>
      <c r="F132" s="55">
        <v>2601.7800000000002</v>
      </c>
      <c r="G132" s="55">
        <v>2601.7800000000002</v>
      </c>
      <c r="H132" s="54">
        <v>8930</v>
      </c>
      <c r="I132" s="73">
        <v>1.2999999999999999E-3</v>
      </c>
      <c r="J132" s="73">
        <v>6.5799999999999997E-2</v>
      </c>
      <c r="K132" s="51">
        <v>1075607099033.78</v>
      </c>
      <c r="L132" s="52">
        <f t="shared" si="51"/>
        <v>0.59531233199450351</v>
      </c>
      <c r="M132" s="55">
        <v>2647.11</v>
      </c>
      <c r="N132" s="55">
        <v>2647.11</v>
      </c>
      <c r="O132" s="54">
        <v>9000</v>
      </c>
      <c r="P132" s="73">
        <v>1.2999999999999999E-3</v>
      </c>
      <c r="Q132" s="73">
        <v>6.7199999999999996E-2</v>
      </c>
      <c r="R132" s="80">
        <f t="shared" si="52"/>
        <v>2.360302214863353E-2</v>
      </c>
      <c r="S132" s="80">
        <f t="shared" si="53"/>
        <v>1.7422687544680921E-2</v>
      </c>
      <c r="T132" s="80">
        <f t="shared" si="54"/>
        <v>7.8387458006718928E-3</v>
      </c>
      <c r="U132" s="80">
        <f t="shared" si="55"/>
        <v>0</v>
      </c>
      <c r="V132" s="81">
        <f t="shared" si="56"/>
        <v>1.3999999999999985E-3</v>
      </c>
    </row>
    <row r="133" spans="1:24" ht="16.5" customHeight="1">
      <c r="A133" s="166">
        <v>116</v>
      </c>
      <c r="B133" s="167" t="s">
        <v>186</v>
      </c>
      <c r="C133" s="168" t="s">
        <v>52</v>
      </c>
      <c r="D133" s="51">
        <f>68614689.99*1652.25</f>
        <v>113368621535.97749</v>
      </c>
      <c r="E133" s="52">
        <f t="shared" si="50"/>
        <v>6.3705831607510782E-2</v>
      </c>
      <c r="F133" s="55">
        <f>1.1549*1652.25</f>
        <v>1908.1835250000001</v>
      </c>
      <c r="G133" s="55">
        <f>1.1549*1652.25</f>
        <v>1908.1835250000001</v>
      </c>
      <c r="H133" s="54">
        <v>449</v>
      </c>
      <c r="I133" s="73">
        <v>9.9699999999999997E-2</v>
      </c>
      <c r="J133" s="73">
        <v>8.9899999999999994E-2</v>
      </c>
      <c r="K133" s="51">
        <f>69803505.55*1652.62</f>
        <v>115358669342.04099</v>
      </c>
      <c r="L133" s="52">
        <f t="shared" si="51"/>
        <v>6.3847141324637632E-2</v>
      </c>
      <c r="M133" s="55">
        <f>1.157*1652.62</f>
        <v>1912.08134</v>
      </c>
      <c r="N133" s="55">
        <f>1.157*1652.62</f>
        <v>1912.08134</v>
      </c>
      <c r="O133" s="54">
        <v>459</v>
      </c>
      <c r="P133" s="73">
        <v>9.9299999999999999E-2</v>
      </c>
      <c r="Q133" s="73">
        <v>9.0200000000000002E-2</v>
      </c>
      <c r="R133" s="80">
        <f t="shared" si="52"/>
        <v>1.7553779688782321E-2</v>
      </c>
      <c r="S133" s="80">
        <f t="shared" si="53"/>
        <v>2.0426834992193998E-3</v>
      </c>
      <c r="T133" s="80">
        <f t="shared" si="54"/>
        <v>2.2271714922048998E-2</v>
      </c>
      <c r="U133" s="80">
        <f t="shared" si="55"/>
        <v>-3.9999999999999758E-4</v>
      </c>
      <c r="V133" s="81">
        <f t="shared" si="56"/>
        <v>3.0000000000000859E-4</v>
      </c>
    </row>
    <row r="134" spans="1:24" ht="16.5" customHeight="1">
      <c r="A134" s="166">
        <v>117</v>
      </c>
      <c r="B134" s="167" t="s">
        <v>187</v>
      </c>
      <c r="C134" s="168" t="s">
        <v>97</v>
      </c>
      <c r="D134" s="55">
        <v>682615859.45783293</v>
      </c>
      <c r="E134" s="52">
        <v>0</v>
      </c>
      <c r="F134" s="55">
        <v>170396.2512</v>
      </c>
      <c r="G134" s="55">
        <v>170396.2512</v>
      </c>
      <c r="H134" s="54">
        <v>20</v>
      </c>
      <c r="I134" s="73">
        <v>6.6500000000000004E-2</v>
      </c>
      <c r="J134" s="73">
        <v>1.2999999999999999E-3</v>
      </c>
      <c r="K134" s="55">
        <v>694467689.01610005</v>
      </c>
      <c r="L134" s="52">
        <f t="shared" si="51"/>
        <v>3.8436449500415984E-4</v>
      </c>
      <c r="M134" s="55">
        <v>173354.25736771669</v>
      </c>
      <c r="N134" s="55">
        <v>173354.25736771669</v>
      </c>
      <c r="O134" s="54">
        <v>20</v>
      </c>
      <c r="P134" s="73">
        <v>1.1999999999999999E-3</v>
      </c>
      <c r="Q134" s="73">
        <v>6.6500000000000004E-2</v>
      </c>
      <c r="R134" s="80">
        <f t="shared" si="52"/>
        <v>1.7362370642370398E-2</v>
      </c>
      <c r="S134" s="80">
        <f t="shared" si="53"/>
        <v>1.7359573035704765E-2</v>
      </c>
      <c r="T134" s="80">
        <f t="shared" si="54"/>
        <v>0</v>
      </c>
      <c r="U134" s="80">
        <f t="shared" si="55"/>
        <v>-6.5299999999999997E-2</v>
      </c>
      <c r="V134" s="81">
        <f t="shared" si="56"/>
        <v>6.5200000000000008E-2</v>
      </c>
    </row>
    <row r="135" spans="1:24">
      <c r="A135" s="166">
        <v>118</v>
      </c>
      <c r="B135" s="167" t="s">
        <v>188</v>
      </c>
      <c r="C135" s="168" t="s">
        <v>111</v>
      </c>
      <c r="D135" s="55">
        <f>1090923.05*1659.371</f>
        <v>1810246072.4015503</v>
      </c>
      <c r="E135" s="52">
        <f>(D135/$D$136)</f>
        <v>1.0172411897940662E-3</v>
      </c>
      <c r="F135" s="55">
        <f>1.24*1659.371</f>
        <v>2057.6200400000002</v>
      </c>
      <c r="G135" s="55">
        <f>1.24*1659.371</f>
        <v>2057.6200400000002</v>
      </c>
      <c r="H135" s="54">
        <v>61</v>
      </c>
      <c r="I135" s="73">
        <v>6.1970000000000003E-3</v>
      </c>
      <c r="J135" s="73">
        <v>0.12162199999999999</v>
      </c>
      <c r="K135" s="55">
        <f>1097405.47*1663.697</f>
        <v>1825750188.2225897</v>
      </c>
      <c r="L135" s="52">
        <f t="shared" si="51"/>
        <v>1.0104912873544164E-3</v>
      </c>
      <c r="M135" s="55">
        <f>1.228*1663.697</f>
        <v>2043.0199159999997</v>
      </c>
      <c r="N135" s="55">
        <f>1.228*1663.697</f>
        <v>2043.0199159999997</v>
      </c>
      <c r="O135" s="54">
        <v>62</v>
      </c>
      <c r="P135" s="73">
        <v>-6.868E-3</v>
      </c>
      <c r="Q135" s="73">
        <v>0.114343</v>
      </c>
      <c r="R135" s="80">
        <f t="shared" si="52"/>
        <v>8.5646454685969903E-3</v>
      </c>
      <c r="S135" s="80">
        <f t="shared" si="53"/>
        <v>-7.0956365685476627E-3</v>
      </c>
      <c r="T135" s="80">
        <f t="shared" si="54"/>
        <v>1.6393442622950821E-2</v>
      </c>
      <c r="U135" s="80">
        <f t="shared" si="55"/>
        <v>-1.3065E-2</v>
      </c>
      <c r="V135" s="81">
        <f t="shared" si="56"/>
        <v>-7.2789999999999938E-3</v>
      </c>
    </row>
    <row r="136" spans="1:24">
      <c r="A136" s="58"/>
      <c r="B136" s="59"/>
      <c r="C136" s="95" t="s">
        <v>53</v>
      </c>
      <c r="D136" s="71">
        <f>SUM(D106:D135)</f>
        <v>1779564267121.3723</v>
      </c>
      <c r="E136" s="62">
        <f>(D136/$D$206)</f>
        <v>0.47134270477626772</v>
      </c>
      <c r="F136" s="63"/>
      <c r="G136" s="68"/>
      <c r="H136" s="65">
        <f>SUM(H106:H135)</f>
        <v>20937</v>
      </c>
      <c r="I136" s="104"/>
      <c r="J136" s="104"/>
      <c r="K136" s="71">
        <f>SUM(K106:K135)</f>
        <v>1806794587019.7612</v>
      </c>
      <c r="L136" s="62">
        <f>(K136/$K$206)</f>
        <v>0.47214893016094739</v>
      </c>
      <c r="M136" s="63"/>
      <c r="N136" s="68"/>
      <c r="O136" s="65">
        <f>SUM(O106:O135)</f>
        <v>21050</v>
      </c>
      <c r="P136" s="104"/>
      <c r="Q136" s="104"/>
      <c r="R136" s="80">
        <f t="shared" si="52"/>
        <v>1.5301678282424017E-2</v>
      </c>
      <c r="S136" s="80" t="e">
        <f t="shared" si="53"/>
        <v>#DIV/0!</v>
      </c>
      <c r="T136" s="80">
        <f t="shared" si="54"/>
        <v>5.3971438123895498E-3</v>
      </c>
      <c r="U136" s="80">
        <f t="shared" si="55"/>
        <v>0</v>
      </c>
      <c r="V136" s="81">
        <f t="shared" si="56"/>
        <v>0</v>
      </c>
    </row>
    <row r="137" spans="1:24" ht="6" customHeight="1">
      <c r="A137" s="58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</row>
    <row r="138" spans="1:24">
      <c r="A138" s="182" t="s">
        <v>189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</row>
    <row r="139" spans="1:24">
      <c r="A139" s="166">
        <v>119</v>
      </c>
      <c r="B139" s="167" t="s">
        <v>190</v>
      </c>
      <c r="C139" s="168" t="s">
        <v>191</v>
      </c>
      <c r="D139" s="96">
        <v>2476198323.9027009</v>
      </c>
      <c r="E139" s="52">
        <f>(D139/$D$144)</f>
        <v>2.4954618576080868E-2</v>
      </c>
      <c r="F139" s="83">
        <v>116.6917212018238</v>
      </c>
      <c r="G139" s="83">
        <v>116.6917212018238</v>
      </c>
      <c r="H139" s="54">
        <v>7</v>
      </c>
      <c r="I139" s="73">
        <v>3.5587498868827616E-3</v>
      </c>
      <c r="J139" s="73">
        <v>0.14168624258969165</v>
      </c>
      <c r="K139" s="96">
        <v>2484976214.6804113</v>
      </c>
      <c r="L139" s="52">
        <f>(K139/$K$144)</f>
        <v>2.492144472281738E-2</v>
      </c>
      <c r="M139" s="83">
        <v>117.10538240718243</v>
      </c>
      <c r="N139" s="83">
        <v>117.10538240718243</v>
      </c>
      <c r="O139" s="54">
        <v>7</v>
      </c>
      <c r="P139" s="73">
        <v>3.5449061947008254E-3</v>
      </c>
      <c r="Q139" s="73">
        <v>0.14573341322345246</v>
      </c>
      <c r="R139" s="80">
        <f t="shared" ref="R139:R144" si="57">((K139-D139)/D139)</f>
        <v>3.5449061947008063E-3</v>
      </c>
      <c r="S139" s="80">
        <f t="shared" ref="S139:T144" si="58">((N139-G139)/G139)</f>
        <v>3.5449061947007338E-3</v>
      </c>
      <c r="T139" s="80">
        <f t="shared" si="58"/>
        <v>0</v>
      </c>
      <c r="U139" s="80">
        <f t="shared" ref="U139:V144" si="59">P139-I139</f>
        <v>-1.3843692181936262E-5</v>
      </c>
      <c r="V139" s="81">
        <f t="shared" si="59"/>
        <v>4.0471706337608104E-3</v>
      </c>
    </row>
    <row r="140" spans="1:24">
      <c r="A140" s="166">
        <v>120</v>
      </c>
      <c r="B140" s="167" t="s">
        <v>192</v>
      </c>
      <c r="C140" s="168" t="s">
        <v>47</v>
      </c>
      <c r="D140" s="51">
        <v>53749983529</v>
      </c>
      <c r="E140" s="52">
        <f>(D140/$D$144)</f>
        <v>0.54168130415450888</v>
      </c>
      <c r="F140" s="83">
        <v>102.5</v>
      </c>
      <c r="G140" s="83">
        <v>102.5</v>
      </c>
      <c r="H140" s="54">
        <v>666</v>
      </c>
      <c r="I140" s="73">
        <v>0</v>
      </c>
      <c r="J140" s="73">
        <v>7.6999999999999999E-2</v>
      </c>
      <c r="K140" s="51">
        <v>53749983529</v>
      </c>
      <c r="L140" s="52">
        <f>(K140/$K$144)</f>
        <v>0.53905032790931262</v>
      </c>
      <c r="M140" s="83">
        <v>102.5</v>
      </c>
      <c r="N140" s="83">
        <v>102.5</v>
      </c>
      <c r="O140" s="54">
        <v>666</v>
      </c>
      <c r="P140" s="73">
        <v>0</v>
      </c>
      <c r="Q140" s="73">
        <v>7.6999999999999999E-2</v>
      </c>
      <c r="R140" s="80">
        <f t="shared" si="57"/>
        <v>0</v>
      </c>
      <c r="S140" s="80">
        <f t="shared" si="58"/>
        <v>0</v>
      </c>
      <c r="T140" s="80">
        <f t="shared" si="58"/>
        <v>0</v>
      </c>
      <c r="U140" s="80">
        <f t="shared" si="59"/>
        <v>0</v>
      </c>
      <c r="V140" s="81">
        <f t="shared" si="59"/>
        <v>0</v>
      </c>
    </row>
    <row r="141" spans="1:24" ht="15.75" customHeight="1">
      <c r="A141" s="166">
        <v>121</v>
      </c>
      <c r="B141" s="167" t="s">
        <v>193</v>
      </c>
      <c r="C141" s="168" t="s">
        <v>146</v>
      </c>
      <c r="D141" s="51">
        <v>2657041831.5262661</v>
      </c>
      <c r="E141" s="52">
        <f>(D141/$D$144)</f>
        <v>2.6777122335631905E-2</v>
      </c>
      <c r="F141" s="83">
        <v>179.45</v>
      </c>
      <c r="G141" s="83">
        <v>179.45</v>
      </c>
      <c r="H141" s="54">
        <v>2834</v>
      </c>
      <c r="I141" s="73">
        <v>0.11834463435654312</v>
      </c>
      <c r="J141" s="73">
        <v>8.583233498587968E-2</v>
      </c>
      <c r="K141" s="51">
        <v>2659839820.2634087</v>
      </c>
      <c r="L141" s="52">
        <f>(K141/$K$144)</f>
        <v>2.6675124961213409E-2</v>
      </c>
      <c r="M141" s="83">
        <v>179.45</v>
      </c>
      <c r="N141" s="83">
        <v>179.45</v>
      </c>
      <c r="O141" s="54">
        <v>2834</v>
      </c>
      <c r="P141" s="73">
        <v>6.9497749698636938E-2</v>
      </c>
      <c r="Q141" s="73">
        <v>8.4666866536777532E-2</v>
      </c>
      <c r="R141" s="80">
        <f t="shared" si="57"/>
        <v>1.0530465512224674E-3</v>
      </c>
      <c r="S141" s="80">
        <f t="shared" si="58"/>
        <v>0</v>
      </c>
      <c r="T141" s="80">
        <f t="shared" si="58"/>
        <v>0</v>
      </c>
      <c r="U141" s="80">
        <f t="shared" si="59"/>
        <v>-4.8846884657906181E-2</v>
      </c>
      <c r="V141" s="81">
        <f t="shared" si="59"/>
        <v>-1.1654684491021472E-3</v>
      </c>
    </row>
    <row r="142" spans="1:24">
      <c r="A142" s="166">
        <v>122</v>
      </c>
      <c r="B142" s="167" t="s">
        <v>194</v>
      </c>
      <c r="C142" s="168" t="s">
        <v>146</v>
      </c>
      <c r="D142" s="51">
        <v>10283135470.620001</v>
      </c>
      <c r="E142" s="52">
        <f>(D142/$D$144)</f>
        <v>0.10363132910575913</v>
      </c>
      <c r="F142" s="83">
        <v>57.81</v>
      </c>
      <c r="G142" s="83">
        <v>57.81</v>
      </c>
      <c r="H142" s="54">
        <v>5260</v>
      </c>
      <c r="I142" s="73">
        <v>5.4322820037101399E-2</v>
      </c>
      <c r="J142" s="73">
        <v>0.19588694852941099</v>
      </c>
      <c r="K142" s="51">
        <v>10301384180.93</v>
      </c>
      <c r="L142" s="52">
        <f>(K142/$K$144)</f>
        <v>0.10331099948438316</v>
      </c>
      <c r="M142" s="83">
        <v>36.6</v>
      </c>
      <c r="N142" s="83">
        <v>36.6</v>
      </c>
      <c r="O142" s="54">
        <v>5260</v>
      </c>
      <c r="P142" s="73">
        <v>9.044406553488156E-2</v>
      </c>
      <c r="Q142" s="73">
        <v>0.19731516459794909</v>
      </c>
      <c r="R142" s="80">
        <f t="shared" si="57"/>
        <v>1.7746250997215732E-3</v>
      </c>
      <c r="S142" s="80">
        <f t="shared" si="58"/>
        <v>-0.36689154125583812</v>
      </c>
      <c r="T142" s="80">
        <f t="shared" si="58"/>
        <v>0</v>
      </c>
      <c r="U142" s="80">
        <f t="shared" si="59"/>
        <v>3.6121245497780161E-2</v>
      </c>
      <c r="V142" s="81">
        <f t="shared" si="59"/>
        <v>1.4282160685381018E-3</v>
      </c>
    </row>
    <row r="143" spans="1:24">
      <c r="A143" s="166">
        <v>123</v>
      </c>
      <c r="B143" s="167" t="s">
        <v>195</v>
      </c>
      <c r="C143" s="168" t="s">
        <v>49</v>
      </c>
      <c r="D143" s="51">
        <v>30061698222.52</v>
      </c>
      <c r="E143" s="52">
        <f>(D143/$D$144)</f>
        <v>0.30295562582801916</v>
      </c>
      <c r="F143" s="83">
        <v>5.15</v>
      </c>
      <c r="G143" s="83">
        <v>5.15</v>
      </c>
      <c r="H143" s="54">
        <v>208116</v>
      </c>
      <c r="I143" s="73">
        <v>-5.5E-2</v>
      </c>
      <c r="J143" s="73">
        <v>-0.1953</v>
      </c>
      <c r="K143" s="51">
        <v>30516182143.98</v>
      </c>
      <c r="L143" s="52">
        <f>(K143/$K$144)</f>
        <v>0.30604210292227357</v>
      </c>
      <c r="M143" s="83">
        <v>5.0999999999999996</v>
      </c>
      <c r="N143" s="83">
        <v>5.0999999999999996</v>
      </c>
      <c r="O143" s="54">
        <v>208116</v>
      </c>
      <c r="P143" s="73">
        <v>-9.7000000000000003E-3</v>
      </c>
      <c r="Q143" s="73">
        <v>-0.2031</v>
      </c>
      <c r="R143" s="80">
        <f t="shared" si="57"/>
        <v>1.5118371493714661E-2</v>
      </c>
      <c r="S143" s="80">
        <f t="shared" si="58"/>
        <v>-9.7087378640778078E-3</v>
      </c>
      <c r="T143" s="80">
        <f t="shared" si="58"/>
        <v>0</v>
      </c>
      <c r="U143" s="80">
        <f t="shared" si="59"/>
        <v>4.53E-2</v>
      </c>
      <c r="V143" s="81">
        <f t="shared" si="59"/>
        <v>-7.8000000000000014E-3</v>
      </c>
    </row>
    <row r="144" spans="1:24">
      <c r="A144" s="58"/>
      <c r="B144" s="97"/>
      <c r="C144" s="60" t="s">
        <v>53</v>
      </c>
      <c r="D144" s="61">
        <f>SUM(D139:D143)</f>
        <v>99228057377.56897</v>
      </c>
      <c r="E144" s="62">
        <f>(D144/$D$206)</f>
        <v>2.6281951047316766E-2</v>
      </c>
      <c r="F144" s="63"/>
      <c r="G144" s="98"/>
      <c r="H144" s="65">
        <f>SUM(H139:H143)</f>
        <v>216883</v>
      </c>
      <c r="I144" s="105"/>
      <c r="J144" s="105"/>
      <c r="K144" s="61">
        <f>SUM(K139:K143)</f>
        <v>99712365888.853806</v>
      </c>
      <c r="L144" s="62">
        <f>(K144/$K$206)</f>
        <v>2.6056690238315597E-2</v>
      </c>
      <c r="M144" s="63"/>
      <c r="N144" s="98"/>
      <c r="O144" s="65">
        <f>SUM(O139:O143)</f>
        <v>216883</v>
      </c>
      <c r="P144" s="105"/>
      <c r="Q144" s="105"/>
      <c r="R144" s="80">
        <f t="shared" si="57"/>
        <v>4.8807617934311827E-3</v>
      </c>
      <c r="S144" s="80" t="e">
        <f t="shared" si="58"/>
        <v>#DIV/0!</v>
      </c>
      <c r="T144" s="80">
        <f t="shared" si="58"/>
        <v>0</v>
      </c>
      <c r="U144" s="80">
        <f t="shared" si="59"/>
        <v>0</v>
      </c>
      <c r="V144" s="81">
        <f t="shared" si="59"/>
        <v>0</v>
      </c>
    </row>
    <row r="145" spans="1:22" ht="5.25" customHeight="1">
      <c r="A145" s="58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</row>
    <row r="146" spans="1:22" ht="15" customHeight="1">
      <c r="A146" s="182" t="s">
        <v>196</v>
      </c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</row>
    <row r="147" spans="1:22">
      <c r="A147" s="166">
        <v>124</v>
      </c>
      <c r="B147" s="167" t="s">
        <v>197</v>
      </c>
      <c r="C147" s="168" t="s">
        <v>57</v>
      </c>
      <c r="D147" s="55">
        <v>252383252.97999999</v>
      </c>
      <c r="E147" s="52">
        <f t="shared" ref="E147:E175" si="60">(D147/$D$176)</f>
        <v>4.7567338168771163E-3</v>
      </c>
      <c r="F147" s="55">
        <v>5.65</v>
      </c>
      <c r="G147" s="55">
        <v>5.73</v>
      </c>
      <c r="H147" s="56">
        <v>11835</v>
      </c>
      <c r="I147" s="74">
        <v>0.53480000000000005</v>
      </c>
      <c r="J147" s="74">
        <v>0.12239999999999999</v>
      </c>
      <c r="K147" s="55">
        <v>254410466.43000001</v>
      </c>
      <c r="L147" s="77">
        <f t="shared" ref="L147:L175" si="61">(K147/$K$176)</f>
        <v>4.7778674291656179E-3</v>
      </c>
      <c r="M147" s="55">
        <v>5.69</v>
      </c>
      <c r="N147" s="55">
        <v>5.77</v>
      </c>
      <c r="O147" s="56">
        <v>11835</v>
      </c>
      <c r="P147" s="74">
        <v>8.9269999999999992E-3</v>
      </c>
      <c r="Q147" s="74">
        <v>0.1313</v>
      </c>
      <c r="R147" s="80">
        <f>((K147-D147)/D147)</f>
        <v>8.0322819603274691E-3</v>
      </c>
      <c r="S147" s="80">
        <f>((N147-G147)/G147)</f>
        <v>6.9808027923209679E-3</v>
      </c>
      <c r="T147" s="80">
        <f>((O147-H147)/H147)</f>
        <v>0</v>
      </c>
      <c r="U147" s="80">
        <f>P147-I147</f>
        <v>-0.52587300000000003</v>
      </c>
      <c r="V147" s="81">
        <f>Q147-J147</f>
        <v>8.9000000000000051E-3</v>
      </c>
    </row>
    <row r="148" spans="1:22">
      <c r="A148" s="166">
        <v>125</v>
      </c>
      <c r="B148" s="167" t="s">
        <v>198</v>
      </c>
      <c r="C148" s="167" t="s">
        <v>199</v>
      </c>
      <c r="D148" s="55">
        <v>580532599.28765488</v>
      </c>
      <c r="E148" s="52">
        <f t="shared" si="60"/>
        <v>1.0941451202588269E-2</v>
      </c>
      <c r="F148" s="55">
        <v>1360.2167382470884</v>
      </c>
      <c r="G148" s="55">
        <v>1376.4577375513768</v>
      </c>
      <c r="H148" s="56">
        <v>178</v>
      </c>
      <c r="I148" s="74">
        <v>1.7580972341752894E-2</v>
      </c>
      <c r="J148" s="74">
        <v>0.21598909668962124</v>
      </c>
      <c r="K148" s="55">
        <v>606588555.65182698</v>
      </c>
      <c r="L148" s="77">
        <f t="shared" si="61"/>
        <v>1.1391825751598578E-2</v>
      </c>
      <c r="M148" s="55">
        <v>1421.5083625984851</v>
      </c>
      <c r="N148" s="55">
        <v>1438.5990195813681</v>
      </c>
      <c r="O148" s="56">
        <v>177</v>
      </c>
      <c r="P148" s="74">
        <v>4.5112226800239637E-2</v>
      </c>
      <c r="Q148" s="74">
        <v>0.27084507260610197</v>
      </c>
      <c r="R148" s="80">
        <f>((K148-D148)/D148)</f>
        <v>4.4882847916110448E-2</v>
      </c>
      <c r="S148" s="80">
        <f>((N148-G148)/G148)</f>
        <v>4.5145797313425953E-2</v>
      </c>
      <c r="T148" s="80">
        <f>((O148-H148)/H148)</f>
        <v>-5.6179775280898875E-3</v>
      </c>
      <c r="U148" s="80">
        <f>P148-I148</f>
        <v>2.7531254458486743E-2</v>
      </c>
      <c r="V148" s="81">
        <f>Q148-J148</f>
        <v>5.4855975916480726E-2</v>
      </c>
    </row>
    <row r="149" spans="1:22">
      <c r="A149" s="166">
        <v>126</v>
      </c>
      <c r="B149" s="167" t="s">
        <v>200</v>
      </c>
      <c r="C149" s="168" t="s">
        <v>23</v>
      </c>
      <c r="D149" s="55">
        <v>6716584336.8199997</v>
      </c>
      <c r="E149" s="52">
        <f t="shared" si="60"/>
        <v>0.12658923867421043</v>
      </c>
      <c r="F149" s="55">
        <v>787.64390000000003</v>
      </c>
      <c r="G149" s="55">
        <v>811.39189999999996</v>
      </c>
      <c r="H149" s="56">
        <v>21345</v>
      </c>
      <c r="I149" s="74">
        <v>0.25219999999999998</v>
      </c>
      <c r="J149" s="74">
        <v>0.21609999999999999</v>
      </c>
      <c r="K149" s="55">
        <v>6677693609.8100004</v>
      </c>
      <c r="L149" s="77">
        <f t="shared" si="61"/>
        <v>0.12540810623071258</v>
      </c>
      <c r="M149" s="55">
        <v>783.15229999999997</v>
      </c>
      <c r="N149" s="55">
        <v>806.76490000000001</v>
      </c>
      <c r="O149" s="56">
        <v>21343</v>
      </c>
      <c r="P149" s="74">
        <v>-0.29820000000000002</v>
      </c>
      <c r="Q149" s="74">
        <v>0.2039</v>
      </c>
      <c r="R149" s="80">
        <f t="shared" ref="R149:R176" si="62">((K149-D149)/D149)</f>
        <v>-5.790253655686587E-3</v>
      </c>
      <c r="S149" s="80">
        <f t="shared" ref="S149:S176" si="63">((N149-G149)/G149)</f>
        <v>-5.7025464513510088E-3</v>
      </c>
      <c r="T149" s="80">
        <f t="shared" ref="T149:T176" si="64">((O149-H149)/H149)</f>
        <v>-9.3698758491449983E-5</v>
      </c>
      <c r="U149" s="80">
        <f t="shared" ref="U149:U176" si="65">P149-I149</f>
        <v>-0.5504</v>
      </c>
      <c r="V149" s="81">
        <f t="shared" ref="V149:V176" si="66">Q149-J149</f>
        <v>-1.2199999999999989E-2</v>
      </c>
    </row>
    <row r="150" spans="1:22">
      <c r="A150" s="166">
        <v>127</v>
      </c>
      <c r="B150" s="167" t="s">
        <v>201</v>
      </c>
      <c r="C150" s="168" t="s">
        <v>113</v>
      </c>
      <c r="D150" s="55">
        <v>3489302623.1300001</v>
      </c>
      <c r="E150" s="52">
        <f t="shared" si="60"/>
        <v>6.5763807973723901E-2</v>
      </c>
      <c r="F150" s="55">
        <v>20.525200000000002</v>
      </c>
      <c r="G150" s="55">
        <v>20.756699999999999</v>
      </c>
      <c r="H150" s="54">
        <v>6183</v>
      </c>
      <c r="I150" s="73">
        <v>1.03E-2</v>
      </c>
      <c r="J150" s="73">
        <v>0.11260000000000001</v>
      </c>
      <c r="K150" s="55">
        <v>3503533500.1999998</v>
      </c>
      <c r="L150" s="77">
        <f t="shared" si="61"/>
        <v>6.5796894414334062E-2</v>
      </c>
      <c r="M150" s="55">
        <v>20.758199999999999</v>
      </c>
      <c r="N150" s="55">
        <v>20.994399999999999</v>
      </c>
      <c r="O150" s="54">
        <v>6178</v>
      </c>
      <c r="P150" s="73">
        <v>0.1217</v>
      </c>
      <c r="Q150" s="73">
        <v>0.12529999999999999</v>
      </c>
      <c r="R150" s="80">
        <f t="shared" si="62"/>
        <v>4.0784301641438618E-3</v>
      </c>
      <c r="S150" s="80">
        <f t="shared" si="63"/>
        <v>1.1451724021641218E-2</v>
      </c>
      <c r="T150" s="80">
        <f t="shared" si="64"/>
        <v>-8.0866893093967335E-4</v>
      </c>
      <c r="U150" s="80">
        <f t="shared" si="65"/>
        <v>0.1114</v>
      </c>
      <c r="V150" s="81">
        <f t="shared" si="66"/>
        <v>1.2699999999999989E-2</v>
      </c>
    </row>
    <row r="151" spans="1:22">
      <c r="A151" s="166">
        <v>128</v>
      </c>
      <c r="B151" s="167" t="s">
        <v>202</v>
      </c>
      <c r="C151" s="168" t="s">
        <v>122</v>
      </c>
      <c r="D151" s="51">
        <v>1801837323.4821501</v>
      </c>
      <c r="E151" s="52">
        <f t="shared" si="60"/>
        <v>3.3959703854827834E-2</v>
      </c>
      <c r="F151" s="55">
        <v>4.2389999999999999</v>
      </c>
      <c r="G151" s="55">
        <v>4.2641999999999998</v>
      </c>
      <c r="H151" s="54">
        <v>2746</v>
      </c>
      <c r="I151" s="73">
        <v>0.87419999999999998</v>
      </c>
      <c r="J151" s="73">
        <v>0.45419999999999999</v>
      </c>
      <c r="K151" s="51">
        <v>1854401629.9515109</v>
      </c>
      <c r="L151" s="77">
        <f t="shared" si="61"/>
        <v>3.4825945931649678E-2</v>
      </c>
      <c r="M151" s="55">
        <v>4.3615000000000004</v>
      </c>
      <c r="N151" s="55">
        <v>4.4630999999999998</v>
      </c>
      <c r="O151" s="54">
        <v>2746</v>
      </c>
      <c r="P151" s="73">
        <v>1.5387999999999999</v>
      </c>
      <c r="Q151" s="73">
        <v>0.4894</v>
      </c>
      <c r="R151" s="80">
        <f t="shared" si="62"/>
        <v>2.9172614966026682E-2</v>
      </c>
      <c r="S151" s="80">
        <f t="shared" si="63"/>
        <v>4.6644153651329692E-2</v>
      </c>
      <c r="T151" s="80">
        <f t="shared" si="64"/>
        <v>0</v>
      </c>
      <c r="U151" s="80">
        <f t="shared" si="65"/>
        <v>0.66459999999999997</v>
      </c>
      <c r="V151" s="81">
        <f t="shared" si="66"/>
        <v>3.5200000000000009E-2</v>
      </c>
    </row>
    <row r="152" spans="1:22">
      <c r="A152" s="166">
        <v>129</v>
      </c>
      <c r="B152" s="167" t="s">
        <v>203</v>
      </c>
      <c r="C152" s="168" t="s">
        <v>65</v>
      </c>
      <c r="D152" s="55">
        <v>3302740364.0214701</v>
      </c>
      <c r="E152" s="52">
        <f t="shared" si="60"/>
        <v>6.2247619809983654E-2</v>
      </c>
      <c r="F152" s="55">
        <v>7449.7816476410599</v>
      </c>
      <c r="G152" s="55">
        <v>7511.59940698433</v>
      </c>
      <c r="H152" s="54">
        <v>927</v>
      </c>
      <c r="I152" s="73">
        <v>0.76539525568893496</v>
      </c>
      <c r="J152" s="73">
        <v>0.32850996662495402</v>
      </c>
      <c r="K152" s="55">
        <v>3300277307.68787</v>
      </c>
      <c r="L152" s="77">
        <f t="shared" si="61"/>
        <v>6.1979712064852678E-2</v>
      </c>
      <c r="M152" s="55">
        <v>7438.23014577302</v>
      </c>
      <c r="N152" s="55">
        <v>7499.6128518475498</v>
      </c>
      <c r="O152" s="54">
        <v>929</v>
      </c>
      <c r="P152" s="73">
        <v>-8.1073319301173549E-2</v>
      </c>
      <c r="Q152" s="73">
        <v>0.31924365105704428</v>
      </c>
      <c r="R152" s="80">
        <f t="shared" si="62"/>
        <v>-7.4576141692257855E-4</v>
      </c>
      <c r="S152" s="80">
        <f t="shared" si="63"/>
        <v>-1.595739400803916E-3</v>
      </c>
      <c r="T152" s="80">
        <f t="shared" si="64"/>
        <v>2.1574973031283709E-3</v>
      </c>
      <c r="U152" s="80">
        <f t="shared" si="65"/>
        <v>-0.84646857499010852</v>
      </c>
      <c r="V152" s="81">
        <f t="shared" si="66"/>
        <v>-9.2663155679097442E-3</v>
      </c>
    </row>
    <row r="153" spans="1:22">
      <c r="A153" s="166">
        <v>130</v>
      </c>
      <c r="B153" s="167" t="s">
        <v>204</v>
      </c>
      <c r="C153" s="168" t="s">
        <v>67</v>
      </c>
      <c r="D153" s="55">
        <v>778425204.04999995</v>
      </c>
      <c r="E153" s="52">
        <f t="shared" si="60"/>
        <v>1.4671185382920506E-2</v>
      </c>
      <c r="F153" s="55">
        <v>194.68</v>
      </c>
      <c r="G153" s="55">
        <v>196.09</v>
      </c>
      <c r="H153" s="54">
        <v>676</v>
      </c>
      <c r="I153" s="73">
        <v>1.1900000000000001E-2</v>
      </c>
      <c r="J153" s="73">
        <v>0.2487</v>
      </c>
      <c r="K153" s="55">
        <v>778975467.51999998</v>
      </c>
      <c r="L153" s="77">
        <f t="shared" si="61"/>
        <v>1.4629278294283213E-2</v>
      </c>
      <c r="M153" s="55">
        <v>194.77</v>
      </c>
      <c r="N153" s="55">
        <v>196.23</v>
      </c>
      <c r="O153" s="54">
        <v>677</v>
      </c>
      <c r="P153" s="73">
        <v>5.9999999999999995E-4</v>
      </c>
      <c r="Q153" s="73">
        <v>0.24929999999999999</v>
      </c>
      <c r="R153" s="80">
        <f t="shared" si="62"/>
        <v>7.0689318271956159E-4</v>
      </c>
      <c r="S153" s="80">
        <f t="shared" si="63"/>
        <v>7.1395787648521783E-4</v>
      </c>
      <c r="T153" s="80">
        <f t="shared" si="64"/>
        <v>1.4792899408284023E-3</v>
      </c>
      <c r="U153" s="80">
        <f t="shared" si="65"/>
        <v>-1.1300000000000001E-2</v>
      </c>
      <c r="V153" s="81">
        <f t="shared" si="66"/>
        <v>5.9999999999998943E-4</v>
      </c>
    </row>
    <row r="154" spans="1:22">
      <c r="A154" s="166">
        <v>131</v>
      </c>
      <c r="B154" s="167" t="s">
        <v>205</v>
      </c>
      <c r="C154" s="168" t="s">
        <v>69</v>
      </c>
      <c r="D154" s="55">
        <v>3734808.11</v>
      </c>
      <c r="E154" s="52">
        <f t="shared" si="60"/>
        <v>7.0390914716483692E-5</v>
      </c>
      <c r="F154" s="55">
        <v>102.747</v>
      </c>
      <c r="G154" s="55">
        <v>102.99</v>
      </c>
      <c r="H154" s="54">
        <v>0</v>
      </c>
      <c r="I154" s="73">
        <v>0</v>
      </c>
      <c r="J154" s="73">
        <v>0</v>
      </c>
      <c r="K154" s="55">
        <v>3734808.11</v>
      </c>
      <c r="L154" s="77">
        <f t="shared" si="61"/>
        <v>7.0140266921221253E-5</v>
      </c>
      <c r="M154" s="55">
        <v>102.747</v>
      </c>
      <c r="N154" s="55">
        <v>102.99</v>
      </c>
      <c r="O154" s="54">
        <v>0</v>
      </c>
      <c r="P154" s="73">
        <v>0</v>
      </c>
      <c r="Q154" s="73">
        <v>0</v>
      </c>
      <c r="R154" s="80">
        <f t="shared" si="62"/>
        <v>0</v>
      </c>
      <c r="S154" s="80">
        <f t="shared" si="63"/>
        <v>0</v>
      </c>
      <c r="T154" s="80" t="e">
        <f t="shared" si="64"/>
        <v>#DIV/0!</v>
      </c>
      <c r="U154" s="80">
        <f t="shared" si="65"/>
        <v>0</v>
      </c>
      <c r="V154" s="81">
        <f t="shared" si="66"/>
        <v>0</v>
      </c>
    </row>
    <row r="155" spans="1:22">
      <c r="A155" s="166">
        <v>132</v>
      </c>
      <c r="B155" s="167" t="s">
        <v>206</v>
      </c>
      <c r="C155" s="168" t="s">
        <v>127</v>
      </c>
      <c r="D155" s="55">
        <v>198658618.63999999</v>
      </c>
      <c r="E155" s="52">
        <f t="shared" si="60"/>
        <v>3.7441714461690766E-3</v>
      </c>
      <c r="F155" s="55">
        <v>1.5626</v>
      </c>
      <c r="G155" s="55">
        <v>1.5768</v>
      </c>
      <c r="H155" s="54">
        <v>350</v>
      </c>
      <c r="I155" s="73">
        <v>1.3293560728876219E-2</v>
      </c>
      <c r="J155" s="73">
        <v>6.7422638158344261E-2</v>
      </c>
      <c r="K155" s="55">
        <v>200196322.13</v>
      </c>
      <c r="L155" s="77">
        <f t="shared" si="61"/>
        <v>3.759717516208615E-3</v>
      </c>
      <c r="M155" s="55">
        <v>1.5745</v>
      </c>
      <c r="N155" s="55">
        <v>1.5889</v>
      </c>
      <c r="O155" s="54">
        <v>351</v>
      </c>
      <c r="P155" s="73">
        <v>7.5551608716442509E-2</v>
      </c>
      <c r="Q155" s="73">
        <v>6.7422638158344261E-2</v>
      </c>
      <c r="R155" s="80">
        <f t="shared" si="62"/>
        <v>7.7404318047059667E-3</v>
      </c>
      <c r="S155" s="80">
        <f t="shared" si="63"/>
        <v>7.6737696600710295E-3</v>
      </c>
      <c r="T155" s="80">
        <f t="shared" si="64"/>
        <v>2.8571428571428571E-3</v>
      </c>
      <c r="U155" s="80">
        <f t="shared" si="65"/>
        <v>6.225804798756629E-2</v>
      </c>
      <c r="V155" s="81">
        <f t="shared" si="66"/>
        <v>0</v>
      </c>
    </row>
    <row r="156" spans="1:22">
      <c r="A156" s="166">
        <v>133</v>
      </c>
      <c r="B156" s="167" t="s">
        <v>207</v>
      </c>
      <c r="C156" s="168" t="s">
        <v>29</v>
      </c>
      <c r="D156" s="67">
        <v>131004096.75</v>
      </c>
      <c r="E156" s="52">
        <f t="shared" si="60"/>
        <v>2.4690688062791073E-3</v>
      </c>
      <c r="F156" s="55">
        <v>154.58000000000001</v>
      </c>
      <c r="G156" s="55">
        <v>155.26140000000001</v>
      </c>
      <c r="H156" s="54">
        <v>123</v>
      </c>
      <c r="I156" s="73">
        <v>1.9059999999999999E-3</v>
      </c>
      <c r="J156" s="73">
        <v>0.13350000000000001</v>
      </c>
      <c r="K156" s="67">
        <v>130965119.8</v>
      </c>
      <c r="L156" s="77">
        <f t="shared" si="61"/>
        <v>2.4595449590960961E-3</v>
      </c>
      <c r="M156" s="55">
        <v>154.58179999999999</v>
      </c>
      <c r="N156" s="55">
        <v>155.18049999999999</v>
      </c>
      <c r="O156" s="54">
        <v>123</v>
      </c>
      <c r="P156" s="73">
        <v>6.5700000000000003E-4</v>
      </c>
      <c r="Q156" s="73">
        <v>0.13350000000000001</v>
      </c>
      <c r="R156" s="80">
        <f t="shared" si="62"/>
        <v>-2.9752466500634819E-4</v>
      </c>
      <c r="S156" s="80">
        <f t="shared" si="63"/>
        <v>-5.2105674687986817E-4</v>
      </c>
      <c r="T156" s="80">
        <f t="shared" si="64"/>
        <v>0</v>
      </c>
      <c r="U156" s="80">
        <f t="shared" si="65"/>
        <v>-1.2489999999999999E-3</v>
      </c>
      <c r="V156" s="81">
        <f t="shared" si="66"/>
        <v>0</v>
      </c>
    </row>
    <row r="157" spans="1:22">
      <c r="A157" s="166">
        <v>134</v>
      </c>
      <c r="B157" s="167" t="s">
        <v>208</v>
      </c>
      <c r="C157" s="168" t="s">
        <v>73</v>
      </c>
      <c r="D157" s="67">
        <v>224545055.58000001</v>
      </c>
      <c r="E157" s="52">
        <f t="shared" si="60"/>
        <v>4.2320599591232737E-3</v>
      </c>
      <c r="F157" s="55">
        <v>120.46</v>
      </c>
      <c r="G157" s="55">
        <v>121.43</v>
      </c>
      <c r="H157" s="54">
        <v>39</v>
      </c>
      <c r="I157" s="73">
        <v>2.3999999999999998E-3</v>
      </c>
      <c r="J157" s="73">
        <v>0.2034</v>
      </c>
      <c r="K157" s="67">
        <v>225125271.69999999</v>
      </c>
      <c r="L157" s="77">
        <f t="shared" si="61"/>
        <v>4.227886997854478E-3</v>
      </c>
      <c r="M157" s="55">
        <v>120.74</v>
      </c>
      <c r="N157" s="55">
        <v>121.77</v>
      </c>
      <c r="O157" s="54">
        <v>39</v>
      </c>
      <c r="P157" s="73">
        <v>3.0000000000000001E-3</v>
      </c>
      <c r="Q157" s="73">
        <v>0.2064</v>
      </c>
      <c r="R157" s="80">
        <f t="shared" si="62"/>
        <v>2.5839630202556738E-3</v>
      </c>
      <c r="S157" s="80">
        <f t="shared" si="63"/>
        <v>2.799967059210979E-3</v>
      </c>
      <c r="T157" s="80">
        <f t="shared" si="64"/>
        <v>0</v>
      </c>
      <c r="U157" s="80">
        <f t="shared" si="65"/>
        <v>6.0000000000000027E-4</v>
      </c>
      <c r="V157" s="81">
        <f t="shared" si="66"/>
        <v>3.0000000000000027E-3</v>
      </c>
    </row>
    <row r="158" spans="1:22" ht="15.75" customHeight="1">
      <c r="A158" s="166">
        <v>135</v>
      </c>
      <c r="B158" s="167" t="s">
        <v>209</v>
      </c>
      <c r="C158" s="168" t="s">
        <v>76</v>
      </c>
      <c r="D158" s="51">
        <v>302983533</v>
      </c>
      <c r="E158" s="52">
        <f t="shared" si="60"/>
        <v>5.7104106566540367E-3</v>
      </c>
      <c r="F158" s="55">
        <v>1.2344999999999999</v>
      </c>
      <c r="G158" s="55">
        <v>1.2231000000000001</v>
      </c>
      <c r="H158" s="54">
        <v>102</v>
      </c>
      <c r="I158" s="73">
        <v>-9.7999999999999997E-4</v>
      </c>
      <c r="J158" s="73">
        <v>4.3299999999999998E-2</v>
      </c>
      <c r="K158" s="51">
        <v>307924408.66000003</v>
      </c>
      <c r="L158" s="77">
        <f t="shared" si="61"/>
        <v>5.7828674402690032E-3</v>
      </c>
      <c r="M158" s="55">
        <v>1.2282999999999999</v>
      </c>
      <c r="N158" s="55">
        <v>1.2396</v>
      </c>
      <c r="O158" s="54">
        <v>102</v>
      </c>
      <c r="P158" s="73">
        <v>4.2509999999999996E-3</v>
      </c>
      <c r="Q158" s="73">
        <v>4.6899999999999997E-2</v>
      </c>
      <c r="R158" s="80">
        <f t="shared" si="62"/>
        <v>1.6307406581069956E-2</v>
      </c>
      <c r="S158" s="80">
        <f t="shared" si="63"/>
        <v>1.3490311503556502E-2</v>
      </c>
      <c r="T158" s="80">
        <f t="shared" si="64"/>
        <v>0</v>
      </c>
      <c r="U158" s="80">
        <f t="shared" si="65"/>
        <v>5.2309999999999995E-3</v>
      </c>
      <c r="V158" s="81">
        <f t="shared" si="66"/>
        <v>3.599999999999999E-3</v>
      </c>
    </row>
    <row r="159" spans="1:22">
      <c r="A159" s="166">
        <v>136</v>
      </c>
      <c r="B159" s="167" t="s">
        <v>210</v>
      </c>
      <c r="C159" s="168" t="s">
        <v>31</v>
      </c>
      <c r="D159" s="55">
        <v>9137670532.3400002</v>
      </c>
      <c r="E159" s="52">
        <f t="shared" si="60"/>
        <v>0.17222008954812704</v>
      </c>
      <c r="F159" s="55">
        <v>305.26</v>
      </c>
      <c r="G159" s="55">
        <v>307.33</v>
      </c>
      <c r="H159" s="54">
        <v>5462</v>
      </c>
      <c r="I159" s="73">
        <v>5.1000000000000004E-3</v>
      </c>
      <c r="J159" s="73">
        <v>0.25169999999999998</v>
      </c>
      <c r="K159" s="55">
        <v>9187874870.7000008</v>
      </c>
      <c r="L159" s="77">
        <f t="shared" si="61"/>
        <v>0.17254969382340749</v>
      </c>
      <c r="M159" s="55">
        <v>307.36</v>
      </c>
      <c r="N159" s="55">
        <v>309.45999999999998</v>
      </c>
      <c r="O159" s="54">
        <v>5462</v>
      </c>
      <c r="P159" s="73">
        <v>6.8999999999999999E-3</v>
      </c>
      <c r="Q159" s="73">
        <v>0.25940000000000002</v>
      </c>
      <c r="R159" s="80">
        <f t="shared" si="62"/>
        <v>5.4942162975035761E-3</v>
      </c>
      <c r="S159" s="80">
        <f t="shared" si="63"/>
        <v>6.9306608531545747E-3</v>
      </c>
      <c r="T159" s="80">
        <f t="shared" si="64"/>
        <v>0</v>
      </c>
      <c r="U159" s="80">
        <f t="shared" si="65"/>
        <v>1.7999999999999995E-3</v>
      </c>
      <c r="V159" s="81">
        <f t="shared" si="66"/>
        <v>7.7000000000000401E-3</v>
      </c>
    </row>
    <row r="160" spans="1:22">
      <c r="A160" s="166">
        <v>137</v>
      </c>
      <c r="B160" s="167" t="s">
        <v>211</v>
      </c>
      <c r="C160" s="168" t="s">
        <v>81</v>
      </c>
      <c r="D160" s="55">
        <v>3172149774.0900002</v>
      </c>
      <c r="E160" s="52">
        <f t="shared" si="60"/>
        <v>5.9786344475909955E-2</v>
      </c>
      <c r="F160" s="55">
        <v>2.2246999999999999</v>
      </c>
      <c r="G160" s="55">
        <v>2.2631999999999999</v>
      </c>
      <c r="H160" s="54">
        <v>10307</v>
      </c>
      <c r="I160" s="73">
        <v>8.4426082270523395E-3</v>
      </c>
      <c r="J160" s="73">
        <v>0.27554671968190902</v>
      </c>
      <c r="K160" s="55">
        <v>3197212004.6199999</v>
      </c>
      <c r="L160" s="77">
        <f t="shared" si="61"/>
        <v>6.0044129926605426E-2</v>
      </c>
      <c r="M160" s="55">
        <v>2.2421000000000002</v>
      </c>
      <c r="N160" s="55">
        <v>2.2812000000000001</v>
      </c>
      <c r="O160" s="54">
        <v>10307</v>
      </c>
      <c r="P160" s="73">
        <v>2.3E-3</v>
      </c>
      <c r="Q160" s="73">
        <v>0.28570000000000001</v>
      </c>
      <c r="R160" s="80">
        <f t="shared" si="62"/>
        <v>7.9007084516333655E-3</v>
      </c>
      <c r="S160" s="80">
        <f t="shared" si="63"/>
        <v>7.953340402969352E-3</v>
      </c>
      <c r="T160" s="80">
        <f t="shared" si="64"/>
        <v>0</v>
      </c>
      <c r="U160" s="80">
        <f t="shared" si="65"/>
        <v>-6.1426082270523395E-3</v>
      </c>
      <c r="V160" s="81">
        <f t="shared" si="66"/>
        <v>1.0153280318090985E-2</v>
      </c>
    </row>
    <row r="161" spans="1:22">
      <c r="A161" s="166">
        <v>138</v>
      </c>
      <c r="B161" s="167" t="s">
        <v>212</v>
      </c>
      <c r="C161" s="168" t="s">
        <v>83</v>
      </c>
      <c r="D161" s="55">
        <v>246150750.449884</v>
      </c>
      <c r="E161" s="52">
        <f t="shared" si="60"/>
        <v>4.6392681958474817E-3</v>
      </c>
      <c r="F161" s="55">
        <v>320.27999999999997</v>
      </c>
      <c r="G161" s="55">
        <v>321.22000000000003</v>
      </c>
      <c r="H161" s="54">
        <v>39</v>
      </c>
      <c r="I161" s="73">
        <v>4.7100000000000003E-2</v>
      </c>
      <c r="J161" s="73">
        <v>0.36533072790951798</v>
      </c>
      <c r="K161" s="55">
        <v>246458703.07324222</v>
      </c>
      <c r="L161" s="77">
        <f t="shared" si="61"/>
        <v>4.6285320984309477E-3</v>
      </c>
      <c r="M161" s="55">
        <v>320.67799626442161</v>
      </c>
      <c r="N161" s="55">
        <v>322.8903238963731</v>
      </c>
      <c r="O161" s="54">
        <v>39</v>
      </c>
      <c r="P161" s="73">
        <v>1.2426510066867458E-3</v>
      </c>
      <c r="Q161" s="73">
        <v>0.31307016732626969</v>
      </c>
      <c r="R161" s="80">
        <f t="shared" si="62"/>
        <v>1.2510732662621667E-3</v>
      </c>
      <c r="S161" s="80">
        <f t="shared" si="63"/>
        <v>5.1999374147720465E-3</v>
      </c>
      <c r="T161" s="80">
        <f t="shared" si="64"/>
        <v>0</v>
      </c>
      <c r="U161" s="80">
        <f t="shared" si="65"/>
        <v>-4.5857348993313257E-2</v>
      </c>
      <c r="V161" s="81">
        <f t="shared" si="66"/>
        <v>-5.2260560583248294E-2</v>
      </c>
    </row>
    <row r="162" spans="1:22">
      <c r="A162" s="166">
        <v>139</v>
      </c>
      <c r="B162" s="167" t="s">
        <v>213</v>
      </c>
      <c r="C162" s="167" t="s">
        <v>85</v>
      </c>
      <c r="D162" s="55">
        <v>57699133.439999998</v>
      </c>
      <c r="E162" s="52">
        <f t="shared" si="60"/>
        <v>1.0874708048093137E-3</v>
      </c>
      <c r="F162" s="55">
        <v>1.1240000000000001</v>
      </c>
      <c r="G162" s="55">
        <v>1.135</v>
      </c>
      <c r="H162" s="54">
        <v>28</v>
      </c>
      <c r="I162" s="73">
        <v>-1.5800000000000002E-2</v>
      </c>
      <c r="J162" s="73">
        <v>0.13400000000000001</v>
      </c>
      <c r="K162" s="55">
        <v>58035500.460000001</v>
      </c>
      <c r="L162" s="77">
        <f t="shared" si="61"/>
        <v>1.0899155654802994E-3</v>
      </c>
      <c r="M162" s="55">
        <v>1.1299999999999999</v>
      </c>
      <c r="N162" s="55">
        <v>1.1419999999999999</v>
      </c>
      <c r="O162" s="54">
        <v>28</v>
      </c>
      <c r="P162" s="73">
        <v>5.3E-3</v>
      </c>
      <c r="Q162" s="73">
        <v>0.16070000000000001</v>
      </c>
      <c r="R162" s="80">
        <f t="shared" ref="R162" si="67">((K162-D162)/D162)</f>
        <v>5.8296719542553204E-3</v>
      </c>
      <c r="S162" s="80">
        <f t="shared" ref="S162" si="68">((N162-G162)/G162)</f>
        <v>6.167400881057176E-3</v>
      </c>
      <c r="T162" s="80">
        <f t="shared" ref="T162" si="69">((O162-H162)/H162)</f>
        <v>0</v>
      </c>
      <c r="U162" s="80">
        <f t="shared" ref="U162" si="70">P162-I162</f>
        <v>2.1100000000000001E-2</v>
      </c>
      <c r="V162" s="81">
        <f t="shared" ref="V162:V164" si="71">Q162-J162</f>
        <v>2.6700000000000002E-2</v>
      </c>
    </row>
    <row r="163" spans="1:22" ht="13.5" customHeight="1">
      <c r="A163" s="166">
        <v>140</v>
      </c>
      <c r="B163" s="167" t="s">
        <v>214</v>
      </c>
      <c r="C163" s="168" t="s">
        <v>37</v>
      </c>
      <c r="D163" s="51">
        <v>2845967507.4000001</v>
      </c>
      <c r="E163" s="52">
        <f t="shared" si="60"/>
        <v>5.3638701159208171E-2</v>
      </c>
      <c r="F163" s="55">
        <v>4.0465030000000004</v>
      </c>
      <c r="G163" s="55">
        <v>4.1852150000000004</v>
      </c>
      <c r="H163" s="54">
        <v>2350</v>
      </c>
      <c r="I163" s="73">
        <v>8.9999999999999998E-4</v>
      </c>
      <c r="J163" s="73">
        <v>0.1125</v>
      </c>
      <c r="K163" s="51">
        <v>2884289987.4899998</v>
      </c>
      <c r="L163" s="77">
        <f t="shared" si="61"/>
        <v>5.4167406635719895E-2</v>
      </c>
      <c r="M163" s="55">
        <v>4.0739400000000003</v>
      </c>
      <c r="N163" s="55">
        <v>4.2144870000000001</v>
      </c>
      <c r="O163" s="54">
        <v>2352</v>
      </c>
      <c r="P163" s="73">
        <v>6.7804225030847487E-3</v>
      </c>
      <c r="Q163" s="73">
        <v>0.12004508838973971</v>
      </c>
      <c r="R163" s="80">
        <f t="shared" si="62"/>
        <v>1.3465536760470631E-2</v>
      </c>
      <c r="S163" s="80">
        <f t="shared" si="63"/>
        <v>6.9941448647201495E-3</v>
      </c>
      <c r="T163" s="80">
        <f t="shared" si="64"/>
        <v>8.5106382978723403E-4</v>
      </c>
      <c r="U163" s="80">
        <f t="shared" si="65"/>
        <v>5.8804225030847489E-3</v>
      </c>
      <c r="V163" s="81">
        <f t="shared" si="71"/>
        <v>7.5450883897397042E-3</v>
      </c>
    </row>
    <row r="164" spans="1:22" ht="13.5" customHeight="1">
      <c r="A164" s="166">
        <v>141</v>
      </c>
      <c r="B164" s="167" t="s">
        <v>215</v>
      </c>
      <c r="C164" s="168" t="s">
        <v>216</v>
      </c>
      <c r="D164" s="51">
        <v>63832024.719999999</v>
      </c>
      <c r="E164" s="52">
        <f t="shared" si="60"/>
        <v>1.2030590263032279E-3</v>
      </c>
      <c r="F164" s="55">
        <v>2.0781999999999998</v>
      </c>
      <c r="G164" s="55">
        <v>2.0868000000000002</v>
      </c>
      <c r="H164" s="54">
        <v>65</v>
      </c>
      <c r="I164" s="73">
        <v>4.5999999999999999E-3</v>
      </c>
      <c r="J164" s="73">
        <v>4.2000000000000003E-2</v>
      </c>
      <c r="K164" s="51">
        <v>64450562.350000001</v>
      </c>
      <c r="L164" s="77">
        <f t="shared" si="61"/>
        <v>1.2103914078873017E-3</v>
      </c>
      <c r="M164" s="55">
        <v>2.0777999999999999</v>
      </c>
      <c r="N164" s="55">
        <v>2.0874999999999999</v>
      </c>
      <c r="O164" s="54">
        <v>66</v>
      </c>
      <c r="P164" s="73">
        <v>8.0000000000000004E-4</v>
      </c>
      <c r="Q164" s="73">
        <v>4.2700000000000002E-2</v>
      </c>
      <c r="R164" s="80">
        <f t="shared" ref="R164" si="72">((K164-D164)/D164)</f>
        <v>9.6900831943405527E-3</v>
      </c>
      <c r="S164" s="80">
        <f t="shared" ref="S164" si="73">((N164-G164)/G164)</f>
        <v>3.3544182480338354E-4</v>
      </c>
      <c r="T164" s="80">
        <f t="shared" ref="T164" si="74">((O164-H164)/H164)</f>
        <v>1.5384615384615385E-2</v>
      </c>
      <c r="U164" s="80">
        <f t="shared" ref="U164" si="75">P164-I164</f>
        <v>-3.8E-3</v>
      </c>
      <c r="V164" s="81">
        <f t="shared" si="71"/>
        <v>6.9999999999999923E-4</v>
      </c>
    </row>
    <row r="165" spans="1:22">
      <c r="A165" s="166">
        <v>142</v>
      </c>
      <c r="B165" s="167" t="s">
        <v>217</v>
      </c>
      <c r="C165" s="168" t="s">
        <v>136</v>
      </c>
      <c r="D165" s="51">
        <v>323472031.91000003</v>
      </c>
      <c r="E165" s="52">
        <f t="shared" si="60"/>
        <v>6.0965628060994283E-3</v>
      </c>
      <c r="F165" s="55">
        <v>200.96960000000001</v>
      </c>
      <c r="G165" s="55">
        <v>204.03110000000001</v>
      </c>
      <c r="H165" s="54">
        <v>141</v>
      </c>
      <c r="I165" s="73">
        <v>7.6499999999999999E-2</v>
      </c>
      <c r="J165" s="73">
        <v>0.1855</v>
      </c>
      <c r="K165" s="51">
        <v>360442145.86000001</v>
      </c>
      <c r="L165" s="77">
        <f t="shared" si="61"/>
        <v>6.7691585687057326E-3</v>
      </c>
      <c r="M165" s="55">
        <v>217.18</v>
      </c>
      <c r="N165" s="55">
        <v>220.35</v>
      </c>
      <c r="O165" s="54">
        <v>141</v>
      </c>
      <c r="P165" s="73">
        <v>3.3E-3</v>
      </c>
      <c r="Q165" s="73">
        <v>0.1845</v>
      </c>
      <c r="R165" s="80">
        <f t="shared" si="62"/>
        <v>0.11429153157910797</v>
      </c>
      <c r="S165" s="80">
        <f t="shared" si="63"/>
        <v>7.9982414445640804E-2</v>
      </c>
      <c r="T165" s="80">
        <f t="shared" si="64"/>
        <v>0</v>
      </c>
      <c r="U165" s="80">
        <f t="shared" si="65"/>
        <v>-7.3200000000000001E-2</v>
      </c>
      <c r="V165" s="81">
        <f t="shared" si="66"/>
        <v>-1.0000000000000009E-3</v>
      </c>
    </row>
    <row r="166" spans="1:22">
      <c r="A166" s="166">
        <v>143</v>
      </c>
      <c r="B166" s="167" t="s">
        <v>218</v>
      </c>
      <c r="C166" s="168" t="s">
        <v>33</v>
      </c>
      <c r="D166" s="51">
        <v>2161969105.3400002</v>
      </c>
      <c r="E166" s="52">
        <f t="shared" si="60"/>
        <v>4.0747202649096877E-2</v>
      </c>
      <c r="F166" s="55">
        <v>552.22</v>
      </c>
      <c r="G166" s="55">
        <v>552.22</v>
      </c>
      <c r="H166" s="54">
        <v>823</v>
      </c>
      <c r="I166" s="73">
        <v>-1.7000000000000001E-2</v>
      </c>
      <c r="J166" s="73">
        <v>0.38300000000000001</v>
      </c>
      <c r="K166" s="51">
        <v>2156264136.5500002</v>
      </c>
      <c r="L166" s="77">
        <f t="shared" si="61"/>
        <v>4.0494969925047551E-2</v>
      </c>
      <c r="M166" s="55">
        <v>552.22</v>
      </c>
      <c r="N166" s="55">
        <v>552.22</v>
      </c>
      <c r="O166" s="54">
        <v>823</v>
      </c>
      <c r="P166" s="73">
        <v>-2.64E-3</v>
      </c>
      <c r="Q166" s="73">
        <v>0.37930000000000003</v>
      </c>
      <c r="R166" s="80">
        <f t="shared" si="62"/>
        <v>-2.6387836791510371E-3</v>
      </c>
      <c r="S166" s="80">
        <f t="shared" si="63"/>
        <v>0</v>
      </c>
      <c r="T166" s="80">
        <f t="shared" si="64"/>
        <v>0</v>
      </c>
      <c r="U166" s="80">
        <f t="shared" si="65"/>
        <v>1.4360000000000001E-2</v>
      </c>
      <c r="V166" s="81">
        <f t="shared" si="66"/>
        <v>-3.6999999999999811E-3</v>
      </c>
    </row>
    <row r="167" spans="1:22">
      <c r="A167" s="166">
        <v>144</v>
      </c>
      <c r="B167" s="167" t="s">
        <v>219</v>
      </c>
      <c r="C167" s="168" t="s">
        <v>92</v>
      </c>
      <c r="D167" s="55">
        <v>28944857.879999999</v>
      </c>
      <c r="E167" s="52">
        <f t="shared" si="60"/>
        <v>5.4553138006113548E-4</v>
      </c>
      <c r="F167" s="55">
        <v>1.78</v>
      </c>
      <c r="G167" s="55">
        <v>1.78</v>
      </c>
      <c r="H167" s="54">
        <v>8</v>
      </c>
      <c r="I167" s="73">
        <v>2.1645000000000001E-2</v>
      </c>
      <c r="J167" s="73">
        <v>9.5320000000000002E-2</v>
      </c>
      <c r="K167" s="55">
        <v>29370970.57</v>
      </c>
      <c r="L167" s="77">
        <f t="shared" si="61"/>
        <v>5.5159131469143506E-4</v>
      </c>
      <c r="M167" s="55">
        <v>1.81</v>
      </c>
      <c r="N167" s="55">
        <v>1.81</v>
      </c>
      <c r="O167" s="54">
        <v>8</v>
      </c>
      <c r="P167" s="73">
        <v>1.6473999999999999E-2</v>
      </c>
      <c r="Q167" s="73">
        <v>0.11336400000000001</v>
      </c>
      <c r="R167" s="80">
        <f t="shared" si="62"/>
        <v>1.4721533329567046E-2</v>
      </c>
      <c r="S167" s="80">
        <f t="shared" si="63"/>
        <v>1.6853932584269676E-2</v>
      </c>
      <c r="T167" s="80">
        <f t="shared" si="64"/>
        <v>0</v>
      </c>
      <c r="U167" s="80">
        <f t="shared" si="65"/>
        <v>-5.171000000000002E-3</v>
      </c>
      <c r="V167" s="81">
        <f t="shared" si="66"/>
        <v>1.8044000000000004E-2</v>
      </c>
    </row>
    <row r="168" spans="1:22">
      <c r="A168" s="166">
        <v>145</v>
      </c>
      <c r="B168" s="167" t="s">
        <v>220</v>
      </c>
      <c r="C168" s="168" t="s">
        <v>45</v>
      </c>
      <c r="D168" s="55">
        <v>208048390.90000001</v>
      </c>
      <c r="E168" s="52">
        <f t="shared" si="60"/>
        <v>3.9211429635520314E-3</v>
      </c>
      <c r="F168" s="55">
        <v>2.1</v>
      </c>
      <c r="G168" s="55">
        <v>2.15</v>
      </c>
      <c r="H168" s="54">
        <v>56</v>
      </c>
      <c r="I168" s="73">
        <v>7.4999999999999997E-3</v>
      </c>
      <c r="J168" s="73">
        <v>1.7899999999999999E-2</v>
      </c>
      <c r="K168" s="55">
        <v>209733745.11000001</v>
      </c>
      <c r="L168" s="77">
        <f t="shared" si="61"/>
        <v>3.9388317769297075E-3</v>
      </c>
      <c r="M168" s="55">
        <v>2.1132230000000001</v>
      </c>
      <c r="N168" s="55">
        <v>2.1597759999999999</v>
      </c>
      <c r="O168" s="54">
        <v>119</v>
      </c>
      <c r="P168" s="73">
        <v>4.0000000000000001E-3</v>
      </c>
      <c r="Q168" s="73">
        <v>-8.8499999999999995E-2</v>
      </c>
      <c r="R168" s="80">
        <f t="shared" si="62"/>
        <v>8.1007798364087624E-3</v>
      </c>
      <c r="S168" s="80">
        <f t="shared" si="63"/>
        <v>4.5469767441860499E-3</v>
      </c>
      <c r="T168" s="80">
        <f t="shared" si="64"/>
        <v>1.125</v>
      </c>
      <c r="U168" s="80">
        <f t="shared" si="65"/>
        <v>-3.4999999999999996E-3</v>
      </c>
      <c r="V168" s="81">
        <f t="shared" si="66"/>
        <v>-0.10639999999999999</v>
      </c>
    </row>
    <row r="169" spans="1:22">
      <c r="A169" s="166">
        <v>146</v>
      </c>
      <c r="B169" s="167" t="s">
        <v>221</v>
      </c>
      <c r="C169" s="168" t="s">
        <v>49</v>
      </c>
      <c r="D169" s="51">
        <v>2697836068.0599999</v>
      </c>
      <c r="E169" s="52">
        <f t="shared" si="60"/>
        <v>5.0846828804242142E-2</v>
      </c>
      <c r="F169" s="55">
        <v>6177.35</v>
      </c>
      <c r="G169" s="55">
        <v>6241.08</v>
      </c>
      <c r="H169" s="54">
        <v>2246</v>
      </c>
      <c r="I169" s="73">
        <v>1.01E-2</v>
      </c>
      <c r="J169" s="73">
        <v>0.2429</v>
      </c>
      <c r="K169" s="51">
        <v>2704495091.2800002</v>
      </c>
      <c r="L169" s="52">
        <f t="shared" si="61"/>
        <v>5.0790831015281222E-2</v>
      </c>
      <c r="M169" s="55">
        <v>6200.19</v>
      </c>
      <c r="N169" s="55">
        <v>6264.26</v>
      </c>
      <c r="O169" s="54">
        <v>2247</v>
      </c>
      <c r="P169" s="73">
        <v>3.7000000000000002E-3</v>
      </c>
      <c r="Q169" s="73">
        <v>0.24759999999999999</v>
      </c>
      <c r="R169" s="80">
        <f t="shared" si="62"/>
        <v>2.4682831172869362E-3</v>
      </c>
      <c r="S169" s="80">
        <f t="shared" si="63"/>
        <v>3.7141007646112997E-3</v>
      </c>
      <c r="T169" s="80">
        <f t="shared" si="64"/>
        <v>4.4523597506678539E-4</v>
      </c>
      <c r="U169" s="80">
        <f t="shared" si="65"/>
        <v>-6.3999999999999994E-3</v>
      </c>
      <c r="V169" s="81">
        <f t="shared" si="66"/>
        <v>4.699999999999982E-3</v>
      </c>
    </row>
    <row r="170" spans="1:22">
      <c r="A170" s="166">
        <v>147</v>
      </c>
      <c r="B170" s="167" t="s">
        <v>222</v>
      </c>
      <c r="C170" s="167" t="s">
        <v>102</v>
      </c>
      <c r="D170" s="51">
        <v>81842599.019999996</v>
      </c>
      <c r="E170" s="52">
        <f t="shared" si="60"/>
        <v>1.542509076267426E-3</v>
      </c>
      <c r="F170" s="55">
        <v>1055.23</v>
      </c>
      <c r="G170" s="55">
        <v>1071.55</v>
      </c>
      <c r="H170" s="54">
        <v>8</v>
      </c>
      <c r="I170" s="73">
        <v>-9.6184896943094511E-3</v>
      </c>
      <c r="J170" s="73">
        <v>6.6400000000000001E-2</v>
      </c>
      <c r="K170" s="51">
        <v>82188011.670000002</v>
      </c>
      <c r="L170" s="52">
        <f t="shared" si="61"/>
        <v>1.5435034160987315E-3</v>
      </c>
      <c r="M170" s="55">
        <v>1055.67</v>
      </c>
      <c r="N170" s="55">
        <v>1071.94</v>
      </c>
      <c r="O170" s="54">
        <v>8</v>
      </c>
      <c r="P170" s="73">
        <v>1E-4</v>
      </c>
      <c r="Q170" s="73">
        <v>6.6600000000000006E-2</v>
      </c>
      <c r="R170" s="80">
        <f t="shared" si="62"/>
        <v>4.2204506471696596E-3</v>
      </c>
      <c r="S170" s="80">
        <f t="shared" si="63"/>
        <v>3.6395875134160802E-4</v>
      </c>
      <c r="T170" s="80">
        <f t="shared" si="64"/>
        <v>0</v>
      </c>
      <c r="U170" s="80">
        <f t="shared" si="65"/>
        <v>9.7184896943094505E-3</v>
      </c>
      <c r="V170" s="81">
        <f t="shared" si="66"/>
        <v>2.0000000000000573E-4</v>
      </c>
    </row>
    <row r="171" spans="1:22">
      <c r="A171" s="166">
        <v>148</v>
      </c>
      <c r="B171" s="167" t="s">
        <v>223</v>
      </c>
      <c r="C171" s="167" t="s">
        <v>85</v>
      </c>
      <c r="D171" s="51">
        <v>691200875.09000003</v>
      </c>
      <c r="E171" s="52">
        <f t="shared" si="60"/>
        <v>1.3027245421296648E-2</v>
      </c>
      <c r="F171" s="55">
        <v>1.32</v>
      </c>
      <c r="G171" s="55">
        <v>1.32</v>
      </c>
      <c r="H171" s="54">
        <v>43</v>
      </c>
      <c r="I171" s="73">
        <v>2.3E-3</v>
      </c>
      <c r="J171" s="73">
        <v>0.23899999999999999</v>
      </c>
      <c r="K171" s="51">
        <v>693722949.47000003</v>
      </c>
      <c r="L171" s="52">
        <f t="shared" si="61"/>
        <v>1.3028222980163413E-2</v>
      </c>
      <c r="M171" s="55">
        <v>1.3240000000000001</v>
      </c>
      <c r="N171" s="55">
        <v>1.3240000000000001</v>
      </c>
      <c r="O171" s="54">
        <v>43</v>
      </c>
      <c r="P171" s="73">
        <v>3.0000000000000001E-3</v>
      </c>
      <c r="Q171" s="73">
        <v>0.24399999999999999</v>
      </c>
      <c r="R171" s="80">
        <f t="shared" si="62"/>
        <v>3.6488298422243759E-3</v>
      </c>
      <c r="S171" s="80">
        <f t="shared" si="63"/>
        <v>3.0303030303030329E-3</v>
      </c>
      <c r="T171" s="80">
        <f t="shared" si="64"/>
        <v>0</v>
      </c>
      <c r="U171" s="80">
        <f t="shared" si="65"/>
        <v>7.000000000000001E-4</v>
      </c>
      <c r="V171" s="81">
        <f t="shared" si="66"/>
        <v>5.0000000000000044E-3</v>
      </c>
    </row>
    <row r="172" spans="1:22">
      <c r="A172" s="166">
        <v>149</v>
      </c>
      <c r="B172" s="167" t="s">
        <v>224</v>
      </c>
      <c r="C172" s="168" t="s">
        <v>52</v>
      </c>
      <c r="D172" s="55">
        <v>1967481945.4100001</v>
      </c>
      <c r="E172" s="52">
        <f t="shared" si="60"/>
        <v>3.7081651786810742E-2</v>
      </c>
      <c r="F172" s="55">
        <v>1.8593999999999999</v>
      </c>
      <c r="G172" s="55">
        <v>1.8708</v>
      </c>
      <c r="H172" s="54">
        <v>2187</v>
      </c>
      <c r="I172" s="73">
        <v>5.8999999999999999E-3</v>
      </c>
      <c r="J172" s="73">
        <v>0.19819999999999999</v>
      </c>
      <c r="K172" s="55">
        <v>2025491325</v>
      </c>
      <c r="L172" s="77">
        <f t="shared" si="61"/>
        <v>3.8039036544267893E-2</v>
      </c>
      <c r="M172" s="55">
        <v>1.8915999999999999</v>
      </c>
      <c r="N172" s="55">
        <v>1.9033</v>
      </c>
      <c r="O172" s="54">
        <v>2190</v>
      </c>
      <c r="P172" s="73">
        <v>1.7299999999999999E-2</v>
      </c>
      <c r="Q172" s="73">
        <v>0.21560000000000001</v>
      </c>
      <c r="R172" s="80">
        <f t="shared" si="62"/>
        <v>2.9484072128505068E-2</v>
      </c>
      <c r="S172" s="80">
        <f t="shared" si="63"/>
        <v>1.7372247166987372E-2</v>
      </c>
      <c r="T172" s="80">
        <f t="shared" si="64"/>
        <v>1.3717421124828531E-3</v>
      </c>
      <c r="U172" s="80">
        <f t="shared" si="65"/>
        <v>1.14E-2</v>
      </c>
      <c r="V172" s="81">
        <f t="shared" si="66"/>
        <v>1.7400000000000027E-2</v>
      </c>
    </row>
    <row r="173" spans="1:22">
      <c r="A173" s="166">
        <v>150</v>
      </c>
      <c r="B173" s="167" t="s">
        <v>225</v>
      </c>
      <c r="C173" s="168" t="s">
        <v>52</v>
      </c>
      <c r="D173" s="55">
        <v>1122422322.3499999</v>
      </c>
      <c r="E173" s="52">
        <f t="shared" si="60"/>
        <v>2.1154589912362704E-2</v>
      </c>
      <c r="F173" s="55">
        <v>1.4515</v>
      </c>
      <c r="G173" s="55">
        <v>1.4596</v>
      </c>
      <c r="H173" s="54">
        <v>798</v>
      </c>
      <c r="I173" s="73">
        <v>3.7000000000000002E-3</v>
      </c>
      <c r="J173" s="73">
        <v>0.21240000000000001</v>
      </c>
      <c r="K173" s="55">
        <v>1151246516.48</v>
      </c>
      <c r="L173" s="77">
        <f t="shared" si="61"/>
        <v>2.1620585470462989E-2</v>
      </c>
      <c r="M173" s="55">
        <v>1.4633</v>
      </c>
      <c r="N173" s="55">
        <v>1.4714</v>
      </c>
      <c r="O173" s="54">
        <v>806</v>
      </c>
      <c r="P173" s="73">
        <v>8.0999999999999996E-3</v>
      </c>
      <c r="Q173" s="73">
        <v>0.22070000000000001</v>
      </c>
      <c r="R173" s="80">
        <f t="shared" si="62"/>
        <v>2.5680346475693127E-2</v>
      </c>
      <c r="S173" s="80">
        <f t="shared" si="63"/>
        <v>8.0844066867635199E-3</v>
      </c>
      <c r="T173" s="80">
        <f t="shared" si="64"/>
        <v>1.0025062656641603E-2</v>
      </c>
      <c r="U173" s="80">
        <f t="shared" si="65"/>
        <v>4.3999999999999994E-3</v>
      </c>
      <c r="V173" s="81">
        <f t="shared" si="66"/>
        <v>8.3000000000000018E-3</v>
      </c>
    </row>
    <row r="174" spans="1:22">
      <c r="A174" s="166">
        <v>151</v>
      </c>
      <c r="B174" s="167" t="s">
        <v>226</v>
      </c>
      <c r="C174" s="168" t="s">
        <v>107</v>
      </c>
      <c r="D174" s="51">
        <v>9937297339.2299995</v>
      </c>
      <c r="E174" s="52">
        <f t="shared" si="60"/>
        <v>0.18729086713857415</v>
      </c>
      <c r="F174" s="55">
        <v>539.05999999999995</v>
      </c>
      <c r="G174" s="55">
        <v>539.05999999999995</v>
      </c>
      <c r="H174" s="54">
        <v>37</v>
      </c>
      <c r="I174" s="73">
        <v>0.2</v>
      </c>
      <c r="J174" s="73">
        <v>0.54959999999999998</v>
      </c>
      <c r="K174" s="51">
        <v>9824355347.5</v>
      </c>
      <c r="L174" s="77">
        <f t="shared" si="61"/>
        <v>0.18450289442114801</v>
      </c>
      <c r="M174" s="55">
        <v>532.96</v>
      </c>
      <c r="N174" s="55">
        <v>538.85</v>
      </c>
      <c r="O174" s="54">
        <v>37</v>
      </c>
      <c r="P174" s="73">
        <v>-1.137E-2</v>
      </c>
      <c r="Q174" s="73">
        <v>0.53200000000000003</v>
      </c>
      <c r="R174" s="80">
        <f t="shared" si="62"/>
        <v>-1.1365463654200263E-2</v>
      </c>
      <c r="S174" s="80">
        <f t="shared" si="63"/>
        <v>-3.8956702407880889E-4</v>
      </c>
      <c r="T174" s="80">
        <f t="shared" si="64"/>
        <v>0</v>
      </c>
      <c r="U174" s="80">
        <f t="shared" si="65"/>
        <v>-0.21137</v>
      </c>
      <c r="V174" s="81">
        <f t="shared" si="66"/>
        <v>-1.7599999999999949E-2</v>
      </c>
    </row>
    <row r="175" spans="1:22">
      <c r="A175" s="166">
        <v>152</v>
      </c>
      <c r="B175" s="167" t="s">
        <v>227</v>
      </c>
      <c r="C175" s="168" t="s">
        <v>47</v>
      </c>
      <c r="D175" s="51">
        <v>531381759.91000003</v>
      </c>
      <c r="E175" s="52">
        <f t="shared" si="60"/>
        <v>1.0015092353357834E-2</v>
      </c>
      <c r="F175" s="55">
        <v>256.76</v>
      </c>
      <c r="G175" s="55">
        <v>259.97000000000003</v>
      </c>
      <c r="H175" s="54">
        <v>690</v>
      </c>
      <c r="I175" s="73">
        <v>1.2999999999999999E-3</v>
      </c>
      <c r="J175" s="73">
        <v>0.3306</v>
      </c>
      <c r="K175" s="51">
        <v>528244787.31999999</v>
      </c>
      <c r="L175" s="77">
        <f t="shared" si="61"/>
        <v>9.9205178127260065E-3</v>
      </c>
      <c r="M175" s="55">
        <v>255.26</v>
      </c>
      <c r="N175" s="55">
        <v>258.43</v>
      </c>
      <c r="O175" s="54">
        <v>690</v>
      </c>
      <c r="P175" s="73">
        <v>-2.9999999999999997E-4</v>
      </c>
      <c r="Q175" s="73">
        <v>0.32279999999999998</v>
      </c>
      <c r="R175" s="80">
        <f t="shared" si="62"/>
        <v>-5.9034254215487971E-3</v>
      </c>
      <c r="S175" s="80">
        <f t="shared" si="63"/>
        <v>-5.9237604338962966E-3</v>
      </c>
      <c r="T175" s="80">
        <f t="shared" si="64"/>
        <v>0</v>
      </c>
      <c r="U175" s="80">
        <f t="shared" si="65"/>
        <v>-1.5999999999999999E-3</v>
      </c>
      <c r="V175" s="81">
        <f t="shared" si="66"/>
        <v>-7.8000000000000291E-3</v>
      </c>
    </row>
    <row r="176" spans="1:22">
      <c r="A176" s="58"/>
      <c r="B176" s="59"/>
      <c r="C176" s="60" t="s">
        <v>53</v>
      </c>
      <c r="D176" s="99">
        <f>SUM(D147:D175)</f>
        <v>53058098833.391159</v>
      </c>
      <c r="E176" s="62">
        <f>(D176/$D$206)</f>
        <v>1.4053186095308047E-2</v>
      </c>
      <c r="F176" s="63"/>
      <c r="G176" s="100"/>
      <c r="H176" s="65">
        <f>SUM(H147:H175)</f>
        <v>69792</v>
      </c>
      <c r="I176" s="106"/>
      <c r="J176" s="106"/>
      <c r="K176" s="99">
        <f>SUM(K147:K175)</f>
        <v>53247703123.154457</v>
      </c>
      <c r="L176" s="62">
        <f>(K176/$K$206)</f>
        <v>1.3914612233034184E-2</v>
      </c>
      <c r="M176" s="63"/>
      <c r="N176" s="100"/>
      <c r="O176" s="65">
        <f>SUM(O147:O175)</f>
        <v>69866</v>
      </c>
      <c r="P176" s="106"/>
      <c r="Q176" s="106"/>
      <c r="R176" s="80">
        <f t="shared" si="62"/>
        <v>3.5735221188131602E-3</v>
      </c>
      <c r="S176" s="80" t="e">
        <f t="shared" si="63"/>
        <v>#DIV/0!</v>
      </c>
      <c r="T176" s="80">
        <f t="shared" si="64"/>
        <v>1.0602934433745989E-3</v>
      </c>
      <c r="U176" s="80">
        <f t="shared" si="65"/>
        <v>0</v>
      </c>
      <c r="V176" s="81">
        <f t="shared" si="66"/>
        <v>0</v>
      </c>
    </row>
    <row r="177" spans="1:24" ht="5.25" customHeight="1">
      <c r="A177" s="58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</row>
    <row r="178" spans="1:24" ht="15" customHeight="1">
      <c r="A178" s="182" t="s">
        <v>228</v>
      </c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</row>
    <row r="179" spans="1:24" ht="16.2" customHeight="1">
      <c r="A179" s="166">
        <v>153</v>
      </c>
      <c r="B179" s="167" t="s">
        <v>229</v>
      </c>
      <c r="C179" s="168" t="s">
        <v>23</v>
      </c>
      <c r="D179" s="102">
        <v>926475210.94000006</v>
      </c>
      <c r="E179" s="52">
        <f>(D179/$D$182)</f>
        <v>0.1642576040039084</v>
      </c>
      <c r="F179" s="101">
        <v>64.571600000000004</v>
      </c>
      <c r="G179" s="101">
        <v>66.518500000000003</v>
      </c>
      <c r="H179" s="56">
        <v>1641</v>
      </c>
      <c r="I179" s="74">
        <v>0.1542</v>
      </c>
      <c r="J179" s="74">
        <v>0.2107</v>
      </c>
      <c r="K179" s="102">
        <v>928457230.51999998</v>
      </c>
      <c r="L179" s="77">
        <f>(K179/$K$182)</f>
        <v>0.16426455077604632</v>
      </c>
      <c r="M179" s="101">
        <v>65.506699999999995</v>
      </c>
      <c r="N179" s="101">
        <v>67.481800000000007</v>
      </c>
      <c r="O179" s="56">
        <v>1646</v>
      </c>
      <c r="P179" s="74">
        <v>0.75719999999999998</v>
      </c>
      <c r="Q179" s="74">
        <v>0.22539999999999999</v>
      </c>
      <c r="R179" s="80">
        <f>((K179-D179)/D179)</f>
        <v>2.1393120469882514E-3</v>
      </c>
      <c r="S179" s="80">
        <f t="shared" ref="S179:T182" si="76">((N179-G179)/G179)</f>
        <v>1.4481685546126322E-2</v>
      </c>
      <c r="T179" s="80">
        <f t="shared" si="76"/>
        <v>3.0469226081657527E-3</v>
      </c>
      <c r="U179" s="80">
        <f t="shared" ref="U179:V182" si="77">P179-I179</f>
        <v>0.60299999999999998</v>
      </c>
      <c r="V179" s="81">
        <f t="shared" si="77"/>
        <v>1.4699999999999991E-2</v>
      </c>
    </row>
    <row r="180" spans="1:24">
      <c r="A180" s="166">
        <v>154</v>
      </c>
      <c r="B180" s="167" t="s">
        <v>230</v>
      </c>
      <c r="C180" s="168" t="s">
        <v>231</v>
      </c>
      <c r="D180" s="102">
        <v>930204165.86000001</v>
      </c>
      <c r="E180" s="52">
        <f>(D180/$D$182)</f>
        <v>0.16491872174711961</v>
      </c>
      <c r="F180" s="101">
        <v>26.377500000000001</v>
      </c>
      <c r="G180" s="101">
        <v>26.5626</v>
      </c>
      <c r="H180" s="54">
        <v>1483</v>
      </c>
      <c r="I180" s="73">
        <v>8.2000000000000007E-3</v>
      </c>
      <c r="J180" s="73">
        <v>0.2092</v>
      </c>
      <c r="K180" s="102">
        <v>928366942.92999995</v>
      </c>
      <c r="L180" s="77">
        <f>(K180/$K$182)</f>
        <v>0.16424857691109648</v>
      </c>
      <c r="M180" s="101">
        <v>27.761500000000002</v>
      </c>
      <c r="N180" s="101">
        <v>26.975899999999999</v>
      </c>
      <c r="O180" s="54">
        <v>1483</v>
      </c>
      <c r="P180" s="73">
        <v>0.2087</v>
      </c>
      <c r="Q180" s="73">
        <v>0.25030000000000002</v>
      </c>
      <c r="R180" s="80">
        <f>((K180-D180)/D180)</f>
        <v>-1.9750749323956232E-3</v>
      </c>
      <c r="S180" s="80">
        <f t="shared" si="76"/>
        <v>1.5559470834933311E-2</v>
      </c>
      <c r="T180" s="80">
        <f t="shared" si="76"/>
        <v>0</v>
      </c>
      <c r="U180" s="80">
        <f t="shared" si="77"/>
        <v>0.20049999999999998</v>
      </c>
      <c r="V180" s="81">
        <f t="shared" si="77"/>
        <v>4.1100000000000025E-2</v>
      </c>
    </row>
    <row r="181" spans="1:24">
      <c r="A181" s="166">
        <v>155</v>
      </c>
      <c r="B181" s="167" t="s">
        <v>232</v>
      </c>
      <c r="C181" s="168" t="s">
        <v>49</v>
      </c>
      <c r="D181" s="67">
        <v>3783700053.7800002</v>
      </c>
      <c r="E181" s="52">
        <f>(D181/$D$182)</f>
        <v>0.67082367424897205</v>
      </c>
      <c r="F181" s="101">
        <v>2.74</v>
      </c>
      <c r="G181" s="101">
        <v>2.77</v>
      </c>
      <c r="H181" s="54">
        <v>10172</v>
      </c>
      <c r="I181" s="73">
        <v>1.09E-2</v>
      </c>
      <c r="J181" s="73">
        <v>0.33169999999999999</v>
      </c>
      <c r="K181" s="67">
        <v>3795382746.02</v>
      </c>
      <c r="L181" s="77">
        <f>(K181/$K$182)</f>
        <v>0.67148687231285731</v>
      </c>
      <c r="M181" s="101">
        <v>2.74</v>
      </c>
      <c r="N181" s="101">
        <v>2.78</v>
      </c>
      <c r="O181" s="54">
        <v>10174</v>
      </c>
      <c r="P181" s="73">
        <v>3.5999999999999999E-3</v>
      </c>
      <c r="Q181" s="73">
        <v>0.33650000000000002</v>
      </c>
      <c r="R181" s="80">
        <f>((K181-D181)/D181)</f>
        <v>3.0876369886477925E-3</v>
      </c>
      <c r="S181" s="80">
        <f t="shared" si="76"/>
        <v>3.6101083032490204E-3</v>
      </c>
      <c r="T181" s="80">
        <f t="shared" si="76"/>
        <v>1.9661816751867872E-4</v>
      </c>
      <c r="U181" s="80">
        <f t="shared" si="77"/>
        <v>-7.3000000000000001E-3</v>
      </c>
      <c r="V181" s="81">
        <f t="shared" si="77"/>
        <v>4.8000000000000265E-3</v>
      </c>
    </row>
    <row r="182" spans="1:24">
      <c r="A182" s="58"/>
      <c r="B182" s="59"/>
      <c r="C182" s="95" t="s">
        <v>53</v>
      </c>
      <c r="D182" s="99">
        <f>SUM(D179:D181)</f>
        <v>5640379430.5799999</v>
      </c>
      <c r="E182" s="62">
        <f>(D182/$D$206)</f>
        <v>1.493934074701602E-3</v>
      </c>
      <c r="F182" s="63"/>
      <c r="G182" s="100"/>
      <c r="H182" s="65">
        <f>SUM(H179:H181)</f>
        <v>13296</v>
      </c>
      <c r="I182" s="106"/>
      <c r="J182" s="106"/>
      <c r="K182" s="99">
        <f>SUM(K179:K181)</f>
        <v>5652206919.4699993</v>
      </c>
      <c r="L182" s="62">
        <f>(K182/$K$206)</f>
        <v>1.4770264806238742E-3</v>
      </c>
      <c r="M182" s="63"/>
      <c r="N182" s="100"/>
      <c r="O182" s="65">
        <f>SUM(O179:O181)</f>
        <v>13303</v>
      </c>
      <c r="P182" s="106"/>
      <c r="Q182" s="106"/>
      <c r="R182" s="80">
        <f>((K182-D182)/D182)</f>
        <v>2.0969314273212238E-3</v>
      </c>
      <c r="S182" s="80" t="e">
        <f t="shared" si="76"/>
        <v>#DIV/0!</v>
      </c>
      <c r="T182" s="80">
        <f t="shared" si="76"/>
        <v>5.2647412755716001E-4</v>
      </c>
      <c r="U182" s="80">
        <f t="shared" si="77"/>
        <v>0</v>
      </c>
      <c r="V182" s="81">
        <f t="shared" si="77"/>
        <v>0</v>
      </c>
    </row>
    <row r="183" spans="1:24" ht="6" customHeight="1">
      <c r="A183" s="58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</row>
    <row r="184" spans="1:24" ht="15" customHeight="1">
      <c r="A184" s="183" t="s">
        <v>233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</row>
    <row r="185" spans="1:24">
      <c r="A185" s="184" t="s">
        <v>234</v>
      </c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</row>
    <row r="186" spans="1:24">
      <c r="A186" s="166">
        <v>156</v>
      </c>
      <c r="B186" s="167" t="s">
        <v>235</v>
      </c>
      <c r="C186" s="168" t="s">
        <v>236</v>
      </c>
      <c r="D186" s="70">
        <v>4623964196.2600002</v>
      </c>
      <c r="E186" s="52">
        <f>(D186/$D$205)</f>
        <v>9.0179409888921244E-2</v>
      </c>
      <c r="F186" s="103">
        <v>2.15</v>
      </c>
      <c r="G186" s="103">
        <v>2.19</v>
      </c>
      <c r="H186" s="69">
        <v>15013</v>
      </c>
      <c r="I186" s="76">
        <v>1.29E-2</v>
      </c>
      <c r="J186" s="76">
        <v>0.2437</v>
      </c>
      <c r="K186" s="70">
        <v>4629473750.1400003</v>
      </c>
      <c r="L186" s="52">
        <f>(K186/$K$205)</f>
        <v>8.996923461626731E-2</v>
      </c>
      <c r="M186" s="103">
        <v>2.15</v>
      </c>
      <c r="N186" s="103">
        <v>2.19</v>
      </c>
      <c r="O186" s="69">
        <v>14970</v>
      </c>
      <c r="P186" s="76">
        <v>6.9999999999999999E-4</v>
      </c>
      <c r="Q186" s="76">
        <v>0.2445</v>
      </c>
      <c r="R186" s="80">
        <f>((K186-D186)/D186)</f>
        <v>1.1915217432817507E-3</v>
      </c>
      <c r="S186" s="80">
        <f>((N186-G186)/G186)</f>
        <v>0</v>
      </c>
      <c r="T186" s="80">
        <f>((O186-H186)/H186)</f>
        <v>-2.8641843735429293E-3</v>
      </c>
      <c r="U186" s="80">
        <f>P186-I186</f>
        <v>-1.2200000000000001E-2</v>
      </c>
      <c r="V186" s="81">
        <f>Q186-J186</f>
        <v>7.9999999999999516E-4</v>
      </c>
    </row>
    <row r="187" spans="1:24">
      <c r="A187" s="166">
        <v>157</v>
      </c>
      <c r="B187" s="167" t="s">
        <v>237</v>
      </c>
      <c r="C187" s="168" t="s">
        <v>49</v>
      </c>
      <c r="D187" s="70">
        <v>603183885.5</v>
      </c>
      <c r="E187" s="52">
        <f>(D187/$D$205)</f>
        <v>1.1763665231857276E-2</v>
      </c>
      <c r="F187" s="103">
        <v>419.89</v>
      </c>
      <c r="G187" s="103">
        <v>425.32</v>
      </c>
      <c r="H187" s="69">
        <v>851</v>
      </c>
      <c r="I187" s="76">
        <v>3.8999999999999998E-3</v>
      </c>
      <c r="J187" s="76">
        <v>0.1138</v>
      </c>
      <c r="K187" s="70">
        <v>635657753.41999996</v>
      </c>
      <c r="L187" s="52">
        <f>(K187/$K$205)</f>
        <v>1.2353378513349144E-2</v>
      </c>
      <c r="M187" s="103">
        <v>443.05</v>
      </c>
      <c r="N187" s="103">
        <v>448.88</v>
      </c>
      <c r="O187" s="69">
        <v>851</v>
      </c>
      <c r="P187" s="76">
        <v>5.5399999999999998E-2</v>
      </c>
      <c r="Q187" s="76">
        <v>0.17549999999999999</v>
      </c>
      <c r="R187" s="80">
        <f>((K187-D187)/D187)</f>
        <v>5.3837426198946353E-2</v>
      </c>
      <c r="S187" s="80">
        <f>((N187-G187)/G187)</f>
        <v>5.5393586005830907E-2</v>
      </c>
      <c r="T187" s="80">
        <f>((O187-H187)/H187)</f>
        <v>0</v>
      </c>
      <c r="U187" s="80">
        <f>P187-I187</f>
        <v>5.1499999999999997E-2</v>
      </c>
      <c r="V187" s="81">
        <f>Q187-J187</f>
        <v>6.1699999999999991E-2</v>
      </c>
    </row>
    <row r="188" spans="1:24" ht="6" customHeight="1">
      <c r="A188" s="58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</row>
    <row r="189" spans="1:24" ht="15" customHeight="1">
      <c r="A189" s="184" t="s">
        <v>175</v>
      </c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</row>
    <row r="190" spans="1:24">
      <c r="A190" s="166">
        <v>158</v>
      </c>
      <c r="B190" s="167" t="s">
        <v>238</v>
      </c>
      <c r="C190" s="168" t="s">
        <v>239</v>
      </c>
      <c r="D190" s="51">
        <v>339161898.00999999</v>
      </c>
      <c r="E190" s="52">
        <f t="shared" ref="E190:E201" si="78">(D190/$D$205)</f>
        <v>6.6145451221457739E-3</v>
      </c>
      <c r="F190" s="101">
        <v>1044.72</v>
      </c>
      <c r="G190" s="101">
        <v>1044.72</v>
      </c>
      <c r="H190" s="54">
        <v>18</v>
      </c>
      <c r="I190" s="73">
        <v>1.2999999999999999E-3</v>
      </c>
      <c r="J190" s="73">
        <v>0.12690000000000001</v>
      </c>
      <c r="K190" s="51">
        <v>339675873.77999997</v>
      </c>
      <c r="L190" s="52">
        <f t="shared" ref="L190:L201" si="79">(K190/$K$205)</f>
        <v>6.6012639947843404E-3</v>
      </c>
      <c r="M190" s="101">
        <v>1046.3</v>
      </c>
      <c r="N190" s="101">
        <v>1046.3</v>
      </c>
      <c r="O190" s="54">
        <v>18</v>
      </c>
      <c r="P190" s="73">
        <v>2.8E-3</v>
      </c>
      <c r="Q190" s="73">
        <v>0.12970000000000001</v>
      </c>
      <c r="R190" s="80">
        <f>((K190-D190)/D190)</f>
        <v>1.5154289824879641E-3</v>
      </c>
      <c r="S190" s="80">
        <f>((N190-G190)/G190)</f>
        <v>1.5123669499961015E-3</v>
      </c>
      <c r="T190" s="80">
        <f>((O190-H190)/H190)</f>
        <v>0</v>
      </c>
      <c r="U190" s="80">
        <f>P190-I190</f>
        <v>1.5E-3</v>
      </c>
      <c r="V190" s="81">
        <f>Q190-J190</f>
        <v>2.7999999999999969E-3</v>
      </c>
      <c r="X190" s="107"/>
    </row>
    <row r="191" spans="1:24">
      <c r="A191" s="166">
        <v>159</v>
      </c>
      <c r="B191" s="167" t="s">
        <v>240</v>
      </c>
      <c r="C191" s="168" t="s">
        <v>67</v>
      </c>
      <c r="D191" s="51">
        <v>131981863.39</v>
      </c>
      <c r="E191" s="52">
        <f t="shared" si="78"/>
        <v>2.5739919366540832E-3</v>
      </c>
      <c r="F191" s="101">
        <v>114.04</v>
      </c>
      <c r="G191" s="101">
        <v>114.04</v>
      </c>
      <c r="H191" s="54">
        <v>75</v>
      </c>
      <c r="I191" s="73">
        <v>2.5000000000000001E-3</v>
      </c>
      <c r="J191" s="73">
        <v>0.13950000000000001</v>
      </c>
      <c r="K191" s="51">
        <v>129479271.36</v>
      </c>
      <c r="L191" s="52">
        <f t="shared" si="79"/>
        <v>2.5163013274627373E-3</v>
      </c>
      <c r="M191" s="101">
        <v>114.32</v>
      </c>
      <c r="N191" s="101">
        <v>114.32</v>
      </c>
      <c r="O191" s="54">
        <v>75</v>
      </c>
      <c r="P191" s="73">
        <v>2.5000000000000001E-3</v>
      </c>
      <c r="Q191" s="73">
        <v>0.1404</v>
      </c>
      <c r="R191" s="80">
        <f t="shared" ref="R191:R206" si="80">((K191-D191)/D191)</f>
        <v>-1.8961635831773061E-2</v>
      </c>
      <c r="S191" s="80">
        <f t="shared" ref="S191:S205" si="81">((N191-G191)/G191)</f>
        <v>2.4552788495263672E-3</v>
      </c>
      <c r="T191" s="80">
        <f t="shared" ref="T191:T205" si="82">((O191-H191)/H191)</f>
        <v>0</v>
      </c>
      <c r="U191" s="80">
        <f t="shared" ref="U191:U205" si="83">P191-I191</f>
        <v>0</v>
      </c>
      <c r="V191" s="81">
        <f t="shared" ref="V191:V205" si="84">Q191-J191</f>
        <v>8.9999999999998415E-4</v>
      </c>
    </row>
    <row r="192" spans="1:24">
      <c r="A192" s="166">
        <v>160</v>
      </c>
      <c r="B192" s="175" t="s">
        <v>241</v>
      </c>
      <c r="C192" s="168" t="s">
        <v>73</v>
      </c>
      <c r="D192" s="67">
        <v>58887020.729999997</v>
      </c>
      <c r="E192" s="52">
        <f t="shared" si="78"/>
        <v>1.1484511025935881E-3</v>
      </c>
      <c r="F192" s="101">
        <v>105.13</v>
      </c>
      <c r="G192" s="101">
        <v>108.69</v>
      </c>
      <c r="H192" s="54">
        <v>14</v>
      </c>
      <c r="I192" s="73">
        <v>2.8E-3</v>
      </c>
      <c r="J192" s="73">
        <v>0.109</v>
      </c>
      <c r="K192" s="67">
        <v>58973520.640000001</v>
      </c>
      <c r="L192" s="52">
        <f t="shared" si="79"/>
        <v>1.1460919320359013E-3</v>
      </c>
      <c r="M192" s="101">
        <v>105.24</v>
      </c>
      <c r="N192" s="101">
        <v>108.88</v>
      </c>
      <c r="O192" s="54">
        <v>14</v>
      </c>
      <c r="P192" s="73">
        <v>1.5E-3</v>
      </c>
      <c r="Q192" s="73">
        <v>0.1105</v>
      </c>
      <c r="R192" s="80">
        <f t="shared" si="80"/>
        <v>1.4689129952185965E-3</v>
      </c>
      <c r="S192" s="80">
        <f t="shared" si="81"/>
        <v>1.7480909007268168E-3</v>
      </c>
      <c r="T192" s="80">
        <f t="shared" si="82"/>
        <v>0</v>
      </c>
      <c r="U192" s="80">
        <f t="shared" si="83"/>
        <v>-1.2999999999999999E-3</v>
      </c>
      <c r="V192" s="81">
        <f t="shared" si="84"/>
        <v>1.5000000000000013E-3</v>
      </c>
    </row>
    <row r="193" spans="1:22">
      <c r="A193" s="166">
        <v>161</v>
      </c>
      <c r="B193" s="167" t="s">
        <v>242</v>
      </c>
      <c r="C193" s="168" t="s">
        <v>76</v>
      </c>
      <c r="D193" s="67">
        <v>103784075.26000001</v>
      </c>
      <c r="E193" s="52">
        <v>0</v>
      </c>
      <c r="F193" s="101">
        <v>1.0275000000000001</v>
      </c>
      <c r="G193" s="101">
        <v>1.0275000000000001</v>
      </c>
      <c r="H193" s="54">
        <v>23</v>
      </c>
      <c r="I193" s="73">
        <v>1.6570000000000001E-3</v>
      </c>
      <c r="J193" s="73">
        <v>9.4E-2</v>
      </c>
      <c r="K193" s="67">
        <v>104323080.23999999</v>
      </c>
      <c r="L193" s="52">
        <f t="shared" si="79"/>
        <v>2.0274156823376307E-3</v>
      </c>
      <c r="M193" s="101">
        <v>1.0299</v>
      </c>
      <c r="N193" s="101">
        <v>1.0299</v>
      </c>
      <c r="O193" s="54">
        <v>24</v>
      </c>
      <c r="P193" s="73">
        <v>2.3340000000000001E-3</v>
      </c>
      <c r="Q193" s="73">
        <v>9.7100000000000006E-2</v>
      </c>
      <c r="R193" s="80">
        <f t="shared" ref="R193:R194" si="85">((K193-D193)/D193)</f>
        <v>5.1935229817259851E-3</v>
      </c>
      <c r="S193" s="80">
        <f t="shared" ref="S193:S194" si="86">((N193-G193)/G193)</f>
        <v>2.3357664233576228E-3</v>
      </c>
      <c r="T193" s="80">
        <f t="shared" ref="T193" si="87">((O193-H193)/H193)</f>
        <v>4.3478260869565216E-2</v>
      </c>
      <c r="U193" s="80">
        <f t="shared" ref="U193" si="88">P193-I193</f>
        <v>6.7700000000000008E-4</v>
      </c>
      <c r="V193" s="81">
        <f t="shared" ref="V193" si="89">Q193-J193</f>
        <v>3.1000000000000055E-3</v>
      </c>
    </row>
    <row r="194" spans="1:22">
      <c r="A194" s="166">
        <v>162</v>
      </c>
      <c r="B194" s="167" t="s">
        <v>243</v>
      </c>
      <c r="C194" s="168" t="s">
        <v>31</v>
      </c>
      <c r="D194" s="51">
        <v>7925547234.6899996</v>
      </c>
      <c r="E194" s="52">
        <f t="shared" si="78"/>
        <v>0.15456892448458046</v>
      </c>
      <c r="F194" s="101">
        <v>140.78</v>
      </c>
      <c r="G194" s="101">
        <v>140.78</v>
      </c>
      <c r="H194" s="54">
        <v>689</v>
      </c>
      <c r="I194" s="73">
        <v>2.5999999999999999E-3</v>
      </c>
      <c r="J194" s="73">
        <v>0.13250000000000001</v>
      </c>
      <c r="K194" s="51">
        <v>7959339473.5799999</v>
      </c>
      <c r="L194" s="52">
        <f t="shared" si="79"/>
        <v>0.15468187511968959</v>
      </c>
      <c r="M194" s="101">
        <v>141.16</v>
      </c>
      <c r="N194" s="101">
        <v>141.16</v>
      </c>
      <c r="O194" s="54">
        <v>689</v>
      </c>
      <c r="P194" s="73">
        <v>2.7000000000000001E-3</v>
      </c>
      <c r="Q194" s="73">
        <v>0.13539999999999999</v>
      </c>
      <c r="R194" s="80">
        <f t="shared" si="85"/>
        <v>4.2637104908153506E-3</v>
      </c>
      <c r="S194" s="80">
        <f t="shared" si="86"/>
        <v>2.6992470521380553E-3</v>
      </c>
      <c r="T194" s="80">
        <f t="shared" si="82"/>
        <v>0</v>
      </c>
      <c r="U194" s="80">
        <f t="shared" si="83"/>
        <v>1.0000000000000026E-4</v>
      </c>
      <c r="V194" s="81">
        <f t="shared" si="84"/>
        <v>2.8999999999999859E-3</v>
      </c>
    </row>
    <row r="195" spans="1:22">
      <c r="A195" s="166">
        <v>163</v>
      </c>
      <c r="B195" s="167" t="s">
        <v>244</v>
      </c>
      <c r="C195" s="168" t="s">
        <v>65</v>
      </c>
      <c r="D195" s="51">
        <v>463025430.00234503</v>
      </c>
      <c r="E195" s="52">
        <f t="shared" si="78"/>
        <v>9.0302083383233065E-3</v>
      </c>
      <c r="F195" s="57">
        <v>1160.9673003883499</v>
      </c>
      <c r="G195" s="57">
        <v>1160.9673003883499</v>
      </c>
      <c r="H195" s="54">
        <v>96</v>
      </c>
      <c r="I195" s="73">
        <v>0.16397075735594699</v>
      </c>
      <c r="J195" s="73">
        <v>0.14630451670311301</v>
      </c>
      <c r="K195" s="51">
        <v>464684501.10421401</v>
      </c>
      <c r="L195" s="52">
        <f t="shared" si="79"/>
        <v>9.0306827857321494E-3</v>
      </c>
      <c r="M195" s="57">
        <v>1165.1271740658699</v>
      </c>
      <c r="N195" s="57">
        <v>1165.1271740658699</v>
      </c>
      <c r="O195" s="54">
        <v>96</v>
      </c>
      <c r="P195" s="73">
        <v>0.1873454717412939</v>
      </c>
      <c r="Q195" s="73">
        <v>0.14769607250511269</v>
      </c>
      <c r="R195" s="80">
        <f t="shared" si="80"/>
        <v>3.5831101152707413E-3</v>
      </c>
      <c r="S195" s="80">
        <f t="shared" si="81"/>
        <v>3.5831101152706485E-3</v>
      </c>
      <c r="T195" s="80">
        <f t="shared" si="82"/>
        <v>0</v>
      </c>
      <c r="U195" s="80">
        <f t="shared" si="83"/>
        <v>2.3374714385346912E-2</v>
      </c>
      <c r="V195" s="81">
        <f t="shared" si="84"/>
        <v>1.3915558019996777E-3</v>
      </c>
    </row>
    <row r="196" spans="1:22">
      <c r="A196" s="166">
        <v>164</v>
      </c>
      <c r="B196" s="167" t="s">
        <v>245</v>
      </c>
      <c r="C196" s="168" t="s">
        <v>236</v>
      </c>
      <c r="D196" s="51">
        <v>24248459515.049999</v>
      </c>
      <c r="E196" s="52">
        <f t="shared" si="78"/>
        <v>0.47290845624438088</v>
      </c>
      <c r="F196" s="57">
        <v>1236.98</v>
      </c>
      <c r="G196" s="57">
        <v>1236.98</v>
      </c>
      <c r="H196" s="54">
        <v>9547</v>
      </c>
      <c r="I196" s="73">
        <v>3.0999999999999999E-3</v>
      </c>
      <c r="J196" s="73">
        <v>0.1278</v>
      </c>
      <c r="K196" s="51">
        <v>24349241880.310001</v>
      </c>
      <c r="L196" s="52">
        <f t="shared" si="79"/>
        <v>0.47320338632260384</v>
      </c>
      <c r="M196" s="57">
        <v>1240.3900000000001</v>
      </c>
      <c r="N196" s="57">
        <v>1240.3900000000001</v>
      </c>
      <c r="O196" s="54">
        <v>9435</v>
      </c>
      <c r="P196" s="73">
        <v>2.8E-3</v>
      </c>
      <c r="Q196" s="73">
        <v>0.13059999999999999</v>
      </c>
      <c r="R196" s="80">
        <f t="shared" si="80"/>
        <v>4.1562378507983468E-3</v>
      </c>
      <c r="S196" s="80">
        <f t="shared" si="81"/>
        <v>2.7567139323191013E-3</v>
      </c>
      <c r="T196" s="80">
        <f t="shared" si="82"/>
        <v>-1.1731433958311511E-2</v>
      </c>
      <c r="U196" s="80">
        <f t="shared" si="83"/>
        <v>-2.9999999999999992E-4</v>
      </c>
      <c r="V196" s="81">
        <f t="shared" si="84"/>
        <v>2.7999999999999969E-3</v>
      </c>
    </row>
    <row r="197" spans="1:22">
      <c r="A197" s="166">
        <v>165</v>
      </c>
      <c r="B197" s="167" t="s">
        <v>246</v>
      </c>
      <c r="C197" s="168" t="s">
        <v>247</v>
      </c>
      <c r="D197" s="51">
        <v>390741002.32999998</v>
      </c>
      <c r="E197" s="52">
        <f t="shared" si="78"/>
        <v>7.6204727186308151E-3</v>
      </c>
      <c r="F197" s="103">
        <v>126.62</v>
      </c>
      <c r="G197" s="103">
        <v>126.92</v>
      </c>
      <c r="H197" s="69">
        <v>149</v>
      </c>
      <c r="I197" s="73">
        <v>6.8999999999999999E-3</v>
      </c>
      <c r="J197" s="73">
        <v>0.27489999999999998</v>
      </c>
      <c r="K197" s="51">
        <v>410428269.26999998</v>
      </c>
      <c r="L197" s="52">
        <f t="shared" si="79"/>
        <v>7.9762666868959959E-3</v>
      </c>
      <c r="M197" s="103">
        <v>127.17</v>
      </c>
      <c r="N197" s="103">
        <v>127.46</v>
      </c>
      <c r="O197" s="69">
        <v>149</v>
      </c>
      <c r="P197" s="73">
        <v>4.3E-3</v>
      </c>
      <c r="Q197" s="73">
        <v>0.28039999999999998</v>
      </c>
      <c r="R197" s="80">
        <f t="shared" si="80"/>
        <v>5.0384440902296539E-2</v>
      </c>
      <c r="S197" s="80">
        <f t="shared" si="81"/>
        <v>4.2546485975416956E-3</v>
      </c>
      <c r="T197" s="80">
        <f t="shared" si="82"/>
        <v>0</v>
      </c>
      <c r="U197" s="80">
        <f t="shared" si="83"/>
        <v>-2.5999999999999999E-3</v>
      </c>
      <c r="V197" s="81">
        <f t="shared" si="84"/>
        <v>5.5000000000000049E-3</v>
      </c>
    </row>
    <row r="198" spans="1:22">
      <c r="A198" s="166">
        <v>166</v>
      </c>
      <c r="B198" s="167" t="s">
        <v>248</v>
      </c>
      <c r="C198" s="168" t="s">
        <v>247</v>
      </c>
      <c r="D198" s="51">
        <v>108255997.70999999</v>
      </c>
      <c r="E198" s="52">
        <f t="shared" si="78"/>
        <v>2.1112754286290491E-3</v>
      </c>
      <c r="F198" s="103">
        <v>110.52</v>
      </c>
      <c r="G198" s="103">
        <v>110.52</v>
      </c>
      <c r="H198" s="69">
        <v>67</v>
      </c>
      <c r="I198" s="73">
        <v>4.1999999999999997E-3</v>
      </c>
      <c r="J198" s="73">
        <v>0.1036</v>
      </c>
      <c r="K198" s="51">
        <v>108701289.59</v>
      </c>
      <c r="L198" s="52">
        <f t="shared" si="79"/>
        <v>2.1125018423352707E-3</v>
      </c>
      <c r="M198" s="103">
        <v>110.97</v>
      </c>
      <c r="N198" s="103">
        <v>110.97</v>
      </c>
      <c r="O198" s="69">
        <v>67</v>
      </c>
      <c r="P198" s="73">
        <v>4.1000000000000003E-3</v>
      </c>
      <c r="Q198" s="73">
        <v>0.1081</v>
      </c>
      <c r="R198" s="80">
        <f t="shared" si="80"/>
        <v>4.1133229513331338E-3</v>
      </c>
      <c r="S198" s="80">
        <f t="shared" si="81"/>
        <v>4.0716612377850424E-3</v>
      </c>
      <c r="T198" s="80">
        <f t="shared" si="82"/>
        <v>0</v>
      </c>
      <c r="U198" s="80">
        <f t="shared" si="83"/>
        <v>-9.9999999999999395E-5</v>
      </c>
      <c r="V198" s="81">
        <f t="shared" si="84"/>
        <v>4.500000000000004E-3</v>
      </c>
    </row>
    <row r="199" spans="1:22" ht="13.5" customHeight="1">
      <c r="A199" s="166">
        <v>167</v>
      </c>
      <c r="B199" s="167" t="s">
        <v>249</v>
      </c>
      <c r="C199" s="168" t="s">
        <v>90</v>
      </c>
      <c r="D199" s="51">
        <v>1246810054.8399999</v>
      </c>
      <c r="E199" s="52">
        <f t="shared" si="78"/>
        <v>2.4316060898565518E-2</v>
      </c>
      <c r="F199" s="83">
        <v>104.32</v>
      </c>
      <c r="G199" s="83">
        <v>104.32</v>
      </c>
      <c r="H199" s="54">
        <v>584</v>
      </c>
      <c r="I199" s="73">
        <v>0.26</v>
      </c>
      <c r="J199" s="73">
        <v>0.1065</v>
      </c>
      <c r="K199" s="51">
        <v>1239457457.9200001</v>
      </c>
      <c r="L199" s="52">
        <f t="shared" si="79"/>
        <v>2.4087627416639844E-2</v>
      </c>
      <c r="M199" s="83">
        <v>104.63</v>
      </c>
      <c r="N199" s="83">
        <v>104.63</v>
      </c>
      <c r="O199" s="54">
        <v>584</v>
      </c>
      <c r="P199" s="73">
        <v>2.3E-3</v>
      </c>
      <c r="Q199" s="73">
        <v>0.1227</v>
      </c>
      <c r="R199" s="80">
        <f t="shared" si="80"/>
        <v>-5.8971267447336861E-3</v>
      </c>
      <c r="S199" s="80">
        <f t="shared" si="81"/>
        <v>2.9716257668711875E-3</v>
      </c>
      <c r="T199" s="80">
        <f t="shared" si="82"/>
        <v>0</v>
      </c>
      <c r="U199" s="80">
        <f t="shared" si="83"/>
        <v>-0.25769999999999998</v>
      </c>
      <c r="V199" s="81">
        <f t="shared" si="84"/>
        <v>1.6200000000000006E-2</v>
      </c>
    </row>
    <row r="200" spans="1:22" ht="15.75" customHeight="1">
      <c r="A200" s="166">
        <v>168</v>
      </c>
      <c r="B200" s="167" t="s">
        <v>250</v>
      </c>
      <c r="C200" s="168" t="s">
        <v>49</v>
      </c>
      <c r="D200" s="51">
        <v>6988275440.3299999</v>
      </c>
      <c r="E200" s="52">
        <f t="shared" si="78"/>
        <v>0.13628967020547519</v>
      </c>
      <c r="F200" s="83">
        <v>133.32</v>
      </c>
      <c r="G200" s="83">
        <v>133.32</v>
      </c>
      <c r="H200" s="54">
        <v>1255</v>
      </c>
      <c r="I200" s="73">
        <v>2.0000000000000001E-4</v>
      </c>
      <c r="J200" s="73">
        <v>3.9199999999999999E-2</v>
      </c>
      <c r="K200" s="51">
        <v>6985848496.8999996</v>
      </c>
      <c r="L200" s="52">
        <f t="shared" si="79"/>
        <v>0.13576304269838177</v>
      </c>
      <c r="M200" s="83">
        <v>133.35</v>
      </c>
      <c r="N200" s="83">
        <v>133.35</v>
      </c>
      <c r="O200" s="54">
        <v>1257</v>
      </c>
      <c r="P200" s="73">
        <v>2.0000000000000001E-4</v>
      </c>
      <c r="Q200" s="73">
        <v>3.9399999999999998E-2</v>
      </c>
      <c r="R200" s="80">
        <f t="shared" si="80"/>
        <v>-3.4728788965503345E-4</v>
      </c>
      <c r="S200" s="80">
        <f t="shared" si="81"/>
        <v>2.2502250225023355E-4</v>
      </c>
      <c r="T200" s="80">
        <f t="shared" si="82"/>
        <v>1.5936254980079682E-3</v>
      </c>
      <c r="U200" s="80">
        <f t="shared" si="83"/>
        <v>0</v>
      </c>
      <c r="V200" s="81">
        <f t="shared" si="84"/>
        <v>1.9999999999999879E-4</v>
      </c>
    </row>
    <row r="201" spans="1:22">
      <c r="A201" s="166">
        <v>169</v>
      </c>
      <c r="B201" s="167" t="s">
        <v>251</v>
      </c>
      <c r="C201" s="168" t="s">
        <v>52</v>
      </c>
      <c r="D201" s="51">
        <v>3822641208.1900001</v>
      </c>
      <c r="E201" s="52">
        <f t="shared" si="78"/>
        <v>7.4551513320641583E-2</v>
      </c>
      <c r="F201" s="83">
        <v>1.1990000000000001</v>
      </c>
      <c r="G201" s="83">
        <v>1.1990000000000001</v>
      </c>
      <c r="H201" s="54">
        <v>1190</v>
      </c>
      <c r="I201" s="73">
        <v>9.5699999999999993E-2</v>
      </c>
      <c r="J201" s="73">
        <v>9.6100000000000005E-2</v>
      </c>
      <c r="K201" s="51">
        <v>3819444775.3400002</v>
      </c>
      <c r="L201" s="52">
        <f t="shared" si="79"/>
        <v>7.4227124213858867E-2</v>
      </c>
      <c r="M201" s="83">
        <v>1.2011000000000001</v>
      </c>
      <c r="N201" s="83">
        <v>1.2011000000000001</v>
      </c>
      <c r="O201" s="54">
        <v>1196</v>
      </c>
      <c r="P201" s="73">
        <v>9.5500000000000002E-2</v>
      </c>
      <c r="Q201" s="73">
        <v>9.5899999999999999E-2</v>
      </c>
      <c r="R201" s="80">
        <f t="shared" si="80"/>
        <v>-8.3618437512564725E-4</v>
      </c>
      <c r="S201" s="80">
        <f t="shared" si="81"/>
        <v>1.7514595496246795E-3</v>
      </c>
      <c r="T201" s="80">
        <f t="shared" si="82"/>
        <v>5.0420168067226894E-3</v>
      </c>
      <c r="U201" s="80">
        <f t="shared" si="83"/>
        <v>-1.9999999999999185E-4</v>
      </c>
      <c r="V201" s="81">
        <f t="shared" si="84"/>
        <v>-2.0000000000000573E-4</v>
      </c>
    </row>
    <row r="202" spans="1:22" ht="6" customHeight="1">
      <c r="A202" s="58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</row>
    <row r="203" spans="1:22">
      <c r="A203" s="184" t="s">
        <v>252</v>
      </c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</row>
    <row r="204" spans="1:22">
      <c r="A204" s="172">
        <v>170</v>
      </c>
      <c r="B204" s="167" t="s">
        <v>253</v>
      </c>
      <c r="C204" s="168" t="s">
        <v>236</v>
      </c>
      <c r="D204" s="51">
        <v>220447004.97999999</v>
      </c>
      <c r="E204" s="52">
        <f t="shared" ref="E204" si="90">(D204/$D$205)</f>
        <v>4.299293847680706E-3</v>
      </c>
      <c r="F204" s="57">
        <v>1181.6600000000001</v>
      </c>
      <c r="G204" s="57">
        <v>1181.6600000000001</v>
      </c>
      <c r="H204" s="54">
        <v>86</v>
      </c>
      <c r="I204" s="73">
        <v>-4.3400000000000001E-2</v>
      </c>
      <c r="J204" s="73">
        <v>0.15</v>
      </c>
      <c r="K204" s="51">
        <v>221457489.46000001</v>
      </c>
      <c r="L204" s="52">
        <f t="shared" ref="L204" si="91">(K204/$K$205)</f>
        <v>4.3038068476257694E-3</v>
      </c>
      <c r="M204" s="57">
        <v>1187.07</v>
      </c>
      <c r="N204" s="57">
        <v>1187.07</v>
      </c>
      <c r="O204" s="54">
        <v>86</v>
      </c>
      <c r="P204" s="73">
        <v>4.5999999999999999E-3</v>
      </c>
      <c r="Q204" s="73">
        <v>0.18709999999999999</v>
      </c>
      <c r="R204" s="80">
        <f t="shared" ref="R204" si="92">((K204-D204)/D204)</f>
        <v>4.5837977254065895E-3</v>
      </c>
      <c r="S204" s="80">
        <f t="shared" ref="S204" si="93">((N204-G204)/G204)</f>
        <v>4.5783050962204478E-3</v>
      </c>
      <c r="T204" s="80">
        <f t="shared" ref="T204" si="94">((O204-H204)/H204)</f>
        <v>0</v>
      </c>
      <c r="U204" s="80">
        <f t="shared" ref="U204" si="95">P204-I204</f>
        <v>4.8000000000000001E-2</v>
      </c>
      <c r="V204" s="81">
        <f t="shared" ref="V204" si="96">Q204-J204</f>
        <v>3.7099999999999994E-2</v>
      </c>
    </row>
    <row r="205" spans="1:22">
      <c r="A205" s="58"/>
      <c r="B205" s="59"/>
      <c r="C205" s="95" t="s">
        <v>53</v>
      </c>
      <c r="D205" s="71">
        <f>SUM(D186:D204)</f>
        <v>51275165827.272346</v>
      </c>
      <c r="E205" s="62">
        <f>(D205/$D$206)</f>
        <v>1.3580951132477335E-2</v>
      </c>
      <c r="F205" s="63"/>
      <c r="G205" s="98"/>
      <c r="H205" s="108">
        <f>SUM(H186:H204)</f>
        <v>29657</v>
      </c>
      <c r="I205" s="105"/>
      <c r="J205" s="105"/>
      <c r="K205" s="71">
        <f>SUM(K186:K204)</f>
        <v>51456186883.054207</v>
      </c>
      <c r="L205" s="62">
        <f>(K205/$K$206)</f>
        <v>1.3446455818239675E-2</v>
      </c>
      <c r="M205" s="63"/>
      <c r="N205" s="98"/>
      <c r="O205" s="108">
        <f>SUM(O186:O204)</f>
        <v>29511</v>
      </c>
      <c r="P205" s="105"/>
      <c r="Q205" s="105"/>
      <c r="R205" s="80">
        <f t="shared" si="80"/>
        <v>3.530384599664785E-3</v>
      </c>
      <c r="S205" s="80" t="e">
        <f t="shared" si="81"/>
        <v>#DIV/0!</v>
      </c>
      <c r="T205" s="80">
        <f t="shared" si="82"/>
        <v>-4.9229524226995312E-3</v>
      </c>
      <c r="U205" s="80">
        <f t="shared" si="83"/>
        <v>0</v>
      </c>
      <c r="V205" s="81">
        <f t="shared" si="84"/>
        <v>0</v>
      </c>
    </row>
    <row r="206" spans="1:22">
      <c r="A206" s="109"/>
      <c r="B206" s="109"/>
      <c r="C206" s="110" t="s">
        <v>254</v>
      </c>
      <c r="D206" s="111">
        <f>SUM(D24,D63,D102,D136,D144,D176,D182,D205)</f>
        <v>3775520972507.8447</v>
      </c>
      <c r="E206" s="112"/>
      <c r="F206" s="112"/>
      <c r="G206" s="113"/>
      <c r="H206" s="111">
        <f>SUM(H24,H63,H102,H136,H144,H176,H182,H205)</f>
        <v>793129</v>
      </c>
      <c r="I206" s="137"/>
      <c r="J206" s="137"/>
      <c r="K206" s="111">
        <f>SUM(K24,K63,K102,K136,K144,K176,K182,K205)</f>
        <v>3826747179971.0659</v>
      </c>
      <c r="L206" s="112"/>
      <c r="M206" s="112"/>
      <c r="N206" s="113"/>
      <c r="O206" s="111">
        <f>SUM(O24,O63,O102,O136,O144,O176,O182,O205)</f>
        <v>795204</v>
      </c>
      <c r="P206" s="138"/>
      <c r="Q206" s="111"/>
      <c r="R206" s="144">
        <f t="shared" si="80"/>
        <v>1.3567983818984004E-2</v>
      </c>
      <c r="S206" s="144"/>
      <c r="T206" s="144"/>
      <c r="U206" s="144"/>
      <c r="V206" s="144"/>
    </row>
    <row r="207" spans="1:22" ht="6.75" customHeight="1">
      <c r="A207" s="58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59"/>
    </row>
    <row r="208" spans="1:22" ht="14.4" customHeight="1">
      <c r="A208" s="185" t="s">
        <v>255</v>
      </c>
      <c r="B208" s="183"/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</row>
    <row r="209" spans="1:22" ht="14.4" customHeight="1">
      <c r="A209" s="166">
        <v>1</v>
      </c>
      <c r="B209" s="167" t="s">
        <v>256</v>
      </c>
      <c r="C209" s="168" t="s">
        <v>191</v>
      </c>
      <c r="D209" s="51">
        <v>3922383774.4021702</v>
      </c>
      <c r="E209" s="52">
        <f t="shared" ref="E209" si="97">(D209/$D$205)</f>
        <v>7.6496754542252965E-2</v>
      </c>
      <c r="F209" s="57">
        <v>123.2</v>
      </c>
      <c r="G209" s="57">
        <v>123.2</v>
      </c>
      <c r="H209" s="54">
        <v>9</v>
      </c>
      <c r="I209" s="73">
        <v>0.30530275341609397</v>
      </c>
      <c r="J209" s="73">
        <v>0.240651094956425</v>
      </c>
      <c r="K209" s="51">
        <v>3970389137.6971598</v>
      </c>
      <c r="L209" s="52">
        <f>(K209/$K$210)</f>
        <v>1</v>
      </c>
      <c r="M209" s="57">
        <v>123.2</v>
      </c>
      <c r="N209" s="57">
        <v>123.2</v>
      </c>
      <c r="O209" s="54">
        <v>9</v>
      </c>
      <c r="P209" s="73">
        <v>0.301611384866461</v>
      </c>
      <c r="Q209" s="73">
        <v>0.23994673204325501</v>
      </c>
      <c r="R209" s="80">
        <f t="shared" ref="R209:R210" si="98">((K209-D209)/D209)</f>
        <v>1.2238823648077711E-2</v>
      </c>
      <c r="S209" s="80">
        <f t="shared" ref="S209" si="99">((N209-G209)/G209)</f>
        <v>0</v>
      </c>
      <c r="T209" s="80">
        <f t="shared" ref="T209" si="100">((O209-H209)/H209)</f>
        <v>0</v>
      </c>
      <c r="U209" s="80">
        <f t="shared" ref="U209" si="101">P209-I209</f>
        <v>-3.6913685496329784E-3</v>
      </c>
      <c r="V209" s="81">
        <f t="shared" ref="V209" si="102">Q209-J209</f>
        <v>-7.04362913169998E-4</v>
      </c>
    </row>
    <row r="210" spans="1:22" ht="14.4" customHeight="1">
      <c r="A210" s="114"/>
      <c r="B210" s="114"/>
      <c r="C210" s="114" t="s">
        <v>53</v>
      </c>
      <c r="D210" s="114">
        <f>SUM(D209:D209)</f>
        <v>3922383774.4021702</v>
      </c>
      <c r="E210" s="114"/>
      <c r="F210" s="114"/>
      <c r="G210" s="114"/>
      <c r="H210" s="114">
        <f>SUM(H209:H209)</f>
        <v>9</v>
      </c>
      <c r="I210" s="114"/>
      <c r="J210" s="114"/>
      <c r="K210" s="114">
        <f>SUM(K209:K209)</f>
        <v>3970389137.6971598</v>
      </c>
      <c r="L210" s="62"/>
      <c r="M210" s="114"/>
      <c r="N210" s="114"/>
      <c r="O210" s="114">
        <f>SUM(O209:O209)</f>
        <v>9</v>
      </c>
      <c r="P210" s="114"/>
      <c r="Q210" s="114"/>
      <c r="R210" s="144">
        <f t="shared" si="98"/>
        <v>1.2238823648077711E-2</v>
      </c>
      <c r="S210" s="114"/>
      <c r="T210" s="114"/>
      <c r="U210" s="114"/>
      <c r="V210" s="114"/>
    </row>
    <row r="211" spans="1:22" ht="6" customHeight="1">
      <c r="A211" s="58"/>
      <c r="B211" s="66"/>
      <c r="C211" s="95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59"/>
    </row>
    <row r="212" spans="1:22" ht="15.6">
      <c r="A212" s="183" t="s">
        <v>257</v>
      </c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</row>
    <row r="213" spans="1:22">
      <c r="A213" s="166">
        <v>1</v>
      </c>
      <c r="B213" s="167" t="s">
        <v>258</v>
      </c>
      <c r="C213" s="168" t="s">
        <v>259</v>
      </c>
      <c r="D213" s="51">
        <v>103175705234</v>
      </c>
      <c r="E213" s="52">
        <f>(D213/$D$215)</f>
        <v>0.87922076223430723</v>
      </c>
      <c r="F213" s="83">
        <v>107.39</v>
      </c>
      <c r="G213" s="83">
        <v>107.39</v>
      </c>
      <c r="H213" s="54">
        <v>0</v>
      </c>
      <c r="I213" s="73">
        <v>0.13800000000000001</v>
      </c>
      <c r="J213" s="73">
        <v>0.13800000000000001</v>
      </c>
      <c r="K213" s="51">
        <v>103175705234</v>
      </c>
      <c r="L213" s="52">
        <f>(K213/$K$215)</f>
        <v>0.8787130855353078</v>
      </c>
      <c r="M213" s="83">
        <v>107.39</v>
      </c>
      <c r="N213" s="83">
        <v>107.39</v>
      </c>
      <c r="O213" s="54">
        <v>0</v>
      </c>
      <c r="P213" s="73">
        <v>0.13800000000000001</v>
      </c>
      <c r="Q213" s="73">
        <v>0.13800000000000001</v>
      </c>
      <c r="R213" s="80">
        <f>((K213-D213)/D213)</f>
        <v>0</v>
      </c>
      <c r="S213" s="80">
        <f>((N213-G213)/G213)</f>
        <v>0</v>
      </c>
      <c r="T213" s="80" t="e">
        <f>((O213-H213)/H213)</f>
        <v>#DIV/0!</v>
      </c>
      <c r="U213" s="80">
        <f>P213-I213</f>
        <v>0</v>
      </c>
      <c r="V213" s="81">
        <f>Q213-J213</f>
        <v>0</v>
      </c>
    </row>
    <row r="214" spans="1:22">
      <c r="A214" s="166">
        <v>2</v>
      </c>
      <c r="B214" s="167" t="s">
        <v>260</v>
      </c>
      <c r="C214" s="168" t="s">
        <v>52</v>
      </c>
      <c r="D214" s="51">
        <v>14173326619.85</v>
      </c>
      <c r="E214" s="52">
        <f>(D214/$D$215)</f>
        <v>0.12077923776569273</v>
      </c>
      <c r="F214" s="115">
        <v>1000000</v>
      </c>
      <c r="G214" s="115">
        <v>1000000</v>
      </c>
      <c r="H214" s="54">
        <v>26</v>
      </c>
      <c r="I214" s="73">
        <v>0.1933</v>
      </c>
      <c r="J214" s="73">
        <v>0.1933</v>
      </c>
      <c r="K214" s="51">
        <v>14241125051.559999</v>
      </c>
      <c r="L214" s="52">
        <f>(K214/$K$215)</f>
        <v>0.12128691446469222</v>
      </c>
      <c r="M214" s="115">
        <v>1000000</v>
      </c>
      <c r="N214" s="115">
        <v>1000000</v>
      </c>
      <c r="O214" s="54">
        <v>26</v>
      </c>
      <c r="P214" s="73">
        <v>0.19359999999999999</v>
      </c>
      <c r="Q214" s="73">
        <v>0.19359999999999999</v>
      </c>
      <c r="R214" s="80">
        <f>((K214-D214)/D214)</f>
        <v>4.783522847420037E-3</v>
      </c>
      <c r="S214" s="80">
        <f>((N214-G214)/G214)</f>
        <v>0</v>
      </c>
      <c r="T214" s="80">
        <f>((O214-H214)/H214)</f>
        <v>0</v>
      </c>
      <c r="U214" s="80">
        <f>P214-I214</f>
        <v>2.9999999999999472E-4</v>
      </c>
      <c r="V214" s="81">
        <f>Q214-J214</f>
        <v>2.9999999999999472E-4</v>
      </c>
    </row>
    <row r="215" spans="1:22">
      <c r="A215" s="109"/>
      <c r="B215" s="109"/>
      <c r="C215" s="110" t="s">
        <v>261</v>
      </c>
      <c r="D215" s="114">
        <f>SUM(D213:D214)</f>
        <v>117349031853.85001</v>
      </c>
      <c r="E215" s="116"/>
      <c r="F215" s="117"/>
      <c r="G215" s="117"/>
      <c r="H215" s="114">
        <f>SUM(H213:H214)</f>
        <v>26</v>
      </c>
      <c r="I215" s="139"/>
      <c r="J215" s="139"/>
      <c r="K215" s="114">
        <f>SUM(K213:K214)</f>
        <v>117416830285.56</v>
      </c>
      <c r="L215" s="116"/>
      <c r="M215" s="117"/>
      <c r="N215" s="117"/>
      <c r="O215" s="114">
        <f>SUM(O213:O214)</f>
        <v>26</v>
      </c>
      <c r="P215" s="139"/>
      <c r="Q215" s="114"/>
      <c r="R215" s="144">
        <f>((K215-D215)/D215)</f>
        <v>5.7775024334610317E-4</v>
      </c>
      <c r="S215" s="145"/>
      <c r="T215" s="145"/>
      <c r="U215" s="144"/>
      <c r="V215" s="146"/>
    </row>
    <row r="216" spans="1:22" ht="4.5" customHeight="1">
      <c r="A216" s="58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</row>
    <row r="217" spans="1:22" ht="15.6">
      <c r="A217" s="183" t="s">
        <v>262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</row>
    <row r="218" spans="1:22">
      <c r="A218" s="166">
        <v>1</v>
      </c>
      <c r="B218" s="167" t="s">
        <v>263</v>
      </c>
      <c r="C218" s="168" t="s">
        <v>83</v>
      </c>
      <c r="D218" s="118">
        <v>941435314.61186898</v>
      </c>
      <c r="E218" s="119">
        <f t="shared" ref="E218:E229" si="103">(D218/$D$230)</f>
        <v>7.3093908545966244E-2</v>
      </c>
      <c r="F218" s="115">
        <v>221.85</v>
      </c>
      <c r="G218" s="115">
        <v>223.88</v>
      </c>
      <c r="H218" s="120">
        <v>61</v>
      </c>
      <c r="I218" s="75">
        <v>3.9824410553468397E-3</v>
      </c>
      <c r="J218" s="75">
        <v>0.26729976591892501</v>
      </c>
      <c r="K218" s="118">
        <v>940721896.91009343</v>
      </c>
      <c r="L218" s="119">
        <f t="shared" ref="L218:L229" si="104">(K218/$K$230)</f>
        <v>7.2798186016676175E-2</v>
      </c>
      <c r="M218" s="115">
        <v>221.68537690823459</v>
      </c>
      <c r="N218" s="115">
        <v>223.74129083539529</v>
      </c>
      <c r="O218" s="120">
        <v>61</v>
      </c>
      <c r="P218" s="75">
        <v>-7.4204684140366517E-4</v>
      </c>
      <c r="Q218" s="75">
        <v>0.26633940882117324</v>
      </c>
      <c r="R218" s="80">
        <f>((K218-D218)/D218)</f>
        <v>-7.5779789721365585E-4</v>
      </c>
      <c r="S218" s="80">
        <f>((N218-G218)/G218)</f>
        <v>-6.1956925408569502E-4</v>
      </c>
      <c r="T218" s="80">
        <f>((O218-H218)/H218)</f>
        <v>0</v>
      </c>
      <c r="U218" s="80">
        <f>P218-I218</f>
        <v>-4.7244878967505049E-3</v>
      </c>
      <c r="V218" s="81">
        <f>Q218-J218</f>
        <v>-9.6035709775177391E-4</v>
      </c>
    </row>
    <row r="219" spans="1:22">
      <c r="A219" s="166">
        <v>2</v>
      </c>
      <c r="B219" s="167" t="s">
        <v>264</v>
      </c>
      <c r="C219" s="168" t="s">
        <v>236</v>
      </c>
      <c r="D219" s="118">
        <v>917948035.36000001</v>
      </c>
      <c r="E219" s="119">
        <f t="shared" si="103"/>
        <v>7.1270334461816381E-2</v>
      </c>
      <c r="F219" s="115">
        <v>26.11</v>
      </c>
      <c r="G219" s="115">
        <v>28.86</v>
      </c>
      <c r="H219" s="120">
        <v>212</v>
      </c>
      <c r="I219" s="75">
        <v>-2.53E-2</v>
      </c>
      <c r="J219" s="75">
        <v>0.21809999999999999</v>
      </c>
      <c r="K219" s="118">
        <v>955641161.07000005</v>
      </c>
      <c r="L219" s="119">
        <f t="shared" si="104"/>
        <v>7.3952719966733277E-2</v>
      </c>
      <c r="M219" s="115">
        <v>27.18</v>
      </c>
      <c r="N219" s="115">
        <v>30.04</v>
      </c>
      <c r="O219" s="120">
        <v>212</v>
      </c>
      <c r="P219" s="75">
        <v>4.1099999999999998E-2</v>
      </c>
      <c r="Q219" s="75">
        <v>0.2681</v>
      </c>
      <c r="R219" s="80">
        <f t="shared" ref="R219:R230" si="105">((K219-D219)/D219)</f>
        <v>4.1062374184631906E-2</v>
      </c>
      <c r="S219" s="80">
        <f t="shared" ref="S219:S230" si="106">((N219-G219)/G219)</f>
        <v>4.0887040887040878E-2</v>
      </c>
      <c r="T219" s="80">
        <f t="shared" ref="T219:T230" si="107">((O219-H219)/H219)</f>
        <v>0</v>
      </c>
      <c r="U219" s="80">
        <f t="shared" ref="U219:U230" si="108">P219-I219</f>
        <v>6.6400000000000001E-2</v>
      </c>
      <c r="V219" s="81">
        <f t="shared" ref="V219:V230" si="109">Q219-J219</f>
        <v>5.0000000000000017E-2</v>
      </c>
    </row>
    <row r="220" spans="1:22">
      <c r="A220" s="166">
        <v>3</v>
      </c>
      <c r="B220" s="167" t="s">
        <v>265</v>
      </c>
      <c r="C220" s="168" t="s">
        <v>43</v>
      </c>
      <c r="D220" s="118">
        <v>345603586.01999998</v>
      </c>
      <c r="E220" s="119">
        <f t="shared" si="103"/>
        <v>2.6832982062202086E-2</v>
      </c>
      <c r="F220" s="115">
        <v>25.785768000000001</v>
      </c>
      <c r="G220" s="115">
        <v>26.068206</v>
      </c>
      <c r="H220" s="120">
        <v>167</v>
      </c>
      <c r="I220" s="75">
        <v>6.0454162677899381E-2</v>
      </c>
      <c r="J220" s="75">
        <v>0.11691402203440404</v>
      </c>
      <c r="K220" s="118">
        <v>341162176.73000002</v>
      </c>
      <c r="L220" s="119">
        <f t="shared" si="104"/>
        <v>2.6400988097567711E-2</v>
      </c>
      <c r="M220" s="115">
        <v>25.454391000000001</v>
      </c>
      <c r="N220" s="115">
        <v>25.750719</v>
      </c>
      <c r="O220" s="120">
        <v>167</v>
      </c>
      <c r="P220" s="75">
        <v>-1.2851166682463E-2</v>
      </c>
      <c r="Q220" s="75">
        <v>0.10280656290670542</v>
      </c>
      <c r="R220" s="80">
        <f t="shared" si="105"/>
        <v>-1.2851166682463007E-2</v>
      </c>
      <c r="S220" s="80">
        <f t="shared" si="106"/>
        <v>-1.2179088963774487E-2</v>
      </c>
      <c r="T220" s="80">
        <f t="shared" si="107"/>
        <v>0</v>
      </c>
      <c r="U220" s="80">
        <f t="shared" si="108"/>
        <v>-7.3305329360362381E-2</v>
      </c>
      <c r="V220" s="81">
        <f t="shared" si="109"/>
        <v>-1.4107459127698618E-2</v>
      </c>
    </row>
    <row r="221" spans="1:22">
      <c r="A221" s="166">
        <v>4</v>
      </c>
      <c r="B221" s="167" t="s">
        <v>266</v>
      </c>
      <c r="C221" s="168" t="s">
        <v>43</v>
      </c>
      <c r="D221" s="118">
        <v>806448728.66999996</v>
      </c>
      <c r="E221" s="119">
        <f t="shared" si="103"/>
        <v>6.2613425166356693E-2</v>
      </c>
      <c r="F221" s="115">
        <v>60.514755000000001</v>
      </c>
      <c r="G221" s="115">
        <v>60.945417999999997</v>
      </c>
      <c r="H221" s="120">
        <v>99</v>
      </c>
      <c r="I221" s="75">
        <v>3.7411840158876997E-2</v>
      </c>
      <c r="J221" s="75">
        <v>0.63377398285083619</v>
      </c>
      <c r="K221" s="118">
        <v>833902539.79999995</v>
      </c>
      <c r="L221" s="119">
        <f t="shared" si="104"/>
        <v>6.4531922145680584E-2</v>
      </c>
      <c r="M221" s="115">
        <v>62.574849999999998</v>
      </c>
      <c r="N221" s="115">
        <v>63.026651999999999</v>
      </c>
      <c r="O221" s="120">
        <v>99</v>
      </c>
      <c r="P221" s="75">
        <v>3.4042847553714894E-2</v>
      </c>
      <c r="Q221" s="75">
        <v>0.68848818092772102</v>
      </c>
      <c r="R221" s="80">
        <f t="shared" si="105"/>
        <v>3.4042847553714894E-2</v>
      </c>
      <c r="S221" s="80">
        <f t="shared" si="106"/>
        <v>3.4149146372250694E-2</v>
      </c>
      <c r="T221" s="80">
        <f t="shared" si="107"/>
        <v>0</v>
      </c>
      <c r="U221" s="80">
        <f t="shared" si="108"/>
        <v>-3.3689926051621022E-3</v>
      </c>
      <c r="V221" s="81">
        <f t="shared" si="109"/>
        <v>5.4714198076884824E-2</v>
      </c>
    </row>
    <row r="222" spans="1:22">
      <c r="A222" s="166">
        <v>5</v>
      </c>
      <c r="B222" s="167" t="s">
        <v>267</v>
      </c>
      <c r="C222" s="168" t="s">
        <v>268</v>
      </c>
      <c r="D222" s="118">
        <v>1338824231.7</v>
      </c>
      <c r="E222" s="119">
        <f t="shared" si="103"/>
        <v>0.10394755160777944</v>
      </c>
      <c r="F222" s="115">
        <v>38200</v>
      </c>
      <c r="G222" s="115">
        <v>44000</v>
      </c>
      <c r="H222" s="120">
        <v>226</v>
      </c>
      <c r="I222" s="75">
        <v>-0.05</v>
      </c>
      <c r="J222" s="75">
        <v>1.29</v>
      </c>
      <c r="K222" s="118">
        <v>1338824231.7</v>
      </c>
      <c r="L222" s="119">
        <f t="shared" si="104"/>
        <v>0.1036055137900601</v>
      </c>
      <c r="M222" s="115">
        <v>39500</v>
      </c>
      <c r="N222" s="115">
        <v>45500</v>
      </c>
      <c r="O222" s="120">
        <v>226</v>
      </c>
      <c r="P222" s="75">
        <v>0</v>
      </c>
      <c r="Q222" s="75">
        <v>1.29</v>
      </c>
      <c r="R222" s="80">
        <f t="shared" si="105"/>
        <v>0</v>
      </c>
      <c r="S222" s="80">
        <f t="shared" si="106"/>
        <v>3.4090909090909088E-2</v>
      </c>
      <c r="T222" s="80">
        <f t="shared" si="107"/>
        <v>0</v>
      </c>
      <c r="U222" s="80">
        <f t="shared" si="108"/>
        <v>0.05</v>
      </c>
      <c r="V222" s="81">
        <f t="shared" si="109"/>
        <v>0</v>
      </c>
    </row>
    <row r="223" spans="1:22">
      <c r="A223" s="166">
        <v>6</v>
      </c>
      <c r="B223" s="167" t="s">
        <v>269</v>
      </c>
      <c r="C223" s="168" t="s">
        <v>270</v>
      </c>
      <c r="D223" s="118">
        <v>1126771781.8399999</v>
      </c>
      <c r="E223" s="119">
        <f t="shared" si="103"/>
        <v>8.7483603276496472E-2</v>
      </c>
      <c r="F223" s="115">
        <v>864.87</v>
      </c>
      <c r="G223" s="115">
        <v>864.87</v>
      </c>
      <c r="H223" s="120">
        <v>130</v>
      </c>
      <c r="I223" s="75">
        <v>1.12E-2</v>
      </c>
      <c r="J223" s="75">
        <v>0.27939999999999998</v>
      </c>
      <c r="K223" s="118">
        <v>1120843455.7</v>
      </c>
      <c r="L223" s="119">
        <f t="shared" si="104"/>
        <v>8.6736973649313251E-2</v>
      </c>
      <c r="M223" s="115">
        <v>840</v>
      </c>
      <c r="N223" s="115">
        <v>840</v>
      </c>
      <c r="O223" s="120">
        <v>130</v>
      </c>
      <c r="P223" s="75">
        <v>-5.3E-3</v>
      </c>
      <c r="Q223" s="75">
        <v>0.27279999999999999</v>
      </c>
      <c r="R223" s="80">
        <f t="shared" si="105"/>
        <v>-5.2613370653629673E-3</v>
      </c>
      <c r="S223" s="80">
        <f t="shared" si="106"/>
        <v>-2.8755766762634853E-2</v>
      </c>
      <c r="T223" s="80">
        <f t="shared" si="107"/>
        <v>0</v>
      </c>
      <c r="U223" s="80">
        <f t="shared" si="108"/>
        <v>-1.6500000000000001E-2</v>
      </c>
      <c r="V223" s="81">
        <f t="shared" si="109"/>
        <v>-6.5999999999999948E-3</v>
      </c>
    </row>
    <row r="224" spans="1:22">
      <c r="A224" s="166">
        <v>7</v>
      </c>
      <c r="B224" s="167" t="s">
        <v>271</v>
      </c>
      <c r="C224" s="168" t="s">
        <v>270</v>
      </c>
      <c r="D224" s="118">
        <v>811756930.64999998</v>
      </c>
      <c r="E224" s="119">
        <f t="shared" si="103"/>
        <v>6.3025558877560839E-2</v>
      </c>
      <c r="F224" s="115">
        <v>410</v>
      </c>
      <c r="G224" s="115">
        <v>410</v>
      </c>
      <c r="H224" s="120">
        <v>591</v>
      </c>
      <c r="I224" s="75">
        <v>3.3E-3</v>
      </c>
      <c r="J224" s="75">
        <v>0.33629999999999999</v>
      </c>
      <c r="K224" s="118">
        <v>811790848.19000006</v>
      </c>
      <c r="L224" s="119">
        <f t="shared" si="104"/>
        <v>6.2820798970749339E-2</v>
      </c>
      <c r="M224" s="115">
        <v>332.1</v>
      </c>
      <c r="N224" s="115">
        <v>332.1</v>
      </c>
      <c r="O224" s="120">
        <v>591</v>
      </c>
      <c r="P224" s="75">
        <v>0</v>
      </c>
      <c r="Q224" s="75">
        <v>0.33639999999999998</v>
      </c>
      <c r="R224" s="80">
        <f t="shared" si="105"/>
        <v>4.1782877015810873E-5</v>
      </c>
      <c r="S224" s="80">
        <f t="shared" si="106"/>
        <v>-0.18999999999999995</v>
      </c>
      <c r="T224" s="80">
        <f t="shared" si="107"/>
        <v>0</v>
      </c>
      <c r="U224" s="80">
        <f t="shared" si="108"/>
        <v>-3.3E-3</v>
      </c>
      <c r="V224" s="81">
        <f t="shared" si="109"/>
        <v>9.9999999999988987E-5</v>
      </c>
    </row>
    <row r="225" spans="1:22">
      <c r="A225" s="166">
        <v>8</v>
      </c>
      <c r="B225" s="167" t="s">
        <v>272</v>
      </c>
      <c r="C225" s="168" t="s">
        <v>273</v>
      </c>
      <c r="D225" s="118">
        <v>53262920.700000003</v>
      </c>
      <c r="E225" s="119">
        <f t="shared" si="103"/>
        <v>4.1353824252300568E-3</v>
      </c>
      <c r="F225" s="115">
        <v>15.61</v>
      </c>
      <c r="G225" s="115">
        <v>15.71</v>
      </c>
      <c r="H225" s="120">
        <v>61</v>
      </c>
      <c r="I225" s="75">
        <v>0</v>
      </c>
      <c r="J225" s="75">
        <v>0.43230000000000002</v>
      </c>
      <c r="K225" s="118">
        <v>54394179.240000002</v>
      </c>
      <c r="L225" s="119">
        <f t="shared" si="104"/>
        <v>4.2093179626671228E-3</v>
      </c>
      <c r="M225" s="115">
        <v>15.91</v>
      </c>
      <c r="N225" s="115">
        <v>16.010000000000002</v>
      </c>
      <c r="O225" s="120">
        <v>61</v>
      </c>
      <c r="P225" s="75">
        <v>0</v>
      </c>
      <c r="Q225" s="75">
        <v>0.43230000000000002</v>
      </c>
      <c r="R225" s="80">
        <f t="shared" si="105"/>
        <v>2.1239138318601424E-2</v>
      </c>
      <c r="S225" s="80">
        <f t="shared" si="106"/>
        <v>1.9096117122851732E-2</v>
      </c>
      <c r="T225" s="80">
        <f t="shared" si="107"/>
        <v>0</v>
      </c>
      <c r="U225" s="80">
        <f t="shared" si="108"/>
        <v>0</v>
      </c>
      <c r="V225" s="81">
        <f t="shared" si="109"/>
        <v>0</v>
      </c>
    </row>
    <row r="226" spans="1:22">
      <c r="A226" s="166">
        <v>9</v>
      </c>
      <c r="B226" s="167" t="s">
        <v>274</v>
      </c>
      <c r="C226" s="168" t="s">
        <v>273</v>
      </c>
      <c r="D226" s="121">
        <v>675165330.58000004</v>
      </c>
      <c r="E226" s="119">
        <f t="shared" si="103"/>
        <v>5.242046071658954E-2</v>
      </c>
      <c r="F226" s="115">
        <v>10.48</v>
      </c>
      <c r="G226" s="115">
        <v>10.58</v>
      </c>
      <c r="H226" s="120">
        <v>107</v>
      </c>
      <c r="I226" s="75">
        <v>7.3700000000000002E-2</v>
      </c>
      <c r="J226" s="75">
        <v>0.1552</v>
      </c>
      <c r="K226" s="121">
        <v>658487138.20000005</v>
      </c>
      <c r="L226" s="119">
        <f t="shared" si="104"/>
        <v>5.0957322598448831E-2</v>
      </c>
      <c r="M226" s="115">
        <v>10.210000000000001</v>
      </c>
      <c r="N226" s="115">
        <v>10.31</v>
      </c>
      <c r="O226" s="120">
        <v>107</v>
      </c>
      <c r="P226" s="75">
        <v>0</v>
      </c>
      <c r="Q226" s="75">
        <v>0.1552</v>
      </c>
      <c r="R226" s="80">
        <f t="shared" si="105"/>
        <v>-2.4702382697394446E-2</v>
      </c>
      <c r="S226" s="80">
        <f t="shared" si="106"/>
        <v>-2.55198487712665E-2</v>
      </c>
      <c r="T226" s="80">
        <f t="shared" si="107"/>
        <v>0</v>
      </c>
      <c r="U226" s="80">
        <f t="shared" si="108"/>
        <v>-7.3700000000000002E-2</v>
      </c>
      <c r="V226" s="81">
        <f t="shared" si="109"/>
        <v>0</v>
      </c>
    </row>
    <row r="227" spans="1:22" ht="15" customHeight="1">
      <c r="A227" s="166">
        <v>10</v>
      </c>
      <c r="B227" s="167" t="s">
        <v>275</v>
      </c>
      <c r="C227" s="168" t="s">
        <v>273</v>
      </c>
      <c r="D227" s="118">
        <v>453160318.44999999</v>
      </c>
      <c r="E227" s="119">
        <f t="shared" si="103"/>
        <v>3.518378624568716E-2</v>
      </c>
      <c r="F227" s="115">
        <v>127.73</v>
      </c>
      <c r="G227" s="115">
        <v>129.72999999999999</v>
      </c>
      <c r="H227" s="120">
        <v>280</v>
      </c>
      <c r="I227" s="75">
        <v>0.1948</v>
      </c>
      <c r="J227" s="75">
        <v>0.37240000000000001</v>
      </c>
      <c r="K227" s="118">
        <v>454293943.97000003</v>
      </c>
      <c r="L227" s="119">
        <f t="shared" si="104"/>
        <v>3.5155740658323657E-2</v>
      </c>
      <c r="M227" s="115">
        <v>128.05000000000001</v>
      </c>
      <c r="N227" s="115">
        <v>130.05000000000001</v>
      </c>
      <c r="O227" s="120">
        <v>280</v>
      </c>
      <c r="P227" s="75">
        <v>3.39E-2</v>
      </c>
      <c r="Q227" s="75">
        <v>0.41889999999999999</v>
      </c>
      <c r="R227" s="80">
        <f t="shared" si="105"/>
        <v>2.5015992659673278E-3</v>
      </c>
      <c r="S227" s="80">
        <f t="shared" si="106"/>
        <v>2.4666615277886507E-3</v>
      </c>
      <c r="T227" s="80">
        <f t="shared" si="107"/>
        <v>0</v>
      </c>
      <c r="U227" s="80">
        <f t="shared" si="108"/>
        <v>-0.16089999999999999</v>
      </c>
      <c r="V227" s="81">
        <f t="shared" si="109"/>
        <v>4.6499999999999986E-2</v>
      </c>
    </row>
    <row r="228" spans="1:22">
      <c r="A228" s="166">
        <v>11</v>
      </c>
      <c r="B228" s="167" t="s">
        <v>276</v>
      </c>
      <c r="C228" s="168" t="s">
        <v>273</v>
      </c>
      <c r="D228" s="118">
        <v>5347346976.0799999</v>
      </c>
      <c r="E228" s="119">
        <f t="shared" si="103"/>
        <v>0.4151729649044259</v>
      </c>
      <c r="F228" s="115">
        <v>37.04</v>
      </c>
      <c r="G228" s="115">
        <v>37.24</v>
      </c>
      <c r="H228" s="120">
        <v>285</v>
      </c>
      <c r="I228" s="75">
        <v>0</v>
      </c>
      <c r="J228" s="75">
        <v>0.37040000000000001</v>
      </c>
      <c r="K228" s="118">
        <v>5349149838.3199997</v>
      </c>
      <c r="L228" s="119">
        <f t="shared" si="104"/>
        <v>0.4139463599605242</v>
      </c>
      <c r="M228" s="115">
        <v>37.049999999999997</v>
      </c>
      <c r="N228" s="115">
        <v>37.25</v>
      </c>
      <c r="O228" s="120">
        <v>285</v>
      </c>
      <c r="P228" s="75">
        <v>4.0500000000000001E-2</v>
      </c>
      <c r="Q228" s="75">
        <v>0.4259</v>
      </c>
      <c r="R228" s="80">
        <f t="shared" si="105"/>
        <v>3.3715078674797388E-4</v>
      </c>
      <c r="S228" s="80">
        <f t="shared" si="106"/>
        <v>2.6852846401713236E-4</v>
      </c>
      <c r="T228" s="80">
        <f t="shared" si="107"/>
        <v>0</v>
      </c>
      <c r="U228" s="80">
        <f t="shared" si="108"/>
        <v>4.0500000000000001E-2</v>
      </c>
      <c r="V228" s="81">
        <f t="shared" si="109"/>
        <v>5.5499999999999994E-2</v>
      </c>
    </row>
    <row r="229" spans="1:22">
      <c r="A229" s="166">
        <v>12</v>
      </c>
      <c r="B229" s="167" t="s">
        <v>277</v>
      </c>
      <c r="C229" s="168" t="s">
        <v>273</v>
      </c>
      <c r="D229" s="121">
        <v>62081199.020000003</v>
      </c>
      <c r="E229" s="119">
        <f t="shared" si="103"/>
        <v>4.8200417098891359E-3</v>
      </c>
      <c r="F229" s="115">
        <v>34.340000000000003</v>
      </c>
      <c r="G229" s="115">
        <v>34.54</v>
      </c>
      <c r="H229" s="120">
        <v>60</v>
      </c>
      <c r="I229" s="75">
        <v>0</v>
      </c>
      <c r="J229" s="75">
        <v>0.69810000000000005</v>
      </c>
      <c r="K229" s="121">
        <v>63114658.770000003</v>
      </c>
      <c r="L229" s="119">
        <f t="shared" si="104"/>
        <v>4.8841561832557411E-3</v>
      </c>
      <c r="M229" s="115">
        <v>34.950000000000003</v>
      </c>
      <c r="N229" s="115">
        <v>35.15</v>
      </c>
      <c r="O229" s="120">
        <v>60</v>
      </c>
      <c r="P229" s="75">
        <v>0</v>
      </c>
      <c r="Q229" s="75">
        <v>0.69810000000000005</v>
      </c>
      <c r="R229" s="80">
        <f t="shared" si="105"/>
        <v>1.66469038342359E-2</v>
      </c>
      <c r="S229" s="80">
        <f t="shared" si="106"/>
        <v>1.7660683265778791E-2</v>
      </c>
      <c r="T229" s="80">
        <f t="shared" si="107"/>
        <v>0</v>
      </c>
      <c r="U229" s="80">
        <f t="shared" si="108"/>
        <v>0</v>
      </c>
      <c r="V229" s="81">
        <f t="shared" si="109"/>
        <v>0</v>
      </c>
    </row>
    <row r="230" spans="1:22">
      <c r="A230" s="122"/>
      <c r="B230" s="122"/>
      <c r="C230" s="123" t="s">
        <v>278</v>
      </c>
      <c r="D230" s="114">
        <f>SUM(D218:D229)</f>
        <v>12879805353.68187</v>
      </c>
      <c r="E230" s="116"/>
      <c r="F230" s="116"/>
      <c r="G230" s="117"/>
      <c r="H230" s="114">
        <f>SUM(H218:H229)</f>
        <v>2279</v>
      </c>
      <c r="I230" s="139"/>
      <c r="J230" s="139"/>
      <c r="K230" s="114">
        <f>SUM(K218:K229)</f>
        <v>12922326068.600094</v>
      </c>
      <c r="L230" s="116"/>
      <c r="M230" s="116"/>
      <c r="N230" s="117"/>
      <c r="O230" s="114">
        <f>SUM(O218:O229)</f>
        <v>2279</v>
      </c>
      <c r="P230" s="139"/>
      <c r="Q230" s="139"/>
      <c r="R230" s="80">
        <f t="shared" si="105"/>
        <v>3.301347633026861E-3</v>
      </c>
      <c r="S230" s="80" t="e">
        <f t="shared" si="106"/>
        <v>#DIV/0!</v>
      </c>
      <c r="T230" s="80">
        <f t="shared" si="107"/>
        <v>0</v>
      </c>
      <c r="U230" s="80">
        <f t="shared" si="108"/>
        <v>0</v>
      </c>
      <c r="V230" s="81">
        <f t="shared" si="109"/>
        <v>0</v>
      </c>
    </row>
    <row r="231" spans="1:22">
      <c r="A231" s="124"/>
      <c r="B231" s="124"/>
      <c r="C231" s="125" t="s">
        <v>279</v>
      </c>
      <c r="D231" s="126">
        <f>SUM(D206,D210,D215,D230)</f>
        <v>3909672193489.7788</v>
      </c>
      <c r="E231" s="127"/>
      <c r="F231" s="127"/>
      <c r="G231" s="128"/>
      <c r="H231" s="126">
        <f>SUM(H206,H210,H215,H230)</f>
        <v>795443</v>
      </c>
      <c r="I231" s="140"/>
      <c r="J231" s="140"/>
      <c r="K231" s="126">
        <f>SUM(K206,K210,K215,K230)</f>
        <v>3961056725462.9233</v>
      </c>
      <c r="L231" s="127"/>
      <c r="M231" s="127"/>
      <c r="N231" s="126"/>
      <c r="O231" s="126">
        <f>SUM(O206,O210,O215,O230)</f>
        <v>797518</v>
      </c>
      <c r="P231" s="141"/>
      <c r="Q231" s="126"/>
      <c r="R231" s="147"/>
      <c r="S231" s="148"/>
      <c r="T231" s="148"/>
      <c r="U231" s="149"/>
      <c r="V231" s="149"/>
    </row>
    <row r="232" spans="1:22">
      <c r="A232" s="129" t="s">
        <v>280</v>
      </c>
      <c r="B232" s="165" t="s">
        <v>298</v>
      </c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</row>
    <row r="233" spans="1:22">
      <c r="B233" s="170">
        <v>1663.6969999999999</v>
      </c>
    </row>
    <row r="234" spans="1:22">
      <c r="B234" s="131"/>
      <c r="C234" s="131"/>
      <c r="D234" s="132"/>
      <c r="K234" s="132"/>
    </row>
    <row r="235" spans="1:22" ht="15">
      <c r="B235" s="133"/>
      <c r="C235" s="134"/>
      <c r="D235" s="135"/>
      <c r="F235" s="136"/>
      <c r="G235" s="136"/>
      <c r="I235" s="142"/>
      <c r="J235" s="143"/>
    </row>
    <row r="238" spans="1:22">
      <c r="B238" s="131"/>
    </row>
  </sheetData>
  <sheetProtection algorithmName="SHA-512" hashValue="gryOXpm5lN26psM/fG52drKp60aNXhymoVERzRv39qxkoiJXw1TqglTOi/D8mYk8zGMJOS94DfbV5hFuS+g9yA==" saltValue="d8wX1sLBEmIMFlM3nofXOg==" spinCount="100000" sheet="1" objects="1" scenarios="1"/>
  <mergeCells count="34">
    <mergeCell ref="A208:V208"/>
    <mergeCell ref="A212:V212"/>
    <mergeCell ref="B216:V216"/>
    <mergeCell ref="A217:V217"/>
    <mergeCell ref="B188:V188"/>
    <mergeCell ref="A189:V189"/>
    <mergeCell ref="B202:V202"/>
    <mergeCell ref="A203:V203"/>
    <mergeCell ref="B207:U207"/>
    <mergeCell ref="B177:V177"/>
    <mergeCell ref="A178:V178"/>
    <mergeCell ref="B183:V183"/>
    <mergeCell ref="A184:V184"/>
    <mergeCell ref="A185:V185"/>
    <mergeCell ref="A122:V122"/>
    <mergeCell ref="B137:V137"/>
    <mergeCell ref="A138:V138"/>
    <mergeCell ref="B145:V145"/>
    <mergeCell ref="A146:V146"/>
    <mergeCell ref="A65:V65"/>
    <mergeCell ref="B103:V103"/>
    <mergeCell ref="A104:V104"/>
    <mergeCell ref="A105:V105"/>
    <mergeCell ref="B121:V121"/>
    <mergeCell ref="B4:V4"/>
    <mergeCell ref="A5:V5"/>
    <mergeCell ref="B25:V25"/>
    <mergeCell ref="A26:V26"/>
    <mergeCell ref="B64:V64"/>
    <mergeCell ref="A1:V1"/>
    <mergeCell ref="D2:J2"/>
    <mergeCell ref="K2:Q2"/>
    <mergeCell ref="R2:T2"/>
    <mergeCell ref="U2:V2"/>
  </mergeCells>
  <pageMargins left="0.7" right="0.7" top="0.75" bottom="0.75" header="0.3" footer="0.3"/>
  <pageSetup paperSize="9" orientation="portrait" horizontalDpi="300" verticalDpi="300" r:id="rId1"/>
  <ignoredErrors>
    <ignoredError sqref="L88 E88 E70 L45 E45" formula="1"/>
    <ignoredError sqref="S144 S24 T36 S63 S102 S136 T154 S176 S182 S205 S230 T213:T214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E29"/>
  <sheetViews>
    <sheetView workbookViewId="0">
      <selection activeCell="H4" sqref="H4"/>
    </sheetView>
  </sheetViews>
  <sheetFormatPr defaultColWidth="9" defaultRowHeight="14.4"/>
  <cols>
    <col min="1" max="1" width="34" customWidth="1"/>
    <col min="2" max="2" width="17.6640625" customWidth="1"/>
    <col min="3" max="3" width="17.44140625" customWidth="1"/>
  </cols>
  <sheetData>
    <row r="1" spans="1:5">
      <c r="A1" s="155"/>
      <c r="B1" s="155"/>
      <c r="C1" s="155"/>
      <c r="D1" s="155"/>
      <c r="E1" s="15"/>
    </row>
    <row r="2" spans="1:5" ht="27.6">
      <c r="A2" s="26" t="s">
        <v>281</v>
      </c>
      <c r="B2" s="27" t="s">
        <v>295</v>
      </c>
      <c r="C2" s="27" t="s">
        <v>299</v>
      </c>
      <c r="D2" s="28"/>
      <c r="E2" s="15"/>
    </row>
    <row r="3" spans="1:5">
      <c r="A3" s="29" t="s">
        <v>17</v>
      </c>
      <c r="B3" s="30">
        <f t="shared" ref="B3:C10" si="0">B13</f>
        <v>30.163797785389999</v>
      </c>
      <c r="C3" s="30">
        <f t="shared" si="0"/>
        <v>30.063948704580003</v>
      </c>
      <c r="D3" s="28"/>
      <c r="E3" s="15"/>
    </row>
    <row r="4" spans="1:5" ht="17.25" customHeight="1">
      <c r="A4" s="26" t="s">
        <v>54</v>
      </c>
      <c r="B4" s="31">
        <f t="shared" si="0"/>
        <v>1544.0785013121094</v>
      </c>
      <c r="C4" s="31">
        <f t="shared" si="0"/>
        <v>1568.5114634132885</v>
      </c>
      <c r="D4" s="28"/>
      <c r="E4" s="15"/>
    </row>
    <row r="5" spans="1:5" ht="19.5" customHeight="1">
      <c r="A5" s="26" t="s">
        <v>282</v>
      </c>
      <c r="B5" s="30">
        <f t="shared" si="0"/>
        <v>212.51270482016042</v>
      </c>
      <c r="C5" s="30">
        <f t="shared" si="0"/>
        <v>211.30871801890351</v>
      </c>
      <c r="D5" s="28"/>
      <c r="E5" s="15"/>
    </row>
    <row r="6" spans="1:5">
      <c r="A6" s="26" t="s">
        <v>158</v>
      </c>
      <c r="B6" s="31">
        <f t="shared" si="0"/>
        <v>1779.5642671213723</v>
      </c>
      <c r="C6" s="31">
        <f t="shared" si="0"/>
        <v>1806.7945870197611</v>
      </c>
      <c r="D6" s="28"/>
      <c r="E6" s="15"/>
    </row>
    <row r="7" spans="1:5">
      <c r="A7" s="26" t="s">
        <v>283</v>
      </c>
      <c r="B7" s="30">
        <f t="shared" si="0"/>
        <v>99.228057377568973</v>
      </c>
      <c r="C7" s="30">
        <f t="shared" si="0"/>
        <v>99.71236588885381</v>
      </c>
      <c r="D7" s="28"/>
      <c r="E7" s="15"/>
    </row>
    <row r="8" spans="1:5">
      <c r="A8" s="26" t="s">
        <v>196</v>
      </c>
      <c r="B8" s="32">
        <f t="shared" si="0"/>
        <v>53.058098833391156</v>
      </c>
      <c r="C8" s="32">
        <f t="shared" si="0"/>
        <v>53.247703123154459</v>
      </c>
      <c r="D8" s="28"/>
      <c r="E8" s="15"/>
    </row>
    <row r="9" spans="1:5">
      <c r="A9" s="26" t="s">
        <v>228</v>
      </c>
      <c r="B9" s="30">
        <f t="shared" si="0"/>
        <v>5.6403794305800004</v>
      </c>
      <c r="C9" s="30">
        <f t="shared" si="0"/>
        <v>5.6522069194699993</v>
      </c>
      <c r="D9" s="28"/>
      <c r="E9" s="15"/>
    </row>
    <row r="10" spans="1:5">
      <c r="A10" s="26" t="s">
        <v>284</v>
      </c>
      <c r="B10" s="30">
        <f t="shared" si="0"/>
        <v>51.275165827272346</v>
      </c>
      <c r="C10" s="30">
        <f t="shared" si="0"/>
        <v>51.456186883054208</v>
      </c>
      <c r="D10" s="28"/>
      <c r="E10" s="15"/>
    </row>
    <row r="11" spans="1:5">
      <c r="A11" s="26"/>
      <c r="B11" s="30"/>
      <c r="C11" s="30"/>
      <c r="D11" s="28"/>
      <c r="E11" s="15"/>
    </row>
    <row r="12" spans="1:5">
      <c r="A12" s="155"/>
      <c r="B12" s="155"/>
      <c r="C12" s="155"/>
      <c r="D12" s="155"/>
      <c r="E12" s="15"/>
    </row>
    <row r="13" spans="1:5">
      <c r="A13" s="33" t="s">
        <v>17</v>
      </c>
      <c r="B13" s="34">
        <f>'Weekly Valuation'!D24/1000000000</f>
        <v>30.163797785389999</v>
      </c>
      <c r="C13" s="35">
        <f>'Weekly Valuation'!K24/1000000000</f>
        <v>30.063948704580003</v>
      </c>
      <c r="D13" s="155"/>
      <c r="E13" s="15"/>
    </row>
    <row r="14" spans="1:5">
      <c r="A14" s="36" t="s">
        <v>54</v>
      </c>
      <c r="B14" s="34">
        <f>'Weekly Valuation'!D63/1000000000</f>
        <v>1544.0785013121094</v>
      </c>
      <c r="C14" s="37">
        <f>'Weekly Valuation'!K63/1000000000</f>
        <v>1568.5114634132885</v>
      </c>
      <c r="D14" s="155"/>
      <c r="E14" s="15"/>
    </row>
    <row r="15" spans="1:5">
      <c r="A15" s="36" t="s">
        <v>282</v>
      </c>
      <c r="B15" s="34">
        <f>'Weekly Valuation'!D102/1000000000</f>
        <v>212.51270482016042</v>
      </c>
      <c r="C15" s="35">
        <f>'Weekly Valuation'!K102/1000000000</f>
        <v>211.30871801890351</v>
      </c>
      <c r="D15" s="155"/>
      <c r="E15" s="15"/>
    </row>
    <row r="16" spans="1:5">
      <c r="A16" s="36" t="s">
        <v>158</v>
      </c>
      <c r="B16" s="34">
        <f>'Weekly Valuation'!D136/1000000000</f>
        <v>1779.5642671213723</v>
      </c>
      <c r="C16" s="37">
        <f>'Weekly Valuation'!K136/1000000000</f>
        <v>1806.7945870197611</v>
      </c>
      <c r="D16" s="155"/>
      <c r="E16" s="15"/>
    </row>
    <row r="17" spans="1:5">
      <c r="A17" s="36" t="s">
        <v>283</v>
      </c>
      <c r="B17" s="34">
        <f>'Weekly Valuation'!D144/1000000000</f>
        <v>99.228057377568973</v>
      </c>
      <c r="C17" s="35">
        <f>'Weekly Valuation'!K144/1000000000</f>
        <v>99.71236588885381</v>
      </c>
      <c r="D17" s="155"/>
      <c r="E17" s="15"/>
    </row>
    <row r="18" spans="1:5">
      <c r="A18" s="36" t="s">
        <v>196</v>
      </c>
      <c r="B18" s="34">
        <f>'Weekly Valuation'!D176/1000000000</f>
        <v>53.058098833391156</v>
      </c>
      <c r="C18" s="38">
        <f>'Weekly Valuation'!K176/1000000000</f>
        <v>53.247703123154459</v>
      </c>
      <c r="D18" s="155"/>
      <c r="E18" s="15"/>
    </row>
    <row r="19" spans="1:5">
      <c r="A19" s="36" t="s">
        <v>228</v>
      </c>
      <c r="B19" s="34">
        <f>'Weekly Valuation'!D182/1000000000</f>
        <v>5.6403794305800004</v>
      </c>
      <c r="C19" s="35">
        <f>'Weekly Valuation'!K182/1000000000</f>
        <v>5.6522069194699993</v>
      </c>
      <c r="D19" s="155"/>
      <c r="E19" s="15"/>
    </row>
    <row r="20" spans="1:5">
      <c r="A20" s="36" t="s">
        <v>284</v>
      </c>
      <c r="B20" s="34">
        <f>'Weekly Valuation'!D205/1000000000</f>
        <v>51.275165827272346</v>
      </c>
      <c r="C20" s="35">
        <f>'Weekly Valuation'!K205/1000000000</f>
        <v>51.456186883054208</v>
      </c>
      <c r="D20" s="155"/>
      <c r="E20" s="15"/>
    </row>
    <row r="21" spans="1:5">
      <c r="A21" s="21"/>
      <c r="B21" s="155"/>
      <c r="C21" s="24"/>
      <c r="D21" s="155"/>
      <c r="E21" s="15"/>
    </row>
    <row r="22" spans="1:5">
      <c r="A22" s="21"/>
      <c r="B22" s="155"/>
      <c r="C22" s="22"/>
      <c r="D22" s="155"/>
      <c r="E22" s="15"/>
    </row>
    <row r="23" spans="1:5">
      <c r="A23" s="39"/>
      <c r="B23" s="40"/>
      <c r="C23" s="23"/>
      <c r="D23" s="19"/>
      <c r="E23" s="15"/>
    </row>
    <row r="24" spans="1:5">
      <c r="A24" s="41"/>
      <c r="B24" s="42"/>
      <c r="C24" s="42"/>
      <c r="D24" s="15"/>
      <c r="E24" s="15"/>
    </row>
    <row r="25" spans="1:5">
      <c r="A25" s="41"/>
      <c r="B25" s="42"/>
      <c r="C25" s="42"/>
      <c r="D25" s="15"/>
      <c r="E25" s="15"/>
    </row>
    <row r="26" spans="1:5">
      <c r="A26" s="41"/>
      <c r="B26" s="42"/>
      <c r="C26" s="42"/>
      <c r="D26" s="15"/>
      <c r="E26" s="15"/>
    </row>
    <row r="27" spans="1:5">
      <c r="A27" s="41"/>
      <c r="B27" s="42"/>
      <c r="C27" s="42"/>
      <c r="D27" s="15"/>
      <c r="E27" s="15"/>
    </row>
    <row r="28" spans="1:5">
      <c r="A28" s="15"/>
      <c r="B28" s="15"/>
      <c r="C28" s="15"/>
      <c r="D28" s="15"/>
    </row>
    <row r="29" spans="1:5">
      <c r="A29" s="15"/>
      <c r="B29" s="15"/>
      <c r="C29" s="15"/>
      <c r="D29" s="15"/>
    </row>
  </sheetData>
  <sheetProtection algorithmName="SHA-512" hashValue="epuW8AKYLcnySPDEp3E12X0zhGMTiMJa2P//jCqgH0Rk59ibnnwd92WC38L+6zYUyz2Vg7IdAYonbrpSJJpzXw==" saltValue="wl3PNcrAOMM+5vbp+pn2Ew==" spinCount="100000" sheet="1" objects="1" scenarios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Q33"/>
  <sheetViews>
    <sheetView zoomScale="85" zoomScaleNormal="85" workbookViewId="0">
      <selection activeCell="F8" sqref="F8"/>
    </sheetView>
  </sheetViews>
  <sheetFormatPr defaultColWidth="9" defaultRowHeight="14.4"/>
  <cols>
    <col min="1" max="1" width="26.6640625" customWidth="1"/>
    <col min="2" max="2" width="17.44140625" customWidth="1"/>
    <col min="16" max="16" width="7.5546875" customWidth="1"/>
  </cols>
  <sheetData>
    <row r="1" spans="1:6" ht="15.6">
      <c r="A1" s="157" t="s">
        <v>281</v>
      </c>
      <c r="B1" s="158">
        <v>45618</v>
      </c>
      <c r="C1" s="19"/>
      <c r="D1" s="15"/>
      <c r="E1" s="15"/>
    </row>
    <row r="2" spans="1:6">
      <c r="A2" s="21" t="s">
        <v>228</v>
      </c>
      <c r="B2" s="22">
        <f>'Weekly Valuation'!K182</f>
        <v>5652206919.4699993</v>
      </c>
      <c r="C2" s="19"/>
      <c r="D2" s="15"/>
      <c r="E2" s="15"/>
    </row>
    <row r="3" spans="1:6">
      <c r="A3" s="21" t="s">
        <v>17</v>
      </c>
      <c r="B3" s="22">
        <f>'Weekly Valuation'!K24</f>
        <v>30063948704.580002</v>
      </c>
      <c r="C3" s="19"/>
      <c r="D3" s="15"/>
      <c r="E3" s="15"/>
    </row>
    <row r="4" spans="1:6">
      <c r="A4" s="21" t="s">
        <v>284</v>
      </c>
      <c r="B4" s="23">
        <f>'Weekly Valuation'!K205</f>
        <v>51456186883.054207</v>
      </c>
      <c r="C4" s="19"/>
      <c r="D4" s="15"/>
      <c r="E4" s="15"/>
    </row>
    <row r="5" spans="1:6">
      <c r="A5" s="21" t="s">
        <v>196</v>
      </c>
      <c r="B5" s="22">
        <f>'Weekly Valuation'!K176</f>
        <v>53247703123.154457</v>
      </c>
      <c r="C5" s="19"/>
      <c r="D5" s="15"/>
      <c r="E5" s="15"/>
    </row>
    <row r="6" spans="1:6">
      <c r="A6" s="21" t="s">
        <v>283</v>
      </c>
      <c r="B6" s="22">
        <f>'Weekly Valuation'!K144</f>
        <v>99712365888.853806</v>
      </c>
      <c r="C6" s="19"/>
      <c r="D6" s="15"/>
      <c r="E6" s="15"/>
    </row>
    <row r="7" spans="1:6">
      <c r="A7" s="21" t="s">
        <v>282</v>
      </c>
      <c r="B7" s="22">
        <f>'Weekly Valuation'!K102</f>
        <v>211308718018.9035</v>
      </c>
      <c r="C7" s="19"/>
      <c r="D7" s="15"/>
      <c r="E7" s="15"/>
    </row>
    <row r="8" spans="1:6">
      <c r="A8" s="21" t="s">
        <v>54</v>
      </c>
      <c r="B8" s="24">
        <f>'Weekly Valuation'!K63</f>
        <v>1568511463413.2886</v>
      </c>
      <c r="C8" s="19"/>
      <c r="D8" s="15"/>
      <c r="E8" s="15"/>
    </row>
    <row r="9" spans="1:6">
      <c r="A9" s="21" t="s">
        <v>158</v>
      </c>
      <c r="B9" s="24">
        <f>'Weekly Valuation'!K136</f>
        <v>1806794587019.7612</v>
      </c>
      <c r="C9" s="19"/>
      <c r="D9" s="15"/>
      <c r="E9" s="15"/>
      <c r="F9" t="s">
        <v>285</v>
      </c>
    </row>
    <row r="10" spans="1:6">
      <c r="A10" s="155"/>
      <c r="B10" s="155"/>
      <c r="C10" s="19"/>
      <c r="D10" s="15"/>
      <c r="E10" s="15"/>
    </row>
    <row r="11" spans="1:6">
      <c r="A11" s="21"/>
      <c r="B11" s="159"/>
      <c r="C11" s="19"/>
      <c r="D11" s="15"/>
      <c r="E11" s="15"/>
    </row>
    <row r="12" spans="1:6">
      <c r="A12" s="189"/>
      <c r="B12" s="15"/>
      <c r="C12" s="15"/>
      <c r="D12" s="15"/>
      <c r="E12" s="15"/>
    </row>
    <row r="13" spans="1:6">
      <c r="A13" s="42"/>
      <c r="B13" s="42"/>
      <c r="C13" s="15"/>
      <c r="D13" s="15"/>
      <c r="E13" s="15"/>
    </row>
    <row r="14" spans="1:6">
      <c r="A14" s="42"/>
      <c r="B14" s="42"/>
      <c r="C14" s="15"/>
      <c r="D14" s="15"/>
      <c r="E14" s="15"/>
    </row>
    <row r="15" spans="1:6" ht="16.5" customHeight="1">
      <c r="A15" s="154"/>
      <c r="B15" s="154"/>
      <c r="C15" s="15"/>
      <c r="D15" s="15"/>
      <c r="E15" s="15"/>
    </row>
    <row r="16" spans="1:6">
      <c r="A16" s="42"/>
      <c r="B16" s="42"/>
      <c r="C16" s="15"/>
      <c r="D16" s="15"/>
      <c r="E16" s="15"/>
    </row>
    <row r="17" spans="1:17">
      <c r="A17" s="42"/>
      <c r="B17" s="42"/>
      <c r="C17" s="15"/>
      <c r="D17" s="15"/>
      <c r="E17" s="15"/>
    </row>
    <row r="18" spans="1:17">
      <c r="A18" s="156"/>
      <c r="B18" s="42"/>
      <c r="C18" s="15"/>
      <c r="D18" s="15"/>
      <c r="E18" s="15"/>
    </row>
    <row r="19" spans="1:17">
      <c r="A19" s="156"/>
      <c r="B19" s="156"/>
      <c r="C19" s="15"/>
      <c r="D19" s="15"/>
      <c r="E19" s="15"/>
    </row>
    <row r="20" spans="1:17">
      <c r="A20" s="156"/>
      <c r="B20" s="156"/>
      <c r="C20" s="15"/>
      <c r="D20" s="15"/>
      <c r="E20" s="15"/>
    </row>
    <row r="21" spans="1:17">
      <c r="A21" s="41"/>
      <c r="B21" s="156"/>
      <c r="C21" s="15"/>
      <c r="D21" s="15"/>
      <c r="E21" s="15"/>
    </row>
    <row r="22" spans="1:17">
      <c r="A22" s="15"/>
      <c r="B22" s="156"/>
      <c r="C22" s="15"/>
      <c r="D22" s="15"/>
      <c r="E22" s="15"/>
    </row>
    <row r="23" spans="1:17">
      <c r="A23" s="15"/>
      <c r="B23" s="15"/>
      <c r="C23" s="15"/>
      <c r="D23" s="15"/>
      <c r="E23" s="15"/>
    </row>
    <row r="24" spans="1:17">
      <c r="A24" s="15"/>
      <c r="B24" s="15"/>
      <c r="C24" s="15"/>
      <c r="D24" s="15"/>
      <c r="E24" s="15"/>
    </row>
    <row r="25" spans="1:17">
      <c r="A25" s="15"/>
      <c r="B25" s="15"/>
      <c r="C25" s="15"/>
      <c r="D25" s="15"/>
      <c r="E25" s="15"/>
    </row>
    <row r="26" spans="1:17">
      <c r="A26" s="15"/>
      <c r="B26" s="15"/>
    </row>
    <row r="32" spans="1:17" ht="16.5" customHeight="1">
      <c r="A32" s="187" t="s">
        <v>300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25"/>
    </row>
    <row r="33" spans="1:17" ht="15" customHeight="1">
      <c r="A33" s="188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25"/>
    </row>
  </sheetData>
  <sheetProtection algorithmName="SHA-512" hashValue="4S75ycccl6j+spu1UvZKNau0rvOWNbxnJItBSnw72mjfgHn+XbMbm3xT5ErBymjcPTcB/LXkj731gwl8peSDbA==" saltValue="RFt6/gWAdx/UgKzsL6pEHw==" spinCount="100000" sheet="1" selectLockedCells="1" selectUnlockedCells="1"/>
  <sortState ref="A2:B9">
    <sortCondition ref="B2:B9"/>
  </sortState>
  <mergeCells count="1">
    <mergeCell ref="A32:P33"/>
  </mergeCells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M8"/>
  <sheetViews>
    <sheetView zoomScale="110" zoomScaleNormal="110" workbookViewId="0">
      <selection activeCell="E7" sqref="E7"/>
    </sheetView>
  </sheetViews>
  <sheetFormatPr defaultColWidth="9" defaultRowHeight="14.4"/>
  <cols>
    <col min="1" max="2" width="10.5546875" customWidth="1"/>
    <col min="3" max="3" width="11.109375" customWidth="1"/>
    <col min="4" max="4" width="10.5546875" customWidth="1"/>
    <col min="5" max="5" width="10.88671875" customWidth="1"/>
    <col min="6" max="6" width="11.109375" customWidth="1"/>
    <col min="7" max="7" width="12.109375" customWidth="1"/>
    <col min="8" max="8" width="11.6640625" customWidth="1"/>
    <col min="9" max="9" width="11.44140625" customWidth="1"/>
  </cols>
  <sheetData>
    <row r="1" spans="1:13">
      <c r="A1" s="19"/>
      <c r="B1" s="19"/>
      <c r="C1" s="19"/>
      <c r="D1" s="19"/>
      <c r="E1" s="19"/>
      <c r="F1" s="19"/>
      <c r="G1" s="19"/>
      <c r="H1" s="19"/>
      <c r="I1" s="19"/>
      <c r="J1" s="19"/>
      <c r="K1" s="15"/>
      <c r="L1" s="15"/>
      <c r="M1" s="15"/>
    </row>
    <row r="2" spans="1:13">
      <c r="A2" s="160" t="s">
        <v>286</v>
      </c>
      <c r="B2" s="161">
        <v>45569</v>
      </c>
      <c r="C2" s="161">
        <v>45576</v>
      </c>
      <c r="D2" s="161">
        <v>45583</v>
      </c>
      <c r="E2" s="161">
        <v>45590</v>
      </c>
      <c r="F2" s="161">
        <v>45597</v>
      </c>
      <c r="G2" s="161">
        <v>45604</v>
      </c>
      <c r="H2" s="161">
        <v>45611</v>
      </c>
      <c r="I2" s="161">
        <v>45618</v>
      </c>
      <c r="J2" s="19"/>
      <c r="K2" s="15"/>
      <c r="L2" s="15"/>
      <c r="M2" s="15"/>
    </row>
    <row r="3" spans="1:13">
      <c r="A3" s="160" t="s">
        <v>287</v>
      </c>
      <c r="B3" s="162">
        <f t="shared" ref="B3:I3" si="0">B4</f>
        <v>3587.8911717657538</v>
      </c>
      <c r="C3" s="162">
        <f t="shared" si="0"/>
        <v>3608.6485199322269</v>
      </c>
      <c r="D3" s="162">
        <f t="shared" si="0"/>
        <v>3649.8560176552623</v>
      </c>
      <c r="E3" s="162">
        <f t="shared" si="0"/>
        <v>3681.0930784539851</v>
      </c>
      <c r="F3" s="162">
        <f t="shared" si="0"/>
        <v>3756.0739614136678</v>
      </c>
      <c r="G3" s="162">
        <f t="shared" si="0"/>
        <v>3781.6039580427923</v>
      </c>
      <c r="H3" s="162">
        <f t="shared" si="0"/>
        <v>3775.5209725078448</v>
      </c>
      <c r="I3" s="162">
        <f t="shared" si="0"/>
        <v>3826.7471799710661</v>
      </c>
      <c r="J3" s="19"/>
      <c r="K3" s="15"/>
      <c r="L3" s="15"/>
      <c r="M3" s="15"/>
    </row>
    <row r="4" spans="1:13">
      <c r="A4" s="19"/>
      <c r="B4" s="163">
        <f>'NAV Trend'!C10/1000000000</f>
        <v>3587.8911717657538</v>
      </c>
      <c r="C4" s="163">
        <f>'NAV Trend'!D10/1000000000</f>
        <v>3608.6485199322269</v>
      </c>
      <c r="D4" s="163">
        <f>'NAV Trend'!E10/1000000000</f>
        <v>3649.8560176552623</v>
      </c>
      <c r="E4" s="163">
        <f>'NAV Trend'!F10/1000000000</f>
        <v>3681.0930784539851</v>
      </c>
      <c r="F4" s="163">
        <f>'NAV Trend'!G10/1000000000</f>
        <v>3756.0739614136678</v>
      </c>
      <c r="G4" s="163">
        <f>'NAV Trend'!H10/1000000000</f>
        <v>3781.6039580427923</v>
      </c>
      <c r="H4" s="164">
        <f>'NAV Trend'!I10/1000000000</f>
        <v>3775.5209725078448</v>
      </c>
      <c r="I4" s="164">
        <f>'NAV Trend'!J10/1000000000</f>
        <v>3826.7471799710661</v>
      </c>
      <c r="J4" s="19"/>
      <c r="K4" s="15"/>
      <c r="L4" s="15"/>
      <c r="M4" s="15"/>
    </row>
    <row r="5" spans="1:13">
      <c r="A5" s="19"/>
      <c r="B5" s="19"/>
      <c r="C5" s="19"/>
      <c r="D5" s="19"/>
      <c r="E5" s="19"/>
      <c r="F5" s="19"/>
      <c r="G5" s="19"/>
      <c r="H5" s="19"/>
      <c r="I5" s="19"/>
      <c r="J5" s="19"/>
      <c r="K5" s="15"/>
      <c r="L5" s="15"/>
      <c r="M5" s="15"/>
    </row>
    <row r="6" spans="1:13">
      <c r="A6" s="19"/>
      <c r="B6" s="19"/>
      <c r="C6" s="19"/>
      <c r="D6" s="19"/>
      <c r="E6" s="19"/>
      <c r="F6" s="19"/>
      <c r="G6" s="19"/>
      <c r="H6" s="19"/>
      <c r="I6" s="19"/>
      <c r="J6" s="19"/>
      <c r="K6" s="15"/>
      <c r="L6" s="15"/>
    </row>
    <row r="7" spans="1:1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</row>
  </sheetData>
  <sheetProtection algorithmName="SHA-512" hashValue="R419v4SKyXp4hNHejFzjP3zgufvt+NPfBulhXCK0FEa0rTDV2MHXTO0AC6yiWEptN+AJok8I2WEXTa8blxkztg==" saltValue="GquH9OJkC8KStGIQot/bVw==" spinCount="100000" sheet="1" objects="1" scenarios="1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L8"/>
  <sheetViews>
    <sheetView workbookViewId="0">
      <selection activeCell="G6" sqref="G6"/>
    </sheetView>
  </sheetViews>
  <sheetFormatPr defaultColWidth="9" defaultRowHeight="14.4"/>
  <cols>
    <col min="1" max="1" width="16.5546875" customWidth="1"/>
    <col min="2" max="2" width="11.109375" customWidth="1"/>
    <col min="3" max="3" width="11.44140625" customWidth="1"/>
    <col min="4" max="4" width="11.5546875" customWidth="1"/>
    <col min="5" max="5" width="11.109375" customWidth="1"/>
    <col min="6" max="7" width="11.33203125" customWidth="1"/>
    <col min="8" max="8" width="11.6640625" customWidth="1"/>
    <col min="9" max="9" width="11.109375" customWidth="1"/>
  </cols>
  <sheetData>
    <row r="1" spans="1:12">
      <c r="A1" s="19"/>
      <c r="B1" s="19"/>
      <c r="C1" s="19"/>
      <c r="D1" s="19"/>
      <c r="E1" s="19"/>
      <c r="F1" s="19"/>
      <c r="G1" s="19"/>
      <c r="H1" s="19"/>
      <c r="I1" s="19"/>
      <c r="J1" s="19"/>
      <c r="K1" s="15"/>
      <c r="L1" s="15"/>
    </row>
    <row r="2" spans="1:12">
      <c r="A2" s="160" t="s">
        <v>286</v>
      </c>
      <c r="B2" s="161">
        <v>45569</v>
      </c>
      <c r="C2" s="161">
        <v>45576</v>
      </c>
      <c r="D2" s="161">
        <v>45583</v>
      </c>
      <c r="E2" s="161">
        <v>45590</v>
      </c>
      <c r="F2" s="161">
        <v>45597</v>
      </c>
      <c r="G2" s="161">
        <v>45604</v>
      </c>
      <c r="H2" s="161">
        <v>45611</v>
      </c>
      <c r="I2" s="161">
        <v>45618</v>
      </c>
      <c r="J2" s="19"/>
      <c r="K2" s="15"/>
      <c r="L2" s="15"/>
    </row>
    <row r="3" spans="1:12">
      <c r="A3" s="160" t="s">
        <v>288</v>
      </c>
      <c r="B3" s="162">
        <f t="shared" ref="B3:I3" si="0">B4</f>
        <v>12.728824087969999</v>
      </c>
      <c r="C3" s="162">
        <f t="shared" si="0"/>
        <v>12.697813827940001</v>
      </c>
      <c r="D3" s="162">
        <f t="shared" si="0"/>
        <v>12.701048297550301</v>
      </c>
      <c r="E3" s="162">
        <f t="shared" si="0"/>
        <v>12.789155111611999</v>
      </c>
      <c r="F3" s="162">
        <f t="shared" si="0"/>
        <v>13.1600670153069</v>
      </c>
      <c r="G3" s="162">
        <f t="shared" si="0"/>
        <v>12.888080361994271</v>
      </c>
      <c r="H3" s="162">
        <f t="shared" si="0"/>
        <v>12.879805353681869</v>
      </c>
      <c r="I3" s="162">
        <f t="shared" si="0"/>
        <v>12.922326068600094</v>
      </c>
      <c r="J3" s="19"/>
      <c r="K3" s="15"/>
      <c r="L3" s="15"/>
    </row>
    <row r="4" spans="1:12">
      <c r="A4" s="19"/>
      <c r="B4" s="163">
        <f>'NAV Trend'!C16/1000000000</f>
        <v>12.728824087969999</v>
      </c>
      <c r="C4" s="163">
        <f>'NAV Trend'!D16/1000000000</f>
        <v>12.697813827940001</v>
      </c>
      <c r="D4" s="163">
        <f>'NAV Trend'!E16/1000000000</f>
        <v>12.701048297550301</v>
      </c>
      <c r="E4" s="163">
        <f>'NAV Trend'!F16/1000000000</f>
        <v>12.789155111611999</v>
      </c>
      <c r="F4" s="163">
        <f>'NAV Trend'!G16/1000000000</f>
        <v>13.1600670153069</v>
      </c>
      <c r="G4" s="163">
        <f>'NAV Trend'!H16/1000000000</f>
        <v>12.888080361994271</v>
      </c>
      <c r="H4" s="163">
        <f>'NAV Trend'!I16/1000000000</f>
        <v>12.879805353681869</v>
      </c>
      <c r="I4" s="164">
        <f>'NAV Trend'!J16/1000000000</f>
        <v>12.922326068600094</v>
      </c>
      <c r="J4" s="19"/>
      <c r="K4" s="15"/>
      <c r="L4" s="15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5"/>
      <c r="L5" s="15"/>
    </row>
    <row r="6" spans="1:1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</sheetData>
  <sheetProtection algorithmName="SHA-512" hashValue="S7SKgysXN76nLVCR+oPU+zKgP71jN7m8xAjCqxA1xxn8pniJ+IO+O6Ugu/YKsvcsr9kPkUVUOvSKRipA0S4NGQ==" saltValue="cK2Q5ZM5OWu23AVRpl/EoA==" spinCount="100000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2"/>
  <sheetViews>
    <sheetView topLeftCell="D1" workbookViewId="0">
      <selection activeCell="K1" sqref="K1"/>
    </sheetView>
  </sheetViews>
  <sheetFormatPr defaultColWidth="9" defaultRowHeight="14.4"/>
  <cols>
    <col min="1" max="1" width="36.33203125" customWidth="1"/>
    <col min="2" max="2" width="23.5546875" customWidth="1"/>
    <col min="3" max="3" width="22.5546875" customWidth="1"/>
    <col min="4" max="4" width="20.88671875" customWidth="1"/>
    <col min="5" max="5" width="22.5546875" customWidth="1"/>
    <col min="6" max="6" width="24.6640625" customWidth="1"/>
    <col min="7" max="7" width="22.44140625" customWidth="1"/>
    <col min="8" max="8" width="24.33203125" customWidth="1"/>
    <col min="9" max="9" width="22.5546875" customWidth="1"/>
    <col min="10" max="10" width="21.6640625" customWidth="1"/>
    <col min="11" max="12" width="20.6640625" customWidth="1"/>
    <col min="13" max="13" width="20.5546875" customWidth="1"/>
  </cols>
  <sheetData>
    <row r="1" spans="1:11" ht="15.6">
      <c r="A1" s="1" t="s">
        <v>281</v>
      </c>
      <c r="B1" s="2">
        <v>45562</v>
      </c>
      <c r="C1" s="2">
        <v>45569</v>
      </c>
      <c r="D1" s="2">
        <v>45576</v>
      </c>
      <c r="E1" s="2">
        <v>45583</v>
      </c>
      <c r="F1" s="2">
        <v>45590</v>
      </c>
      <c r="G1" s="2">
        <v>45597</v>
      </c>
      <c r="H1" s="2">
        <v>45604</v>
      </c>
      <c r="I1" s="2">
        <v>45611</v>
      </c>
      <c r="J1" s="2">
        <v>45618</v>
      </c>
    </row>
    <row r="2" spans="1:11">
      <c r="A2" s="3" t="s">
        <v>17</v>
      </c>
      <c r="B2" s="4">
        <v>28730451829.155499</v>
      </c>
      <c r="C2" s="4">
        <v>28625624040.070999</v>
      </c>
      <c r="D2" s="4">
        <v>28910390807.939201</v>
      </c>
      <c r="E2" s="4">
        <v>28835332748.209999</v>
      </c>
      <c r="F2" s="4">
        <v>29468827560.84</v>
      </c>
      <c r="G2" s="4">
        <v>29662249858.959999</v>
      </c>
      <c r="H2" s="4">
        <v>29877584741.98</v>
      </c>
      <c r="I2" s="4">
        <v>30163797785.389999</v>
      </c>
      <c r="J2" s="4">
        <v>30063948704.580002</v>
      </c>
    </row>
    <row r="3" spans="1:11">
      <c r="A3" s="3" t="s">
        <v>54</v>
      </c>
      <c r="B3" s="4">
        <v>1391842705992.02</v>
      </c>
      <c r="C3" s="4">
        <v>1431162477919.05</v>
      </c>
      <c r="D3" s="4">
        <v>1454546860218.4099</v>
      </c>
      <c r="E3" s="4">
        <v>1470975929116.3201</v>
      </c>
      <c r="F3" s="4">
        <v>1494354372784.55</v>
      </c>
      <c r="G3" s="4">
        <v>1514887327409.3999</v>
      </c>
      <c r="H3" s="4">
        <v>1524333945094.0388</v>
      </c>
      <c r="I3" s="4">
        <v>1544078501312.1094</v>
      </c>
      <c r="J3" s="4">
        <v>1568511463413.2886</v>
      </c>
    </row>
    <row r="4" spans="1:11">
      <c r="A4" s="3" t="s">
        <v>282</v>
      </c>
      <c r="B4" s="5">
        <v>215016078902.25299</v>
      </c>
      <c r="C4" s="5">
        <v>213364990329.59201</v>
      </c>
      <c r="D4" s="5">
        <v>215873237311.21799</v>
      </c>
      <c r="E4" s="5">
        <v>217596244711.89499</v>
      </c>
      <c r="F4" s="5">
        <v>217295638150.86499</v>
      </c>
      <c r="G4" s="5">
        <v>216996701591.78</v>
      </c>
      <c r="H4" s="5">
        <v>212549652307.17569</v>
      </c>
      <c r="I4" s="5">
        <v>212512704820.16043</v>
      </c>
      <c r="J4" s="5">
        <v>211308718018.9035</v>
      </c>
    </row>
    <row r="5" spans="1:11">
      <c r="A5" s="3" t="s">
        <v>158</v>
      </c>
      <c r="B5" s="4">
        <v>1677183716252.02</v>
      </c>
      <c r="C5" s="4">
        <v>1708200360895.5601</v>
      </c>
      <c r="D5" s="4">
        <v>1701912454705.3701</v>
      </c>
      <c r="E5" s="4">
        <v>1725249769600.5901</v>
      </c>
      <c r="F5" s="4">
        <v>1732271506927.05</v>
      </c>
      <c r="G5" s="4">
        <v>1786622536580.1599</v>
      </c>
      <c r="H5" s="4">
        <v>1806075096556.1135</v>
      </c>
      <c r="I5" s="4">
        <v>1779564267121.3723</v>
      </c>
      <c r="J5" s="4">
        <v>1806794587019.7612</v>
      </c>
    </row>
    <row r="6" spans="1:11">
      <c r="A6" s="3" t="s">
        <v>283</v>
      </c>
      <c r="B6" s="6">
        <v>97416504495.638397</v>
      </c>
      <c r="C6" s="6">
        <v>98643900599.545593</v>
      </c>
      <c r="D6" s="6">
        <v>98713044971.160706</v>
      </c>
      <c r="E6" s="6">
        <v>98768307559.7341</v>
      </c>
      <c r="F6" s="6">
        <v>98833512064.041199</v>
      </c>
      <c r="G6" s="6">
        <v>98953116968.937393</v>
      </c>
      <c r="H6" s="6">
        <v>99081658987.424438</v>
      </c>
      <c r="I6" s="6">
        <v>99228057377.56897</v>
      </c>
      <c r="J6" s="6">
        <v>99712365888.853806</v>
      </c>
    </row>
    <row r="7" spans="1:11">
      <c r="A7" s="3" t="s">
        <v>196</v>
      </c>
      <c r="B7" s="7">
        <v>51162095071.512901</v>
      </c>
      <c r="C7" s="7">
        <v>51490300364.745796</v>
      </c>
      <c r="D7" s="7">
        <v>51768750825.837799</v>
      </c>
      <c r="E7" s="7">
        <v>51772807386.093002</v>
      </c>
      <c r="F7" s="7">
        <v>52310062102.176598</v>
      </c>
      <c r="G7" s="7">
        <v>52773311659.495102</v>
      </c>
      <c r="H7" s="7">
        <v>52945664168.085022</v>
      </c>
      <c r="I7" s="7">
        <v>53058098833.391159</v>
      </c>
      <c r="J7" s="7">
        <v>53247703123.154457</v>
      </c>
    </row>
    <row r="8" spans="1:11">
      <c r="A8" s="3" t="s">
        <v>228</v>
      </c>
      <c r="B8" s="6">
        <v>5372547709.2600002</v>
      </c>
      <c r="C8" s="6">
        <v>5412099692.1300001</v>
      </c>
      <c r="D8" s="6">
        <v>5446732461.79</v>
      </c>
      <c r="E8" s="6">
        <v>5394637628.9300003</v>
      </c>
      <c r="F8" s="6">
        <v>5490735929.6499996</v>
      </c>
      <c r="G8" s="6">
        <v>5514830055.6700001</v>
      </c>
      <c r="H8" s="6">
        <v>5557964924.1800003</v>
      </c>
      <c r="I8" s="6">
        <v>5640379430.5799999</v>
      </c>
      <c r="J8" s="6">
        <v>5652206919.4699993</v>
      </c>
    </row>
    <row r="9" spans="1:11">
      <c r="A9" s="3" t="s">
        <v>284</v>
      </c>
      <c r="B9" s="6">
        <v>51613303503.931396</v>
      </c>
      <c r="C9" s="6">
        <v>50991417925.0597</v>
      </c>
      <c r="D9" s="6">
        <v>51477048630.5009</v>
      </c>
      <c r="E9" s="6">
        <v>51262988903.490097</v>
      </c>
      <c r="F9" s="6">
        <v>51068422934.812202</v>
      </c>
      <c r="G9" s="6">
        <v>50663887289.265602</v>
      </c>
      <c r="H9" s="6">
        <v>51182391263.795021</v>
      </c>
      <c r="I9" s="6">
        <v>51275165827.272346</v>
      </c>
      <c r="J9" s="6">
        <v>51456186883.054207</v>
      </c>
    </row>
    <row r="10" spans="1:11" ht="15.6">
      <c r="A10" s="8" t="s">
        <v>289</v>
      </c>
      <c r="B10" s="9">
        <f t="shared" ref="B10:J10" si="0">SUM(B2:B9)</f>
        <v>3518337403755.79</v>
      </c>
      <c r="C10" s="9">
        <f t="shared" si="0"/>
        <v>3587891171765.7539</v>
      </c>
      <c r="D10" s="9">
        <f t="shared" si="0"/>
        <v>3608648519932.2271</v>
      </c>
      <c r="E10" s="9">
        <f t="shared" si="0"/>
        <v>3649856017655.2622</v>
      </c>
      <c r="F10" s="9">
        <f t="shared" si="0"/>
        <v>3681093078453.9849</v>
      </c>
      <c r="G10" s="9">
        <f t="shared" si="0"/>
        <v>3756073961413.668</v>
      </c>
      <c r="H10" s="9">
        <f t="shared" si="0"/>
        <v>3781603958042.7925</v>
      </c>
      <c r="I10" s="9">
        <f t="shared" si="0"/>
        <v>3775520972507.8447</v>
      </c>
      <c r="J10" s="9">
        <f t="shared" si="0"/>
        <v>3826747179971.0659</v>
      </c>
    </row>
    <row r="11" spans="1:11">
      <c r="A11" s="10"/>
      <c r="B11" s="11"/>
      <c r="C11" s="11"/>
      <c r="D11" s="11"/>
      <c r="E11" s="11"/>
      <c r="F11" s="11"/>
      <c r="G11" s="11"/>
      <c r="H11" s="11"/>
      <c r="I11" s="10"/>
      <c r="J11" s="10"/>
    </row>
    <row r="12" spans="1:11" ht="15.6">
      <c r="A12" s="12" t="s">
        <v>290</v>
      </c>
      <c r="B12" s="150" t="s">
        <v>291</v>
      </c>
      <c r="C12" s="13">
        <f>(B10+C10)/2</f>
        <v>3553114287760.772</v>
      </c>
      <c r="D12" s="14">
        <f t="shared" ref="D12:J12" si="1">(C10+D10)/2</f>
        <v>3598269845848.9902</v>
      </c>
      <c r="E12" s="14">
        <f t="shared" si="1"/>
        <v>3629252268793.7446</v>
      </c>
      <c r="F12" s="14">
        <f t="shared" si="1"/>
        <v>3665474548054.6235</v>
      </c>
      <c r="G12" s="14">
        <f t="shared" si="1"/>
        <v>3718583519933.8262</v>
      </c>
      <c r="H12" s="14">
        <f t="shared" si="1"/>
        <v>3768838959728.2305</v>
      </c>
      <c r="I12" s="14">
        <f t="shared" si="1"/>
        <v>3778562465275.3184</v>
      </c>
      <c r="J12" s="14">
        <f t="shared" si="1"/>
        <v>3801134076239.4551</v>
      </c>
    </row>
    <row r="13" spans="1:11">
      <c r="C13" s="15"/>
      <c r="D13" s="15"/>
      <c r="E13" s="15"/>
      <c r="F13" s="15"/>
      <c r="G13" s="15"/>
      <c r="H13" s="15"/>
      <c r="I13" s="15"/>
      <c r="J13" s="15"/>
      <c r="K13" s="15"/>
    </row>
    <row r="14" spans="1:1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>
      <c r="A15" s="15"/>
      <c r="B15" s="2">
        <v>45562</v>
      </c>
      <c r="C15" s="2">
        <v>45569</v>
      </c>
      <c r="D15" s="2">
        <v>45576</v>
      </c>
      <c r="E15" s="2">
        <v>45583</v>
      </c>
      <c r="F15" s="2">
        <v>45590</v>
      </c>
      <c r="G15" s="2">
        <v>45597</v>
      </c>
      <c r="H15" s="2">
        <v>45604</v>
      </c>
      <c r="I15" s="2">
        <v>45611</v>
      </c>
      <c r="J15" s="2">
        <v>45618</v>
      </c>
      <c r="K15" s="15"/>
    </row>
    <row r="16" spans="1:11">
      <c r="A16" s="16" t="s">
        <v>292</v>
      </c>
      <c r="B16" s="17">
        <v>12596631014.15</v>
      </c>
      <c r="C16" s="17">
        <v>12728824087.969999</v>
      </c>
      <c r="D16" s="17">
        <v>12697813827.940001</v>
      </c>
      <c r="E16" s="17">
        <v>12701048297.550301</v>
      </c>
      <c r="F16" s="17">
        <v>12789155111.612</v>
      </c>
      <c r="G16" s="17">
        <v>13160067015.3069</v>
      </c>
      <c r="H16" s="17">
        <v>12888080361.994272</v>
      </c>
      <c r="I16" s="17">
        <v>12879805353.68187</v>
      </c>
      <c r="J16" s="17">
        <v>12922326068.600094</v>
      </c>
      <c r="K16" s="15"/>
    </row>
    <row r="17" spans="1:1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>
      <c r="A18" s="15"/>
      <c r="B18" s="15"/>
      <c r="C18" s="18"/>
      <c r="D18" s="18"/>
      <c r="E18" s="18"/>
      <c r="F18" s="18"/>
      <c r="G18" s="18"/>
      <c r="H18" s="18"/>
      <c r="I18" s="18"/>
      <c r="J18" s="18"/>
      <c r="K18" s="15"/>
    </row>
    <row r="19" spans="1:1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>
      <c r="B22" s="15"/>
      <c r="C22" s="15"/>
      <c r="D22" s="15"/>
      <c r="E22" s="15"/>
      <c r="F22" s="15"/>
      <c r="G22" s="15"/>
      <c r="H22" s="15"/>
      <c r="I22" s="15"/>
      <c r="J22" s="15"/>
      <c r="K22" s="19"/>
    </row>
  </sheetData>
  <sheetProtection algorithmName="SHA-512" hashValue="FVFSHXrYF2h7vYRkfbCqebDybbqP4wQhd2XUho+bqBJZaWFHtf96qlu8ZgCZ/KqTh0+UL8Uz50V/wVGeT6MSfA==" saltValue="7ze2yi5WGdjPf8Q6Mg4Cpg==" spinCount="100000" sheet="1" objects="1" scenarios="1"/>
  <pageMargins left="0.7" right="0.7" top="0.75" bottom="0.75" header="0.3" footer="0.3"/>
  <pageSetup paperSize="9" orientation="portrait" horizontalDpi="300" verticalDpi="300"/>
  <ignoredErrors>
    <ignoredError sqref="B10:J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Valuation</vt:lpstr>
      <vt:lpstr>NAV Comparison</vt:lpstr>
      <vt:lpstr>Market Share</vt:lpstr>
      <vt:lpstr>8-Week Movement in NAV</vt:lpstr>
      <vt:lpstr>8-Week Movement in ETFs</vt:lpstr>
      <vt:lpstr>NAV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RV</dc:creator>
  <cp:lastModifiedBy>Isaac, Tunde</cp:lastModifiedBy>
  <dcterms:created xsi:type="dcterms:W3CDTF">2023-10-09T09:40:00Z</dcterms:created>
  <dcterms:modified xsi:type="dcterms:W3CDTF">2024-11-29T15:37:23Z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A438AA3AB3D54FD3925988ED903466DD_13</vt:lpwstr>
  </property>
  <property fmtid="{D5CDD505-2E9C-101B-9397-08002B2CF9AE}" pid="3" name="KSOProductBuildVer">
    <vt:lpwstr>1033-12.2.0.13266</vt:lpwstr>
  </property>
</Properties>
</file>