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Tunde Isaac\Weekly NAV\"/>
    </mc:Choice>
  </mc:AlternateContent>
  <bookViews>
    <workbookView xWindow="-120" yWindow="-120" windowWidth="20730" windowHeight="11160"/>
  </bookViews>
  <sheets>
    <sheet name="Weekly Valuation" sheetId="1" r:id="rId1"/>
    <sheet name="NAV Comparison" sheetId="2" r:id="rId2"/>
    <sheet name="Market Share" sheetId="3" r:id="rId3"/>
    <sheet name="8-Week Movement in NAV" sheetId="5" r:id="rId4"/>
    <sheet name="8-Week Movement in ETFs" sheetId="6" r:id="rId5"/>
    <sheet name="NAV Trend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7" i="1" l="1"/>
  <c r="S97" i="1"/>
  <c r="T97" i="1"/>
  <c r="U97" i="1"/>
  <c r="V97" i="1"/>
  <c r="N128" i="1"/>
  <c r="M128" i="1"/>
  <c r="K128" i="1"/>
  <c r="N109" i="1" l="1"/>
  <c r="M109" i="1"/>
  <c r="K109" i="1"/>
  <c r="N123" i="1"/>
  <c r="M123" i="1"/>
  <c r="K123" i="1"/>
  <c r="N127" i="1" l="1"/>
  <c r="M127" i="1"/>
  <c r="K127" i="1"/>
  <c r="N129" i="1"/>
  <c r="M129" i="1"/>
  <c r="N115" i="1"/>
  <c r="M115" i="1"/>
  <c r="K115" i="1"/>
  <c r="N130" i="1" l="1"/>
  <c r="M130" i="1"/>
  <c r="K130" i="1"/>
  <c r="N122" i="1"/>
  <c r="M122" i="1"/>
  <c r="K122" i="1"/>
  <c r="N108" i="1"/>
  <c r="M108" i="1"/>
  <c r="K108" i="1"/>
  <c r="N107" i="1"/>
  <c r="M107" i="1"/>
  <c r="K107" i="1"/>
  <c r="N105" i="1" l="1"/>
  <c r="M105" i="1"/>
  <c r="K105" i="1"/>
  <c r="N132" i="1" l="1"/>
  <c r="M132" i="1"/>
  <c r="K132" i="1"/>
  <c r="N119" i="1"/>
  <c r="M119" i="1"/>
  <c r="K119" i="1"/>
  <c r="N116" i="1" l="1"/>
  <c r="M116" i="1"/>
  <c r="K116" i="1"/>
  <c r="N118" i="1"/>
  <c r="M118" i="1"/>
  <c r="K118" i="1"/>
  <c r="N111" i="1" l="1"/>
  <c r="M111" i="1"/>
  <c r="K111" i="1"/>
  <c r="N106" i="1" l="1"/>
  <c r="M106" i="1"/>
  <c r="K106" i="1"/>
  <c r="N117" i="1" l="1"/>
  <c r="M117" i="1"/>
  <c r="K117" i="1"/>
  <c r="V44" i="1"/>
  <c r="U44" i="1"/>
  <c r="T44" i="1"/>
  <c r="S44" i="1"/>
  <c r="R44" i="1"/>
  <c r="E44" i="1"/>
  <c r="N126" i="1"/>
  <c r="M126" i="1"/>
  <c r="N134" i="1"/>
  <c r="M134" i="1"/>
  <c r="K134" i="1"/>
  <c r="N110" i="1" l="1"/>
  <c r="M110" i="1"/>
  <c r="K110" i="1"/>
  <c r="H203" i="1"/>
  <c r="D203" i="1"/>
  <c r="G134" i="1"/>
  <c r="F134" i="1"/>
  <c r="G132" i="1"/>
  <c r="F132" i="1"/>
  <c r="G130" i="1"/>
  <c r="F130" i="1"/>
  <c r="G129" i="1"/>
  <c r="F129" i="1"/>
  <c r="G128" i="1"/>
  <c r="F128" i="1"/>
  <c r="G127" i="1"/>
  <c r="F127" i="1"/>
  <c r="G126" i="1"/>
  <c r="F126" i="1"/>
  <c r="G123" i="1"/>
  <c r="F123" i="1"/>
  <c r="G122" i="1"/>
  <c r="F122" i="1"/>
  <c r="D134" i="1"/>
  <c r="D132" i="1"/>
  <c r="D130" i="1"/>
  <c r="D128" i="1"/>
  <c r="D127" i="1"/>
  <c r="D123" i="1"/>
  <c r="D122" i="1"/>
  <c r="G119" i="1"/>
  <c r="F119" i="1"/>
  <c r="G118" i="1"/>
  <c r="F118" i="1"/>
  <c r="G117" i="1"/>
  <c r="F117" i="1"/>
  <c r="G116" i="1"/>
  <c r="F116" i="1"/>
  <c r="G115" i="1"/>
  <c r="F115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D119" i="1"/>
  <c r="D118" i="1"/>
  <c r="D117" i="1"/>
  <c r="D116" i="1"/>
  <c r="D115" i="1"/>
  <c r="D111" i="1"/>
  <c r="D110" i="1"/>
  <c r="D109" i="1"/>
  <c r="D108" i="1"/>
  <c r="D107" i="1"/>
  <c r="D106" i="1"/>
  <c r="D105" i="1"/>
  <c r="R12" i="1" l="1"/>
  <c r="O203" i="1" l="1"/>
  <c r="K203" i="1"/>
  <c r="L202" i="1" s="1"/>
  <c r="E202" i="1"/>
  <c r="V202" i="1"/>
  <c r="U202" i="1"/>
  <c r="T202" i="1"/>
  <c r="S202" i="1"/>
  <c r="R202" i="1"/>
  <c r="D23" i="1" l="1"/>
  <c r="R191" i="1" l="1"/>
  <c r="S191" i="1"/>
  <c r="T191" i="1"/>
  <c r="U191" i="1"/>
  <c r="V191" i="1"/>
  <c r="R95" i="1" l="1"/>
  <c r="V119" i="1" l="1"/>
  <c r="U119" i="1"/>
  <c r="T119" i="1"/>
  <c r="S119" i="1"/>
  <c r="R119" i="1"/>
  <c r="V118" i="1"/>
  <c r="U118" i="1"/>
  <c r="T118" i="1"/>
  <c r="S118" i="1"/>
  <c r="R118" i="1"/>
  <c r="R148" i="1" l="1"/>
  <c r="R107" i="1"/>
  <c r="S86" i="1" l="1"/>
  <c r="R214" i="1" l="1"/>
  <c r="R215" i="1"/>
  <c r="V126" i="1" l="1"/>
  <c r="U126" i="1"/>
  <c r="T126" i="1"/>
  <c r="R126" i="1"/>
  <c r="S133" i="1"/>
  <c r="V133" i="1"/>
  <c r="U133" i="1"/>
  <c r="T133" i="1"/>
  <c r="R133" i="1"/>
  <c r="V52" i="1"/>
  <c r="U52" i="1"/>
  <c r="T52" i="1"/>
  <c r="S52" i="1"/>
  <c r="R52" i="1"/>
  <c r="S126" i="1" l="1"/>
  <c r="R218" i="1" l="1"/>
  <c r="R165" i="1"/>
  <c r="R105" i="1" l="1"/>
  <c r="R161" i="1"/>
  <c r="S161" i="1"/>
  <c r="T161" i="1"/>
  <c r="U161" i="1"/>
  <c r="V161" i="1"/>
  <c r="R83" i="1" l="1"/>
  <c r="V196" i="1"/>
  <c r="U196" i="1"/>
  <c r="T196" i="1"/>
  <c r="S196" i="1"/>
  <c r="R196" i="1"/>
  <c r="V195" i="1"/>
  <c r="U195" i="1"/>
  <c r="T195" i="1"/>
  <c r="S195" i="1"/>
  <c r="R195" i="1"/>
  <c r="R53" i="1" l="1"/>
  <c r="V53" i="1"/>
  <c r="U53" i="1"/>
  <c r="T53" i="1"/>
  <c r="S53" i="1"/>
  <c r="K62" i="1"/>
  <c r="E48" i="1" l="1"/>
  <c r="E49" i="1"/>
  <c r="L40" i="1"/>
  <c r="L52" i="1"/>
  <c r="E52" i="1"/>
  <c r="C14" i="2"/>
  <c r="L38" i="1"/>
  <c r="L59" i="1"/>
  <c r="E53" i="1"/>
  <c r="L53" i="1"/>
  <c r="U168" i="1" l="1"/>
  <c r="V168" i="1"/>
  <c r="R168" i="1"/>
  <c r="S168" i="1"/>
  <c r="T168" i="1"/>
  <c r="R55" i="1"/>
  <c r="V55" i="1"/>
  <c r="U55" i="1"/>
  <c r="T55" i="1"/>
  <c r="S55" i="1"/>
  <c r="V179" i="1" l="1"/>
  <c r="R109" i="1" l="1"/>
  <c r="S109" i="1"/>
  <c r="T109" i="1"/>
  <c r="U109" i="1"/>
  <c r="V109" i="1"/>
  <c r="R32" i="1"/>
  <c r="R71" i="1"/>
  <c r="S71" i="1"/>
  <c r="T71" i="1"/>
  <c r="U71" i="1"/>
  <c r="V71" i="1"/>
  <c r="V32" i="1"/>
  <c r="U32" i="1"/>
  <c r="T32" i="1"/>
  <c r="S32" i="1"/>
  <c r="T106" i="1" l="1"/>
  <c r="U106" i="1"/>
  <c r="V106" i="1"/>
  <c r="S106" i="1"/>
  <c r="R106" i="1"/>
  <c r="R90" i="1" l="1"/>
  <c r="O135" i="1" l="1"/>
  <c r="I10" i="4"/>
  <c r="H10" i="4"/>
  <c r="G10" i="4"/>
  <c r="F10" i="4"/>
  <c r="E10" i="4"/>
  <c r="D10" i="4"/>
  <c r="C10" i="4"/>
  <c r="B10" i="4"/>
  <c r="R10" i="1" l="1"/>
  <c r="S10" i="1"/>
  <c r="T10" i="1"/>
  <c r="U10" i="1"/>
  <c r="V10" i="1"/>
  <c r="R108" i="1"/>
  <c r="S108" i="1"/>
  <c r="T108" i="1"/>
  <c r="U108" i="1"/>
  <c r="V108" i="1"/>
  <c r="R160" i="1" l="1"/>
  <c r="S60" i="1" l="1"/>
  <c r="D143" i="1" l="1"/>
  <c r="I4" i="6"/>
  <c r="I3" i="6" s="1"/>
  <c r="H4" i="6"/>
  <c r="G4" i="6"/>
  <c r="G3" i="6" s="1"/>
  <c r="F4" i="6"/>
  <c r="E4" i="6"/>
  <c r="D4" i="6"/>
  <c r="C4" i="6"/>
  <c r="C3" i="6" s="1"/>
  <c r="B4" i="6"/>
  <c r="H3" i="6"/>
  <c r="F3" i="6"/>
  <c r="E3" i="6"/>
  <c r="D3" i="6"/>
  <c r="B3" i="6"/>
  <c r="R111" i="1" l="1"/>
  <c r="S111" i="1"/>
  <c r="T111" i="1"/>
  <c r="U111" i="1"/>
  <c r="V111" i="1"/>
  <c r="R112" i="1"/>
  <c r="S112" i="1"/>
  <c r="T112" i="1"/>
  <c r="U112" i="1"/>
  <c r="V112" i="1"/>
  <c r="R99" i="1" l="1"/>
  <c r="S99" i="1"/>
  <c r="T99" i="1"/>
  <c r="U99" i="1"/>
  <c r="V99" i="1"/>
  <c r="R60" i="1"/>
  <c r="V60" i="1"/>
  <c r="U60" i="1"/>
  <c r="T60" i="1"/>
  <c r="R190" i="1"/>
  <c r="R149" i="1" l="1"/>
  <c r="R128" i="1" l="1"/>
  <c r="S128" i="1"/>
  <c r="T128" i="1"/>
  <c r="U128" i="1"/>
  <c r="V128" i="1"/>
  <c r="R84" i="1"/>
  <c r="S84" i="1"/>
  <c r="T84" i="1"/>
  <c r="U84" i="1"/>
  <c r="V84" i="1"/>
  <c r="V208" i="1" l="1"/>
  <c r="T166" i="1"/>
  <c r="S166" i="1"/>
  <c r="R131" i="1" l="1"/>
  <c r="V162" i="1" l="1"/>
  <c r="T153" i="1" l="1"/>
  <c r="R147" i="1"/>
  <c r="S147" i="1"/>
  <c r="T147" i="1"/>
  <c r="U147" i="1"/>
  <c r="V147" i="1"/>
  <c r="R169" i="1"/>
  <c r="S169" i="1"/>
  <c r="T169" i="1"/>
  <c r="U169" i="1"/>
  <c r="V169" i="1"/>
  <c r="R127" i="1" l="1"/>
  <c r="S127" i="1"/>
  <c r="S192" i="1" l="1"/>
  <c r="V127" i="1"/>
  <c r="U127" i="1"/>
  <c r="T127" i="1"/>
  <c r="R73" i="1" l="1"/>
  <c r="V81" i="1" l="1"/>
  <c r="U81" i="1"/>
  <c r="T81" i="1"/>
  <c r="S81" i="1"/>
  <c r="R81" i="1"/>
  <c r="V87" i="1" l="1"/>
  <c r="U87" i="1"/>
  <c r="T87" i="1"/>
  <c r="S87" i="1"/>
  <c r="R87" i="1"/>
  <c r="B4" i="5" l="1"/>
  <c r="B3" i="5" s="1"/>
  <c r="C4" i="5"/>
  <c r="C3" i="5" s="1"/>
  <c r="D4" i="5"/>
  <c r="D3" i="5" s="1"/>
  <c r="E4" i="5"/>
  <c r="E3" i="5" s="1"/>
  <c r="F4" i="5"/>
  <c r="F3" i="5" s="1"/>
  <c r="G4" i="5"/>
  <c r="G3" i="5" s="1"/>
  <c r="H4" i="5"/>
  <c r="H3" i="5" s="1"/>
  <c r="V193" i="1"/>
  <c r="U193" i="1"/>
  <c r="T193" i="1"/>
  <c r="S193" i="1"/>
  <c r="R193" i="1"/>
  <c r="T34" i="1" l="1"/>
  <c r="S22" i="1" l="1"/>
  <c r="T22" i="1"/>
  <c r="V110" i="1" l="1"/>
  <c r="R110" i="1"/>
  <c r="S110" i="1"/>
  <c r="T110" i="1"/>
  <c r="U110" i="1"/>
  <c r="R13" i="1" l="1"/>
  <c r="R51" i="1" l="1"/>
  <c r="V51" i="1"/>
  <c r="U51" i="1"/>
  <c r="T51" i="1"/>
  <c r="S51" i="1"/>
  <c r="V139" i="1" l="1"/>
  <c r="U139" i="1"/>
  <c r="T139" i="1"/>
  <c r="S139" i="1"/>
  <c r="R139" i="1"/>
  <c r="R78" i="1" l="1"/>
  <c r="S185" i="1" l="1"/>
  <c r="D180" i="1" l="1"/>
  <c r="B19" i="2" s="1"/>
  <c r="B9" i="2" s="1"/>
  <c r="D135" i="1"/>
  <c r="E119" i="1" s="1"/>
  <c r="E126" i="1" l="1"/>
  <c r="E118" i="1"/>
  <c r="E109" i="1"/>
  <c r="E108" i="1"/>
  <c r="E106" i="1"/>
  <c r="B16" i="2"/>
  <c r="B6" i="2" s="1"/>
  <c r="E123" i="1"/>
  <c r="E128" i="1"/>
  <c r="E111" i="1"/>
  <c r="E127" i="1"/>
  <c r="R98" i="1"/>
  <c r="S98" i="1"/>
  <c r="T98" i="1"/>
  <c r="U98" i="1"/>
  <c r="V98" i="1"/>
  <c r="D224" i="1"/>
  <c r="D62" i="1"/>
  <c r="B20" i="2" l="1"/>
  <c r="B10" i="2" s="1"/>
  <c r="E196" i="1"/>
  <c r="E195" i="1"/>
  <c r="B14" i="2"/>
  <c r="B4" i="2" s="1"/>
  <c r="E139" i="1"/>
  <c r="B17" i="2"/>
  <c r="B7" i="2" s="1"/>
  <c r="E189" i="1"/>
  <c r="E190" i="1"/>
  <c r="E192" i="1"/>
  <c r="E193" i="1"/>
  <c r="E194" i="1"/>
  <c r="E197" i="1"/>
  <c r="E198" i="1"/>
  <c r="E199" i="1"/>
  <c r="R178" i="1"/>
  <c r="R89" i="1" l="1"/>
  <c r="S89" i="1"/>
  <c r="T89" i="1"/>
  <c r="V89" i="1"/>
  <c r="U89" i="1"/>
  <c r="B13" i="2" l="1"/>
  <c r="B3" i="2" l="1"/>
  <c r="E10" i="1"/>
  <c r="R124" i="1"/>
  <c r="R20" i="1" l="1"/>
  <c r="R213" i="1" l="1"/>
  <c r="S213" i="1"/>
  <c r="T213" i="1"/>
  <c r="U213" i="1"/>
  <c r="V213" i="1"/>
  <c r="S214" i="1"/>
  <c r="T214" i="1"/>
  <c r="U214" i="1"/>
  <c r="V214" i="1"/>
  <c r="S215" i="1"/>
  <c r="T215" i="1"/>
  <c r="U215" i="1"/>
  <c r="V215" i="1"/>
  <c r="R216" i="1"/>
  <c r="S216" i="1"/>
  <c r="T216" i="1"/>
  <c r="U216" i="1"/>
  <c r="V216" i="1"/>
  <c r="R217" i="1"/>
  <c r="S217" i="1"/>
  <c r="T217" i="1"/>
  <c r="U217" i="1"/>
  <c r="V217" i="1"/>
  <c r="S218" i="1"/>
  <c r="T218" i="1"/>
  <c r="U218" i="1"/>
  <c r="V218" i="1"/>
  <c r="R219" i="1"/>
  <c r="S219" i="1"/>
  <c r="T219" i="1"/>
  <c r="U219" i="1"/>
  <c r="V219" i="1"/>
  <c r="R220" i="1"/>
  <c r="S220" i="1"/>
  <c r="T220" i="1"/>
  <c r="U220" i="1"/>
  <c r="V220" i="1"/>
  <c r="R221" i="1"/>
  <c r="S221" i="1"/>
  <c r="T221" i="1"/>
  <c r="U221" i="1"/>
  <c r="V221" i="1"/>
  <c r="R222" i="1"/>
  <c r="S222" i="1"/>
  <c r="T222" i="1"/>
  <c r="U222" i="1"/>
  <c r="V222" i="1"/>
  <c r="R223" i="1"/>
  <c r="S223" i="1"/>
  <c r="T223" i="1"/>
  <c r="U223" i="1"/>
  <c r="V223" i="1"/>
  <c r="S224" i="1"/>
  <c r="U224" i="1"/>
  <c r="V224" i="1"/>
  <c r="V212" i="1"/>
  <c r="U212" i="1"/>
  <c r="T212" i="1"/>
  <c r="S212" i="1"/>
  <c r="R212" i="1"/>
  <c r="U208" i="1"/>
  <c r="T208" i="1"/>
  <c r="S208" i="1"/>
  <c r="R208" i="1"/>
  <c r="V207" i="1"/>
  <c r="U207" i="1"/>
  <c r="T207" i="1"/>
  <c r="S207" i="1"/>
  <c r="R207" i="1"/>
  <c r="R189" i="1"/>
  <c r="S189" i="1"/>
  <c r="T189" i="1"/>
  <c r="U189" i="1"/>
  <c r="V189" i="1"/>
  <c r="S190" i="1"/>
  <c r="T190" i="1"/>
  <c r="U190" i="1"/>
  <c r="V190" i="1"/>
  <c r="R192" i="1"/>
  <c r="T192" i="1"/>
  <c r="U192" i="1"/>
  <c r="V192" i="1"/>
  <c r="R194" i="1"/>
  <c r="S194" i="1"/>
  <c r="T194" i="1"/>
  <c r="U194" i="1"/>
  <c r="V194" i="1"/>
  <c r="R197" i="1"/>
  <c r="S197" i="1"/>
  <c r="T197" i="1"/>
  <c r="U197" i="1"/>
  <c r="V197" i="1"/>
  <c r="R198" i="1"/>
  <c r="S198" i="1"/>
  <c r="T198" i="1"/>
  <c r="U198" i="1"/>
  <c r="V198" i="1"/>
  <c r="R199" i="1"/>
  <c r="S199" i="1"/>
  <c r="T199" i="1"/>
  <c r="U199" i="1"/>
  <c r="V199" i="1"/>
  <c r="S203" i="1"/>
  <c r="U203" i="1"/>
  <c r="V203" i="1"/>
  <c r="V188" i="1"/>
  <c r="U188" i="1"/>
  <c r="T188" i="1"/>
  <c r="S188" i="1"/>
  <c r="R188" i="1"/>
  <c r="V185" i="1"/>
  <c r="U185" i="1"/>
  <c r="T185" i="1"/>
  <c r="R185" i="1"/>
  <c r="V184" i="1"/>
  <c r="U184" i="1"/>
  <c r="T184" i="1"/>
  <c r="S184" i="1"/>
  <c r="R184" i="1"/>
  <c r="S178" i="1"/>
  <c r="T178" i="1"/>
  <c r="U178" i="1"/>
  <c r="V178" i="1"/>
  <c r="R179" i="1"/>
  <c r="S179" i="1"/>
  <c r="T179" i="1"/>
  <c r="U179" i="1"/>
  <c r="S180" i="1"/>
  <c r="U180" i="1"/>
  <c r="V180" i="1"/>
  <c r="V177" i="1"/>
  <c r="U177" i="1"/>
  <c r="T177" i="1"/>
  <c r="S177" i="1"/>
  <c r="R177" i="1"/>
  <c r="S148" i="1"/>
  <c r="T148" i="1"/>
  <c r="U148" i="1"/>
  <c r="V148" i="1"/>
  <c r="S149" i="1"/>
  <c r="T149" i="1"/>
  <c r="U149" i="1"/>
  <c r="V149" i="1"/>
  <c r="R150" i="1"/>
  <c r="S150" i="1"/>
  <c r="T150" i="1"/>
  <c r="U150" i="1"/>
  <c r="R151" i="1"/>
  <c r="S151" i="1"/>
  <c r="T151" i="1"/>
  <c r="U151" i="1"/>
  <c r="V151" i="1"/>
  <c r="R152" i="1"/>
  <c r="S152" i="1"/>
  <c r="T152" i="1"/>
  <c r="U152" i="1"/>
  <c r="V152" i="1"/>
  <c r="R153" i="1"/>
  <c r="S153" i="1"/>
  <c r="U153" i="1"/>
  <c r="V153" i="1"/>
  <c r="R154" i="1"/>
  <c r="S154" i="1"/>
  <c r="T154" i="1"/>
  <c r="U154" i="1"/>
  <c r="V154" i="1"/>
  <c r="R155" i="1"/>
  <c r="S155" i="1"/>
  <c r="T155" i="1"/>
  <c r="U155" i="1"/>
  <c r="V155" i="1"/>
  <c r="R156" i="1"/>
  <c r="S156" i="1"/>
  <c r="T156" i="1"/>
  <c r="U156" i="1"/>
  <c r="V156" i="1"/>
  <c r="R157" i="1"/>
  <c r="S157" i="1"/>
  <c r="T157" i="1"/>
  <c r="U157" i="1"/>
  <c r="V157" i="1"/>
  <c r="R158" i="1"/>
  <c r="S158" i="1"/>
  <c r="T158" i="1"/>
  <c r="U158" i="1"/>
  <c r="V158" i="1"/>
  <c r="R159" i="1"/>
  <c r="S159" i="1"/>
  <c r="T159" i="1"/>
  <c r="U159" i="1"/>
  <c r="V159" i="1"/>
  <c r="S160" i="1"/>
  <c r="T160" i="1"/>
  <c r="U160" i="1"/>
  <c r="V160" i="1"/>
  <c r="R162" i="1"/>
  <c r="S162" i="1"/>
  <c r="T162" i="1"/>
  <c r="U162" i="1"/>
  <c r="R163" i="1"/>
  <c r="S163" i="1"/>
  <c r="T163" i="1"/>
  <c r="U163" i="1"/>
  <c r="V163" i="1"/>
  <c r="R164" i="1"/>
  <c r="S164" i="1"/>
  <c r="T164" i="1"/>
  <c r="U164" i="1"/>
  <c r="V164" i="1"/>
  <c r="S165" i="1"/>
  <c r="T165" i="1"/>
  <c r="U165" i="1"/>
  <c r="V165" i="1"/>
  <c r="R166" i="1"/>
  <c r="U166" i="1"/>
  <c r="V166" i="1"/>
  <c r="R167" i="1"/>
  <c r="S167" i="1"/>
  <c r="T167" i="1"/>
  <c r="U167" i="1"/>
  <c r="V167" i="1"/>
  <c r="R170" i="1"/>
  <c r="S170" i="1"/>
  <c r="T170" i="1"/>
  <c r="U170" i="1"/>
  <c r="V170" i="1"/>
  <c r="R171" i="1"/>
  <c r="S171" i="1"/>
  <c r="T171" i="1"/>
  <c r="U171" i="1"/>
  <c r="V171" i="1"/>
  <c r="R172" i="1"/>
  <c r="S172" i="1"/>
  <c r="T172" i="1"/>
  <c r="U172" i="1"/>
  <c r="V172" i="1"/>
  <c r="R173" i="1"/>
  <c r="S173" i="1"/>
  <c r="T173" i="1"/>
  <c r="U173" i="1"/>
  <c r="V173" i="1"/>
  <c r="S174" i="1"/>
  <c r="U174" i="1"/>
  <c r="V174" i="1"/>
  <c r="V146" i="1"/>
  <c r="U146" i="1"/>
  <c r="T146" i="1"/>
  <c r="S146" i="1"/>
  <c r="R146" i="1"/>
  <c r="R140" i="1"/>
  <c r="S140" i="1"/>
  <c r="T140" i="1"/>
  <c r="U140" i="1"/>
  <c r="V140" i="1"/>
  <c r="R141" i="1"/>
  <c r="S141" i="1"/>
  <c r="T141" i="1"/>
  <c r="U141" i="1"/>
  <c r="V141" i="1"/>
  <c r="R142" i="1"/>
  <c r="S142" i="1"/>
  <c r="T142" i="1"/>
  <c r="U142" i="1"/>
  <c r="V142" i="1"/>
  <c r="S143" i="1"/>
  <c r="U143" i="1"/>
  <c r="V143" i="1"/>
  <c r="V138" i="1"/>
  <c r="U138" i="1"/>
  <c r="T138" i="1"/>
  <c r="S138" i="1"/>
  <c r="R138" i="1"/>
  <c r="R123" i="1"/>
  <c r="S123" i="1"/>
  <c r="T123" i="1"/>
  <c r="U123" i="1"/>
  <c r="V123" i="1"/>
  <c r="S124" i="1"/>
  <c r="T124" i="1"/>
  <c r="U124" i="1"/>
  <c r="V124" i="1"/>
  <c r="R125" i="1"/>
  <c r="S125" i="1"/>
  <c r="T125" i="1"/>
  <c r="U125" i="1"/>
  <c r="V125" i="1"/>
  <c r="R129" i="1"/>
  <c r="S129" i="1"/>
  <c r="T129" i="1"/>
  <c r="U129" i="1"/>
  <c r="V129" i="1"/>
  <c r="R130" i="1"/>
  <c r="S130" i="1"/>
  <c r="T130" i="1"/>
  <c r="U130" i="1"/>
  <c r="V130" i="1"/>
  <c r="S131" i="1"/>
  <c r="T131" i="1"/>
  <c r="U131" i="1"/>
  <c r="V131" i="1"/>
  <c r="R132" i="1"/>
  <c r="S132" i="1"/>
  <c r="T132" i="1"/>
  <c r="U132" i="1"/>
  <c r="V132" i="1"/>
  <c r="R134" i="1"/>
  <c r="S134" i="1"/>
  <c r="T134" i="1"/>
  <c r="U134" i="1"/>
  <c r="V134" i="1"/>
  <c r="S135" i="1"/>
  <c r="U135" i="1"/>
  <c r="V135" i="1"/>
  <c r="V122" i="1"/>
  <c r="U122" i="1"/>
  <c r="T122" i="1"/>
  <c r="S122" i="1"/>
  <c r="R122" i="1"/>
  <c r="S107" i="1"/>
  <c r="T107" i="1"/>
  <c r="U107" i="1"/>
  <c r="V107" i="1"/>
  <c r="R113" i="1"/>
  <c r="S113" i="1"/>
  <c r="T113" i="1"/>
  <c r="U113" i="1"/>
  <c r="V113" i="1"/>
  <c r="R114" i="1"/>
  <c r="S114" i="1"/>
  <c r="T114" i="1"/>
  <c r="U114" i="1"/>
  <c r="V114" i="1"/>
  <c r="R115" i="1"/>
  <c r="S115" i="1"/>
  <c r="T115" i="1"/>
  <c r="U115" i="1"/>
  <c r="V115" i="1"/>
  <c r="R116" i="1"/>
  <c r="S116" i="1"/>
  <c r="T116" i="1"/>
  <c r="U116" i="1"/>
  <c r="V116" i="1"/>
  <c r="R117" i="1"/>
  <c r="S117" i="1"/>
  <c r="T117" i="1"/>
  <c r="U117" i="1"/>
  <c r="V117" i="1"/>
  <c r="V105" i="1"/>
  <c r="U105" i="1"/>
  <c r="T105" i="1"/>
  <c r="S10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R70" i="1"/>
  <c r="S70" i="1"/>
  <c r="T70" i="1"/>
  <c r="U70" i="1"/>
  <c r="R72" i="1"/>
  <c r="S72" i="1"/>
  <c r="T72" i="1"/>
  <c r="U72" i="1"/>
  <c r="V72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2" i="1"/>
  <c r="S82" i="1"/>
  <c r="T82" i="1"/>
  <c r="U82" i="1"/>
  <c r="V82" i="1"/>
  <c r="S83" i="1"/>
  <c r="T83" i="1"/>
  <c r="U83" i="1"/>
  <c r="V83" i="1"/>
  <c r="R85" i="1"/>
  <c r="S85" i="1"/>
  <c r="T85" i="1"/>
  <c r="U85" i="1"/>
  <c r="V85" i="1"/>
  <c r="R86" i="1"/>
  <c r="T86" i="1"/>
  <c r="U86" i="1"/>
  <c r="V86" i="1"/>
  <c r="R88" i="1"/>
  <c r="S88" i="1"/>
  <c r="T88" i="1"/>
  <c r="U88" i="1"/>
  <c r="V88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S95" i="1"/>
  <c r="T95" i="1"/>
  <c r="U95" i="1"/>
  <c r="V95" i="1"/>
  <c r="R96" i="1"/>
  <c r="S96" i="1"/>
  <c r="T96" i="1"/>
  <c r="U96" i="1"/>
  <c r="V96" i="1"/>
  <c r="R100" i="1"/>
  <c r="S100" i="1"/>
  <c r="T100" i="1"/>
  <c r="U100" i="1"/>
  <c r="V100" i="1"/>
  <c r="S101" i="1"/>
  <c r="U101" i="1"/>
  <c r="V101" i="1"/>
  <c r="V65" i="1"/>
  <c r="U65" i="1"/>
  <c r="T65" i="1"/>
  <c r="S65" i="1"/>
  <c r="R65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3" i="1"/>
  <c r="S33" i="1"/>
  <c r="T33" i="1"/>
  <c r="U33" i="1"/>
  <c r="V33" i="1"/>
  <c r="R34" i="1"/>
  <c r="S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4" i="1"/>
  <c r="S54" i="1"/>
  <c r="T54" i="1"/>
  <c r="U54" i="1"/>
  <c r="V54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1" i="1"/>
  <c r="S61" i="1"/>
  <c r="T61" i="1"/>
  <c r="U61" i="1"/>
  <c r="V61" i="1"/>
  <c r="S62" i="1"/>
  <c r="U62" i="1"/>
  <c r="V62" i="1"/>
  <c r="V26" i="1"/>
  <c r="U26" i="1"/>
  <c r="T26" i="1"/>
  <c r="S26" i="1"/>
  <c r="R2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1" i="1"/>
  <c r="S11" i="1"/>
  <c r="T11" i="1"/>
  <c r="U11" i="1"/>
  <c r="V11" i="1"/>
  <c r="S12" i="1"/>
  <c r="T12" i="1"/>
  <c r="U12" i="1"/>
  <c r="V12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S20" i="1"/>
  <c r="T20" i="1"/>
  <c r="U20" i="1"/>
  <c r="V20" i="1"/>
  <c r="R21" i="1"/>
  <c r="S21" i="1"/>
  <c r="T21" i="1"/>
  <c r="U21" i="1"/>
  <c r="V21" i="1"/>
  <c r="R22" i="1"/>
  <c r="U22" i="1"/>
  <c r="V22" i="1"/>
  <c r="S23" i="1"/>
  <c r="U23" i="1"/>
  <c r="V23" i="1"/>
  <c r="V6" i="1"/>
  <c r="U6" i="1"/>
  <c r="T6" i="1"/>
  <c r="V70" i="1" l="1"/>
  <c r="V150" i="1"/>
  <c r="O224" i="1" l="1"/>
  <c r="K224" i="1"/>
  <c r="L216" i="1" s="1"/>
  <c r="H224" i="1"/>
  <c r="K209" i="1"/>
  <c r="H209" i="1"/>
  <c r="D209" i="1"/>
  <c r="L191" i="1"/>
  <c r="H180" i="1"/>
  <c r="O180" i="1"/>
  <c r="K180" i="1"/>
  <c r="O174" i="1"/>
  <c r="K174" i="1"/>
  <c r="H174" i="1"/>
  <c r="D174" i="1"/>
  <c r="E161" i="1" s="1"/>
  <c r="O143" i="1"/>
  <c r="K143" i="1"/>
  <c r="H143" i="1"/>
  <c r="T143" i="1" s="1"/>
  <c r="H135" i="1"/>
  <c r="K135" i="1"/>
  <c r="L119" i="1" s="1"/>
  <c r="O101" i="1"/>
  <c r="K101" i="1"/>
  <c r="H101" i="1"/>
  <c r="D101" i="1"/>
  <c r="E97" i="1" s="1"/>
  <c r="O62" i="1"/>
  <c r="H62" i="1"/>
  <c r="O23" i="1"/>
  <c r="H23" i="1"/>
  <c r="L79" i="1" l="1"/>
  <c r="L97" i="1"/>
  <c r="L163" i="1"/>
  <c r="L44" i="1"/>
  <c r="L126" i="1"/>
  <c r="L118" i="1"/>
  <c r="B5" i="3"/>
  <c r="L192" i="1"/>
  <c r="L82" i="1"/>
  <c r="L96" i="1"/>
  <c r="L133" i="1"/>
  <c r="B4" i="3"/>
  <c r="L156" i="1"/>
  <c r="L161" i="1"/>
  <c r="L162" i="1"/>
  <c r="L168" i="1"/>
  <c r="L147" i="1"/>
  <c r="L196" i="1"/>
  <c r="L195" i="1"/>
  <c r="E71" i="1"/>
  <c r="B15" i="2"/>
  <c r="B5" i="2" s="1"/>
  <c r="L71" i="1"/>
  <c r="C15" i="2"/>
  <c r="C5" i="2" s="1"/>
  <c r="B18" i="2"/>
  <c r="B8" i="2" s="1"/>
  <c r="E168" i="1"/>
  <c r="E55" i="1"/>
  <c r="L55" i="1"/>
  <c r="L106" i="1"/>
  <c r="L109" i="1"/>
  <c r="E32" i="1"/>
  <c r="L32" i="1"/>
  <c r="L166" i="1"/>
  <c r="L167" i="1"/>
  <c r="L169" i="1"/>
  <c r="E61" i="1"/>
  <c r="E60" i="1"/>
  <c r="C18" i="2"/>
  <c r="C8" i="2" s="1"/>
  <c r="C16" i="2"/>
  <c r="C6" i="2" s="1"/>
  <c r="L108" i="1"/>
  <c r="L139" i="1"/>
  <c r="C17" i="2"/>
  <c r="C7" i="2" s="1"/>
  <c r="B6" i="3"/>
  <c r="C19" i="2"/>
  <c r="C9" i="2" s="1"/>
  <c r="B2" i="3"/>
  <c r="C20" i="2"/>
  <c r="C10" i="2" s="1"/>
  <c r="B7" i="3"/>
  <c r="B8" i="3"/>
  <c r="C4" i="2"/>
  <c r="E99" i="1"/>
  <c r="B9" i="3"/>
  <c r="L84" i="1"/>
  <c r="L99" i="1"/>
  <c r="L60" i="1"/>
  <c r="L189" i="1"/>
  <c r="L190" i="1"/>
  <c r="L193" i="1"/>
  <c r="L194" i="1"/>
  <c r="L197" i="1"/>
  <c r="L198" i="1"/>
  <c r="L199" i="1"/>
  <c r="L127" i="1"/>
  <c r="L128" i="1"/>
  <c r="E81" i="1"/>
  <c r="E84" i="1"/>
  <c r="E167" i="1"/>
  <c r="E169" i="1"/>
  <c r="L91" i="1"/>
  <c r="L100" i="1"/>
  <c r="L81" i="1"/>
  <c r="E147" i="1"/>
  <c r="L111" i="1"/>
  <c r="L124" i="1"/>
  <c r="L188" i="1"/>
  <c r="E87" i="1"/>
  <c r="L87" i="1"/>
  <c r="L58" i="1"/>
  <c r="L37" i="1"/>
  <c r="L222" i="1"/>
  <c r="L223" i="1"/>
  <c r="E51" i="1"/>
  <c r="L50" i="1"/>
  <c r="L54" i="1"/>
  <c r="L51" i="1"/>
  <c r="L56" i="1"/>
  <c r="L105" i="1"/>
  <c r="L122" i="1"/>
  <c r="L170" i="1"/>
  <c r="L92" i="1"/>
  <c r="L68" i="1"/>
  <c r="L110" i="1"/>
  <c r="L26" i="1"/>
  <c r="T203" i="1"/>
  <c r="L98" i="1"/>
  <c r="E89" i="1"/>
  <c r="E98" i="1"/>
  <c r="T224" i="1"/>
  <c r="L89" i="1"/>
  <c r="T62" i="1"/>
  <c r="T180" i="1"/>
  <c r="R180" i="1"/>
  <c r="T101" i="1"/>
  <c r="T174" i="1"/>
  <c r="T23" i="1"/>
  <c r="R143" i="1"/>
  <c r="R224" i="1"/>
  <c r="T135" i="1"/>
  <c r="O204" i="1"/>
  <c r="O225" i="1" s="1"/>
  <c r="R174" i="1"/>
  <c r="R135" i="1"/>
  <c r="R101" i="1"/>
  <c r="L67" i="1"/>
  <c r="L69" i="1"/>
  <c r="L72" i="1"/>
  <c r="L74" i="1"/>
  <c r="L76" i="1"/>
  <c r="L78" i="1"/>
  <c r="L80" i="1"/>
  <c r="L83" i="1"/>
  <c r="L86" i="1"/>
  <c r="L90" i="1"/>
  <c r="L94" i="1"/>
  <c r="L66" i="1"/>
  <c r="L70" i="1"/>
  <c r="L73" i="1"/>
  <c r="L75" i="1"/>
  <c r="L77" i="1"/>
  <c r="L85" i="1"/>
  <c r="L88" i="1"/>
  <c r="L93" i="1"/>
  <c r="L95" i="1"/>
  <c r="E28" i="1"/>
  <c r="E30" i="1"/>
  <c r="E33" i="1"/>
  <c r="E35" i="1"/>
  <c r="E37" i="1"/>
  <c r="E39" i="1"/>
  <c r="E41" i="1"/>
  <c r="E43" i="1"/>
  <c r="E46" i="1"/>
  <c r="E50" i="1"/>
  <c r="E56" i="1"/>
  <c r="E58" i="1"/>
  <c r="E27" i="1"/>
  <c r="E29" i="1"/>
  <c r="E31" i="1"/>
  <c r="E34" i="1"/>
  <c r="E36" i="1"/>
  <c r="E38" i="1"/>
  <c r="E40" i="1"/>
  <c r="E42" i="1"/>
  <c r="E45" i="1"/>
  <c r="E47" i="1"/>
  <c r="E54" i="1"/>
  <c r="E57" i="1"/>
  <c r="E59" i="1"/>
  <c r="E26" i="1"/>
  <c r="R203" i="1"/>
  <c r="H204" i="1"/>
  <c r="H225" i="1" s="1"/>
  <c r="J10" i="4"/>
  <c r="I12" i="4"/>
  <c r="H12" i="4"/>
  <c r="G12" i="4"/>
  <c r="F12" i="4"/>
  <c r="E12" i="4"/>
  <c r="C12" i="4"/>
  <c r="E220" i="1"/>
  <c r="L221" i="1"/>
  <c r="L220" i="1"/>
  <c r="L218" i="1"/>
  <c r="L217" i="1"/>
  <c r="L214" i="1"/>
  <c r="L213" i="1"/>
  <c r="L212" i="1"/>
  <c r="L207" i="1"/>
  <c r="E207" i="1"/>
  <c r="L185" i="1"/>
  <c r="L177" i="1"/>
  <c r="E179" i="1"/>
  <c r="E173" i="1"/>
  <c r="E170" i="1"/>
  <c r="L160" i="1"/>
  <c r="L158" i="1"/>
  <c r="L155" i="1"/>
  <c r="L152" i="1"/>
  <c r="L150" i="1"/>
  <c r="L146" i="1"/>
  <c r="L141" i="1"/>
  <c r="E142" i="1"/>
  <c r="L142" i="1"/>
  <c r="E96" i="1"/>
  <c r="E95" i="1"/>
  <c r="E93" i="1"/>
  <c r="E91" i="1"/>
  <c r="E88" i="1"/>
  <c r="E85" i="1"/>
  <c r="E82" i="1"/>
  <c r="E79" i="1"/>
  <c r="E77" i="1"/>
  <c r="E75" i="1"/>
  <c r="E73" i="1"/>
  <c r="E70" i="1"/>
  <c r="E68" i="1"/>
  <c r="E66" i="1"/>
  <c r="L57" i="1"/>
  <c r="R62" i="1"/>
  <c r="L34" i="1"/>
  <c r="K23" i="1"/>
  <c r="L16" i="1" s="1"/>
  <c r="E15" i="1"/>
  <c r="S6" i="1"/>
  <c r="R6" i="1"/>
  <c r="L10" i="1" l="1"/>
  <c r="C13" i="2"/>
  <c r="C3" i="2" s="1"/>
  <c r="B3" i="3"/>
  <c r="J12" i="4"/>
  <c r="I4" i="5"/>
  <c r="I3" i="5" s="1"/>
  <c r="L7" i="1"/>
  <c r="L8" i="1"/>
  <c r="L9" i="1"/>
  <c r="L11" i="1"/>
  <c r="L12" i="1"/>
  <c r="L13" i="1"/>
  <c r="L14" i="1"/>
  <c r="L15" i="1"/>
  <c r="L17" i="1"/>
  <c r="L18" i="1"/>
  <c r="L19" i="1"/>
  <c r="L20" i="1"/>
  <c r="L21" i="1"/>
  <c r="L22" i="1"/>
  <c r="E8" i="1"/>
  <c r="E6" i="1"/>
  <c r="E11" i="1"/>
  <c r="E9" i="1"/>
  <c r="E20" i="1"/>
  <c r="R23" i="1"/>
  <c r="L6" i="1"/>
  <c r="L42" i="1"/>
  <c r="L138" i="1"/>
  <c r="L148" i="1"/>
  <c r="L151" i="1"/>
  <c r="L154" i="1"/>
  <c r="L159" i="1"/>
  <c r="L164" i="1"/>
  <c r="E19" i="1"/>
  <c r="L65" i="1"/>
  <c r="E69" i="1"/>
  <c r="E138" i="1"/>
  <c r="E146" i="1"/>
  <c r="E148" i="1"/>
  <c r="E149" i="1"/>
  <c r="E154" i="1"/>
  <c r="E155" i="1"/>
  <c r="E156" i="1"/>
  <c r="E157" i="1"/>
  <c r="E163" i="1"/>
  <c r="E166" i="1"/>
  <c r="E172" i="1"/>
  <c r="E12" i="1"/>
  <c r="E14" i="1"/>
  <c r="E17" i="1"/>
  <c r="E21" i="1"/>
  <c r="L30" i="1"/>
  <c r="L39" i="1"/>
  <c r="L46" i="1"/>
  <c r="K204" i="1"/>
  <c r="L140" i="1"/>
  <c r="E150" i="1"/>
  <c r="E151" i="1"/>
  <c r="E152" i="1"/>
  <c r="E153" i="1"/>
  <c r="E158" i="1"/>
  <c r="E159" i="1"/>
  <c r="E160" i="1"/>
  <c r="E162" i="1"/>
  <c r="E164" i="1"/>
  <c r="E165" i="1"/>
  <c r="E171" i="1"/>
  <c r="L184" i="1"/>
  <c r="L115" i="1"/>
  <c r="L114" i="1"/>
  <c r="L35" i="1"/>
  <c r="L47" i="1"/>
  <c r="E141" i="1"/>
  <c r="L172" i="1"/>
  <c r="L179" i="1"/>
  <c r="E215" i="1"/>
  <c r="E219" i="1"/>
  <c r="E223" i="1"/>
  <c r="D12" i="4"/>
  <c r="E107" i="1"/>
  <c r="L41" i="1"/>
  <c r="L31" i="1"/>
  <c r="L43" i="1"/>
  <c r="L149" i="1"/>
  <c r="L153" i="1"/>
  <c r="L157" i="1"/>
  <c r="E178" i="1"/>
  <c r="E188" i="1"/>
  <c r="E208" i="1"/>
  <c r="L215" i="1"/>
  <c r="L219" i="1"/>
  <c r="L29" i="1"/>
  <c r="E7" i="1"/>
  <c r="E18" i="1"/>
  <c r="E22" i="1"/>
  <c r="L28" i="1"/>
  <c r="L49" i="1"/>
  <c r="E65" i="1"/>
  <c r="E74" i="1"/>
  <c r="E78" i="1"/>
  <c r="E83" i="1"/>
  <c r="E90" i="1"/>
  <c r="E94" i="1"/>
  <c r="E100" i="1"/>
  <c r="E140" i="1"/>
  <c r="L165" i="1"/>
  <c r="L171" i="1"/>
  <c r="L178" i="1"/>
  <c r="L208" i="1"/>
  <c r="R209" i="1"/>
  <c r="E214" i="1"/>
  <c r="E218" i="1"/>
  <c r="E222" i="1"/>
  <c r="E177" i="1"/>
  <c r="E185" i="1"/>
  <c r="E213" i="1"/>
  <c r="E217" i="1"/>
  <c r="E221" i="1"/>
  <c r="L48" i="1"/>
  <c r="L61" i="1"/>
  <c r="L27" i="1"/>
  <c r="L36" i="1"/>
  <c r="E184" i="1"/>
  <c r="E13" i="1"/>
  <c r="E16" i="1"/>
  <c r="L33" i="1"/>
  <c r="L45" i="1"/>
  <c r="E67" i="1"/>
  <c r="E72" i="1"/>
  <c r="E76" i="1"/>
  <c r="E80" i="1"/>
  <c r="E86" i="1"/>
  <c r="E92" i="1"/>
  <c r="L173" i="1"/>
  <c r="E212" i="1"/>
  <c r="E216" i="1"/>
  <c r="L125" i="1" l="1"/>
  <c r="L107" i="1"/>
  <c r="L112" i="1"/>
  <c r="L130" i="1"/>
  <c r="L113" i="1"/>
  <c r="K225" i="1"/>
  <c r="L23" i="1"/>
  <c r="L174" i="1"/>
  <c r="L62" i="1"/>
  <c r="L143" i="1"/>
  <c r="L101" i="1"/>
  <c r="L135" i="1"/>
  <c r="L203" i="1"/>
  <c r="L180" i="1"/>
  <c r="L117" i="1"/>
  <c r="L116" i="1"/>
  <c r="L134" i="1"/>
  <c r="L129" i="1"/>
  <c r="L131" i="1"/>
  <c r="L132" i="1"/>
  <c r="L123" i="1"/>
  <c r="E132" i="1"/>
  <c r="E129" i="1"/>
  <c r="E116" i="1"/>
  <c r="E113" i="1"/>
  <c r="E114" i="1"/>
  <c r="E124" i="1"/>
  <c r="E115" i="1"/>
  <c r="D204" i="1"/>
  <c r="E134" i="1"/>
  <c r="E105" i="1"/>
  <c r="E117" i="1"/>
  <c r="E112" i="1"/>
  <c r="E131" i="1"/>
  <c r="E130" i="1"/>
  <c r="E125" i="1"/>
  <c r="E122" i="1"/>
  <c r="E135" i="1" l="1"/>
  <c r="R204" i="1"/>
  <c r="E62" i="1"/>
  <c r="E174" i="1"/>
  <c r="D225" i="1"/>
  <c r="E101" i="1"/>
  <c r="E23" i="1"/>
  <c r="E203" i="1"/>
  <c r="E143" i="1"/>
  <c r="E180" i="1"/>
</calcChain>
</file>

<file path=xl/sharedStrings.xml><?xml version="1.0" encoding="utf-8"?>
<sst xmlns="http://schemas.openxmlformats.org/spreadsheetml/2006/main" count="467" uniqueCount="294">
  <si>
    <t>% Change (Current from Previous)</t>
  </si>
  <si>
    <t>Difference</t>
  </si>
  <si>
    <t>S/N</t>
  </si>
  <si>
    <t>FUND</t>
  </si>
  <si>
    <t>FUND MANAGER</t>
  </si>
  <si>
    <t>NAV (N)</t>
  </si>
  <si>
    <t>% on Total</t>
  </si>
  <si>
    <t>Bid Price (N)</t>
  </si>
  <si>
    <t>Offer Price (N)</t>
  </si>
  <si>
    <t>Yield (WTD)</t>
  </si>
  <si>
    <t>Yield  (YTD)</t>
  </si>
  <si>
    <t>NAV (%)</t>
  </si>
  <si>
    <t>Unit Price (%)</t>
  </si>
  <si>
    <t>Yield (%) WYD</t>
  </si>
  <si>
    <t>Yield (%) YTD</t>
  </si>
  <si>
    <t>EQUITY BASED FUNDS</t>
  </si>
  <si>
    <t>Afrinvest Equity Fund</t>
  </si>
  <si>
    <t>Afrinvest Asset Mgt Ltd.</t>
  </si>
  <si>
    <t>Anchoria Equity Fund</t>
  </si>
  <si>
    <t>Anchoria Asset Management Limited</t>
  </si>
  <si>
    <t>ARM Aggressive Growth Fund</t>
  </si>
  <si>
    <t>Asset &amp; Resources Mgt. Co. Ltd</t>
  </si>
  <si>
    <t>AXA Mansard Equity Income Fund</t>
  </si>
  <si>
    <t>AXA Mansard Investments Limited</t>
  </si>
  <si>
    <t>Cowry Equity Fund</t>
  </si>
  <si>
    <t>Cowry Treasurers Limited</t>
  </si>
  <si>
    <t>FBN Nigeria Smart Beta Equity Fund</t>
  </si>
  <si>
    <t>FBNQuest Asset Management Limited</t>
  </si>
  <si>
    <t>Frontier Fund</t>
  </si>
  <si>
    <t>SCM Capital Limited</t>
  </si>
  <si>
    <t>Futureview Equity Fund</t>
  </si>
  <si>
    <t>Futureview Asset Management Limited</t>
  </si>
  <si>
    <t>Guaranty Trust Fund Managers</t>
  </si>
  <si>
    <t>Legacy Equity Fund</t>
  </si>
  <si>
    <t>First City Asset Management Limited</t>
  </si>
  <si>
    <t>Meristem Equity Market Fund</t>
  </si>
  <si>
    <t>Meristem Wealth Management Limited</t>
  </si>
  <si>
    <t>PACAM Equity Fund</t>
  </si>
  <si>
    <t>PAC Asset Management Limited</t>
  </si>
  <si>
    <t>Paramount Equity Fund</t>
  </si>
  <si>
    <t>Chapel Hill Denham Mgt. Limited</t>
  </si>
  <si>
    <t>Stanbic IBTC Aggressive Fund (Sub Fund)</t>
  </si>
  <si>
    <t>Stanbic IBTC Asset Mgt. Limited</t>
  </si>
  <si>
    <t>Stanbic IBTC Nigerian Equity Fund</t>
  </si>
  <si>
    <t>United Capital Equity Fund</t>
  </si>
  <si>
    <t>United Capital Asset Mgt. Ltd</t>
  </si>
  <si>
    <t>Sub-Total</t>
  </si>
  <si>
    <t>MONEY MARKET FUNDS</t>
  </si>
  <si>
    <t>Afrinvest Plutus Fund</t>
  </si>
  <si>
    <t>AIICO Money Market Fund</t>
  </si>
  <si>
    <t>AIICO Capital Ltd</t>
  </si>
  <si>
    <t>Anchoria Money Market Fund</t>
  </si>
  <si>
    <t>ARM Money Market Fund</t>
  </si>
  <si>
    <t>AXA Mansard Money Market Fund</t>
  </si>
  <si>
    <t>Chapel Hill Denham Money Market Fund</t>
  </si>
  <si>
    <t>Coral Money Market Fund</t>
  </si>
  <si>
    <t>FSDH Asset Management Ltd</t>
  </si>
  <si>
    <t>Cordros Money Market Fund</t>
  </si>
  <si>
    <t>Cordros Asset Management Limited</t>
  </si>
  <si>
    <t>Core Investment Money Market Fund</t>
  </si>
  <si>
    <t>Core Asset Management Limited</t>
  </si>
  <si>
    <t>Coronation Money Market Fund</t>
  </si>
  <si>
    <t>Coronation Asset Management Ltd</t>
  </si>
  <si>
    <t>EDC Money Market Fund Class A</t>
  </si>
  <si>
    <t>EDC Fund Management Limited</t>
  </si>
  <si>
    <t>EDC Money Market Fund Class B</t>
  </si>
  <si>
    <t>Emerging Africa Money Market Fund</t>
  </si>
  <si>
    <t>Emerging Africa Asset Management Limited</t>
  </si>
  <si>
    <t>FBN Money Market Fund</t>
  </si>
  <si>
    <t>First Ally Money Market Fund</t>
  </si>
  <si>
    <t>First Ally Asset Management Limited</t>
  </si>
  <si>
    <t>GDL Money Market Fund</t>
  </si>
  <si>
    <t>Growth &amp; Development Asset Management Limited</t>
  </si>
  <si>
    <t>Greenwich Plus Money Market Fund</t>
  </si>
  <si>
    <t>Greenwich Asset Management Limited</t>
  </si>
  <si>
    <t>Legacy Money Market Fund</t>
  </si>
  <si>
    <t>Meristem Money Market Fund</t>
  </si>
  <si>
    <t>Norrenberger Money Market Fund</t>
  </si>
  <si>
    <t>Norrenberger Investment &amp; Capital Mgt. Ltd.</t>
  </si>
  <si>
    <t>Nova Prime Money Market Fund</t>
  </si>
  <si>
    <t xml:space="preserve">Novambl Asset Management </t>
  </si>
  <si>
    <t>PACAM Money Market Fund</t>
  </si>
  <si>
    <t>Stanbic IBTC Money Market Fund</t>
  </si>
  <si>
    <t>Trustbanc Money Market Fund</t>
  </si>
  <si>
    <t>Trustbanc Asset Management Limited</t>
  </si>
  <si>
    <t>United Capital Money Market Fund</t>
  </si>
  <si>
    <t>ValuAlliance Money Market  Fund</t>
  </si>
  <si>
    <t>ValuAlliance Asset Management Limited</t>
  </si>
  <si>
    <t>Vetiva Money Market Fund</t>
  </si>
  <si>
    <t>Vetiva Fund Managers</t>
  </si>
  <si>
    <t>Zenith Money Market Fund</t>
  </si>
  <si>
    <t>Zenith Asset Management Ltd</t>
  </si>
  <si>
    <t>BOND/FIXED INCOME FUNDS</t>
  </si>
  <si>
    <t>Anchoria Fixed Income Fund</t>
  </si>
  <si>
    <t>ARM Fixed Income Fund</t>
  </si>
  <si>
    <t>ARM Short Term Bond Fund</t>
  </si>
  <si>
    <t>AVA GAM Fixed Income Fund</t>
  </si>
  <si>
    <t>AVA Global Asset Managers Limited</t>
  </si>
  <si>
    <t>CardinalStone Fixed Income Alpha Fund</t>
  </si>
  <si>
    <t>CardinalStone Asset Mgt. Limited</t>
  </si>
  <si>
    <t>CEAT Fixed Income Fund</t>
  </si>
  <si>
    <t>Capital Express Asset and Trust Limited</t>
  </si>
  <si>
    <t>Coral Income Fund</t>
  </si>
  <si>
    <t>Cordros Fixed Income Fund</t>
  </si>
  <si>
    <t>Coronation Fixed Income Fund</t>
  </si>
  <si>
    <t xml:space="preserve">Coronation Asset Management </t>
  </si>
  <si>
    <t>Cowry Fixed Income Fund</t>
  </si>
  <si>
    <t>DLM Fixed Income Fund</t>
  </si>
  <si>
    <t>DLM Asset Management Limited</t>
  </si>
  <si>
    <t>EDC Fixed Income Fund</t>
  </si>
  <si>
    <t>Emerging Africa Bond Fund</t>
  </si>
  <si>
    <t>FBN Bond Fund</t>
  </si>
  <si>
    <t>GDL Income Fund</t>
  </si>
  <si>
    <t>Lead Fixed Income Fund</t>
  </si>
  <si>
    <t>Lead Asset Management Limited</t>
  </si>
  <si>
    <t>Legacy Debt Fund</t>
  </si>
  <si>
    <t>Nigeria Bond Fund</t>
  </si>
  <si>
    <t>Nigeria International Debt Fund</t>
  </si>
  <si>
    <t>PACAM Fixed Income Fund</t>
  </si>
  <si>
    <t>SFS Fixed Income Fund</t>
  </si>
  <si>
    <t>SFS Capital Nigeria Ltd</t>
  </si>
  <si>
    <t>Stanbic IBTC Absolute Fund (Sub Fund)</t>
  </si>
  <si>
    <t>Stanbic IBTC Bond Fund</t>
  </si>
  <si>
    <t>Stanbic IBTC Conservative Fund (Sub Fund)</t>
  </si>
  <si>
    <t>Stanbic IBTC Enhanced Short-Term Fixed Income Fund</t>
  </si>
  <si>
    <t>Stanbic IBTC Guaranteed Investment Fund</t>
  </si>
  <si>
    <t>United Capital Fixed Income Fund</t>
  </si>
  <si>
    <t>Zenith Income Fund</t>
  </si>
  <si>
    <t>DOLLAR FUNDS</t>
  </si>
  <si>
    <t>Afrinvest Dollar Fund</t>
  </si>
  <si>
    <t>ARM Eurobond Fund</t>
  </si>
  <si>
    <t>Emerging Africa Eurobond Fund</t>
  </si>
  <si>
    <t>FBN Dollar Fund (Retail)</t>
  </si>
  <si>
    <t>FBN Specialized Dollar Fund</t>
  </si>
  <si>
    <t>Futureview Dollar Fund</t>
  </si>
  <si>
    <t>Legacy USD Bond Fund</t>
  </si>
  <si>
    <t>Norrenberger Dollar Fund</t>
  </si>
  <si>
    <t>PACAM Eurobond Fund</t>
  </si>
  <si>
    <t>EDC Dollar Fund</t>
  </si>
  <si>
    <t>AVA GAM Fixed Income Dollar Fund</t>
  </si>
  <si>
    <t>AXA Mansard Dollar Bond Fund</t>
  </si>
  <si>
    <t>Cordros Dollar Fund</t>
  </si>
  <si>
    <t>FSDH Dollar Fund</t>
  </si>
  <si>
    <t>Nigeria Dollar Income Fund</t>
  </si>
  <si>
    <t>Nova Dollar Fixed Income Fund</t>
  </si>
  <si>
    <t>Stanbic IBTC Dollar Fund</t>
  </si>
  <si>
    <t>United Capital Global Fixed Income Fund</t>
  </si>
  <si>
    <t>REAL ESTATE INVESTMENT TRUSTS</t>
  </si>
  <si>
    <t>Nigeria Real Estate Investment Trust</t>
  </si>
  <si>
    <t>SFS Real Estate Investment Trust Fund</t>
  </si>
  <si>
    <t>Union Homes REITS</t>
  </si>
  <si>
    <t>UPDC Real Estate Investment Trust</t>
  </si>
  <si>
    <t>BALANCED FUNDS</t>
  </si>
  <si>
    <t>AIICO Balanced Fund</t>
  </si>
  <si>
    <t>ARM Discovery Balanced Fund</t>
  </si>
  <si>
    <t>Balanced Strategy Fund</t>
  </si>
  <si>
    <t>Capital Express Balanced Fund</t>
  </si>
  <si>
    <t>Coral Balanced Fund</t>
  </si>
  <si>
    <t>Cordros Milestone Fund</t>
  </si>
  <si>
    <t>Core Value Mixed Fund</t>
  </si>
  <si>
    <t>Coronation Balanced Fund</t>
  </si>
  <si>
    <t>Cowry Balanced Fund</t>
  </si>
  <si>
    <t>EDC Balanced Fund</t>
  </si>
  <si>
    <t>Emerging Africa Balanced-Diversity Fund</t>
  </si>
  <si>
    <t>FBN Balanced Fund</t>
  </si>
  <si>
    <t>GDL Canary Growth Fund</t>
  </si>
  <si>
    <t>Greenwich Balanced Fund</t>
  </si>
  <si>
    <t>Lead Balanced Fund</t>
  </si>
  <si>
    <t>Nigeria Energy Sector Fund</t>
  </si>
  <si>
    <t>Nova Hybrid Balanced Fund</t>
  </si>
  <si>
    <t>PACAM Balanced Fund</t>
  </si>
  <si>
    <t>Stanbic IBTC Balanced Fund</t>
  </si>
  <si>
    <t>United Capital Balanced Fund</t>
  </si>
  <si>
    <t>United Capital Wealth for Women Fund</t>
  </si>
  <si>
    <t>ValuAlliance Value Fund</t>
  </si>
  <si>
    <t>Women's Balanced Fund</t>
  </si>
  <si>
    <t>ETHICAL FUNDS</t>
  </si>
  <si>
    <t>ARM Ethical Fund</t>
  </si>
  <si>
    <t>ESG Impact Fund</t>
  </si>
  <si>
    <t>Zenith Asset Management Ltd.</t>
  </si>
  <si>
    <t>Stanbic IBTC Ethical Fund</t>
  </si>
  <si>
    <t>SHARI'AH COMPLIANT FUNDS</t>
  </si>
  <si>
    <t>Lotus Halal Investment Fund</t>
  </si>
  <si>
    <t>Lotus Capital Limited</t>
  </si>
  <si>
    <t>Stanbic IBTC Imaan Fund</t>
  </si>
  <si>
    <t>CapitalTrust Halal Fixed Income Fund</t>
  </si>
  <si>
    <t>CapitalTrust Investments &amp; Asset Management Ltd.</t>
  </si>
  <si>
    <t>Cordros Halal Fixed Income Fund</t>
  </si>
  <si>
    <t>EDC Halal Fund</t>
  </si>
  <si>
    <t>FBN Halal Fund</t>
  </si>
  <si>
    <t>Lotus Capital Fixed Income Fund</t>
  </si>
  <si>
    <t>Norrenberger Islamic Fund</t>
  </si>
  <si>
    <t>Stanbic IBTC Shariah Fixed Income Fund</t>
  </si>
  <si>
    <t>United Capital Sukuk Fund</t>
  </si>
  <si>
    <t>Marble Halal Commodities Fund</t>
  </si>
  <si>
    <t xml:space="preserve">Marble Capital Limited </t>
  </si>
  <si>
    <t>Mutual Funds Total</t>
  </si>
  <si>
    <t>INFRASTRUCTURE FUNDS</t>
  </si>
  <si>
    <t>Nigeria Infrastructure Debt Fund (NIDF)</t>
  </si>
  <si>
    <t>Chapel Hill Denham Management Limited</t>
  </si>
  <si>
    <t>United Capital Infrastructure Fund</t>
  </si>
  <si>
    <t>Infrastructure Funds Total</t>
  </si>
  <si>
    <t>EXCHANGE TRADED FUNDS</t>
  </si>
  <si>
    <t>Greenwich ALPHA ETF</t>
  </si>
  <si>
    <t>Lotus Capital Halal ETF</t>
  </si>
  <si>
    <t>Meristem Growth ETF</t>
  </si>
  <si>
    <t>Meristem Value ETF</t>
  </si>
  <si>
    <t>New Gold ETF</t>
  </si>
  <si>
    <t>New Gold Managers (Proprietary) Ltd</t>
  </si>
  <si>
    <t>SIAML ETF 40</t>
  </si>
  <si>
    <t>Stanbic IBTC Asset Mgt.Limited</t>
  </si>
  <si>
    <t>Stanbic IBTC ETF 30 Fund</t>
  </si>
  <si>
    <t>VCG ETF</t>
  </si>
  <si>
    <t>Vetiva Fund Managers Limited</t>
  </si>
  <si>
    <t>VETBANK ETF</t>
  </si>
  <si>
    <t>Vetiva S &amp; P Nig. Sovereign Bond ETF</t>
  </si>
  <si>
    <t>VG 30 ETF</t>
  </si>
  <si>
    <t>VI ETF</t>
  </si>
  <si>
    <t>ETF Total</t>
  </si>
  <si>
    <t>Grand Total</t>
  </si>
  <si>
    <t>FUNDS</t>
  </si>
  <si>
    <t>BONDS/FIXED INCOME FUNDS</t>
  </si>
  <si>
    <t>REAL ESTATE INVESTMENT TRUST</t>
  </si>
  <si>
    <t>SHARI'AH COMPLAINT FUNDS</t>
  </si>
  <si>
    <t>TOTAL</t>
  </si>
  <si>
    <t>MOVING AVERAGE:</t>
  </si>
  <si>
    <t>-</t>
  </si>
  <si>
    <t>Unitholders</t>
  </si>
  <si>
    <t>EUROBONDS</t>
  </si>
  <si>
    <t>FIXED INCOME</t>
  </si>
  <si>
    <t>EQUITIES</t>
  </si>
  <si>
    <t>DATE</t>
  </si>
  <si>
    <t>TOTAL NAV</t>
  </si>
  <si>
    <t>Uniholders</t>
  </si>
  <si>
    <t>Radix Horizon Fund</t>
  </si>
  <si>
    <t>Radix Capital Partners Limited</t>
  </si>
  <si>
    <t>Guaranty Trust Equity Income Fund</t>
  </si>
  <si>
    <t>Guaranty Trust Money Market Fund</t>
  </si>
  <si>
    <t>Guaranty Trust Balanced Fund</t>
  </si>
  <si>
    <t>Utica Custodian Assured Fixed Income Fund</t>
  </si>
  <si>
    <t>Utica Capital Limited</t>
  </si>
  <si>
    <t>Cowry Eurobond Fund</t>
  </si>
  <si>
    <t>Marble Halal Fixed Income Fund</t>
  </si>
  <si>
    <t>Housing Solution Fund</t>
  </si>
  <si>
    <t>Fundco Capital Managers Limited</t>
  </si>
  <si>
    <t>Page Money Market Fund</t>
  </si>
  <si>
    <t>Page Asset Management Limited</t>
  </si>
  <si>
    <t>FSDH Halal Fund</t>
  </si>
  <si>
    <t>Note:</t>
  </si>
  <si>
    <t>Guaranty Trust Fixed Income Fund</t>
  </si>
  <si>
    <t>Norrenberger Turbo Fund (NTF)</t>
  </si>
  <si>
    <t>Lead Dollar Fixed Income Fund</t>
  </si>
  <si>
    <t>Alpha Morgan Capital Managers Limited</t>
  </si>
  <si>
    <t>Alpha Morgan Balanced Fund</t>
  </si>
  <si>
    <t>The Nigeria Football Fund</t>
  </si>
  <si>
    <t>GTI Asset Management &amp; Trust Limited</t>
  </si>
  <si>
    <t>Meristem Fixed Income Fund</t>
  </si>
  <si>
    <t>Meristem Dollar Fund</t>
  </si>
  <si>
    <t>Zedcrest Money Market Fund</t>
  </si>
  <si>
    <t>Zedcrest Investment Managers Limited</t>
  </si>
  <si>
    <t>Zedcrest Fixed Income Fund</t>
  </si>
  <si>
    <t>Zedcrest Dollar Fund</t>
  </si>
  <si>
    <t>EXCHANGE TRADED FUNDS (ETFs)</t>
  </si>
  <si>
    <t>ETFs AGGREGATE</t>
  </si>
  <si>
    <t>CardinalStone Equity Fund</t>
  </si>
  <si>
    <t>CardinalStone Dollar Fund</t>
  </si>
  <si>
    <t>AIICO Eurobond Fund</t>
  </si>
  <si>
    <t>Comercio Partners Asset Management Limited</t>
  </si>
  <si>
    <t>Comercio Partners Money Market Fund</t>
  </si>
  <si>
    <t>Comercio Partners Fixed Income Fund</t>
  </si>
  <si>
    <t>Comercio Partners Dollar Fund</t>
  </si>
  <si>
    <t>STL Asset Management Limited</t>
  </si>
  <si>
    <t>STL Money Market Fund</t>
  </si>
  <si>
    <t>STL Balanced Fund</t>
  </si>
  <si>
    <t>RT Briscoe Savings &amp; Investment Fund</t>
  </si>
  <si>
    <t>GTI Balanced Fund</t>
  </si>
  <si>
    <t>Guaranty Dollar Fund</t>
  </si>
  <si>
    <t>RMB Nigeria Asset Management Ltd.</t>
  </si>
  <si>
    <t>RMBN Money Market Fund</t>
  </si>
  <si>
    <t>RMBN Dollar Fixed Income Fund</t>
  </si>
  <si>
    <t>Emerging Africa Halal Fund</t>
  </si>
  <si>
    <t>United Capital Nigerian Eurobond Fund</t>
  </si>
  <si>
    <t>dayo</t>
  </si>
  <si>
    <t>NAV, Unit Price and Yield as at Week Ended August 23, 2024</t>
  </si>
  <si>
    <t>BALANCED</t>
  </si>
  <si>
    <t>Lotus Waqf (Endowment) Fund</t>
  </si>
  <si>
    <t>Week Ended August 23, 2024</t>
  </si>
  <si>
    <t>WEEKLY VALUATION REPORT OF COLLECTIVE INVESTMENT SCHEMES AS AT WEEK ENDED FRIDAY, AUGUST 30, 2024</t>
  </si>
  <si>
    <t>NAV, Unit Price and Yield as at Week Ended August 30, 2024</t>
  </si>
  <si>
    <t>GTI  Money Market Fund</t>
  </si>
  <si>
    <r>
      <t>US$/NG</t>
    </r>
    <r>
      <rPr>
        <strike/>
        <sz val="6"/>
        <color theme="0"/>
        <rFont val="Times New Roman"/>
        <family val="1"/>
      </rPr>
      <t>N</t>
    </r>
    <r>
      <rPr>
        <sz val="6"/>
        <color theme="0"/>
        <rFont val="Times New Roman"/>
        <family val="1"/>
      </rPr>
      <t xml:space="preserve"> I&amp;E as at 30th August, 2024 = N1,598.642</t>
    </r>
  </si>
  <si>
    <t>United Capital Stable Income Fund</t>
  </si>
  <si>
    <t>Week Ended August 30, 2024</t>
  </si>
  <si>
    <t>The chart above shows that the Dollar Fund category (Eurobonds and Fixed Income) has the highest share of the Aggregate Net Asset Value (NAV) at 48.41%, followed by Money Market Fund with 38.13%, Bond/Fixed Income Fund at 6.53%, Real Estate Investment Trust at 2.90%.  Next is Balanced Fund at 1.51%, Shari'ah Compliant Fund at 1.53%, Equity Fund at 0.84% and Ethical Fund at 0.16%.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</si>
</sst>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.000_);_(* \(#,##0.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theme="1"/>
      <name val="Arial Narrow"/>
      <family val="2"/>
    </font>
    <font>
      <i/>
      <sz val="8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2"/>
      <name val="Arial Narrow"/>
      <family val="2"/>
    </font>
    <font>
      <sz val="8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8"/>
      <color theme="0"/>
      <name val="Ebrima"/>
    </font>
    <font>
      <sz val="10"/>
      <name val="Arial Narrow"/>
      <family val="2"/>
    </font>
    <font>
      <sz val="11"/>
      <color theme="0"/>
      <name val="Calibri"/>
      <family val="2"/>
      <scheme val="minor"/>
    </font>
    <font>
      <b/>
      <sz val="8"/>
      <color rgb="FFFF0000"/>
      <name val="Arial Narrow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0"/>
      <color theme="1"/>
      <name val="Futura Bk BT"/>
      <family val="2"/>
    </font>
    <font>
      <sz val="10"/>
      <color rgb="FFFF0000"/>
      <name val="Arial Narrow"/>
      <family val="2"/>
    </font>
    <font>
      <b/>
      <sz val="6"/>
      <color theme="0"/>
      <name val="Times New Roman"/>
      <family val="1"/>
    </font>
    <font>
      <sz val="6"/>
      <color theme="0"/>
      <name val="Times New Roman"/>
      <family val="1"/>
    </font>
    <font>
      <strike/>
      <sz val="6"/>
      <color theme="0"/>
      <name val="Times New Roman"/>
      <family val="1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Aptos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b/>
      <sz val="11"/>
      <name val="Arial Narrow"/>
      <family val="2"/>
    </font>
    <font>
      <sz val="12"/>
      <color rgb="FF000000"/>
      <name val="Calibri"/>
      <family val="2"/>
      <scheme val="minor"/>
    </font>
    <font>
      <sz val="8"/>
      <color rgb="FFFF0000"/>
      <name val="Arial Narrow"/>
      <family val="2"/>
    </font>
    <font>
      <b/>
      <sz val="11"/>
      <color theme="1"/>
      <name val="Aptos"/>
      <family val="2"/>
    </font>
    <font>
      <sz val="6"/>
      <color theme="0"/>
      <name val="Arial Narrow"/>
      <family val="2"/>
    </font>
    <font>
      <sz val="6"/>
      <color theme="0"/>
      <name val="Calibri"/>
      <family val="2"/>
      <scheme val="minor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b/>
      <sz val="8"/>
      <color theme="0"/>
      <name val="Arial Narrow"/>
      <family val="2"/>
    </font>
    <font>
      <sz val="8"/>
      <color theme="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0" fontId="27" fillId="0" borderId="0"/>
    <xf numFmtId="43" fontId="29" fillId="0" borderId="0" applyFont="0" applyFill="0" applyBorder="0" applyAlignment="0" applyProtection="0"/>
    <xf numFmtId="0" fontId="30" fillId="0" borderId="10" applyNumberFormat="0" applyFill="0" applyAlignment="0" applyProtection="0"/>
    <xf numFmtId="0" fontId="31" fillId="0" borderId="11" applyNumberFormat="0" applyFill="0" applyAlignment="0" applyProtection="0"/>
    <xf numFmtId="0" fontId="32" fillId="0" borderId="12" applyNumberFormat="0" applyFill="0" applyAlignment="0" applyProtection="0"/>
    <xf numFmtId="0" fontId="32" fillId="0" borderId="0" applyNumberFormat="0" applyFill="0" applyBorder="0" applyAlignment="0" applyProtection="0"/>
    <xf numFmtId="0" fontId="33" fillId="14" borderId="0" applyNumberFormat="0" applyBorder="0" applyAlignment="0" applyProtection="0"/>
    <xf numFmtId="0" fontId="34" fillId="15" borderId="0" applyNumberFormat="0" applyBorder="0" applyAlignment="0" applyProtection="0"/>
    <xf numFmtId="0" fontId="35" fillId="17" borderId="13" applyNumberFormat="0" applyAlignment="0" applyProtection="0"/>
    <xf numFmtId="0" fontId="36" fillId="18" borderId="14" applyNumberFormat="0" applyAlignment="0" applyProtection="0"/>
    <xf numFmtId="0" fontId="37" fillId="18" borderId="13" applyNumberFormat="0" applyAlignment="0" applyProtection="0"/>
    <xf numFmtId="0" fontId="38" fillId="0" borderId="15" applyNumberFormat="0" applyFill="0" applyAlignment="0" applyProtection="0"/>
    <xf numFmtId="0" fontId="39" fillId="19" borderId="16" applyNumberFormat="0" applyAlignment="0" applyProtection="0"/>
    <xf numFmtId="0" fontId="40" fillId="0" borderId="0" applyNumberFormat="0" applyFill="0" applyBorder="0" applyAlignment="0" applyProtection="0"/>
    <xf numFmtId="0" fontId="1" fillId="20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8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8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4" fillId="16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36" borderId="0" applyNumberFormat="0" applyBorder="0" applyAlignment="0" applyProtection="0"/>
    <xf numFmtId="0" fontId="18" fillId="40" borderId="0" applyNumberFormat="0" applyBorder="0" applyAlignment="0" applyProtection="0"/>
    <xf numFmtId="0" fontId="18" fillId="44" borderId="0" applyNumberFormat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</cellStyleXfs>
  <cellXfs count="183">
    <xf numFmtId="0" fontId="0" fillId="0" borderId="0" xfId="0"/>
    <xf numFmtId="0" fontId="2" fillId="2" borderId="5" xfId="0" applyFont="1" applyFill="1" applyBorder="1"/>
    <xf numFmtId="164" fontId="6" fillId="3" borderId="5" xfId="3" applyFont="1" applyFill="1" applyBorder="1"/>
    <xf numFmtId="10" fontId="6" fillId="2" borderId="5" xfId="2" applyNumberFormat="1" applyFont="1" applyFill="1" applyBorder="1" applyAlignment="1">
      <alignment horizontal="center"/>
    </xf>
    <xf numFmtId="4" fontId="6" fillId="3" borderId="5" xfId="0" applyNumberFormat="1" applyFont="1" applyFill="1" applyBorder="1"/>
    <xf numFmtId="10" fontId="6" fillId="5" borderId="5" xfId="2" applyNumberFormat="1" applyFont="1" applyFill="1" applyBorder="1" applyAlignment="1">
      <alignment horizontal="center"/>
    </xf>
    <xf numFmtId="10" fontId="4" fillId="5" borderId="5" xfId="2" applyNumberFormat="1" applyFont="1" applyFill="1" applyBorder="1" applyAlignment="1">
      <alignment horizontal="center"/>
    </xf>
    <xf numFmtId="164" fontId="6" fillId="3" borderId="5" xfId="1" applyFont="1" applyFill="1" applyBorder="1"/>
    <xf numFmtId="4" fontId="6" fillId="3" borderId="5" xfId="0" applyNumberFormat="1" applyFont="1" applyFill="1" applyBorder="1" applyAlignment="1">
      <alignment horizontal="right"/>
    </xf>
    <xf numFmtId="164" fontId="6" fillId="3" borderId="5" xfId="3" applyFont="1" applyFill="1" applyBorder="1" applyAlignment="1">
      <alignment horizontal="right"/>
    </xf>
    <xf numFmtId="10" fontId="6" fillId="2" borderId="5" xfId="2" applyNumberFormat="1" applyFont="1" applyFill="1" applyBorder="1" applyAlignment="1">
      <alignment horizontal="center" vertical="top" wrapText="1"/>
    </xf>
    <xf numFmtId="4" fontId="6" fillId="3" borderId="5" xfId="1" applyNumberFormat="1" applyFont="1" applyFill="1" applyBorder="1" applyAlignment="1">
      <alignment horizontal="right"/>
    </xf>
    <xf numFmtId="10" fontId="6" fillId="5" borderId="5" xfId="2" applyNumberFormat="1" applyFont="1" applyFill="1" applyBorder="1" applyAlignment="1">
      <alignment horizontal="center" wrapText="1"/>
    </xf>
    <xf numFmtId="164" fontId="6" fillId="3" borderId="5" xfId="3" applyFont="1" applyFill="1" applyBorder="1" applyAlignment="1">
      <alignment horizontal="right" wrapText="1"/>
    </xf>
    <xf numFmtId="2" fontId="6" fillId="3" borderId="5" xfId="0" applyNumberFormat="1" applyFont="1" applyFill="1" applyBorder="1"/>
    <xf numFmtId="164" fontId="6" fillId="3" borderId="5" xfId="3" applyFont="1" applyFill="1" applyBorder="1" applyAlignment="1">
      <alignment wrapText="1"/>
    </xf>
    <xf numFmtId="10" fontId="6" fillId="2" borderId="5" xfId="2" applyNumberFormat="1" applyFont="1" applyFill="1" applyBorder="1" applyAlignment="1">
      <alignment horizontal="center" wrapText="1"/>
    </xf>
    <xf numFmtId="4" fontId="6" fillId="3" borderId="5" xfId="3" applyNumberFormat="1" applyFont="1" applyFill="1" applyBorder="1" applyAlignment="1">
      <alignment horizontal="right"/>
    </xf>
    <xf numFmtId="4" fontId="6" fillId="3" borderId="5" xfId="3" applyNumberFormat="1" applyFont="1" applyFill="1" applyBorder="1" applyAlignment="1">
      <alignment horizontal="right" wrapText="1"/>
    </xf>
    <xf numFmtId="0" fontId="7" fillId="3" borderId="5" xfId="0" applyFont="1" applyFill="1" applyBorder="1"/>
    <xf numFmtId="10" fontId="6" fillId="5" borderId="5" xfId="2" quotePrefix="1" applyNumberFormat="1" applyFont="1" applyFill="1" applyBorder="1" applyAlignment="1">
      <alignment horizontal="center"/>
    </xf>
    <xf numFmtId="4" fontId="6" fillId="3" borderId="5" xfId="3" applyNumberFormat="1" applyFont="1" applyFill="1" applyBorder="1" applyAlignment="1">
      <alignment horizontal="right" vertical="top" wrapText="1"/>
    </xf>
    <xf numFmtId="4" fontId="6" fillId="7" borderId="5" xfId="1" applyNumberFormat="1" applyFont="1" applyFill="1" applyBorder="1" applyAlignment="1">
      <alignment horizontal="right" vertical="top" wrapText="1"/>
    </xf>
    <xf numFmtId="4" fontId="6" fillId="7" borderId="5" xfId="1" applyNumberFormat="1" applyFont="1" applyFill="1" applyBorder="1" applyAlignment="1">
      <alignment horizontal="center" vertical="top" wrapText="1"/>
    </xf>
    <xf numFmtId="164" fontId="8" fillId="7" borderId="5" xfId="1" applyFont="1" applyFill="1" applyBorder="1" applyAlignment="1">
      <alignment horizontal="right" vertical="top" wrapText="1"/>
    </xf>
    <xf numFmtId="10" fontId="4" fillId="7" borderId="5" xfId="2" applyNumberFormat="1" applyFont="1" applyFill="1" applyBorder="1" applyAlignment="1">
      <alignment horizontal="center" vertical="top" wrapText="1"/>
    </xf>
    <xf numFmtId="165" fontId="4" fillId="7" borderId="5" xfId="2" applyNumberFormat="1" applyFont="1" applyFill="1" applyBorder="1" applyAlignment="1">
      <alignment horizontal="center" vertical="top" wrapText="1"/>
    </xf>
    <xf numFmtId="164" fontId="6" fillId="3" borderId="5" xfId="3" applyFont="1" applyFill="1" applyBorder="1" applyAlignment="1">
      <alignment horizontal="right" vertical="top" wrapText="1"/>
    </xf>
    <xf numFmtId="10" fontId="6" fillId="5" borderId="5" xfId="2" applyNumberFormat="1" applyFont="1" applyFill="1" applyBorder="1" applyAlignment="1">
      <alignment horizontal="center" vertical="top" wrapText="1"/>
    </xf>
    <xf numFmtId="164" fontId="6" fillId="3" borderId="5" xfId="1" applyFont="1" applyFill="1" applyBorder="1" applyAlignment="1">
      <alignment horizontal="right" vertical="top" wrapText="1"/>
    </xf>
    <xf numFmtId="10" fontId="6" fillId="3" borderId="5" xfId="2" applyNumberFormat="1" applyFont="1" applyFill="1" applyBorder="1" applyAlignment="1">
      <alignment horizontal="center" vertical="top" wrapText="1"/>
    </xf>
    <xf numFmtId="4" fontId="6" fillId="3" borderId="5" xfId="1" applyNumberFormat="1" applyFont="1" applyFill="1" applyBorder="1" applyAlignment="1">
      <alignment vertical="top" wrapText="1"/>
    </xf>
    <xf numFmtId="10" fontId="6" fillId="5" borderId="5" xfId="1" applyNumberFormat="1" applyFont="1" applyFill="1" applyBorder="1" applyAlignment="1">
      <alignment horizontal="center"/>
    </xf>
    <xf numFmtId="4" fontId="6" fillId="5" borderId="5" xfId="1" applyNumberFormat="1" applyFont="1" applyFill="1" applyBorder="1" applyAlignment="1">
      <alignment horizontal="center"/>
    </xf>
    <xf numFmtId="4" fontId="6" fillId="3" borderId="5" xfId="1" applyNumberFormat="1" applyFont="1" applyFill="1" applyBorder="1" applyAlignment="1">
      <alignment horizontal="right" vertical="top" wrapText="1"/>
    </xf>
    <xf numFmtId="4" fontId="6" fillId="5" borderId="5" xfId="1" applyNumberFormat="1" applyFont="1" applyFill="1" applyBorder="1" applyAlignment="1">
      <alignment horizontal="center" vertical="top" wrapText="1"/>
    </xf>
    <xf numFmtId="43" fontId="6" fillId="3" borderId="5" xfId="0" applyNumberFormat="1" applyFont="1" applyFill="1" applyBorder="1"/>
    <xf numFmtId="43" fontId="6" fillId="5" borderId="5" xfId="0" applyNumberFormat="1" applyFont="1" applyFill="1" applyBorder="1" applyAlignment="1">
      <alignment horizontal="center"/>
    </xf>
    <xf numFmtId="0" fontId="6" fillId="7" borderId="5" xfId="0" applyFont="1" applyFill="1" applyBorder="1" applyAlignment="1">
      <alignment horizontal="right" vertical="center"/>
    </xf>
    <xf numFmtId="10" fontId="6" fillId="7" borderId="5" xfId="1" applyNumberFormat="1" applyFont="1" applyFill="1" applyBorder="1" applyAlignment="1">
      <alignment horizontal="right" vertical="center" wrapText="1"/>
    </xf>
    <xf numFmtId="4" fontId="6" fillId="7" borderId="5" xfId="1" applyNumberFormat="1" applyFont="1" applyFill="1" applyBorder="1" applyAlignment="1">
      <alignment horizontal="right" vertical="center" wrapText="1"/>
    </xf>
    <xf numFmtId="9" fontId="6" fillId="7" borderId="5" xfId="2" applyFont="1" applyFill="1" applyBorder="1" applyAlignment="1">
      <alignment horizontal="center" vertical="center" wrapText="1"/>
    </xf>
    <xf numFmtId="4" fontId="6" fillId="7" borderId="5" xfId="1" applyNumberFormat="1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right"/>
    </xf>
    <xf numFmtId="16" fontId="10" fillId="3" borderId="5" xfId="0" applyNumberFormat="1" applyFont="1" applyFill="1" applyBorder="1"/>
    <xf numFmtId="0" fontId="10" fillId="0" borderId="5" xfId="0" applyFont="1" applyBorder="1" applyAlignment="1">
      <alignment horizontal="right"/>
    </xf>
    <xf numFmtId="4" fontId="11" fillId="3" borderId="5" xfId="0" applyNumberFormat="1" applyFont="1" applyFill="1" applyBorder="1"/>
    <xf numFmtId="164" fontId="12" fillId="3" borderId="5" xfId="1" applyFont="1" applyFill="1" applyBorder="1" applyAlignment="1">
      <alignment horizontal="right" vertical="top" wrapText="1"/>
    </xf>
    <xf numFmtId="0" fontId="13" fillId="4" borderId="5" xfId="0" applyFont="1" applyFill="1" applyBorder="1" applyAlignment="1">
      <alignment horizontal="right"/>
    </xf>
    <xf numFmtId="43" fontId="13" fillId="4" borderId="5" xfId="0" applyNumberFormat="1" applyFont="1" applyFill="1" applyBorder="1"/>
    <xf numFmtId="0" fontId="11" fillId="0" borderId="0" xfId="0" applyFont="1"/>
    <xf numFmtId="164" fontId="11" fillId="0" borderId="0" xfId="1" applyFont="1"/>
    <xf numFmtId="0" fontId="9" fillId="9" borderId="5" xfId="0" applyFont="1" applyFill="1" applyBorder="1" applyAlignment="1">
      <alignment horizontal="right"/>
    </xf>
    <xf numFmtId="43" fontId="9" fillId="9" borderId="5" xfId="0" quotePrefix="1" applyNumberFormat="1" applyFont="1" applyFill="1" applyBorder="1" applyAlignment="1">
      <alignment horizontal="center"/>
    </xf>
    <xf numFmtId="43" fontId="9" fillId="9" borderId="5" xfId="0" applyNumberFormat="1" applyFont="1" applyFill="1" applyBorder="1"/>
    <xf numFmtId="164" fontId="9" fillId="9" borderId="5" xfId="1" applyFont="1" applyFill="1" applyBorder="1"/>
    <xf numFmtId="164" fontId="3" fillId="3" borderId="5" xfId="1" applyFont="1" applyFill="1" applyBorder="1" applyAlignment="1">
      <alignment horizontal="right" vertical="top" wrapText="1"/>
    </xf>
    <xf numFmtId="164" fontId="3" fillId="3" borderId="5" xfId="1" applyFont="1" applyFill="1" applyBorder="1" applyAlignment="1">
      <alignment horizontal="right"/>
    </xf>
    <xf numFmtId="164" fontId="6" fillId="5" borderId="5" xfId="1" applyFont="1" applyFill="1" applyBorder="1" applyAlignment="1">
      <alignment horizontal="center"/>
    </xf>
    <xf numFmtId="164" fontId="6" fillId="5" borderId="5" xfId="1" applyFont="1" applyFill="1" applyBorder="1" applyAlignment="1">
      <alignment horizontal="center" wrapText="1"/>
    </xf>
    <xf numFmtId="164" fontId="4" fillId="5" borderId="5" xfId="1" applyFont="1" applyFill="1" applyBorder="1" applyAlignment="1">
      <alignment horizontal="center"/>
    </xf>
    <xf numFmtId="164" fontId="6" fillId="5" borderId="5" xfId="1" applyFont="1" applyFill="1" applyBorder="1" applyAlignment="1">
      <alignment horizontal="center" vertical="top" wrapText="1"/>
    </xf>
    <xf numFmtId="164" fontId="6" fillId="5" borderId="5" xfId="1" quotePrefix="1" applyFont="1" applyFill="1" applyBorder="1" applyAlignment="1">
      <alignment horizontal="center"/>
    </xf>
    <xf numFmtId="164" fontId="3" fillId="5" borderId="5" xfId="1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7" borderId="5" xfId="0" applyFont="1" applyFill="1" applyBorder="1" applyAlignment="1">
      <alignment horizontal="right" vertical="center"/>
    </xf>
    <xf numFmtId="164" fontId="3" fillId="7" borderId="5" xfId="1" applyFont="1" applyFill="1" applyBorder="1" applyAlignment="1">
      <alignment horizontal="right" vertical="center" wrapText="1"/>
    </xf>
    <xf numFmtId="164" fontId="0" fillId="0" borderId="0" xfId="1" applyFont="1"/>
    <xf numFmtId="0" fontId="3" fillId="3" borderId="5" xfId="0" applyFont="1" applyFill="1" applyBorder="1" applyAlignment="1">
      <alignment horizontal="right"/>
    </xf>
    <xf numFmtId="164" fontId="3" fillId="3" borderId="5" xfId="1" applyFont="1" applyFill="1" applyBorder="1"/>
    <xf numFmtId="164" fontId="3" fillId="7" borderId="5" xfId="1" applyFont="1" applyFill="1" applyBorder="1" applyAlignment="1">
      <alignment horizontal="right" vertical="top" wrapText="1"/>
    </xf>
    <xf numFmtId="0" fontId="6" fillId="3" borderId="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 wrapText="1"/>
    </xf>
    <xf numFmtId="164" fontId="2" fillId="4" borderId="5" xfId="1" applyFont="1" applyFill="1" applyBorder="1" applyAlignment="1">
      <alignment horizontal="center" vertical="top"/>
    </xf>
    <xf numFmtId="10" fontId="6" fillId="4" borderId="5" xfId="2" applyNumberFormat="1" applyFont="1" applyFill="1" applyBorder="1" applyAlignment="1">
      <alignment horizontal="center" vertical="top" wrapText="1"/>
    </xf>
    <xf numFmtId="10" fontId="4" fillId="4" borderId="5" xfId="2" applyNumberFormat="1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vertical="top" wrapText="1"/>
    </xf>
    <xf numFmtId="10" fontId="4" fillId="4" borderId="5" xfId="1" applyNumberFormat="1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 wrapText="1"/>
    </xf>
    <xf numFmtId="10" fontId="4" fillId="7" borderId="5" xfId="1" applyNumberFormat="1" applyFont="1" applyFill="1" applyBorder="1" applyAlignment="1">
      <alignment horizontal="center" vertical="top" wrapText="1"/>
    </xf>
    <xf numFmtId="0" fontId="6" fillId="8" borderId="5" xfId="0" applyFont="1" applyFill="1" applyBorder="1" applyAlignment="1">
      <alignment horizontal="right" vertical="top" wrapText="1"/>
    </xf>
    <xf numFmtId="0" fontId="5" fillId="8" borderId="5" xfId="0" applyFont="1" applyFill="1" applyBorder="1" applyAlignment="1">
      <alignment horizontal="right" vertical="top" wrapText="1"/>
    </xf>
    <xf numFmtId="164" fontId="5" fillId="8" borderId="5" xfId="1" applyFont="1" applyFill="1" applyBorder="1" applyAlignment="1">
      <alignment horizontal="right" vertical="top" wrapText="1"/>
    </xf>
    <xf numFmtId="164" fontId="17" fillId="8" borderId="5" xfId="1" applyFont="1" applyFill="1" applyBorder="1" applyAlignment="1">
      <alignment horizontal="right" vertical="top" wrapText="1"/>
    </xf>
    <xf numFmtId="4" fontId="17" fillId="8" borderId="5" xfId="0" applyNumberFormat="1" applyFont="1" applyFill="1" applyBorder="1" applyAlignment="1">
      <alignment horizontal="right"/>
    </xf>
    <xf numFmtId="9" fontId="17" fillId="8" borderId="5" xfId="2" applyFont="1" applyFill="1" applyBorder="1" applyAlignment="1">
      <alignment horizontal="center"/>
    </xf>
    <xf numFmtId="4" fontId="17" fillId="8" borderId="5" xfId="0" applyNumberFormat="1" applyFont="1" applyFill="1" applyBorder="1" applyAlignment="1">
      <alignment horizontal="center"/>
    </xf>
    <xf numFmtId="10" fontId="17" fillId="8" borderId="5" xfId="2" applyNumberFormat="1" applyFont="1" applyFill="1" applyBorder="1" applyAlignment="1">
      <alignment horizontal="center" vertical="top" wrapText="1"/>
    </xf>
    <xf numFmtId="165" fontId="17" fillId="8" borderId="5" xfId="2" applyNumberFormat="1" applyFont="1" applyFill="1" applyBorder="1" applyAlignment="1">
      <alignment horizontal="center" vertical="top" wrapText="1"/>
    </xf>
    <xf numFmtId="165" fontId="6" fillId="8" borderId="5" xfId="2" applyNumberFormat="1" applyFont="1" applyFill="1" applyBorder="1" applyAlignment="1">
      <alignment horizontal="center" vertical="top" wrapText="1"/>
    </xf>
    <xf numFmtId="4" fontId="6" fillId="3" borderId="9" xfId="0" applyNumberFormat="1" applyFont="1" applyFill="1" applyBorder="1" applyAlignment="1">
      <alignment horizontal="right" wrapText="1"/>
    </xf>
    <xf numFmtId="0" fontId="18" fillId="0" borderId="0" xfId="0" applyFont="1"/>
    <xf numFmtId="10" fontId="19" fillId="2" borderId="5" xfId="2" applyNumberFormat="1" applyFont="1" applyFill="1" applyBorder="1" applyAlignment="1">
      <alignment horizontal="center" vertical="top" wrapText="1"/>
    </xf>
    <xf numFmtId="0" fontId="21" fillId="0" borderId="0" xfId="0" applyFont="1"/>
    <xf numFmtId="10" fontId="20" fillId="10" borderId="0" xfId="0" applyNumberFormat="1" applyFont="1" applyFill="1" applyAlignment="1">
      <alignment horizontal="right" vertical="center" wrapText="1"/>
    </xf>
    <xf numFmtId="2" fontId="0" fillId="0" borderId="0" xfId="0" applyNumberFormat="1"/>
    <xf numFmtId="4" fontId="15" fillId="10" borderId="0" xfId="0" applyNumberFormat="1" applyFont="1" applyFill="1" applyAlignment="1">
      <alignment horizontal="right" vertical="center" wrapText="1"/>
    </xf>
    <xf numFmtId="0" fontId="0" fillId="0" borderId="0" xfId="0" quotePrefix="1"/>
    <xf numFmtId="4" fontId="12" fillId="3" borderId="0" xfId="0" applyNumberFormat="1" applyFont="1" applyFill="1"/>
    <xf numFmtId="0" fontId="11" fillId="3" borderId="0" xfId="0" applyFont="1" applyFill="1" applyAlignment="1">
      <alignment wrapText="1"/>
    </xf>
    <xf numFmtId="164" fontId="14" fillId="0" borderId="0" xfId="1" applyFont="1"/>
    <xf numFmtId="0" fontId="24" fillId="12" borderId="0" xfId="0" applyFont="1" applyFill="1" applyAlignment="1">
      <alignment horizontal="right" vertical="center"/>
    </xf>
    <xf numFmtId="0" fontId="25" fillId="12" borderId="0" xfId="0" applyFont="1" applyFill="1" applyAlignment="1">
      <alignment horizontal="left"/>
    </xf>
    <xf numFmtId="0" fontId="18" fillId="12" borderId="0" xfId="0" applyFont="1" applyFill="1"/>
    <xf numFmtId="43" fontId="0" fillId="0" borderId="0" xfId="0" applyNumberFormat="1"/>
    <xf numFmtId="0" fontId="28" fillId="0" borderId="0" xfId="0" applyFont="1"/>
    <xf numFmtId="4" fontId="0" fillId="0" borderId="0" xfId="0" applyNumberFormat="1"/>
    <xf numFmtId="0" fontId="45" fillId="0" borderId="0" xfId="0" applyFont="1" applyAlignment="1">
      <alignment horizontal="right"/>
    </xf>
    <xf numFmtId="166" fontId="0" fillId="0" borderId="0" xfId="0" applyNumberFormat="1"/>
    <xf numFmtId="4" fontId="46" fillId="0" borderId="0" xfId="0" applyNumberFormat="1" applyFont="1"/>
    <xf numFmtId="4" fontId="12" fillId="3" borderId="0" xfId="0" applyNumberFormat="1" applyFont="1" applyFill="1" applyAlignment="1">
      <alignment horizontal="right"/>
    </xf>
    <xf numFmtId="0" fontId="47" fillId="3" borderId="5" xfId="0" applyFont="1" applyFill="1" applyBorder="1" applyAlignment="1">
      <alignment horizontal="center" wrapText="1"/>
    </xf>
    <xf numFmtId="0" fontId="45" fillId="0" borderId="5" xfId="0" applyFont="1" applyBorder="1" applyAlignment="1">
      <alignment horizontal="right"/>
    </xf>
    <xf numFmtId="164" fontId="21" fillId="0" borderId="0" xfId="1" applyFont="1"/>
    <xf numFmtId="164" fontId="12" fillId="0" borderId="0" xfId="1" applyFont="1"/>
    <xf numFmtId="4" fontId="12" fillId="3" borderId="5" xfId="0" applyNumberFormat="1" applyFont="1" applyFill="1" applyBorder="1"/>
    <xf numFmtId="4" fontId="12" fillId="3" borderId="5" xfId="0" applyNumberFormat="1" applyFont="1" applyFill="1" applyBorder="1" applyAlignment="1">
      <alignment horizontal="right"/>
    </xf>
    <xf numFmtId="0" fontId="42" fillId="0" borderId="0" xfId="0" applyFont="1"/>
    <xf numFmtId="0" fontId="47" fillId="3" borderId="0" xfId="0" applyFont="1" applyFill="1" applyAlignment="1">
      <alignment wrapText="1"/>
    </xf>
    <xf numFmtId="43" fontId="42" fillId="0" borderId="0" xfId="7" applyFont="1" applyBorder="1"/>
    <xf numFmtId="2" fontId="42" fillId="0" borderId="0" xfId="0" applyNumberFormat="1" applyFont="1"/>
    <xf numFmtId="10" fontId="42" fillId="0" borderId="0" xfId="2" applyNumberFormat="1" applyFont="1" applyBorder="1"/>
    <xf numFmtId="10" fontId="48" fillId="0" borderId="0" xfId="2" applyNumberFormat="1" applyFont="1" applyBorder="1"/>
    <xf numFmtId="0" fontId="6" fillId="7" borderId="19" xfId="0" applyFont="1" applyFill="1" applyBorder="1" applyAlignment="1">
      <alignment horizontal="right"/>
    </xf>
    <xf numFmtId="0" fontId="3" fillId="7" borderId="19" xfId="0" applyFont="1" applyFill="1" applyBorder="1" applyAlignment="1">
      <alignment horizontal="right"/>
    </xf>
    <xf numFmtId="0" fontId="4" fillId="3" borderId="5" xfId="0" applyFont="1" applyFill="1" applyBorder="1"/>
    <xf numFmtId="0" fontId="47" fillId="3" borderId="5" xfId="0" applyFont="1" applyFill="1" applyBorder="1"/>
    <xf numFmtId="4" fontId="6" fillId="3" borderId="5" xfId="0" applyNumberFormat="1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39" fillId="0" borderId="0" xfId="0" applyFont="1"/>
    <xf numFmtId="16" fontId="49" fillId="3" borderId="0" xfId="0" applyNumberFormat="1" applyFont="1" applyFill="1"/>
    <xf numFmtId="164" fontId="50" fillId="0" borderId="0" xfId="1" applyFont="1"/>
    <xf numFmtId="43" fontId="50" fillId="0" borderId="0" xfId="0" applyNumberFormat="1" applyFont="1"/>
    <xf numFmtId="4" fontId="50" fillId="0" borderId="0" xfId="0" applyNumberFormat="1" applyFont="1"/>
    <xf numFmtId="49" fontId="6" fillId="0" borderId="5" xfId="0" applyNumberFormat="1" applyFont="1" applyBorder="1" applyAlignment="1">
      <alignment wrapText="1"/>
    </xf>
    <xf numFmtId="4" fontId="6" fillId="0" borderId="5" xfId="0" applyNumberFormat="1" applyFont="1" applyBorder="1" applyAlignment="1">
      <alignment wrapText="1"/>
    </xf>
    <xf numFmtId="0" fontId="6" fillId="3" borderId="5" xfId="0" applyFont="1" applyFill="1" applyBorder="1" applyAlignment="1">
      <alignment horizontal="center" wrapText="1"/>
    </xf>
    <xf numFmtId="164" fontId="12" fillId="3" borderId="0" xfId="1" applyFont="1" applyFill="1" applyBorder="1" applyAlignment="1">
      <alignment horizontal="right" vertical="top" wrapText="1"/>
    </xf>
    <xf numFmtId="0" fontId="6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16" fillId="12" borderId="1" xfId="0" applyFont="1" applyFill="1" applyBorder="1" applyAlignment="1">
      <alignment horizontal="center"/>
    </xf>
    <xf numFmtId="0" fontId="16" fillId="12" borderId="2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16" fillId="1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13" fillId="11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23" fillId="13" borderId="0" xfId="0" applyFont="1" applyFill="1" applyAlignment="1">
      <alignment horizontal="center" wrapText="1"/>
    </xf>
    <xf numFmtId="0" fontId="51" fillId="0" borderId="5" xfId="0" applyFont="1" applyBorder="1" applyAlignment="1">
      <alignment horizontal="right"/>
    </xf>
    <xf numFmtId="16" fontId="52" fillId="3" borderId="5" xfId="0" applyNumberFormat="1" applyFont="1" applyFill="1" applyBorder="1"/>
    <xf numFmtId="0" fontId="52" fillId="0" borderId="5" xfId="0" applyFont="1" applyBorder="1" applyAlignment="1">
      <alignment horizontal="right"/>
    </xf>
    <xf numFmtId="4" fontId="53" fillId="3" borderId="5" xfId="0" applyNumberFormat="1" applyFont="1" applyFill="1" applyBorder="1"/>
    <xf numFmtId="164" fontId="53" fillId="3" borderId="5" xfId="1" applyFont="1" applyFill="1" applyBorder="1" applyAlignment="1">
      <alignment horizontal="right" vertical="top" wrapText="1"/>
    </xf>
    <xf numFmtId="4" fontId="53" fillId="3" borderId="5" xfId="0" applyNumberFormat="1" applyFont="1" applyFill="1" applyBorder="1" applyAlignment="1">
      <alignment horizontal="right"/>
    </xf>
    <xf numFmtId="16" fontId="52" fillId="3" borderId="5" xfId="0" applyNumberFormat="1" applyFont="1" applyFill="1" applyBorder="1" applyAlignment="1">
      <alignment horizontal="center" wrapText="1"/>
    </xf>
    <xf numFmtId="0" fontId="52" fillId="0" borderId="5" xfId="0" applyFont="1" applyBorder="1" applyAlignment="1">
      <alignment horizontal="right" wrapText="1"/>
    </xf>
    <xf numFmtId="0" fontId="52" fillId="0" borderId="0" xfId="0" applyFont="1" applyAlignment="1">
      <alignment horizontal="right"/>
    </xf>
    <xf numFmtId="4" fontId="53" fillId="3" borderId="0" xfId="0" applyNumberFormat="1" applyFont="1" applyFill="1"/>
    <xf numFmtId="0" fontId="54" fillId="0" borderId="5" xfId="0" applyFont="1" applyBorder="1" applyAlignment="1">
      <alignment horizontal="right" wrapText="1"/>
    </xf>
    <xf numFmtId="164" fontId="55" fillId="0" borderId="5" xfId="1" applyFont="1" applyBorder="1"/>
    <xf numFmtId="4" fontId="55" fillId="3" borderId="5" xfId="0" applyNumberFormat="1" applyFont="1" applyFill="1" applyBorder="1"/>
    <xf numFmtId="0" fontId="54" fillId="0" borderId="5" xfId="0" applyFont="1" applyBorder="1" applyAlignment="1">
      <alignment horizontal="right"/>
    </xf>
    <xf numFmtId="4" fontId="55" fillId="3" borderId="5" xfId="0" applyNumberFormat="1" applyFont="1" applyFill="1" applyBorder="1" applyAlignment="1">
      <alignment horizontal="right"/>
    </xf>
    <xf numFmtId="164" fontId="55" fillId="3" borderId="5" xfId="1" applyFont="1" applyFill="1" applyBorder="1" applyAlignment="1">
      <alignment horizontal="right" vertical="top" wrapText="1"/>
    </xf>
    <xf numFmtId="4" fontId="53" fillId="3" borderId="0" xfId="0" applyNumberFormat="1" applyFont="1" applyFill="1" applyAlignment="1">
      <alignment horizontal="right"/>
    </xf>
    <xf numFmtId="164" fontId="53" fillId="3" borderId="0" xfId="1" applyFont="1" applyFill="1" applyBorder="1" applyAlignment="1">
      <alignment horizontal="right" vertical="top" wrapText="1"/>
    </xf>
  </cellXfs>
  <cellStyles count="61">
    <cellStyle name="20% - Accent1" xfId="26" builtinId="30" customBuiltin="1"/>
    <cellStyle name="20% - Accent2" xfId="29" builtinId="34" customBuiltin="1"/>
    <cellStyle name="20% - Accent3" xfId="32" builtinId="38" customBuiltin="1"/>
    <cellStyle name="20% - Accent4" xfId="35" builtinId="42" customBuiltin="1"/>
    <cellStyle name="20% - Accent5" xfId="38" builtinId="46" customBuiltin="1"/>
    <cellStyle name="20% - Accent6" xfId="41" builtinId="50" customBuiltin="1"/>
    <cellStyle name="40% - Accent1" xfId="27" builtinId="31" customBuiltin="1"/>
    <cellStyle name="40% - Accent2" xfId="30" builtinId="35" customBuiltin="1"/>
    <cellStyle name="40% - Accent3" xfId="33" builtinId="39" customBuiltin="1"/>
    <cellStyle name="40% - Accent4" xfId="36" builtinId="43" customBuiltin="1"/>
    <cellStyle name="40% - Accent5" xfId="39" builtinId="47" customBuiltin="1"/>
    <cellStyle name="40% - Accent6" xfId="42" builtinId="51" customBuiltin="1"/>
    <cellStyle name="60% - Accent1 2" xfId="48"/>
    <cellStyle name="60% - Accent2 2" xfId="49"/>
    <cellStyle name="60% - Accent3 2" xfId="50"/>
    <cellStyle name="60% - Accent4 2" xfId="51"/>
    <cellStyle name="60% - Accent5 2" xfId="52"/>
    <cellStyle name="60% - Accent6 2" xfId="53"/>
    <cellStyle name="Accent1" xfId="25" builtinId="29" customBuiltin="1"/>
    <cellStyle name="Accent2" xfId="28" builtinId="33" customBuiltin="1"/>
    <cellStyle name="Accent3" xfId="31" builtinId="37" customBuiltin="1"/>
    <cellStyle name="Accent4" xfId="34" builtinId="41" customBuiltin="1"/>
    <cellStyle name="Accent5" xfId="37" builtinId="45" customBuiltin="1"/>
    <cellStyle name="Accent6" xfId="40" builtinId="49" customBuiltin="1"/>
    <cellStyle name="Bad" xfId="15" builtinId="27" customBuiltin="1"/>
    <cellStyle name="Calculation" xfId="18" builtinId="22" customBuiltin="1"/>
    <cellStyle name="Check Cell" xfId="20" builtinId="23" customBuiltin="1"/>
    <cellStyle name="Comma" xfId="1" builtinId="3"/>
    <cellStyle name="Comma 10" xfId="60"/>
    <cellStyle name="Comma 10 13" xfId="3"/>
    <cellStyle name="Comma 2" xfId="7"/>
    <cellStyle name="Comma 2 2" xfId="43"/>
    <cellStyle name="Comma 3" xfId="54"/>
    <cellStyle name="Comma 3 2" xfId="4"/>
    <cellStyle name="Comma 3 2 2" xfId="44"/>
    <cellStyle name="Comma 4" xfId="9"/>
    <cellStyle name="Comma 5" xfId="55"/>
    <cellStyle name="Comma 6" xfId="57"/>
    <cellStyle name="Comma 8" xfId="59"/>
    <cellStyle name="Explanatory Text" xfId="23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6" builtinId="20" customBuiltin="1"/>
    <cellStyle name="Linked Cell" xfId="19" builtinId="24" customBuiltin="1"/>
    <cellStyle name="Neutral 2" xfId="47"/>
    <cellStyle name="Normal" xfId="0" builtinId="0"/>
    <cellStyle name="Normal 2" xfId="8"/>
    <cellStyle name="Normal 2 2" xfId="45"/>
    <cellStyle name="Normal 27 2" xfId="6"/>
    <cellStyle name="Note" xfId="22" builtinId="10" customBuiltin="1"/>
    <cellStyle name="Output" xfId="17" builtinId="21" customBuiltin="1"/>
    <cellStyle name="Percent" xfId="2" builtinId="5"/>
    <cellStyle name="Percent 2 2" xfId="5"/>
    <cellStyle name="Percent 5" xfId="56"/>
    <cellStyle name="Percent 6" xfId="58"/>
    <cellStyle name="Title 2" xfId="46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800">
                <a:solidFill>
                  <a:schemeClr val="dk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NAV BY CLASS OF FUNDS (N'Bn)</a:t>
            </a:r>
            <a:endParaRPr lang="en-GB" sz="180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/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352501734696957E-2"/>
          <c:y val="0.12704985666184501"/>
          <c:w val="0.94540908679518509"/>
          <c:h val="0.73327195070502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'NAV Comparison'!$B$2</c:f>
              <c:strCache>
                <c:ptCount val="1"/>
                <c:pt idx="0">
                  <c:v>Week Ended August 23, 2024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'NAV Comparison'!$A$3:$A$10</c:f>
              <c:strCache>
                <c:ptCount val="8"/>
                <c:pt idx="0">
                  <c:v>EQUITY BASED FUNDS</c:v>
                </c:pt>
                <c:pt idx="1">
                  <c:v>MONEY MARKET FUNDS</c:v>
                </c:pt>
                <c:pt idx="2">
                  <c:v>BONDS/FIXED INCOME FUNDS</c:v>
                </c:pt>
                <c:pt idx="3">
                  <c:v>DOLLAR FUNDS</c:v>
                </c:pt>
                <c:pt idx="4">
                  <c:v>REAL ESTATE INVESTMENT TRUST</c:v>
                </c:pt>
                <c:pt idx="5">
                  <c:v>BALANCED FUNDS</c:v>
                </c:pt>
                <c:pt idx="6">
                  <c:v>ETHICAL FUNDS</c:v>
                </c:pt>
                <c:pt idx="7">
                  <c:v>SHARI'AH COMPLAINT FUNDS</c:v>
                </c:pt>
              </c:strCache>
            </c:strRef>
          </c:cat>
          <c:val>
            <c:numRef>
              <c:f>'NAV Comparison'!$B$3:$B$10</c:f>
              <c:numCache>
                <c:formatCode>#,##0.00</c:formatCode>
                <c:ptCount val="8"/>
                <c:pt idx="0">
                  <c:v>27.464171302260002</c:v>
                </c:pt>
                <c:pt idx="1">
                  <c:v>1261.9333830539299</c:v>
                </c:pt>
                <c:pt idx="2">
                  <c:v>216.79604916953281</c:v>
                </c:pt>
                <c:pt idx="3">
                  <c:v>1610.2141655640437</c:v>
                </c:pt>
                <c:pt idx="4">
                  <c:v>97.725390745223066</c:v>
                </c:pt>
                <c:pt idx="5" formatCode="_-* #,##0.00_-;\-* #,##0.00_-;_-* &quot;-&quot;??_-;_-@_-">
                  <c:v>49.723971071591237</c:v>
                </c:pt>
                <c:pt idx="6">
                  <c:v>5.2649549563800004</c:v>
                </c:pt>
                <c:pt idx="7">
                  <c:v>51.033367484494462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0-45B9-A30A-C545D9245C39}"/>
            </c:ext>
          </c:extLst>
        </c:ser>
        <c:ser>
          <c:idx val="1"/>
          <c:order val="1"/>
          <c:tx>
            <c:strRef>
              <c:f>'NAV Comparison'!$C$2</c:f>
              <c:strCache>
                <c:ptCount val="1"/>
                <c:pt idx="0">
                  <c:v>Week Ended August 30, 2024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'NAV Comparison'!$A$3:$A$10</c:f>
              <c:strCache>
                <c:ptCount val="8"/>
                <c:pt idx="0">
                  <c:v>EQUITY BASED FUNDS</c:v>
                </c:pt>
                <c:pt idx="1">
                  <c:v>MONEY MARKET FUNDS</c:v>
                </c:pt>
                <c:pt idx="2">
                  <c:v>BONDS/FIXED INCOME FUNDS</c:v>
                </c:pt>
                <c:pt idx="3">
                  <c:v>DOLLAR FUNDS</c:v>
                </c:pt>
                <c:pt idx="4">
                  <c:v>REAL ESTATE INVESTMENT TRUST</c:v>
                </c:pt>
                <c:pt idx="5">
                  <c:v>BALANCED FUNDS</c:v>
                </c:pt>
                <c:pt idx="6">
                  <c:v>ETHICAL FUNDS</c:v>
                </c:pt>
                <c:pt idx="7">
                  <c:v>SHARI'AH COMPLAINT FUNDS</c:v>
                </c:pt>
              </c:strCache>
            </c:strRef>
          </c:cat>
          <c:val>
            <c:numRef>
              <c:f>'NAV Comparison'!$C$3:$C$10</c:f>
              <c:numCache>
                <c:formatCode>#,##0.00</c:formatCode>
                <c:ptCount val="8"/>
                <c:pt idx="0">
                  <c:v>28.027790368799899</c:v>
                </c:pt>
                <c:pt idx="1">
                  <c:v>1275.7036996293593</c:v>
                </c:pt>
                <c:pt idx="2">
                  <c:v>218.57098019258581</c:v>
                </c:pt>
                <c:pt idx="3">
                  <c:v>1619.6847317934423</c:v>
                </c:pt>
                <c:pt idx="4">
                  <c:v>97.021700017900898</c:v>
                </c:pt>
                <c:pt idx="5" formatCode="_-* #,##0.00_-;\-* #,##0.00_-;_-* &quot;-&quot;??_-;_-@_-">
                  <c:v>50.541815917121063</c:v>
                </c:pt>
                <c:pt idx="6">
                  <c:v>5.2847179959899995</c:v>
                </c:pt>
                <c:pt idx="7">
                  <c:v>51.238844342502098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0-45B9-A30A-C545D9245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44175"/>
        <c:axId val="10939183"/>
      </c:barChart>
      <c:catAx>
        <c:axId val="109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0939183"/>
        <c:crosses val="autoZero"/>
        <c:auto val="1"/>
        <c:lblAlgn val="ctr"/>
        <c:lblOffset val="100"/>
        <c:noMultiLvlLbl val="0"/>
      </c:catAx>
      <c:valAx>
        <c:axId val="109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1094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pattFill prst="pct40">
      <a:fgClr>
        <a:schemeClr val="accent1"/>
      </a:fgClr>
      <a:bgClr>
        <a:schemeClr val="bg1"/>
      </a:bgClr>
    </a:pattFill>
    <a:ln>
      <a:noFill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20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PERCENTAGE MARKET</a:t>
            </a:r>
            <a:r>
              <a:rPr lang="en-US" sz="2000" baseline="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SHARE OF FUNDS BY CLASS</a:t>
            </a:r>
          </a:p>
          <a:p>
            <a:pPr>
              <a:defRPr sz="200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US" sz="1600" baseline="0">
                <a:solidFill>
                  <a:schemeClr val="lt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AS AT 30TH AUGUST, 2024</a:t>
            </a:r>
            <a:endParaRPr lang="en-US" sz="16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layout>
        <c:manualLayout>
          <c:xMode val="edge"/>
          <c:yMode val="edge"/>
          <c:x val="0.23407699914128496"/>
          <c:y val="3.1719518867076704E-2"/>
        </c:manualLayout>
      </c:layout>
      <c:overlay val="0"/>
      <c:spPr>
        <a:solidFill>
          <a:schemeClr val="dk1"/>
        </a:solidFill>
        <a:ln w="12700" cap="flat" cmpd="sng" algn="ctr">
          <a:solidFill>
            <a:schemeClr val="dk1">
              <a:shade val="15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lt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view3D>
      <c:rotX val="30"/>
      <c:rotY val="235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552536576715378"/>
          <c:y val="0.14742728847951844"/>
          <c:w val="0.84316500743410161"/>
          <c:h val="0.81423920364184155"/>
        </c:manualLayout>
      </c:layout>
      <c:pie3DChart>
        <c:varyColors val="1"/>
        <c:ser>
          <c:idx val="0"/>
          <c:order val="0"/>
          <c:tx>
            <c:strRef>
              <c:f>'Market Share'!$B$1</c:f>
              <c:strCache>
                <c:ptCount val="1"/>
                <c:pt idx="0">
                  <c:v>30-Aug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D-4F83-A203-9FCC25B0D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D-4F83-A203-9FCC25B0DFAD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D-4F83-A203-9FCC25B0DFAD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4ED-4F83-A203-9FCC25B0DFAD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4ED-4F83-A203-9FCC25B0DFAD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4ED-4F83-A203-9FCC25B0DF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4ED-4F83-A203-9FCC25B0DFAD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4ED-4F83-A203-9FCC25B0DFAD}"/>
              </c:ext>
            </c:extLst>
          </c:dPt>
          <c:dLbls>
            <c:dLbl>
              <c:idx val="0"/>
              <c:layout>
                <c:manualLayout>
                  <c:x val="-4.3124205825803251E-2"/>
                  <c:y val="0.1159985586080866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4ED-4F83-A203-9FCC25B0DFAD}"/>
                </c:ext>
              </c:extLst>
            </c:dLbl>
            <c:dLbl>
              <c:idx val="1"/>
              <c:layout>
                <c:manualLayout>
                  <c:x val="-8.3929154372232542E-2"/>
                  <c:y val="5.52374088609937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4ED-4F83-A203-9FCC25B0DFAD}"/>
                </c:ext>
              </c:extLst>
            </c:dLbl>
            <c:dLbl>
              <c:idx val="2"/>
              <c:layout>
                <c:manualLayout>
                  <c:x val="-2.6526971099187786E-2"/>
                  <c:y val="-9.75631175571893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4ED-4F83-A203-9FCC25B0DFAD}"/>
                </c:ext>
              </c:extLst>
            </c:dLbl>
            <c:dLbl>
              <c:idx val="3"/>
              <c:layout>
                <c:manualLayout>
                  <c:x val="-1.8232066883237173E-2"/>
                  <c:y val="3.176145796708884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4ED-4F83-A203-9FCC25B0DFAD}"/>
                </c:ext>
              </c:extLst>
            </c:dLbl>
            <c:dLbl>
              <c:idx val="4"/>
              <c:layout>
                <c:manualLayout>
                  <c:x val="-2.2105334402515702E-2"/>
                  <c:y val="-0.102189206392838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4ED-4F83-A203-9FCC25B0DFAD}"/>
                </c:ext>
              </c:extLst>
            </c:dLbl>
            <c:dLbl>
              <c:idx val="5"/>
              <c:layout>
                <c:manualLayout>
                  <c:x val="0.17345977414073466"/>
                  <c:y val="7.18087014623514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4ED-4F83-A203-9FCC25B0DFAD}"/>
                </c:ext>
              </c:extLst>
            </c:dLbl>
            <c:dLbl>
              <c:idx val="6"/>
              <c:layout>
                <c:manualLayout>
                  <c:x val="-0.11676596925004035"/>
                  <c:y val="0.115998558608086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4ED-4F83-A203-9FCC25B0DFAD}"/>
                </c:ext>
              </c:extLst>
            </c:dLbl>
            <c:dLbl>
              <c:idx val="7"/>
              <c:layout>
                <c:manualLayout>
                  <c:x val="-0.23297582723395927"/>
                  <c:y val="-0.3286625827229128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34ED-4F83-A203-9FCC25B0DFAD}"/>
                </c:ext>
              </c:extLst>
            </c:dLbl>
            <c:spPr>
              <a:gradFill rotWithShape="1">
                <a:gsLst>
                  <a:gs pos="0">
                    <a:schemeClr val="dk1"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25400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Share'!$A$2:$A$9</c:f>
              <c:strCache>
                <c:ptCount val="8"/>
                <c:pt idx="0">
                  <c:v>ETHICAL FUNDS</c:v>
                </c:pt>
                <c:pt idx="1">
                  <c:v>EQUITY BASED FUNDS</c:v>
                </c:pt>
                <c:pt idx="2">
                  <c:v>BALANCED FUNDS</c:v>
                </c:pt>
                <c:pt idx="3">
                  <c:v>SHARI'AH COMPLAINT FUNDS</c:v>
                </c:pt>
                <c:pt idx="4">
                  <c:v>REAL ESTATE INVESTMENT TRUST</c:v>
                </c:pt>
                <c:pt idx="5">
                  <c:v>BONDS/FIXED INCOME FUNDS</c:v>
                </c:pt>
                <c:pt idx="6">
                  <c:v>MONEY MARKET FUNDS</c:v>
                </c:pt>
                <c:pt idx="7">
                  <c:v>DOLLAR FUNDS</c:v>
                </c:pt>
              </c:strCache>
            </c:strRef>
          </c:cat>
          <c:val>
            <c:numRef>
              <c:f>'Market Share'!$B$2:$B$9</c:f>
              <c:numCache>
                <c:formatCode>#,##0.00</c:formatCode>
                <c:ptCount val="8"/>
                <c:pt idx="0">
                  <c:v>5284717995.9899998</c:v>
                </c:pt>
                <c:pt idx="1">
                  <c:v>28027790368.7999</c:v>
                </c:pt>
                <c:pt idx="2" formatCode="_-* #,##0.00_-;\-* #,##0.00_-;_-* &quot;-&quot;??_-;_-@_-">
                  <c:v>50541815917.121063</c:v>
                </c:pt>
                <c:pt idx="3">
                  <c:v>51238844342.502098</c:v>
                </c:pt>
                <c:pt idx="4">
                  <c:v>97021700017.900894</c:v>
                </c:pt>
                <c:pt idx="5">
                  <c:v>218570980192.58582</c:v>
                </c:pt>
                <c:pt idx="6">
                  <c:v>1275703699629.3594</c:v>
                </c:pt>
                <c:pt idx="7">
                  <c:v>1619684731793.4424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3-4F76-8609-5E1FC182E85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pct40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accent3">
          <a:lumMod val="20000"/>
          <a:lumOff val="8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8-WEEK MOVEMENT IN TOTAL NAV (N'Bn)</a:t>
            </a:r>
          </a:p>
        </c:rich>
      </c:tx>
      <c:layout>
        <c:manualLayout>
          <c:xMode val="edge"/>
          <c:yMode val="edge"/>
          <c:x val="0.25982501751573839"/>
          <c:y val="1.5686278384753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'8-Week Movement in NAV'!$A$3</c:f>
              <c:strCache>
                <c:ptCount val="1"/>
                <c:pt idx="0">
                  <c:v>TOTAL NAV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'8-Week Movement in NAV'!$B$2:$I$2</c:f>
              <c:numCache>
                <c:formatCode>d\-mmm</c:formatCode>
                <c:ptCount val="8"/>
                <c:pt idx="0">
                  <c:v>45485</c:v>
                </c:pt>
                <c:pt idx="1">
                  <c:v>45492</c:v>
                </c:pt>
                <c:pt idx="2">
                  <c:v>45499</c:v>
                </c:pt>
                <c:pt idx="3">
                  <c:v>45506</c:v>
                </c:pt>
                <c:pt idx="4">
                  <c:v>45513</c:v>
                </c:pt>
                <c:pt idx="5">
                  <c:v>45520</c:v>
                </c:pt>
                <c:pt idx="6">
                  <c:v>45527</c:v>
                </c:pt>
                <c:pt idx="7">
                  <c:v>45534</c:v>
                </c:pt>
              </c:numCache>
            </c:numRef>
          </c:cat>
          <c:val>
            <c:numRef>
              <c:f>'8-Week Movement in NAV'!$B$3:$I$3</c:f>
              <c:numCache>
                <c:formatCode>_-* #,##0.00_-;\-* #,##0.00_-;_-* "-"??_-;_-@_-</c:formatCode>
                <c:ptCount val="8"/>
                <c:pt idx="0">
                  <c:v>3097.1617711497356</c:v>
                </c:pt>
                <c:pt idx="1">
                  <c:v>3161.8406486109188</c:v>
                </c:pt>
                <c:pt idx="2">
                  <c:v>3212.3863205334346</c:v>
                </c:pt>
                <c:pt idx="3">
                  <c:v>3251.4108261292827</c:v>
                </c:pt>
                <c:pt idx="4">
                  <c:v>3244.6913921078954</c:v>
                </c:pt>
                <c:pt idx="5">
                  <c:v>3279.8332952209639</c:v>
                </c:pt>
                <c:pt idx="6">
                  <c:v>3320.1554533474555</c:v>
                </c:pt>
                <c:pt idx="7">
                  <c:v>3346.0742802577015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0-4FE7-8062-E0C712B572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7563183"/>
        <c:axId val="917583983"/>
      </c:lineChart>
      <c:dateAx>
        <c:axId val="9175631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83983"/>
        <c:crosses val="autoZero"/>
        <c:auto val="1"/>
        <c:lblOffset val="100"/>
        <c:baseTimeUnit val="days"/>
      </c:dateAx>
      <c:valAx>
        <c:axId val="917583983"/>
        <c:scaling>
          <c:orientation val="minMax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6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chemeClr val="bg1"/>
                </a:solidFill>
              </a:rPr>
              <a:t>8-WEEK MOVEMENT IN </a:t>
            </a:r>
            <a:r>
              <a:rPr lang="en-US"/>
              <a:t>AGGREGATE </a:t>
            </a: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ETFs </a:t>
            </a:r>
            <a:r>
              <a:rPr lang="en-US" sz="1600" b="1" i="0" u="none" strike="noStrike" kern="1200" cap="all" spc="120" normalizeH="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(N'Bn)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'8-Week Movement in ETFs'!$A$3</c:f>
              <c:strCache>
                <c:ptCount val="1"/>
                <c:pt idx="0">
                  <c:v>ETFs AGGREGATE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'8-Week Movement in ETFs'!$B$2:$I$2</c:f>
              <c:numCache>
                <c:formatCode>d\-mmm</c:formatCode>
                <c:ptCount val="8"/>
                <c:pt idx="0">
                  <c:v>45485</c:v>
                </c:pt>
                <c:pt idx="1">
                  <c:v>45492</c:v>
                </c:pt>
                <c:pt idx="2">
                  <c:v>45499</c:v>
                </c:pt>
                <c:pt idx="3">
                  <c:v>45506</c:v>
                </c:pt>
                <c:pt idx="4">
                  <c:v>45513</c:v>
                </c:pt>
                <c:pt idx="5">
                  <c:v>45520</c:v>
                </c:pt>
                <c:pt idx="6">
                  <c:v>45527</c:v>
                </c:pt>
                <c:pt idx="7">
                  <c:v>45534</c:v>
                </c:pt>
              </c:numCache>
            </c:numRef>
          </c:cat>
          <c:val>
            <c:numRef>
              <c:f>'8-Week Movement in ETFs'!$B$3:$I$3</c:f>
              <c:numCache>
                <c:formatCode>_-* #,##0.00_-;\-* #,##0.00_-;_-* "-"??_-;_-@_-</c:formatCode>
                <c:ptCount val="8"/>
                <c:pt idx="0">
                  <c:v>12.34693280092509</c:v>
                </c:pt>
                <c:pt idx="1">
                  <c:v>12.398936333326033</c:v>
                </c:pt>
                <c:pt idx="2">
                  <c:v>12.157713481032657</c:v>
                </c:pt>
                <c:pt idx="3">
                  <c:v>12.159294190102655</c:v>
                </c:pt>
                <c:pt idx="4">
                  <c:v>12.203531382445654</c:v>
                </c:pt>
                <c:pt idx="5">
                  <c:v>12.119077784973646</c:v>
                </c:pt>
                <c:pt idx="6">
                  <c:v>12.021932386157646</c:v>
                </c:pt>
                <c:pt idx="7">
                  <c:v>12.190662825377647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9-4B11-8A27-E544860A68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2158223"/>
        <c:axId val="602149103"/>
      </c:lineChart>
      <c:dateAx>
        <c:axId val="60215822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49103"/>
        <c:crosses val="autoZero"/>
        <c:auto val="1"/>
        <c:lblOffset val="100"/>
        <c:baseTimeUnit val="days"/>
      </c:dateAx>
      <c:valAx>
        <c:axId val="60214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5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567690</xdr:colOff>
      <xdr:row>23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560295</xdr:colOff>
      <xdr:row>30</xdr:row>
      <xdr:rowOff>156883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588819</xdr:colOff>
      <xdr:row>18</xdr:row>
      <xdr:rowOff>181841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38099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45486-119B-33F4-4827-DA39EBDC8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AB232"/>
  <sheetViews>
    <sheetView tabSelected="1" zoomScaleNormal="100" workbookViewId="0">
      <pane ySplit="3" topLeftCell="A4" activePane="bottomLeft" state="frozen"/>
      <selection activeCell="H6" sqref="H6"/>
      <selection pane="bottomLeft" activeCell="A4" sqref="A4:V4"/>
    </sheetView>
  </sheetViews>
  <sheetFormatPr defaultRowHeight="15"/>
  <cols>
    <col min="1" max="1" width="7.140625" customWidth="1"/>
    <col min="2" max="2" width="39.140625" customWidth="1"/>
    <col min="3" max="3" width="36.140625" customWidth="1"/>
    <col min="4" max="4" width="21" customWidth="1"/>
    <col min="8" max="8" width="9.85546875" customWidth="1"/>
    <col min="11" max="11" width="20.5703125" customWidth="1"/>
    <col min="13" max="13" width="10" customWidth="1"/>
    <col min="14" max="14" width="10.140625" customWidth="1"/>
    <col min="15" max="15" width="9.85546875" customWidth="1"/>
    <col min="17" max="17" width="9.140625" customWidth="1"/>
    <col min="20" max="20" width="8.28515625" customWidth="1"/>
    <col min="24" max="24" width="18.85546875" customWidth="1"/>
    <col min="25" max="25" width="11.28515625" customWidth="1"/>
    <col min="26" max="26" width="15.85546875" customWidth="1"/>
    <col min="27" max="27" width="17.28515625" customWidth="1"/>
  </cols>
  <sheetData>
    <row r="1" spans="1:25" ht="26.25">
      <c r="A1" s="149" t="s">
        <v>287</v>
      </c>
      <c r="B1" s="150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2"/>
    </row>
    <row r="2" spans="1:25" ht="15" customHeight="1">
      <c r="A2" s="1"/>
      <c r="B2" s="1"/>
      <c r="C2" s="1"/>
      <c r="D2" s="156" t="s">
        <v>283</v>
      </c>
      <c r="E2" s="157"/>
      <c r="F2" s="157"/>
      <c r="G2" s="157"/>
      <c r="H2" s="157"/>
      <c r="I2" s="157"/>
      <c r="J2" s="158"/>
      <c r="K2" s="156" t="s">
        <v>288</v>
      </c>
      <c r="L2" s="157"/>
      <c r="M2" s="157"/>
      <c r="N2" s="157"/>
      <c r="O2" s="157"/>
      <c r="P2" s="157"/>
      <c r="Q2" s="158"/>
      <c r="R2" s="156" t="s">
        <v>0</v>
      </c>
      <c r="S2" s="157"/>
      <c r="T2" s="158"/>
      <c r="U2" s="153" t="s">
        <v>1</v>
      </c>
      <c r="V2" s="153"/>
    </row>
    <row r="3" spans="1:25" ht="25.5">
      <c r="A3" s="78" t="s">
        <v>2</v>
      </c>
      <c r="B3" s="78" t="s">
        <v>3</v>
      </c>
      <c r="C3" s="72" t="s">
        <v>4</v>
      </c>
      <c r="D3" s="73" t="s">
        <v>5</v>
      </c>
      <c r="E3" s="74" t="s">
        <v>6</v>
      </c>
      <c r="F3" s="74" t="s">
        <v>7</v>
      </c>
      <c r="G3" s="74" t="s">
        <v>8</v>
      </c>
      <c r="H3" s="74" t="s">
        <v>227</v>
      </c>
      <c r="I3" s="74" t="s">
        <v>9</v>
      </c>
      <c r="J3" s="74" t="s">
        <v>10</v>
      </c>
      <c r="K3" s="75" t="s">
        <v>5</v>
      </c>
      <c r="L3" s="74" t="s">
        <v>6</v>
      </c>
      <c r="M3" s="74" t="s">
        <v>7</v>
      </c>
      <c r="N3" s="74" t="s">
        <v>8</v>
      </c>
      <c r="O3" s="74" t="s">
        <v>227</v>
      </c>
      <c r="P3" s="74" t="s">
        <v>9</v>
      </c>
      <c r="Q3" s="74" t="s">
        <v>10</v>
      </c>
      <c r="R3" s="73" t="s">
        <v>11</v>
      </c>
      <c r="S3" s="74" t="s">
        <v>12</v>
      </c>
      <c r="T3" s="74" t="s">
        <v>233</v>
      </c>
      <c r="U3" s="74" t="s">
        <v>13</v>
      </c>
      <c r="V3" s="74" t="s">
        <v>14</v>
      </c>
    </row>
    <row r="4" spans="1:25" ht="7.5" customHeight="1">
      <c r="A4" s="154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</row>
    <row r="5" spans="1:25" ht="15" customHeight="1">
      <c r="A5" s="155" t="s">
        <v>15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</row>
    <row r="6" spans="1:25">
      <c r="A6" s="142">
        <v>1</v>
      </c>
      <c r="B6" s="131" t="s">
        <v>16</v>
      </c>
      <c r="C6" s="132" t="s">
        <v>17</v>
      </c>
      <c r="D6" s="2">
        <v>1061665391.47</v>
      </c>
      <c r="E6" s="3">
        <f t="shared" ref="E6:E22" si="0">(D6/$D$23)</f>
        <v>3.8656378151218293E-2</v>
      </c>
      <c r="F6" s="8">
        <v>333.34930000000003</v>
      </c>
      <c r="G6" s="8">
        <v>333.34930000000003</v>
      </c>
      <c r="H6" s="58">
        <v>1743</v>
      </c>
      <c r="I6" s="5">
        <v>-7.6E-3</v>
      </c>
      <c r="J6" s="5">
        <v>0.1116</v>
      </c>
      <c r="K6" s="2">
        <v>1065195582.11</v>
      </c>
      <c r="L6" s="3">
        <f>(K6/$K$23)</f>
        <v>3.8004978918914675E-2</v>
      </c>
      <c r="M6" s="8">
        <v>335.1148</v>
      </c>
      <c r="N6" s="8">
        <v>335.1148</v>
      </c>
      <c r="O6" s="58">
        <v>1743</v>
      </c>
      <c r="P6" s="5">
        <v>5.3E-3</v>
      </c>
      <c r="Q6" s="5">
        <v>0.1173</v>
      </c>
      <c r="R6" s="76">
        <f>((K6-D6)/D6)</f>
        <v>3.3251443141723057E-3</v>
      </c>
      <c r="S6" s="76">
        <f>((N6-G6)/G6)</f>
        <v>5.2962463098016836E-3</v>
      </c>
      <c r="T6" s="76">
        <f>((O6-H6)/H6)</f>
        <v>0</v>
      </c>
      <c r="U6" s="77">
        <f>P6-I6</f>
        <v>1.29E-2</v>
      </c>
      <c r="V6" s="79">
        <f>Q6-J6</f>
        <v>5.6999999999999967E-3</v>
      </c>
    </row>
    <row r="7" spans="1:25">
      <c r="A7" s="143">
        <v>2</v>
      </c>
      <c r="B7" s="131" t="s">
        <v>18</v>
      </c>
      <c r="C7" s="132" t="s">
        <v>19</v>
      </c>
      <c r="D7" s="4">
        <v>590843553.75999999</v>
      </c>
      <c r="E7" s="3">
        <f t="shared" si="0"/>
        <v>2.1513248925569439E-2</v>
      </c>
      <c r="F7" s="4">
        <v>218.28540000000001</v>
      </c>
      <c r="G7" s="4">
        <v>220.62129999999999</v>
      </c>
      <c r="H7" s="58">
        <v>446</v>
      </c>
      <c r="I7" s="5">
        <v>2.7490000000000001E-3</v>
      </c>
      <c r="J7" s="5">
        <v>0.12839999999999999</v>
      </c>
      <c r="K7" s="4">
        <v>591886185.78999996</v>
      </c>
      <c r="L7" s="3">
        <f t="shared" ref="L7:L22" si="1">(K7/$K$23)</f>
        <v>2.1117832622612964E-2</v>
      </c>
      <c r="M7" s="4">
        <v>218.62039999999999</v>
      </c>
      <c r="N7" s="4">
        <v>220.97030000000001</v>
      </c>
      <c r="O7" s="58">
        <v>448</v>
      </c>
      <c r="P7" s="5">
        <v>1.4829999999999999E-3</v>
      </c>
      <c r="Q7" s="5">
        <v>0.13009999999999999</v>
      </c>
      <c r="R7" s="76">
        <f t="shared" ref="R7:R23" si="2">((K7-D7)/D7)</f>
        <v>1.7646499202113447E-3</v>
      </c>
      <c r="S7" s="76">
        <f t="shared" ref="S7:S23" si="3">((N7-G7)/G7)</f>
        <v>1.5818962176363659E-3</v>
      </c>
      <c r="T7" s="76">
        <f t="shared" ref="T7:T23" si="4">((O7-H7)/H7)</f>
        <v>4.4843049327354259E-3</v>
      </c>
      <c r="U7" s="77">
        <f t="shared" ref="U7:U23" si="5">P7-I7</f>
        <v>-1.2660000000000002E-3</v>
      </c>
      <c r="V7" s="79">
        <f t="shared" ref="V7:V23" si="6">Q7-J7</f>
        <v>1.7000000000000071E-3</v>
      </c>
    </row>
    <row r="8" spans="1:25">
      <c r="A8" s="142">
        <v>3</v>
      </c>
      <c r="B8" s="131" t="s">
        <v>20</v>
      </c>
      <c r="C8" s="132" t="s">
        <v>21</v>
      </c>
      <c r="D8" s="4">
        <v>3660755678</v>
      </c>
      <c r="E8" s="3">
        <f t="shared" si="0"/>
        <v>0.13329204940178768</v>
      </c>
      <c r="F8" s="4">
        <v>33.037599999999998</v>
      </c>
      <c r="G8" s="4">
        <v>34.033700000000003</v>
      </c>
      <c r="H8" s="60">
        <v>6584</v>
      </c>
      <c r="I8" s="6">
        <v>-0.88460000000000005</v>
      </c>
      <c r="J8" s="6">
        <v>0.1263</v>
      </c>
      <c r="K8" s="4">
        <v>3660730613.2600002</v>
      </c>
      <c r="L8" s="3">
        <f t="shared" si="1"/>
        <v>0.13061074615910745</v>
      </c>
      <c r="M8" s="4">
        <v>33.108699999999999</v>
      </c>
      <c r="N8" s="4">
        <v>34.106999999999999</v>
      </c>
      <c r="O8" s="60">
        <v>6588</v>
      </c>
      <c r="P8" s="6">
        <v>0.11260000000000001</v>
      </c>
      <c r="Q8" s="6">
        <v>0.12620000000000001</v>
      </c>
      <c r="R8" s="76">
        <f t="shared" si="2"/>
        <v>-6.8468759470626209E-6</v>
      </c>
      <c r="S8" s="76">
        <f t="shared" si="3"/>
        <v>2.1537476089874487E-3</v>
      </c>
      <c r="T8" s="76">
        <f t="shared" si="4"/>
        <v>6.0753341433778852E-4</v>
      </c>
      <c r="U8" s="77">
        <f t="shared" si="5"/>
        <v>0.99720000000000009</v>
      </c>
      <c r="V8" s="79">
        <f t="shared" si="6"/>
        <v>-9.9999999999988987E-5</v>
      </c>
      <c r="X8" s="98"/>
      <c r="Y8" s="98"/>
    </row>
    <row r="9" spans="1:25">
      <c r="A9" s="143">
        <v>4</v>
      </c>
      <c r="B9" s="131" t="s">
        <v>22</v>
      </c>
      <c r="C9" s="132" t="s">
        <v>23</v>
      </c>
      <c r="D9" s="4">
        <v>544330793.26999998</v>
      </c>
      <c r="E9" s="3">
        <f t="shared" si="0"/>
        <v>1.9819669316772995E-2</v>
      </c>
      <c r="F9" s="4">
        <v>195.88630000000001</v>
      </c>
      <c r="G9" s="4">
        <v>195.88630000000001</v>
      </c>
      <c r="H9" s="58">
        <v>1780</v>
      </c>
      <c r="I9" s="5">
        <v>-6.7000000000000002E-3</v>
      </c>
      <c r="J9" s="5">
        <v>0.1399</v>
      </c>
      <c r="K9" s="4">
        <v>543181331.09000003</v>
      </c>
      <c r="L9" s="3">
        <f t="shared" si="1"/>
        <v>1.9380098250437218E-2</v>
      </c>
      <c r="M9" s="4">
        <v>196.37520000000001</v>
      </c>
      <c r="N9" s="4">
        <v>196.37520000000001</v>
      </c>
      <c r="O9" s="58">
        <v>1801</v>
      </c>
      <c r="P9" s="5">
        <v>2.5000000000000001E-3</v>
      </c>
      <c r="Q9" s="5">
        <v>0.14230000000000001</v>
      </c>
      <c r="R9" s="76">
        <f t="shared" si="2"/>
        <v>-2.1116978760189102E-3</v>
      </c>
      <c r="S9" s="76">
        <f t="shared" si="3"/>
        <v>2.4958355944239134E-3</v>
      </c>
      <c r="T9" s="76">
        <f t="shared" si="4"/>
        <v>1.1797752808988765E-2</v>
      </c>
      <c r="U9" s="77">
        <f t="shared" si="5"/>
        <v>9.1999999999999998E-3</v>
      </c>
      <c r="V9" s="79">
        <f t="shared" si="6"/>
        <v>2.4000000000000132E-3</v>
      </c>
    </row>
    <row r="10" spans="1:25">
      <c r="A10" s="142">
        <v>5</v>
      </c>
      <c r="B10" s="131" t="s">
        <v>264</v>
      </c>
      <c r="C10" s="132" t="s">
        <v>99</v>
      </c>
      <c r="D10" s="4">
        <v>587649581.94000006</v>
      </c>
      <c r="E10" s="3">
        <f t="shared" si="0"/>
        <v>2.1396952978211394E-2</v>
      </c>
      <c r="F10" s="4">
        <v>0.91600000000000004</v>
      </c>
      <c r="G10" s="4">
        <v>0.9244</v>
      </c>
      <c r="H10" s="58">
        <v>532</v>
      </c>
      <c r="I10" s="5">
        <v>-5.0000000000000001E-4</v>
      </c>
      <c r="J10" s="5">
        <v>-4.4699999999999997E-2</v>
      </c>
      <c r="K10" s="4">
        <v>578125012.96000004</v>
      </c>
      <c r="L10" s="3">
        <f t="shared" si="1"/>
        <v>2.0626849471642967E-2</v>
      </c>
      <c r="M10" s="4">
        <v>0.92330000000000001</v>
      </c>
      <c r="N10" s="4">
        <v>0.93189999999999995</v>
      </c>
      <c r="O10" s="58">
        <v>530</v>
      </c>
      <c r="P10" s="5">
        <v>-1.6199999999999999E-2</v>
      </c>
      <c r="Q10" s="5">
        <v>-4.7E-2</v>
      </c>
      <c r="R10" s="76">
        <f>((K10-D10)/D10)</f>
        <v>-1.6207905651113852E-2</v>
      </c>
      <c r="S10" s="76">
        <f>((N10-G10)/G10)</f>
        <v>8.1133708351362518E-3</v>
      </c>
      <c r="T10" s="76">
        <f>((O10-H10)/H10)</f>
        <v>-3.7593984962406013E-3</v>
      </c>
      <c r="U10" s="77">
        <f>P10-I10</f>
        <v>-1.5699999999999999E-2</v>
      </c>
      <c r="V10" s="79">
        <f>Q10-J10</f>
        <v>-2.3000000000000034E-3</v>
      </c>
    </row>
    <row r="11" spans="1:25">
      <c r="A11" s="140">
        <v>6</v>
      </c>
      <c r="B11" s="131" t="s">
        <v>24</v>
      </c>
      <c r="C11" s="132" t="s">
        <v>25</v>
      </c>
      <c r="D11" s="7">
        <v>87882202.790000007</v>
      </c>
      <c r="E11" s="3">
        <f t="shared" si="0"/>
        <v>3.1998854734338281E-3</v>
      </c>
      <c r="F11" s="4">
        <v>157.68819999999999</v>
      </c>
      <c r="G11" s="4">
        <v>158.27780000000001</v>
      </c>
      <c r="H11" s="60">
        <v>95</v>
      </c>
      <c r="I11" s="6">
        <v>-2.7750000000000001E-3</v>
      </c>
      <c r="J11" s="6">
        <v>0.192</v>
      </c>
      <c r="K11" s="7">
        <v>88987807.219999999</v>
      </c>
      <c r="L11" s="3">
        <f t="shared" si="1"/>
        <v>3.1749847579515167E-3</v>
      </c>
      <c r="M11" s="4">
        <v>159.8777</v>
      </c>
      <c r="N11" s="4">
        <v>160.48310000000001</v>
      </c>
      <c r="O11" s="60">
        <v>95</v>
      </c>
      <c r="P11" s="6">
        <v>2.6580000000000002E-3</v>
      </c>
      <c r="Q11" s="6">
        <v>0.20760000000000001</v>
      </c>
      <c r="R11" s="76">
        <f t="shared" si="2"/>
        <v>1.2580527056677253E-2</v>
      </c>
      <c r="S11" s="76">
        <f t="shared" si="3"/>
        <v>1.3933097376890467E-2</v>
      </c>
      <c r="T11" s="76">
        <f t="shared" si="4"/>
        <v>0</v>
      </c>
      <c r="U11" s="77">
        <f t="shared" si="5"/>
        <v>5.4330000000000003E-3</v>
      </c>
      <c r="V11" s="79">
        <f t="shared" si="6"/>
        <v>1.5600000000000003E-2</v>
      </c>
    </row>
    <row r="12" spans="1:25">
      <c r="A12" s="140">
        <v>7</v>
      </c>
      <c r="B12" s="131" t="s">
        <v>26</v>
      </c>
      <c r="C12" s="132" t="s">
        <v>27</v>
      </c>
      <c r="D12" s="4">
        <v>1091238140.3099999</v>
      </c>
      <c r="E12" s="3">
        <f t="shared" si="0"/>
        <v>3.9733153726003848E-2</v>
      </c>
      <c r="F12" s="4">
        <v>305.51</v>
      </c>
      <c r="G12" s="4">
        <v>309.7</v>
      </c>
      <c r="H12" s="60">
        <v>1618</v>
      </c>
      <c r="I12" s="6">
        <v>1.4500000000000001E-2</v>
      </c>
      <c r="J12" s="6">
        <v>0.22850000000000001</v>
      </c>
      <c r="K12" s="4">
        <v>1123431693.04</v>
      </c>
      <c r="L12" s="3">
        <f t="shared" si="1"/>
        <v>4.008277778081952E-2</v>
      </c>
      <c r="M12" s="4">
        <v>314.88</v>
      </c>
      <c r="N12" s="4">
        <v>319.25</v>
      </c>
      <c r="O12" s="60">
        <v>1620</v>
      </c>
      <c r="P12" s="6">
        <v>3.0800000000000001E-2</v>
      </c>
      <c r="Q12" s="6">
        <v>0.26619999999999999</v>
      </c>
      <c r="R12" s="76">
        <f t="shared" si="2"/>
        <v>2.9501858064505008E-2</v>
      </c>
      <c r="S12" s="76">
        <f t="shared" si="3"/>
        <v>3.0836293186955157E-2</v>
      </c>
      <c r="T12" s="76">
        <f t="shared" si="4"/>
        <v>1.2360939431396785E-3</v>
      </c>
      <c r="U12" s="77">
        <f t="shared" si="5"/>
        <v>1.6300000000000002E-2</v>
      </c>
      <c r="V12" s="79">
        <f t="shared" si="6"/>
        <v>3.7699999999999984E-2</v>
      </c>
    </row>
    <row r="13" spans="1:25">
      <c r="A13" s="144">
        <v>8</v>
      </c>
      <c r="B13" s="131" t="s">
        <v>28</v>
      </c>
      <c r="C13" s="132" t="s">
        <v>29</v>
      </c>
      <c r="D13" s="2">
        <v>355999334.95999998</v>
      </c>
      <c r="E13" s="3">
        <f t="shared" si="0"/>
        <v>1.2962318470927433E-2</v>
      </c>
      <c r="F13" s="4">
        <v>178.09399999999999</v>
      </c>
      <c r="G13" s="4">
        <v>184.82</v>
      </c>
      <c r="H13" s="58">
        <v>2465</v>
      </c>
      <c r="I13" s="5">
        <v>8.0560000000000007E-3</v>
      </c>
      <c r="J13" s="5">
        <v>6.6451999999999997E-2</v>
      </c>
      <c r="K13" s="2">
        <v>354608824.25</v>
      </c>
      <c r="L13" s="3">
        <f t="shared" si="1"/>
        <v>1.2652043546206375E-2</v>
      </c>
      <c r="M13" s="4">
        <v>178.24</v>
      </c>
      <c r="N13" s="4">
        <v>184.04</v>
      </c>
      <c r="O13" s="58">
        <v>2465</v>
      </c>
      <c r="P13" s="5">
        <v>-3.9110000000000004E-3</v>
      </c>
      <c r="Q13" s="5">
        <v>6.2280000000000002E-2</v>
      </c>
      <c r="R13" s="76">
        <f t="shared" si="2"/>
        <v>-3.9059362573141214E-3</v>
      </c>
      <c r="S13" s="76">
        <f t="shared" si="3"/>
        <v>-4.2203224759225257E-3</v>
      </c>
      <c r="T13" s="76">
        <f t="shared" si="4"/>
        <v>0</v>
      </c>
      <c r="U13" s="77">
        <f t="shared" si="5"/>
        <v>-1.1967000000000002E-2</v>
      </c>
      <c r="V13" s="79">
        <f t="shared" si="6"/>
        <v>-4.1719999999999952E-3</v>
      </c>
    </row>
    <row r="14" spans="1:25">
      <c r="A14" s="143">
        <v>9</v>
      </c>
      <c r="B14" s="131" t="s">
        <v>30</v>
      </c>
      <c r="C14" s="132" t="s">
        <v>31</v>
      </c>
      <c r="D14" s="7">
        <v>56427036.549999997</v>
      </c>
      <c r="E14" s="3">
        <f t="shared" si="0"/>
        <v>2.0545690575909225E-3</v>
      </c>
      <c r="F14" s="4">
        <v>199.03</v>
      </c>
      <c r="G14" s="4">
        <v>204.23</v>
      </c>
      <c r="H14" s="58">
        <v>15</v>
      </c>
      <c r="I14" s="5">
        <v>2.41E-2</v>
      </c>
      <c r="J14" s="5">
        <v>0.1016</v>
      </c>
      <c r="K14" s="7">
        <v>56395040.459899999</v>
      </c>
      <c r="L14" s="3">
        <f t="shared" si="1"/>
        <v>2.0121115406471031E-3</v>
      </c>
      <c r="M14" s="4">
        <v>201.04230860000001</v>
      </c>
      <c r="N14" s="4">
        <v>206.3689296</v>
      </c>
      <c r="O14" s="58">
        <v>15</v>
      </c>
      <c r="P14" s="5">
        <v>1.03E-2</v>
      </c>
      <c r="Q14" s="5">
        <v>0.113</v>
      </c>
      <c r="R14" s="76">
        <f t="shared" si="2"/>
        <v>-5.6703474178811575E-4</v>
      </c>
      <c r="S14" s="76">
        <f t="shared" si="3"/>
        <v>1.0473141066444753E-2</v>
      </c>
      <c r="T14" s="76">
        <f t="shared" si="4"/>
        <v>0</v>
      </c>
      <c r="U14" s="77">
        <f t="shared" si="5"/>
        <v>-1.38E-2</v>
      </c>
      <c r="V14" s="79">
        <f t="shared" si="6"/>
        <v>1.1400000000000007E-2</v>
      </c>
    </row>
    <row r="15" spans="1:25" ht="14.25" customHeight="1">
      <c r="A15" s="140">
        <v>10</v>
      </c>
      <c r="B15" s="131" t="s">
        <v>236</v>
      </c>
      <c r="C15" s="132" t="s">
        <v>32</v>
      </c>
      <c r="D15" s="2">
        <v>567621393.32000005</v>
      </c>
      <c r="E15" s="3">
        <f t="shared" si="0"/>
        <v>2.0667705101056189E-2</v>
      </c>
      <c r="F15" s="4">
        <v>1.9335549999999999</v>
      </c>
      <c r="G15" s="4">
        <v>1.952366</v>
      </c>
      <c r="H15" s="58">
        <v>445</v>
      </c>
      <c r="I15" s="5">
        <v>2.344514601211789E-2</v>
      </c>
      <c r="J15" s="5">
        <v>0.14094234967840902</v>
      </c>
      <c r="K15" s="2">
        <v>570287831.07000005</v>
      </c>
      <c r="L15" s="3">
        <f t="shared" si="1"/>
        <v>2.0347227646772884E-2</v>
      </c>
      <c r="M15" s="4">
        <v>1.942032</v>
      </c>
      <c r="N15" s="4">
        <v>1.961875</v>
      </c>
      <c r="O15" s="58">
        <v>456</v>
      </c>
      <c r="P15" s="5">
        <v>4.3841525066523612E-3</v>
      </c>
      <c r="Q15" s="5">
        <v>0.14594441494069743</v>
      </c>
      <c r="R15" s="76">
        <f t="shared" si="2"/>
        <v>4.6975638715871645E-3</v>
      </c>
      <c r="S15" s="76">
        <f t="shared" si="3"/>
        <v>4.8705007155420603E-3</v>
      </c>
      <c r="T15" s="76">
        <f t="shared" si="4"/>
        <v>2.4719101123595506E-2</v>
      </c>
      <c r="U15" s="77">
        <f t="shared" si="5"/>
        <v>-1.9060993505465529E-2</v>
      </c>
      <c r="V15" s="79">
        <f t="shared" si="6"/>
        <v>5.0020652622884132E-3</v>
      </c>
    </row>
    <row r="16" spans="1:25">
      <c r="A16" s="140">
        <v>11</v>
      </c>
      <c r="B16" s="131" t="s">
        <v>33</v>
      </c>
      <c r="C16" s="132" t="s">
        <v>34</v>
      </c>
      <c r="D16" s="2">
        <v>1589115650.99</v>
      </c>
      <c r="E16" s="3">
        <f t="shared" si="0"/>
        <v>5.7861409088255766E-2</v>
      </c>
      <c r="F16" s="4">
        <v>3.28</v>
      </c>
      <c r="G16" s="4">
        <v>3.34</v>
      </c>
      <c r="H16" s="58">
        <v>3664</v>
      </c>
      <c r="I16" s="5">
        <v>-1.4E-2</v>
      </c>
      <c r="J16" s="5">
        <v>0.18179999999999999</v>
      </c>
      <c r="K16" s="2">
        <v>1611290283.5999999</v>
      </c>
      <c r="L16" s="3">
        <f t="shared" si="1"/>
        <v>5.7489022944657929E-2</v>
      </c>
      <c r="M16" s="4">
        <v>3.28</v>
      </c>
      <c r="N16" s="4">
        <v>3.35</v>
      </c>
      <c r="O16" s="58">
        <v>3663</v>
      </c>
      <c r="P16" s="5">
        <v>-7.3000000000000001E-3</v>
      </c>
      <c r="Q16" s="5">
        <v>0.184</v>
      </c>
      <c r="R16" s="76">
        <f t="shared" si="2"/>
        <v>1.3954070992998757E-2</v>
      </c>
      <c r="S16" s="76">
        <f t="shared" si="3"/>
        <v>2.9940119760479733E-3</v>
      </c>
      <c r="T16" s="76">
        <f t="shared" si="4"/>
        <v>-2.7292576419213972E-4</v>
      </c>
      <c r="U16" s="77">
        <f t="shared" si="5"/>
        <v>6.7000000000000002E-3</v>
      </c>
      <c r="V16" s="79">
        <f t="shared" si="6"/>
        <v>2.2000000000000075E-3</v>
      </c>
    </row>
    <row r="17" spans="1:22">
      <c r="A17" s="147">
        <v>12</v>
      </c>
      <c r="B17" s="131" t="s">
        <v>35</v>
      </c>
      <c r="C17" s="132" t="s">
        <v>36</v>
      </c>
      <c r="D17" s="4">
        <v>585155485.65999997</v>
      </c>
      <c r="E17" s="3">
        <f t="shared" si="0"/>
        <v>2.1306140251602934E-2</v>
      </c>
      <c r="F17" s="4">
        <v>20.149999999999999</v>
      </c>
      <c r="G17" s="4">
        <v>20.25</v>
      </c>
      <c r="H17" s="58">
        <v>330</v>
      </c>
      <c r="I17" s="5">
        <v>5.7579970039338679E-3</v>
      </c>
      <c r="J17" s="5">
        <v>0.14940000000000001</v>
      </c>
      <c r="K17" s="4">
        <v>586378857.72000003</v>
      </c>
      <c r="L17" s="3">
        <f t="shared" si="1"/>
        <v>2.09213373585364E-2</v>
      </c>
      <c r="M17" s="4">
        <v>20.04</v>
      </c>
      <c r="N17" s="4">
        <v>20.149999999999999</v>
      </c>
      <c r="O17" s="58">
        <v>327</v>
      </c>
      <c r="P17" s="5">
        <v>5.7579970039338679E-3</v>
      </c>
      <c r="Q17" s="5">
        <v>0.14399999999999999</v>
      </c>
      <c r="R17" s="76">
        <f t="shared" si="2"/>
        <v>2.0906786144544373E-3</v>
      </c>
      <c r="S17" s="76">
        <f t="shared" si="3"/>
        <v>-4.9382716049383418E-3</v>
      </c>
      <c r="T17" s="76">
        <f t="shared" si="4"/>
        <v>-9.0909090909090905E-3</v>
      </c>
      <c r="U17" s="77">
        <f t="shared" si="5"/>
        <v>0</v>
      </c>
      <c r="V17" s="79">
        <f t="shared" si="6"/>
        <v>-5.4000000000000159E-3</v>
      </c>
    </row>
    <row r="18" spans="1:22">
      <c r="A18" s="140">
        <v>13</v>
      </c>
      <c r="B18" s="131" t="s">
        <v>37</v>
      </c>
      <c r="C18" s="132" t="s">
        <v>38</v>
      </c>
      <c r="D18" s="4">
        <v>234239660.53999999</v>
      </c>
      <c r="E18" s="3">
        <f t="shared" si="0"/>
        <v>8.5289178385194765E-3</v>
      </c>
      <c r="F18" s="4">
        <v>2.565388</v>
      </c>
      <c r="G18" s="4">
        <v>2.6242239999999999</v>
      </c>
      <c r="H18" s="58">
        <v>21</v>
      </c>
      <c r="I18" s="5">
        <v>4.0000000000000002E-4</v>
      </c>
      <c r="J18" s="5">
        <v>0.19539999999999999</v>
      </c>
      <c r="K18" s="4">
        <v>234353546.55000001</v>
      </c>
      <c r="L18" s="3">
        <f t="shared" si="1"/>
        <v>8.3614706498903579E-3</v>
      </c>
      <c r="M18" s="4">
        <v>2.5666350000000002</v>
      </c>
      <c r="N18" s="4">
        <v>2.6264370000000001</v>
      </c>
      <c r="O18" s="58">
        <v>21</v>
      </c>
      <c r="P18" s="5">
        <v>2E-3</v>
      </c>
      <c r="Q18" s="5">
        <v>0.19620000000000001</v>
      </c>
      <c r="R18" s="76">
        <f t="shared" si="2"/>
        <v>4.8619439482398195E-4</v>
      </c>
      <c r="S18" s="76">
        <f t="shared" si="3"/>
        <v>8.4329691367819311E-4</v>
      </c>
      <c r="T18" s="76">
        <f t="shared" si="4"/>
        <v>0</v>
      </c>
      <c r="U18" s="77">
        <f t="shared" si="5"/>
        <v>1.6000000000000001E-3</v>
      </c>
      <c r="V18" s="79">
        <f t="shared" si="6"/>
        <v>8.0000000000002292E-4</v>
      </c>
    </row>
    <row r="19" spans="1:22">
      <c r="A19" s="143">
        <v>14</v>
      </c>
      <c r="B19" s="131" t="s">
        <v>39</v>
      </c>
      <c r="C19" s="132" t="s">
        <v>40</v>
      </c>
      <c r="D19" s="2">
        <v>1471405330.1400001</v>
      </c>
      <c r="E19" s="3">
        <f t="shared" si="0"/>
        <v>5.3575449772224497E-2</v>
      </c>
      <c r="F19" s="4">
        <v>26.25</v>
      </c>
      <c r="G19" s="4">
        <v>26.77</v>
      </c>
      <c r="H19" s="58">
        <v>8834</v>
      </c>
      <c r="I19" s="5">
        <v>-3.5999999999999999E-3</v>
      </c>
      <c r="J19" s="5">
        <v>4.2599999999999999E-2</v>
      </c>
      <c r="K19" s="2">
        <v>1466822411.48</v>
      </c>
      <c r="L19" s="3">
        <f t="shared" si="1"/>
        <v>5.2334571943739236E-2</v>
      </c>
      <c r="M19" s="4">
        <v>26</v>
      </c>
      <c r="N19" s="4">
        <v>26.5</v>
      </c>
      <c r="O19" s="58">
        <v>8834</v>
      </c>
      <c r="P19" s="5">
        <v>-1.2200000000000001E-2</v>
      </c>
      <c r="Q19" s="5">
        <v>3.2300000000000002E-2</v>
      </c>
      <c r="R19" s="76">
        <f t="shared" si="2"/>
        <v>-3.1146541106820877E-3</v>
      </c>
      <c r="S19" s="76">
        <f t="shared" si="3"/>
        <v>-1.0085917071348508E-2</v>
      </c>
      <c r="T19" s="76">
        <f t="shared" si="4"/>
        <v>0</v>
      </c>
      <c r="U19" s="77">
        <f t="shared" si="5"/>
        <v>-8.6E-3</v>
      </c>
      <c r="V19" s="79">
        <f t="shared" si="6"/>
        <v>-1.0299999999999997E-2</v>
      </c>
    </row>
    <row r="20" spans="1:22" ht="12.75" customHeight="1">
      <c r="A20" s="143">
        <v>15</v>
      </c>
      <c r="B20" s="131" t="s">
        <v>41</v>
      </c>
      <c r="C20" s="132" t="s">
        <v>42</v>
      </c>
      <c r="D20" s="4">
        <v>668168000.88999999</v>
      </c>
      <c r="E20" s="3">
        <f t="shared" si="0"/>
        <v>2.4328715166257977E-2</v>
      </c>
      <c r="F20" s="4">
        <v>6571.14</v>
      </c>
      <c r="G20" s="4">
        <v>6659.27</v>
      </c>
      <c r="H20" s="58">
        <v>20</v>
      </c>
      <c r="I20" s="5">
        <v>1.01E-2</v>
      </c>
      <c r="J20" s="5">
        <v>0.22239999999999999</v>
      </c>
      <c r="K20" s="4">
        <v>683597223.46000004</v>
      </c>
      <c r="L20" s="3">
        <f t="shared" si="1"/>
        <v>2.4389979176559343E-2</v>
      </c>
      <c r="M20" s="4">
        <v>6722.57</v>
      </c>
      <c r="N20" s="4">
        <v>6813.26</v>
      </c>
      <c r="O20" s="58">
        <v>20</v>
      </c>
      <c r="P20" s="5">
        <v>2.3099999999999999E-2</v>
      </c>
      <c r="Q20" s="5">
        <v>0.25069999999999998</v>
      </c>
      <c r="R20" s="76">
        <f t="shared" si="2"/>
        <v>2.3091831020713837E-2</v>
      </c>
      <c r="S20" s="76">
        <f t="shared" si="3"/>
        <v>2.3124156251360852E-2</v>
      </c>
      <c r="T20" s="76">
        <f t="shared" si="4"/>
        <v>0</v>
      </c>
      <c r="U20" s="77">
        <f t="shared" si="5"/>
        <v>1.2999999999999999E-2</v>
      </c>
      <c r="V20" s="79">
        <f t="shared" si="6"/>
        <v>2.8299999999999992E-2</v>
      </c>
    </row>
    <row r="21" spans="1:22">
      <c r="A21" s="143">
        <v>16</v>
      </c>
      <c r="B21" s="131" t="s">
        <v>43</v>
      </c>
      <c r="C21" s="132" t="s">
        <v>42</v>
      </c>
      <c r="D21" s="4">
        <v>11126766027.49</v>
      </c>
      <c r="E21" s="3">
        <f t="shared" si="0"/>
        <v>0.40513751188896741</v>
      </c>
      <c r="F21" s="4">
        <v>21588.21</v>
      </c>
      <c r="G21" s="4">
        <v>21899.759999999998</v>
      </c>
      <c r="H21" s="58">
        <v>17398</v>
      </c>
      <c r="I21" s="5">
        <v>2.0199999999999999E-2</v>
      </c>
      <c r="J21" s="5">
        <v>0.19259999999999999</v>
      </c>
      <c r="K21" s="4">
        <v>11604644349.690001</v>
      </c>
      <c r="L21" s="3">
        <f t="shared" si="1"/>
        <v>0.4140406431256925</v>
      </c>
      <c r="M21" s="4">
        <v>22748.87</v>
      </c>
      <c r="N21" s="4">
        <v>23090.7</v>
      </c>
      <c r="O21" s="58">
        <v>17409</v>
      </c>
      <c r="P21" s="5">
        <v>4.3400000000000001E-2</v>
      </c>
      <c r="Q21" s="5">
        <v>0.25750000000000001</v>
      </c>
      <c r="R21" s="76">
        <f t="shared" si="2"/>
        <v>4.2948536980048427E-2</v>
      </c>
      <c r="S21" s="76">
        <f t="shared" si="3"/>
        <v>5.4381417878552205E-2</v>
      </c>
      <c r="T21" s="76">
        <f t="shared" si="4"/>
        <v>6.322565812162317E-4</v>
      </c>
      <c r="U21" s="77">
        <f t="shared" si="5"/>
        <v>2.3200000000000002E-2</v>
      </c>
      <c r="V21" s="79">
        <f t="shared" si="6"/>
        <v>6.4900000000000013E-2</v>
      </c>
    </row>
    <row r="22" spans="1:22">
      <c r="A22" s="140">
        <v>17</v>
      </c>
      <c r="B22" s="132" t="s">
        <v>44</v>
      </c>
      <c r="C22" s="132" t="s">
        <v>45</v>
      </c>
      <c r="D22" s="4">
        <v>3184908040.1799998</v>
      </c>
      <c r="E22" s="3">
        <f t="shared" si="0"/>
        <v>0.11596592539159981</v>
      </c>
      <c r="F22" s="4">
        <v>1.2946</v>
      </c>
      <c r="G22" s="8">
        <v>1.3071999999999999</v>
      </c>
      <c r="H22" s="58">
        <v>3966</v>
      </c>
      <c r="I22" s="5">
        <v>-1.8E-3</v>
      </c>
      <c r="J22" s="5">
        <v>0.17269999999999999</v>
      </c>
      <c r="K22" s="4">
        <v>3207873775.0500002</v>
      </c>
      <c r="L22" s="3">
        <f t="shared" si="1"/>
        <v>0.11445332410581162</v>
      </c>
      <c r="M22" s="4">
        <v>1.3052999999999999</v>
      </c>
      <c r="N22" s="8">
        <v>1.3179000000000001</v>
      </c>
      <c r="O22" s="58">
        <v>3981</v>
      </c>
      <c r="P22" s="5">
        <v>8.3000000000000001E-3</v>
      </c>
      <c r="Q22" s="5">
        <v>0.18060000000000001</v>
      </c>
      <c r="R22" s="76">
        <f t="shared" si="2"/>
        <v>7.2107999917958134E-3</v>
      </c>
      <c r="S22" s="76">
        <f t="shared" si="3"/>
        <v>8.1854345165239852E-3</v>
      </c>
      <c r="T22" s="76">
        <f t="shared" si="4"/>
        <v>3.7821482602118004E-3</v>
      </c>
      <c r="U22" s="77">
        <f t="shared" si="5"/>
        <v>1.01E-2</v>
      </c>
      <c r="V22" s="79">
        <f t="shared" si="6"/>
        <v>7.9000000000000181E-3</v>
      </c>
    </row>
    <row r="23" spans="1:22">
      <c r="A23" s="71"/>
      <c r="B23" s="129"/>
      <c r="C23" s="68" t="s">
        <v>46</v>
      </c>
      <c r="D23" s="56">
        <f>SUM(D6:D22)</f>
        <v>27464171302.260002</v>
      </c>
      <c r="E23" s="96">
        <f>(D23/$D$204)</f>
        <v>8.2719534335568556E-3</v>
      </c>
      <c r="F23" s="30"/>
      <c r="G23" s="31"/>
      <c r="H23" s="63">
        <f>SUM(H6:H22)</f>
        <v>49956</v>
      </c>
      <c r="I23" s="28"/>
      <c r="J23" s="58">
        <v>0</v>
      </c>
      <c r="K23" s="56">
        <f>SUM(K6:K22)</f>
        <v>28027790368.7999</v>
      </c>
      <c r="L23" s="96">
        <f>(K23/$K$204)</f>
        <v>8.3763204344170471E-3</v>
      </c>
      <c r="M23" s="30"/>
      <c r="N23" s="31"/>
      <c r="O23" s="63">
        <f>SUM(O6:O22)</f>
        <v>50016</v>
      </c>
      <c r="P23" s="28"/>
      <c r="Q23" s="63"/>
      <c r="R23" s="76">
        <f t="shared" si="2"/>
        <v>2.0521976080651601E-2</v>
      </c>
      <c r="S23" s="76" t="e">
        <f t="shared" si="3"/>
        <v>#DIV/0!</v>
      </c>
      <c r="T23" s="76">
        <f t="shared" si="4"/>
        <v>1.2010569300984868E-3</v>
      </c>
      <c r="U23" s="77">
        <f t="shared" si="5"/>
        <v>0</v>
      </c>
      <c r="V23" s="79">
        <f t="shared" si="6"/>
        <v>0</v>
      </c>
    </row>
    <row r="24" spans="1:22" ht="9" customHeight="1">
      <c r="A24" s="148"/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15" customHeight="1">
      <c r="A25" s="155" t="s">
        <v>47</v>
      </c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</row>
    <row r="26" spans="1:22">
      <c r="A26" s="142">
        <v>18</v>
      </c>
      <c r="B26" s="131" t="s">
        <v>48</v>
      </c>
      <c r="C26" s="132" t="s">
        <v>17</v>
      </c>
      <c r="D26" s="9">
        <v>1134809475.6700001</v>
      </c>
      <c r="E26" s="3">
        <f>(D26/$K$62)</f>
        <v>8.8955568287503244E-4</v>
      </c>
      <c r="F26" s="8">
        <v>100</v>
      </c>
      <c r="G26" s="8">
        <v>100</v>
      </c>
      <c r="H26" s="58">
        <v>825</v>
      </c>
      <c r="I26" s="5">
        <v>0.16039999999999999</v>
      </c>
      <c r="J26" s="5">
        <v>0.16039999999999999</v>
      </c>
      <c r="K26" s="9">
        <v>1165615580.3299999</v>
      </c>
      <c r="L26" s="3">
        <f t="shared" ref="L26:L61" si="7">(K26/$K$62)</f>
        <v>9.1370400561561105E-4</v>
      </c>
      <c r="M26" s="8">
        <v>100</v>
      </c>
      <c r="N26" s="8">
        <v>100</v>
      </c>
      <c r="O26" s="58">
        <v>825</v>
      </c>
      <c r="P26" s="5">
        <v>0.19850000000000001</v>
      </c>
      <c r="Q26" s="5">
        <v>0.19850000000000001</v>
      </c>
      <c r="R26" s="76">
        <f>((K26-D26)/D26)</f>
        <v>2.7146499320347753E-2</v>
      </c>
      <c r="S26" s="76">
        <f>((N26-G26)/G26)</f>
        <v>0</v>
      </c>
      <c r="T26" s="76">
        <f>((O26-H26)/H26)</f>
        <v>0</v>
      </c>
      <c r="U26" s="77">
        <f>P26-I26</f>
        <v>3.8100000000000023E-2</v>
      </c>
      <c r="V26" s="79">
        <f>Q26-J26</f>
        <v>3.8100000000000023E-2</v>
      </c>
    </row>
    <row r="27" spans="1:22">
      <c r="A27" s="140">
        <v>19</v>
      </c>
      <c r="B27" s="131" t="s">
        <v>49</v>
      </c>
      <c r="C27" s="132" t="s">
        <v>50</v>
      </c>
      <c r="D27" s="9">
        <v>7392735334.5600004</v>
      </c>
      <c r="E27" s="3">
        <f t="shared" ref="E27:E61" si="8">(D27/$K$62)</f>
        <v>5.7950253939906835E-3</v>
      </c>
      <c r="F27" s="8">
        <v>100</v>
      </c>
      <c r="G27" s="8">
        <v>100</v>
      </c>
      <c r="H27" s="58">
        <v>1606</v>
      </c>
      <c r="I27" s="5">
        <v>0.21313599999999999</v>
      </c>
      <c r="J27" s="5">
        <v>0.21313599999999999</v>
      </c>
      <c r="K27" s="9">
        <v>7698310904.1599998</v>
      </c>
      <c r="L27" s="3">
        <f t="shared" si="7"/>
        <v>6.0345603029893641E-3</v>
      </c>
      <c r="M27" s="8">
        <v>100</v>
      </c>
      <c r="N27" s="8">
        <v>100</v>
      </c>
      <c r="O27" s="58">
        <v>1628</v>
      </c>
      <c r="P27" s="5">
        <v>0.21166599999999999</v>
      </c>
      <c r="Q27" s="5">
        <v>0.21166599999999999</v>
      </c>
      <c r="R27" s="76">
        <f t="shared" ref="R27:R62" si="9">((K27-D27)/D27)</f>
        <v>4.1334574520945785E-2</v>
      </c>
      <c r="S27" s="76">
        <f t="shared" ref="S27:S62" si="10">((N27-G27)/G27)</f>
        <v>0</v>
      </c>
      <c r="T27" s="76">
        <f t="shared" ref="T27:T62" si="11">((O27-H27)/H27)</f>
        <v>1.3698630136986301E-2</v>
      </c>
      <c r="U27" s="77">
        <f t="shared" ref="U27:U62" si="12">P27-I27</f>
        <v>-1.4699999999999991E-3</v>
      </c>
      <c r="V27" s="79">
        <f t="shared" ref="V27:V62" si="13">Q27-J27</f>
        <v>-1.4699999999999991E-3</v>
      </c>
    </row>
    <row r="28" spans="1:22">
      <c r="A28" s="143">
        <v>20</v>
      </c>
      <c r="B28" s="131" t="s">
        <v>51</v>
      </c>
      <c r="C28" s="132" t="s">
        <v>19</v>
      </c>
      <c r="D28" s="9">
        <v>550981668.09000003</v>
      </c>
      <c r="E28" s="3">
        <f t="shared" si="8"/>
        <v>4.319041077094009E-4</v>
      </c>
      <c r="F28" s="8">
        <v>100</v>
      </c>
      <c r="G28" s="8">
        <v>100</v>
      </c>
      <c r="H28" s="58">
        <v>1680</v>
      </c>
      <c r="I28" s="5">
        <v>0.20130000000000001</v>
      </c>
      <c r="J28" s="5">
        <v>0.20130000000000001</v>
      </c>
      <c r="K28" s="9">
        <v>553435832.35000002</v>
      </c>
      <c r="L28" s="3">
        <f t="shared" si="7"/>
        <v>4.3382788065190548E-4</v>
      </c>
      <c r="M28" s="8">
        <v>100</v>
      </c>
      <c r="N28" s="8">
        <v>100</v>
      </c>
      <c r="O28" s="58">
        <v>1685</v>
      </c>
      <c r="P28" s="5">
        <v>0.20100000000000001</v>
      </c>
      <c r="Q28" s="5">
        <v>0.20100000000000001</v>
      </c>
      <c r="R28" s="76">
        <f t="shared" si="9"/>
        <v>4.4541668119512014E-3</v>
      </c>
      <c r="S28" s="76">
        <f t="shared" si="10"/>
        <v>0</v>
      </c>
      <c r="T28" s="76">
        <f t="shared" si="11"/>
        <v>2.976190476190476E-3</v>
      </c>
      <c r="U28" s="77">
        <f t="shared" si="12"/>
        <v>-2.9999999999999472E-4</v>
      </c>
      <c r="V28" s="79">
        <f t="shared" si="13"/>
        <v>-2.9999999999999472E-4</v>
      </c>
    </row>
    <row r="29" spans="1:22">
      <c r="A29" s="142">
        <v>21</v>
      </c>
      <c r="B29" s="131" t="s">
        <v>52</v>
      </c>
      <c r="C29" s="132" t="s">
        <v>21</v>
      </c>
      <c r="D29" s="9">
        <v>100665365746.88</v>
      </c>
      <c r="E29" s="3">
        <f t="shared" si="8"/>
        <v>7.8909676107490431E-2</v>
      </c>
      <c r="F29" s="8">
        <v>1</v>
      </c>
      <c r="G29" s="8">
        <v>1</v>
      </c>
      <c r="H29" s="58">
        <v>60337</v>
      </c>
      <c r="I29" s="5">
        <v>0.20080000000000001</v>
      </c>
      <c r="J29" s="5">
        <v>0.20080000000000001</v>
      </c>
      <c r="K29" s="9">
        <v>101936295079.60001</v>
      </c>
      <c r="L29" s="3">
        <f t="shared" si="7"/>
        <v>7.9905933571578089E-2</v>
      </c>
      <c r="M29" s="8">
        <v>1</v>
      </c>
      <c r="N29" s="8">
        <v>1</v>
      </c>
      <c r="O29" s="58">
        <v>60637</v>
      </c>
      <c r="P29" s="5">
        <v>0.20250000000000001</v>
      </c>
      <c r="Q29" s="5">
        <v>0.20250000000000001</v>
      </c>
      <c r="R29" s="76">
        <f t="shared" si="9"/>
        <v>1.2625288978889863E-2</v>
      </c>
      <c r="S29" s="76">
        <f t="shared" si="10"/>
        <v>0</v>
      </c>
      <c r="T29" s="76">
        <f t="shared" si="11"/>
        <v>4.9720735203937884E-3</v>
      </c>
      <c r="U29" s="77">
        <f t="shared" si="12"/>
        <v>1.7000000000000071E-3</v>
      </c>
      <c r="V29" s="79">
        <f t="shared" si="13"/>
        <v>1.7000000000000071E-3</v>
      </c>
    </row>
    <row r="30" spans="1:22">
      <c r="A30" s="143">
        <v>22</v>
      </c>
      <c r="B30" s="131" t="s">
        <v>53</v>
      </c>
      <c r="C30" s="132" t="s">
        <v>23</v>
      </c>
      <c r="D30" s="9">
        <v>65147543376.089996</v>
      </c>
      <c r="E30" s="3">
        <f t="shared" si="8"/>
        <v>5.1067926976317339E-2</v>
      </c>
      <c r="F30" s="8">
        <v>1</v>
      </c>
      <c r="G30" s="8">
        <v>1</v>
      </c>
      <c r="H30" s="58">
        <v>28943</v>
      </c>
      <c r="I30" s="5">
        <v>0.2114</v>
      </c>
      <c r="J30" s="5">
        <v>0.2114</v>
      </c>
      <c r="K30" s="9">
        <v>65341720877.879997</v>
      </c>
      <c r="L30" s="3">
        <f t="shared" si="7"/>
        <v>5.1220139047072032E-2</v>
      </c>
      <c r="M30" s="8">
        <v>1</v>
      </c>
      <c r="N30" s="8">
        <v>1</v>
      </c>
      <c r="O30" s="58">
        <v>29043</v>
      </c>
      <c r="P30" s="5">
        <v>0.2185</v>
      </c>
      <c r="Q30" s="5">
        <v>0.2185</v>
      </c>
      <c r="R30" s="76">
        <f t="shared" si="9"/>
        <v>2.9805805672369623E-3</v>
      </c>
      <c r="S30" s="76">
        <f t="shared" si="10"/>
        <v>0</v>
      </c>
      <c r="T30" s="76">
        <f t="shared" si="11"/>
        <v>3.4550668555436547E-3</v>
      </c>
      <c r="U30" s="77">
        <f t="shared" si="12"/>
        <v>7.0999999999999952E-3</v>
      </c>
      <c r="V30" s="79">
        <f t="shared" si="13"/>
        <v>7.0999999999999952E-3</v>
      </c>
    </row>
    <row r="31" spans="1:22" ht="15" customHeight="1">
      <c r="A31" s="143">
        <v>23</v>
      </c>
      <c r="B31" s="131" t="s">
        <v>54</v>
      </c>
      <c r="C31" s="132" t="s">
        <v>40</v>
      </c>
      <c r="D31" s="9">
        <v>8825198445.3600006</v>
      </c>
      <c r="E31" s="3">
        <f t="shared" si="8"/>
        <v>6.9179061312780211E-3</v>
      </c>
      <c r="F31" s="8">
        <v>100</v>
      </c>
      <c r="G31" s="8">
        <v>100</v>
      </c>
      <c r="H31" s="58">
        <v>2891</v>
      </c>
      <c r="I31" s="5">
        <v>0.215</v>
      </c>
      <c r="J31" s="5">
        <v>0.215</v>
      </c>
      <c r="K31" s="9">
        <v>9851601316</v>
      </c>
      <c r="L31" s="3">
        <f t="shared" si="7"/>
        <v>7.7224839269983041E-3</v>
      </c>
      <c r="M31" s="8">
        <v>100</v>
      </c>
      <c r="N31" s="8">
        <v>100</v>
      </c>
      <c r="O31" s="58">
        <v>2891</v>
      </c>
      <c r="P31" s="5">
        <v>0.215</v>
      </c>
      <c r="Q31" s="5">
        <v>0.215</v>
      </c>
      <c r="R31" s="76">
        <f t="shared" si="9"/>
        <v>0.11630365900493131</v>
      </c>
      <c r="S31" s="76">
        <f t="shared" si="10"/>
        <v>0</v>
      </c>
      <c r="T31" s="76">
        <f t="shared" si="11"/>
        <v>0</v>
      </c>
      <c r="U31" s="77">
        <f t="shared" si="12"/>
        <v>0</v>
      </c>
      <c r="V31" s="79">
        <f t="shared" si="13"/>
        <v>0</v>
      </c>
    </row>
    <row r="32" spans="1:22" ht="15" customHeight="1">
      <c r="A32" s="143">
        <v>24</v>
      </c>
      <c r="B32" s="131" t="s">
        <v>268</v>
      </c>
      <c r="C32" s="132" t="s">
        <v>267</v>
      </c>
      <c r="D32" s="9">
        <v>419995411.94999999</v>
      </c>
      <c r="E32" s="3">
        <f t="shared" si="8"/>
        <v>3.2922645914723353E-4</v>
      </c>
      <c r="F32" s="8">
        <v>1</v>
      </c>
      <c r="G32" s="8">
        <v>1</v>
      </c>
      <c r="H32" s="58">
        <v>186</v>
      </c>
      <c r="I32" s="5">
        <v>0.20100000000000001</v>
      </c>
      <c r="J32" s="5">
        <v>0.20100000000000001</v>
      </c>
      <c r="K32" s="9">
        <v>411039180.75999999</v>
      </c>
      <c r="L32" s="3">
        <f t="shared" si="7"/>
        <v>3.2220583892593756E-4</v>
      </c>
      <c r="M32" s="8">
        <v>1</v>
      </c>
      <c r="N32" s="8">
        <v>1</v>
      </c>
      <c r="O32" s="58">
        <v>191</v>
      </c>
      <c r="P32" s="5">
        <v>0.20100000000000001</v>
      </c>
      <c r="Q32" s="5">
        <v>0.20100000000000001</v>
      </c>
      <c r="R32" s="76">
        <f t="shared" si="9"/>
        <v>-2.1324592924520394E-2</v>
      </c>
      <c r="S32" s="76">
        <f t="shared" si="10"/>
        <v>0</v>
      </c>
      <c r="T32" s="76">
        <f t="shared" si="11"/>
        <v>2.6881720430107527E-2</v>
      </c>
      <c r="U32" s="77">
        <f t="shared" si="12"/>
        <v>0</v>
      </c>
      <c r="V32" s="79">
        <f t="shared" si="13"/>
        <v>0</v>
      </c>
    </row>
    <row r="33" spans="1:22">
      <c r="A33" s="140">
        <v>25</v>
      </c>
      <c r="B33" s="131" t="s">
        <v>55</v>
      </c>
      <c r="C33" s="132" t="s">
        <v>56</v>
      </c>
      <c r="D33" s="9">
        <v>26015807440.98</v>
      </c>
      <c r="E33" s="3">
        <f t="shared" si="8"/>
        <v>2.0393299359826724E-2</v>
      </c>
      <c r="F33" s="8">
        <v>100</v>
      </c>
      <c r="G33" s="8">
        <v>100</v>
      </c>
      <c r="H33" s="58">
        <v>2840</v>
      </c>
      <c r="I33" s="5">
        <v>0.227213499200664</v>
      </c>
      <c r="J33" s="5">
        <v>0.227213499200664</v>
      </c>
      <c r="K33" s="9">
        <v>26241671487.540001</v>
      </c>
      <c r="L33" s="3">
        <f t="shared" si="7"/>
        <v>2.0570349913670554E-2</v>
      </c>
      <c r="M33" s="8">
        <v>100</v>
      </c>
      <c r="N33" s="8">
        <v>100</v>
      </c>
      <c r="O33" s="58">
        <v>2876</v>
      </c>
      <c r="P33" s="5">
        <v>0.22832592214042799</v>
      </c>
      <c r="Q33" s="5">
        <v>0.22832592214042799</v>
      </c>
      <c r="R33" s="76">
        <f t="shared" si="9"/>
        <v>8.6818003658891332E-3</v>
      </c>
      <c r="S33" s="76">
        <f t="shared" si="10"/>
        <v>0</v>
      </c>
      <c r="T33" s="76">
        <f t="shared" si="11"/>
        <v>1.2676056338028169E-2</v>
      </c>
      <c r="U33" s="77">
        <f t="shared" si="12"/>
        <v>1.1124229397639906E-3</v>
      </c>
      <c r="V33" s="79">
        <f t="shared" si="13"/>
        <v>1.1124229397639906E-3</v>
      </c>
    </row>
    <row r="34" spans="1:22">
      <c r="A34" s="140">
        <v>26</v>
      </c>
      <c r="B34" s="131" t="s">
        <v>57</v>
      </c>
      <c r="C34" s="132" t="s">
        <v>58</v>
      </c>
      <c r="D34" s="9">
        <v>9287500396.6900005</v>
      </c>
      <c r="E34" s="3">
        <f t="shared" si="8"/>
        <v>7.2802958864102802E-3</v>
      </c>
      <c r="F34" s="8">
        <v>100</v>
      </c>
      <c r="G34" s="8">
        <v>100</v>
      </c>
      <c r="H34" s="58">
        <v>6179</v>
      </c>
      <c r="I34" s="5">
        <v>0.21659999999999999</v>
      </c>
      <c r="J34" s="5">
        <v>0.21659999999999999</v>
      </c>
      <c r="K34" s="9">
        <v>9424798080.5799999</v>
      </c>
      <c r="L34" s="3">
        <f t="shared" si="7"/>
        <v>7.3879209438040064E-3</v>
      </c>
      <c r="M34" s="8">
        <v>100</v>
      </c>
      <c r="N34" s="8">
        <v>100</v>
      </c>
      <c r="O34" s="58">
        <v>6189</v>
      </c>
      <c r="P34" s="5">
        <v>0.22059999999999999</v>
      </c>
      <c r="Q34" s="5">
        <v>0.22059999999999999</v>
      </c>
      <c r="R34" s="76">
        <f t="shared" si="9"/>
        <v>1.4783060891058623E-2</v>
      </c>
      <c r="S34" s="76">
        <f t="shared" si="10"/>
        <v>0</v>
      </c>
      <c r="T34" s="76">
        <f t="shared" si="11"/>
        <v>1.6183848519177862E-3</v>
      </c>
      <c r="U34" s="77">
        <f t="shared" si="12"/>
        <v>4.0000000000000036E-3</v>
      </c>
      <c r="V34" s="79">
        <f t="shared" si="13"/>
        <v>4.0000000000000036E-3</v>
      </c>
    </row>
    <row r="35" spans="1:22">
      <c r="A35" s="144">
        <v>27</v>
      </c>
      <c r="B35" s="131" t="s">
        <v>59</v>
      </c>
      <c r="C35" s="132" t="s">
        <v>60</v>
      </c>
      <c r="D35" s="9">
        <v>44514190.369999997</v>
      </c>
      <c r="E35" s="3">
        <f t="shared" si="8"/>
        <v>3.4893831838014634E-5</v>
      </c>
      <c r="F35" s="8">
        <v>100</v>
      </c>
      <c r="G35" s="8">
        <v>100</v>
      </c>
      <c r="H35" s="58">
        <v>0</v>
      </c>
      <c r="I35" s="5">
        <v>0</v>
      </c>
      <c r="J35" s="5">
        <v>0</v>
      </c>
      <c r="K35" s="9">
        <v>44514190.369999997</v>
      </c>
      <c r="L35" s="3">
        <f t="shared" si="7"/>
        <v>3.4893831838014634E-5</v>
      </c>
      <c r="M35" s="8">
        <v>100</v>
      </c>
      <c r="N35" s="8">
        <v>100</v>
      </c>
      <c r="O35" s="58">
        <v>0</v>
      </c>
      <c r="P35" s="5">
        <v>0</v>
      </c>
      <c r="Q35" s="5">
        <v>0</v>
      </c>
      <c r="R35" s="76">
        <f t="shared" si="9"/>
        <v>0</v>
      </c>
      <c r="S35" s="76">
        <f t="shared" si="10"/>
        <v>0</v>
      </c>
      <c r="T35" s="76" t="e">
        <f t="shared" si="11"/>
        <v>#DIV/0!</v>
      </c>
      <c r="U35" s="77">
        <f t="shared" si="12"/>
        <v>0</v>
      </c>
      <c r="V35" s="79">
        <f t="shared" si="13"/>
        <v>0</v>
      </c>
    </row>
    <row r="36" spans="1:22">
      <c r="A36" s="142">
        <v>28</v>
      </c>
      <c r="B36" s="131" t="s">
        <v>61</v>
      </c>
      <c r="C36" s="132" t="s">
        <v>62</v>
      </c>
      <c r="D36" s="9">
        <v>8430276394.1199999</v>
      </c>
      <c r="E36" s="3">
        <f t="shared" si="8"/>
        <v>6.608334205324729E-3</v>
      </c>
      <c r="F36" s="8">
        <v>1</v>
      </c>
      <c r="G36" s="8">
        <v>1</v>
      </c>
      <c r="H36" s="58">
        <v>2505</v>
      </c>
      <c r="I36" s="5">
        <v>0.2</v>
      </c>
      <c r="J36" s="5">
        <v>0.2</v>
      </c>
      <c r="K36" s="9">
        <v>6480175659.7299995</v>
      </c>
      <c r="L36" s="3">
        <f t="shared" si="7"/>
        <v>5.079687126103607E-3</v>
      </c>
      <c r="M36" s="8">
        <v>1</v>
      </c>
      <c r="N36" s="8">
        <v>1</v>
      </c>
      <c r="O36" s="58">
        <v>2514</v>
      </c>
      <c r="P36" s="5">
        <v>0.21840000000000001</v>
      </c>
      <c r="Q36" s="5">
        <v>0.21840000000000001</v>
      </c>
      <c r="R36" s="76">
        <f t="shared" si="9"/>
        <v>-0.23132109117444458</v>
      </c>
      <c r="S36" s="76">
        <f t="shared" si="10"/>
        <v>0</v>
      </c>
      <c r="T36" s="76">
        <f t="shared" si="11"/>
        <v>3.592814371257485E-3</v>
      </c>
      <c r="U36" s="77">
        <f t="shared" si="12"/>
        <v>1.84E-2</v>
      </c>
      <c r="V36" s="79">
        <f t="shared" si="13"/>
        <v>1.84E-2</v>
      </c>
    </row>
    <row r="37" spans="1:22">
      <c r="A37" s="140">
        <v>29</v>
      </c>
      <c r="B37" s="131" t="s">
        <v>63</v>
      </c>
      <c r="C37" s="132" t="s">
        <v>64</v>
      </c>
      <c r="D37" s="9">
        <v>15484218783.65</v>
      </c>
      <c r="E37" s="3">
        <f t="shared" si="8"/>
        <v>1.213778621802912E-2</v>
      </c>
      <c r="F37" s="11">
        <v>100</v>
      </c>
      <c r="G37" s="11">
        <v>100</v>
      </c>
      <c r="H37" s="58">
        <v>2893</v>
      </c>
      <c r="I37" s="5">
        <v>0.18809999999999999</v>
      </c>
      <c r="J37" s="5">
        <v>0.18809999999999999</v>
      </c>
      <c r="K37" s="9">
        <v>15732014365.15</v>
      </c>
      <c r="L37" s="3">
        <f t="shared" si="7"/>
        <v>1.2332028487273926E-2</v>
      </c>
      <c r="M37" s="11">
        <v>100</v>
      </c>
      <c r="N37" s="11">
        <v>100</v>
      </c>
      <c r="O37" s="58">
        <v>2825</v>
      </c>
      <c r="P37" s="5">
        <v>0.2024</v>
      </c>
      <c r="Q37" s="5">
        <v>0.2024</v>
      </c>
      <c r="R37" s="76">
        <f t="shared" si="9"/>
        <v>1.6003105159018469E-2</v>
      </c>
      <c r="S37" s="76">
        <f t="shared" si="10"/>
        <v>0</v>
      </c>
      <c r="T37" s="76">
        <f t="shared" si="11"/>
        <v>-2.3505012098167993E-2</v>
      </c>
      <c r="U37" s="77">
        <f t="shared" si="12"/>
        <v>1.4300000000000007E-2</v>
      </c>
      <c r="V37" s="79">
        <f t="shared" si="13"/>
        <v>1.4300000000000007E-2</v>
      </c>
    </row>
    <row r="38" spans="1:22">
      <c r="A38" s="140">
        <v>30</v>
      </c>
      <c r="B38" s="131" t="s">
        <v>65</v>
      </c>
      <c r="C38" s="132" t="s">
        <v>64</v>
      </c>
      <c r="D38" s="9">
        <v>436405466.56</v>
      </c>
      <c r="E38" s="3">
        <f t="shared" si="8"/>
        <v>3.4208999055720577E-4</v>
      </c>
      <c r="F38" s="11">
        <v>1000000</v>
      </c>
      <c r="G38" s="11">
        <v>1000000</v>
      </c>
      <c r="H38" s="58">
        <v>3</v>
      </c>
      <c r="I38" s="5">
        <v>0.17929999999999999</v>
      </c>
      <c r="J38" s="5">
        <v>0.17929999999999999</v>
      </c>
      <c r="K38" s="9">
        <v>437923187.33999997</v>
      </c>
      <c r="L38" s="3">
        <f t="shared" si="7"/>
        <v>3.432797031687165E-4</v>
      </c>
      <c r="M38" s="11">
        <v>1000000</v>
      </c>
      <c r="N38" s="11">
        <v>1000000</v>
      </c>
      <c r="O38" s="58">
        <v>3</v>
      </c>
      <c r="P38" s="5">
        <v>0.19620000000000001</v>
      </c>
      <c r="Q38" s="5">
        <v>0.19620000000000001</v>
      </c>
      <c r="R38" s="76">
        <f t="shared" si="9"/>
        <v>3.4777767381410762E-3</v>
      </c>
      <c r="S38" s="76">
        <f t="shared" si="10"/>
        <v>0</v>
      </c>
      <c r="T38" s="76">
        <f t="shared" si="11"/>
        <v>0</v>
      </c>
      <c r="U38" s="77">
        <f t="shared" si="12"/>
        <v>1.6900000000000026E-2</v>
      </c>
      <c r="V38" s="79">
        <f t="shared" si="13"/>
        <v>1.6900000000000026E-2</v>
      </c>
    </row>
    <row r="39" spans="1:22">
      <c r="A39" s="140">
        <v>31</v>
      </c>
      <c r="B39" s="131" t="s">
        <v>66</v>
      </c>
      <c r="C39" s="132" t="s">
        <v>67</v>
      </c>
      <c r="D39" s="9">
        <v>3424432507.6500001</v>
      </c>
      <c r="E39" s="3">
        <f t="shared" si="8"/>
        <v>2.6843478690584096E-3</v>
      </c>
      <c r="F39" s="8">
        <v>1</v>
      </c>
      <c r="G39" s="8">
        <v>1</v>
      </c>
      <c r="H39" s="58">
        <v>588</v>
      </c>
      <c r="I39" s="5">
        <v>0.20899999999999999</v>
      </c>
      <c r="J39" s="5">
        <v>0.20899999999999999</v>
      </c>
      <c r="K39" s="9">
        <v>3416397267.9899998</v>
      </c>
      <c r="L39" s="3">
        <f t="shared" si="7"/>
        <v>2.6780491966767782E-3</v>
      </c>
      <c r="M39" s="8">
        <v>1</v>
      </c>
      <c r="N39" s="8">
        <v>1</v>
      </c>
      <c r="O39" s="58">
        <v>591</v>
      </c>
      <c r="P39" s="5">
        <v>0.21560000000000001</v>
      </c>
      <c r="Q39" s="5">
        <v>0.21560000000000001</v>
      </c>
      <c r="R39" s="76">
        <f t="shared" si="9"/>
        <v>-2.3464441603243827E-3</v>
      </c>
      <c r="S39" s="76">
        <f t="shared" si="10"/>
        <v>0</v>
      </c>
      <c r="T39" s="76">
        <f t="shared" si="11"/>
        <v>5.1020408163265302E-3</v>
      </c>
      <c r="U39" s="77">
        <f t="shared" si="12"/>
        <v>6.6000000000000225E-3</v>
      </c>
      <c r="V39" s="79">
        <f t="shared" si="13"/>
        <v>6.6000000000000225E-3</v>
      </c>
    </row>
    <row r="40" spans="1:22">
      <c r="A40" s="140">
        <v>32</v>
      </c>
      <c r="B40" s="131" t="s">
        <v>68</v>
      </c>
      <c r="C40" s="132" t="s">
        <v>27</v>
      </c>
      <c r="D40" s="9">
        <v>284762018206.65997</v>
      </c>
      <c r="E40" s="3">
        <f t="shared" si="8"/>
        <v>0.22321955975309488</v>
      </c>
      <c r="F40" s="8">
        <v>100</v>
      </c>
      <c r="G40" s="8">
        <v>100</v>
      </c>
      <c r="H40" s="58">
        <v>15473</v>
      </c>
      <c r="I40" s="5">
        <v>0.23200000000000001</v>
      </c>
      <c r="J40" s="5">
        <v>0.23200000000000001</v>
      </c>
      <c r="K40" s="9">
        <v>286394057723</v>
      </c>
      <c r="L40" s="3">
        <f t="shared" si="7"/>
        <v>0.22449888465966542</v>
      </c>
      <c r="M40" s="8">
        <v>100</v>
      </c>
      <c r="N40" s="8">
        <v>100</v>
      </c>
      <c r="O40" s="58">
        <v>15631</v>
      </c>
      <c r="P40" s="5">
        <v>0.23350000000000001</v>
      </c>
      <c r="Q40" s="5">
        <v>0.23350000000000001</v>
      </c>
      <c r="R40" s="76">
        <f t="shared" si="9"/>
        <v>5.7312401654479386E-3</v>
      </c>
      <c r="S40" s="76">
        <f t="shared" si="10"/>
        <v>0</v>
      </c>
      <c r="T40" s="76">
        <f t="shared" si="11"/>
        <v>1.0211335875395851E-2</v>
      </c>
      <c r="U40" s="77">
        <f t="shared" si="12"/>
        <v>1.5000000000000013E-3</v>
      </c>
      <c r="V40" s="79">
        <f t="shared" si="13"/>
        <v>1.5000000000000013E-3</v>
      </c>
    </row>
    <row r="41" spans="1:22">
      <c r="A41" s="144">
        <v>33</v>
      </c>
      <c r="B41" s="131" t="s">
        <v>69</v>
      </c>
      <c r="C41" s="132" t="s">
        <v>70</v>
      </c>
      <c r="D41" s="9">
        <v>631509765.85000002</v>
      </c>
      <c r="E41" s="3">
        <f t="shared" si="8"/>
        <v>4.950285603416199E-4</v>
      </c>
      <c r="F41" s="8">
        <v>1</v>
      </c>
      <c r="G41" s="8">
        <v>1</v>
      </c>
      <c r="H41" s="59">
        <v>638</v>
      </c>
      <c r="I41" s="12">
        <v>0.20039999999999999</v>
      </c>
      <c r="J41" s="12">
        <v>0.20039999999999999</v>
      </c>
      <c r="K41" s="9">
        <v>588719793.84000003</v>
      </c>
      <c r="L41" s="3">
        <f t="shared" si="7"/>
        <v>4.6148631066214325E-4</v>
      </c>
      <c r="M41" s="8">
        <v>1</v>
      </c>
      <c r="N41" s="8">
        <v>1</v>
      </c>
      <c r="O41" s="59">
        <v>650</v>
      </c>
      <c r="P41" s="12">
        <v>0.20100000000000001</v>
      </c>
      <c r="Q41" s="12">
        <v>0.20100000000000001</v>
      </c>
      <c r="R41" s="76">
        <f t="shared" si="9"/>
        <v>-6.7758211074385385E-2</v>
      </c>
      <c r="S41" s="76">
        <f t="shared" si="10"/>
        <v>0</v>
      </c>
      <c r="T41" s="76">
        <f t="shared" si="11"/>
        <v>1.8808777429467086E-2</v>
      </c>
      <c r="U41" s="77">
        <f t="shared" si="12"/>
        <v>6.0000000000001719E-4</v>
      </c>
      <c r="V41" s="79">
        <f t="shared" si="13"/>
        <v>6.0000000000001719E-4</v>
      </c>
    </row>
    <row r="42" spans="1:22">
      <c r="A42" s="146">
        <v>34</v>
      </c>
      <c r="B42" s="131" t="s">
        <v>71</v>
      </c>
      <c r="C42" s="132" t="s">
        <v>72</v>
      </c>
      <c r="D42" s="9">
        <v>740033536.57000005</v>
      </c>
      <c r="E42" s="3">
        <f t="shared" si="8"/>
        <v>5.800982914645525E-4</v>
      </c>
      <c r="F42" s="8">
        <v>10</v>
      </c>
      <c r="G42" s="8">
        <v>10</v>
      </c>
      <c r="H42" s="58">
        <v>364</v>
      </c>
      <c r="I42" s="5">
        <v>0.16500000000000001</v>
      </c>
      <c r="J42" s="5">
        <v>0.16500000000000001</v>
      </c>
      <c r="K42" s="9">
        <v>754538970.94000006</v>
      </c>
      <c r="L42" s="3">
        <f t="shared" si="7"/>
        <v>5.9146882709458504E-4</v>
      </c>
      <c r="M42" s="8">
        <v>10</v>
      </c>
      <c r="N42" s="8">
        <v>10</v>
      </c>
      <c r="O42" s="58">
        <v>374</v>
      </c>
      <c r="P42" s="5">
        <v>0.16650000000000001</v>
      </c>
      <c r="Q42" s="5">
        <v>0.16650000000000001</v>
      </c>
      <c r="R42" s="76">
        <f t="shared" si="9"/>
        <v>1.9601050024342957E-2</v>
      </c>
      <c r="S42" s="76">
        <f t="shared" si="10"/>
        <v>0</v>
      </c>
      <c r="T42" s="76">
        <f t="shared" si="11"/>
        <v>2.7472527472527472E-2</v>
      </c>
      <c r="U42" s="77">
        <f t="shared" si="12"/>
        <v>1.5000000000000013E-3</v>
      </c>
      <c r="V42" s="79">
        <f t="shared" si="13"/>
        <v>1.5000000000000013E-3</v>
      </c>
    </row>
    <row r="43" spans="1:22">
      <c r="A43" s="142">
        <v>35</v>
      </c>
      <c r="B43" s="131" t="s">
        <v>73</v>
      </c>
      <c r="C43" s="132" t="s">
        <v>74</v>
      </c>
      <c r="D43" s="9">
        <v>3750397732.8000002</v>
      </c>
      <c r="E43" s="3">
        <f t="shared" si="8"/>
        <v>2.9398658433691413E-3</v>
      </c>
      <c r="F43" s="8">
        <v>100</v>
      </c>
      <c r="G43" s="8">
        <v>100</v>
      </c>
      <c r="H43" s="58">
        <v>682</v>
      </c>
      <c r="I43" s="5">
        <v>0.22159999999999999</v>
      </c>
      <c r="J43" s="5">
        <v>0.22159999999999999</v>
      </c>
      <c r="K43" s="9">
        <v>3750397732.8000002</v>
      </c>
      <c r="L43" s="3">
        <f t="shared" si="7"/>
        <v>2.9398658433691413E-3</v>
      </c>
      <c r="M43" s="8">
        <v>100</v>
      </c>
      <c r="N43" s="8">
        <v>100</v>
      </c>
      <c r="O43" s="58">
        <v>682</v>
      </c>
      <c r="P43" s="5">
        <v>0.2203</v>
      </c>
      <c r="Q43" s="5">
        <v>0.2203</v>
      </c>
      <c r="R43" s="76">
        <f t="shared" si="9"/>
        <v>0</v>
      </c>
      <c r="S43" s="76">
        <f t="shared" si="10"/>
        <v>0</v>
      </c>
      <c r="T43" s="76">
        <f t="shared" si="11"/>
        <v>0</v>
      </c>
      <c r="U43" s="77">
        <f t="shared" si="12"/>
        <v>-1.2999999999999956E-3</v>
      </c>
      <c r="V43" s="79">
        <f t="shared" si="13"/>
        <v>-1.2999999999999956E-3</v>
      </c>
    </row>
    <row r="44" spans="1:22">
      <c r="A44" s="142">
        <v>36</v>
      </c>
      <c r="B44" s="131" t="s">
        <v>289</v>
      </c>
      <c r="C44" s="131" t="s">
        <v>255</v>
      </c>
      <c r="D44" s="4">
        <v>0</v>
      </c>
      <c r="E44" s="3">
        <f t="shared" ref="E44" si="14">(D44/$D$174)</f>
        <v>0</v>
      </c>
      <c r="F44" s="4">
        <v>0</v>
      </c>
      <c r="G44" s="4">
        <v>0</v>
      </c>
      <c r="H44" s="58">
        <v>0</v>
      </c>
      <c r="I44" s="5">
        <v>0</v>
      </c>
      <c r="J44" s="5">
        <v>0</v>
      </c>
      <c r="K44" s="4">
        <v>50793913.18</v>
      </c>
      <c r="L44" s="16">
        <f t="shared" ref="L44" si="15">(K44/$K$174)</f>
        <v>1.0049878948412208E-3</v>
      </c>
      <c r="M44" s="4">
        <v>1</v>
      </c>
      <c r="N44" s="4">
        <v>1</v>
      </c>
      <c r="O44" s="58">
        <v>12</v>
      </c>
      <c r="P44" s="5">
        <v>0.1226</v>
      </c>
      <c r="Q44" s="5">
        <v>0.1226</v>
      </c>
      <c r="R44" s="77" t="e">
        <f t="shared" si="9"/>
        <v>#DIV/0!</v>
      </c>
      <c r="S44" s="77" t="e">
        <f t="shared" si="10"/>
        <v>#DIV/0!</v>
      </c>
      <c r="T44" s="77" t="e">
        <f t="shared" si="11"/>
        <v>#DIV/0!</v>
      </c>
      <c r="U44" s="77">
        <f t="shared" si="12"/>
        <v>0.1226</v>
      </c>
      <c r="V44" s="79">
        <f t="shared" si="13"/>
        <v>0.1226</v>
      </c>
    </row>
    <row r="45" spans="1:22">
      <c r="A45" s="140">
        <v>37</v>
      </c>
      <c r="B45" s="131" t="s">
        <v>237</v>
      </c>
      <c r="C45" s="132" t="s">
        <v>32</v>
      </c>
      <c r="D45" s="9">
        <v>32558373546.459999</v>
      </c>
      <c r="E45" s="3">
        <f t="shared" si="8"/>
        <v>2.5521893176228501E-2</v>
      </c>
      <c r="F45" s="8">
        <v>100</v>
      </c>
      <c r="G45" s="8">
        <v>100</v>
      </c>
      <c r="H45" s="58">
        <v>12052</v>
      </c>
      <c r="I45" s="5">
        <v>0.20380000000000001</v>
      </c>
      <c r="J45" s="5">
        <v>0.20380000000000001</v>
      </c>
      <c r="K45" s="9">
        <v>33495612816.330002</v>
      </c>
      <c r="L45" s="3">
        <f t="shared" si="7"/>
        <v>2.6256577311848949E-2</v>
      </c>
      <c r="M45" s="8">
        <v>100</v>
      </c>
      <c r="N45" s="8">
        <v>100</v>
      </c>
      <c r="O45" s="58">
        <v>12114</v>
      </c>
      <c r="P45" s="5">
        <v>0.21260000000000001</v>
      </c>
      <c r="Q45" s="5">
        <v>0.21260000000000001</v>
      </c>
      <c r="R45" s="76">
        <f t="shared" si="9"/>
        <v>2.8786427815031525E-2</v>
      </c>
      <c r="S45" s="76">
        <f t="shared" si="10"/>
        <v>0</v>
      </c>
      <c r="T45" s="76">
        <f t="shared" si="11"/>
        <v>5.1443743776966476E-3</v>
      </c>
      <c r="U45" s="77">
        <f t="shared" si="12"/>
        <v>8.8000000000000023E-3</v>
      </c>
      <c r="V45" s="79">
        <f t="shared" si="13"/>
        <v>8.8000000000000023E-3</v>
      </c>
    </row>
    <row r="46" spans="1:22">
      <c r="A46" s="140">
        <v>38</v>
      </c>
      <c r="B46" s="131" t="s">
        <v>75</v>
      </c>
      <c r="C46" s="132" t="s">
        <v>34</v>
      </c>
      <c r="D46" s="9">
        <v>4622862722.0200005</v>
      </c>
      <c r="E46" s="3">
        <f t="shared" si="8"/>
        <v>3.6237746456039273E-3</v>
      </c>
      <c r="F46" s="8">
        <v>1</v>
      </c>
      <c r="G46" s="8">
        <v>1</v>
      </c>
      <c r="H46" s="58">
        <v>1000</v>
      </c>
      <c r="I46" s="5">
        <v>0.21279999999999999</v>
      </c>
      <c r="J46" s="5">
        <v>0.21279999999999999</v>
      </c>
      <c r="K46" s="9">
        <v>4752661889.1599998</v>
      </c>
      <c r="L46" s="3">
        <f t="shared" si="7"/>
        <v>3.725521757552972E-3</v>
      </c>
      <c r="M46" s="8">
        <v>1</v>
      </c>
      <c r="N46" s="8">
        <v>1</v>
      </c>
      <c r="O46" s="58">
        <v>1023</v>
      </c>
      <c r="P46" s="5">
        <v>0.2127</v>
      </c>
      <c r="Q46" s="5">
        <v>0.2127</v>
      </c>
      <c r="R46" s="76">
        <f t="shared" si="9"/>
        <v>2.8077659871172316E-2</v>
      </c>
      <c r="S46" s="76">
        <f t="shared" si="10"/>
        <v>0</v>
      </c>
      <c r="T46" s="76">
        <f t="shared" si="11"/>
        <v>2.3E-2</v>
      </c>
      <c r="U46" s="77">
        <f t="shared" si="12"/>
        <v>-9.9999999999988987E-5</v>
      </c>
      <c r="V46" s="79">
        <f t="shared" si="13"/>
        <v>-9.9999999999988987E-5</v>
      </c>
    </row>
    <row r="47" spans="1:22">
      <c r="A47" s="147">
        <v>39</v>
      </c>
      <c r="B47" s="131" t="s">
        <v>76</v>
      </c>
      <c r="C47" s="132" t="s">
        <v>36</v>
      </c>
      <c r="D47" s="13">
        <v>8803169179.2000008</v>
      </c>
      <c r="E47" s="3">
        <f t="shared" si="8"/>
        <v>6.9006378062222897E-3</v>
      </c>
      <c r="F47" s="8">
        <v>10</v>
      </c>
      <c r="G47" s="8">
        <v>10</v>
      </c>
      <c r="H47" s="58">
        <v>2456</v>
      </c>
      <c r="I47" s="5">
        <v>0.24010000000000001</v>
      </c>
      <c r="J47" s="5">
        <v>0.24010000000000001</v>
      </c>
      <c r="K47" s="13">
        <v>9211937201.1399994</v>
      </c>
      <c r="L47" s="3">
        <f t="shared" si="7"/>
        <v>7.2210633267085602E-3</v>
      </c>
      <c r="M47" s="8">
        <v>10</v>
      </c>
      <c r="N47" s="8">
        <v>10</v>
      </c>
      <c r="O47" s="58">
        <v>2490</v>
      </c>
      <c r="P47" s="5">
        <v>0.24010000000000001</v>
      </c>
      <c r="Q47" s="5">
        <v>0.24010000000000001</v>
      </c>
      <c r="R47" s="76">
        <f t="shared" si="9"/>
        <v>4.6434189053850029E-2</v>
      </c>
      <c r="S47" s="76">
        <f t="shared" si="10"/>
        <v>0</v>
      </c>
      <c r="T47" s="76">
        <f t="shared" si="11"/>
        <v>1.3843648208469055E-2</v>
      </c>
      <c r="U47" s="77">
        <f t="shared" si="12"/>
        <v>0</v>
      </c>
      <c r="V47" s="79">
        <f t="shared" si="13"/>
        <v>0</v>
      </c>
    </row>
    <row r="48" spans="1:22">
      <c r="A48" s="143">
        <v>40</v>
      </c>
      <c r="B48" s="131" t="s">
        <v>77</v>
      </c>
      <c r="C48" s="132" t="s">
        <v>78</v>
      </c>
      <c r="D48" s="9">
        <v>6961376608.79</v>
      </c>
      <c r="E48" s="3">
        <f t="shared" si="8"/>
        <v>5.4568914480788494E-3</v>
      </c>
      <c r="F48" s="8">
        <v>100</v>
      </c>
      <c r="G48" s="8">
        <v>100</v>
      </c>
      <c r="H48" s="58">
        <v>2642</v>
      </c>
      <c r="I48" s="5">
        <v>0.2268</v>
      </c>
      <c r="J48" s="5">
        <v>0.2268</v>
      </c>
      <c r="K48" s="9">
        <v>7276799041.1199999</v>
      </c>
      <c r="L48" s="3">
        <f t="shared" si="7"/>
        <v>5.7041451265165948E-3</v>
      </c>
      <c r="M48" s="8">
        <v>100</v>
      </c>
      <c r="N48" s="8">
        <v>100</v>
      </c>
      <c r="O48" s="58">
        <v>2689</v>
      </c>
      <c r="P48" s="5">
        <v>0.216</v>
      </c>
      <c r="Q48" s="5">
        <v>0.216</v>
      </c>
      <c r="R48" s="76">
        <f t="shared" si="9"/>
        <v>4.5310353117761493E-2</v>
      </c>
      <c r="S48" s="76">
        <f t="shared" si="10"/>
        <v>0</v>
      </c>
      <c r="T48" s="76">
        <f t="shared" si="11"/>
        <v>1.7789553368660106E-2</v>
      </c>
      <c r="U48" s="77">
        <f t="shared" si="12"/>
        <v>-1.0800000000000004E-2</v>
      </c>
      <c r="V48" s="79">
        <f t="shared" si="13"/>
        <v>-1.0800000000000004E-2</v>
      </c>
    </row>
    <row r="49" spans="1:22">
      <c r="A49" s="142">
        <v>41</v>
      </c>
      <c r="B49" s="131" t="s">
        <v>79</v>
      </c>
      <c r="C49" s="132" t="s">
        <v>80</v>
      </c>
      <c r="D49" s="9">
        <v>171887193.21000001</v>
      </c>
      <c r="E49" s="3">
        <f t="shared" si="8"/>
        <v>1.3473911948357585E-4</v>
      </c>
      <c r="F49" s="8">
        <v>1</v>
      </c>
      <c r="G49" s="8">
        <v>1</v>
      </c>
      <c r="H49" s="58">
        <v>78</v>
      </c>
      <c r="I49" s="5">
        <v>0.1726</v>
      </c>
      <c r="J49" s="5">
        <v>0.1726</v>
      </c>
      <c r="K49" s="9">
        <v>174384682.30000001</v>
      </c>
      <c r="L49" s="3">
        <f t="shared" si="7"/>
        <v>1.3669685394082138E-4</v>
      </c>
      <c r="M49" s="8">
        <v>1</v>
      </c>
      <c r="N49" s="8">
        <v>1</v>
      </c>
      <c r="O49" s="58">
        <v>79</v>
      </c>
      <c r="P49" s="5">
        <v>0.1701</v>
      </c>
      <c r="Q49" s="5">
        <v>0.1701</v>
      </c>
      <c r="R49" s="76">
        <f t="shared" si="9"/>
        <v>1.4529814835877519E-2</v>
      </c>
      <c r="S49" s="76">
        <f t="shared" si="10"/>
        <v>0</v>
      </c>
      <c r="T49" s="76">
        <f t="shared" si="11"/>
        <v>1.282051282051282E-2</v>
      </c>
      <c r="U49" s="77">
        <f t="shared" si="12"/>
        <v>-2.5000000000000022E-3</v>
      </c>
      <c r="V49" s="79">
        <f t="shared" si="13"/>
        <v>-2.5000000000000022E-3</v>
      </c>
    </row>
    <row r="50" spans="1:22">
      <c r="A50" s="140">
        <v>42</v>
      </c>
      <c r="B50" s="131" t="s">
        <v>81</v>
      </c>
      <c r="C50" s="132" t="s">
        <v>38</v>
      </c>
      <c r="D50" s="13">
        <v>794357270.77999997</v>
      </c>
      <c r="E50" s="3">
        <f t="shared" si="8"/>
        <v>6.226816391696529E-4</v>
      </c>
      <c r="F50" s="8">
        <v>10</v>
      </c>
      <c r="G50" s="8">
        <v>10</v>
      </c>
      <c r="H50" s="58">
        <v>723</v>
      </c>
      <c r="I50" s="5">
        <v>0.14779999999999999</v>
      </c>
      <c r="J50" s="5">
        <v>0.14779999999999999</v>
      </c>
      <c r="K50" s="13">
        <v>749265671.72000003</v>
      </c>
      <c r="L50" s="3">
        <f t="shared" si="7"/>
        <v>5.8733518758132496E-4</v>
      </c>
      <c r="M50" s="8">
        <v>10</v>
      </c>
      <c r="N50" s="8">
        <v>10</v>
      </c>
      <c r="O50" s="58">
        <v>722</v>
      </c>
      <c r="P50" s="5">
        <v>0.15809999999999999</v>
      </c>
      <c r="Q50" s="5">
        <v>0.15809999999999999</v>
      </c>
      <c r="R50" s="76">
        <f t="shared" si="9"/>
        <v>-5.6764884918499375E-2</v>
      </c>
      <c r="S50" s="76">
        <f t="shared" si="10"/>
        <v>0</v>
      </c>
      <c r="T50" s="76">
        <f t="shared" si="11"/>
        <v>-1.3831258644536654E-3</v>
      </c>
      <c r="U50" s="77">
        <f t="shared" si="12"/>
        <v>1.0300000000000004E-2</v>
      </c>
      <c r="V50" s="79">
        <f t="shared" si="13"/>
        <v>1.0300000000000004E-2</v>
      </c>
    </row>
    <row r="51" spans="1:22">
      <c r="A51" s="142">
        <v>43</v>
      </c>
      <c r="B51" s="131" t="s">
        <v>245</v>
      </c>
      <c r="C51" s="132" t="s">
        <v>246</v>
      </c>
      <c r="D51" s="13">
        <v>660228176.88999999</v>
      </c>
      <c r="E51" s="3">
        <f t="shared" si="8"/>
        <v>5.1754037954253914E-4</v>
      </c>
      <c r="F51" s="8">
        <v>1</v>
      </c>
      <c r="G51" s="8">
        <v>1</v>
      </c>
      <c r="H51" s="58">
        <v>54</v>
      </c>
      <c r="I51" s="5">
        <v>0.21729999999999999</v>
      </c>
      <c r="J51" s="5">
        <v>0.21729999999999999</v>
      </c>
      <c r="K51" s="13">
        <v>662448811.66999996</v>
      </c>
      <c r="L51" s="3">
        <f t="shared" si="7"/>
        <v>5.1928109314291918E-4</v>
      </c>
      <c r="M51" s="8">
        <v>1</v>
      </c>
      <c r="N51" s="8">
        <v>1</v>
      </c>
      <c r="O51" s="58">
        <v>54</v>
      </c>
      <c r="P51" s="5">
        <v>0.1986</v>
      </c>
      <c r="Q51" s="5">
        <v>0.1986</v>
      </c>
      <c r="R51" s="76">
        <f t="shared" si="9"/>
        <v>3.3634353360383002E-3</v>
      </c>
      <c r="S51" s="76">
        <f t="shared" si="10"/>
        <v>0</v>
      </c>
      <c r="T51" s="76">
        <f t="shared" si="11"/>
        <v>0</v>
      </c>
      <c r="U51" s="77">
        <f t="shared" si="12"/>
        <v>-1.8699999999999994E-2</v>
      </c>
      <c r="V51" s="79">
        <f t="shared" si="13"/>
        <v>-1.8699999999999994E-2</v>
      </c>
    </row>
    <row r="52" spans="1:22">
      <c r="A52" s="140">
        <v>44</v>
      </c>
      <c r="B52" s="131" t="s">
        <v>278</v>
      </c>
      <c r="C52" s="132" t="s">
        <v>277</v>
      </c>
      <c r="D52" s="13">
        <v>6735665416.3299999</v>
      </c>
      <c r="E52" s="3">
        <f t="shared" si="8"/>
        <v>5.2799607136727504E-3</v>
      </c>
      <c r="F52" s="8">
        <v>100</v>
      </c>
      <c r="G52" s="8">
        <v>100</v>
      </c>
      <c r="H52" s="58">
        <v>51</v>
      </c>
      <c r="I52" s="5">
        <v>0.24260000000000001</v>
      </c>
      <c r="J52" s="5">
        <v>0.24260000000000001</v>
      </c>
      <c r="K52" s="13">
        <v>6875876360.9193001</v>
      </c>
      <c r="L52" s="3">
        <f t="shared" si="7"/>
        <v>5.3898694210238671E-3</v>
      </c>
      <c r="M52" s="8">
        <v>100</v>
      </c>
      <c r="N52" s="8">
        <v>100</v>
      </c>
      <c r="O52" s="58">
        <v>57</v>
      </c>
      <c r="P52" s="5">
        <v>0.23039999999999999</v>
      </c>
      <c r="Q52" s="5">
        <v>0.23039999999999999</v>
      </c>
      <c r="R52" s="76">
        <f t="shared" si="9"/>
        <v>2.0816197943765383E-2</v>
      </c>
      <c r="S52" s="76">
        <f t="shared" si="10"/>
        <v>0</v>
      </c>
      <c r="T52" s="76">
        <f t="shared" si="11"/>
        <v>0.11764705882352941</v>
      </c>
      <c r="U52" s="77">
        <f t="shared" si="12"/>
        <v>-1.2200000000000016E-2</v>
      </c>
      <c r="V52" s="79">
        <f t="shared" si="13"/>
        <v>-1.2200000000000016E-2</v>
      </c>
    </row>
    <row r="53" spans="1:22">
      <c r="A53" s="142">
        <v>45</v>
      </c>
      <c r="B53" s="131" t="s">
        <v>274</v>
      </c>
      <c r="C53" s="132" t="s">
        <v>108</v>
      </c>
      <c r="D53" s="13">
        <v>53629423.439999998</v>
      </c>
      <c r="E53" s="3">
        <f t="shared" si="8"/>
        <v>4.2039090625496652E-5</v>
      </c>
      <c r="F53" s="8">
        <v>1000</v>
      </c>
      <c r="G53" s="8">
        <v>1000</v>
      </c>
      <c r="H53" s="58">
        <v>11</v>
      </c>
      <c r="I53" s="5">
        <v>2.98E-2</v>
      </c>
      <c r="J53" s="5">
        <v>2.98E-2</v>
      </c>
      <c r="K53" s="13">
        <v>54070449.229999997</v>
      </c>
      <c r="L53" s="3">
        <f t="shared" si="7"/>
        <v>4.2384802400204318E-5</v>
      </c>
      <c r="M53" s="8">
        <v>1000</v>
      </c>
      <c r="N53" s="8">
        <v>1000</v>
      </c>
      <c r="O53" s="58">
        <v>12</v>
      </c>
      <c r="P53" s="5">
        <v>2.7E-2</v>
      </c>
      <c r="Q53" s="5">
        <v>2.7E-2</v>
      </c>
      <c r="R53" s="76">
        <f t="shared" si="9"/>
        <v>8.2235788063881356E-3</v>
      </c>
      <c r="S53" s="76">
        <f t="shared" si="10"/>
        <v>0</v>
      </c>
      <c r="T53" s="76">
        <f t="shared" si="11"/>
        <v>9.0909090909090912E-2</v>
      </c>
      <c r="U53" s="77">
        <f t="shared" si="12"/>
        <v>-2.8000000000000004E-3</v>
      </c>
      <c r="V53" s="79">
        <f t="shared" si="13"/>
        <v>-2.8000000000000004E-3</v>
      </c>
    </row>
    <row r="54" spans="1:22">
      <c r="A54" s="143">
        <v>46</v>
      </c>
      <c r="B54" s="131" t="s">
        <v>82</v>
      </c>
      <c r="C54" s="132" t="s">
        <v>42</v>
      </c>
      <c r="D54" s="9">
        <v>570684065299.26001</v>
      </c>
      <c r="E54" s="3">
        <f t="shared" si="8"/>
        <v>0.44734844420774628</v>
      </c>
      <c r="F54" s="8">
        <v>100</v>
      </c>
      <c r="G54" s="8">
        <v>100</v>
      </c>
      <c r="H54" s="58">
        <v>131427</v>
      </c>
      <c r="I54" s="5">
        <v>0.21260000000000001</v>
      </c>
      <c r="J54" s="5">
        <v>0.21260000000000001</v>
      </c>
      <c r="K54" s="9">
        <v>577414557207.68994</v>
      </c>
      <c r="L54" s="3">
        <f t="shared" si="7"/>
        <v>0.45262434950643393</v>
      </c>
      <c r="M54" s="8">
        <v>100</v>
      </c>
      <c r="N54" s="8">
        <v>100</v>
      </c>
      <c r="O54" s="58">
        <v>132356</v>
      </c>
      <c r="P54" s="5">
        <v>0.21460000000000001</v>
      </c>
      <c r="Q54" s="5">
        <v>0.21460000000000001</v>
      </c>
      <c r="R54" s="76">
        <f t="shared" si="9"/>
        <v>1.1793726717953024E-2</v>
      </c>
      <c r="S54" s="76">
        <f t="shared" si="10"/>
        <v>0</v>
      </c>
      <c r="T54" s="76">
        <f t="shared" si="11"/>
        <v>7.0685627762940642E-3</v>
      </c>
      <c r="U54" s="77">
        <f t="shared" si="12"/>
        <v>2.0000000000000018E-3</v>
      </c>
      <c r="V54" s="79">
        <f t="shared" si="13"/>
        <v>2.0000000000000018E-3</v>
      </c>
    </row>
    <row r="55" spans="1:22">
      <c r="A55" s="143">
        <v>47</v>
      </c>
      <c r="B55" s="131" t="s">
        <v>272</v>
      </c>
      <c r="C55" s="131" t="s">
        <v>271</v>
      </c>
      <c r="D55" s="9">
        <v>831588686.99000001</v>
      </c>
      <c r="E55" s="3">
        <f t="shared" si="8"/>
        <v>6.5186664209848123E-4</v>
      </c>
      <c r="F55" s="8">
        <v>100</v>
      </c>
      <c r="G55" s="8">
        <v>100</v>
      </c>
      <c r="H55" s="58">
        <v>179</v>
      </c>
      <c r="I55" s="5">
        <v>0.21729999999999999</v>
      </c>
      <c r="J55" s="5">
        <v>0.21729999999999999</v>
      </c>
      <c r="K55" s="9">
        <v>1073672935.46</v>
      </c>
      <c r="L55" s="3">
        <f t="shared" si="7"/>
        <v>8.4163190541184686E-4</v>
      </c>
      <c r="M55" s="8">
        <v>100</v>
      </c>
      <c r="N55" s="8">
        <v>100</v>
      </c>
      <c r="O55" s="58">
        <v>190</v>
      </c>
      <c r="P55" s="5">
        <v>0.217</v>
      </c>
      <c r="Q55" s="5">
        <v>0.217</v>
      </c>
      <c r="R55" s="76">
        <f t="shared" si="9"/>
        <v>0.29111056013309033</v>
      </c>
      <c r="S55" s="76">
        <f t="shared" si="10"/>
        <v>0</v>
      </c>
      <c r="T55" s="76">
        <f t="shared" si="11"/>
        <v>6.1452513966480445E-2</v>
      </c>
      <c r="U55" s="77">
        <f t="shared" si="12"/>
        <v>-2.9999999999999472E-4</v>
      </c>
      <c r="V55" s="79">
        <f t="shared" si="13"/>
        <v>-2.9999999999999472E-4</v>
      </c>
    </row>
    <row r="56" spans="1:22">
      <c r="A56" s="140">
        <v>48</v>
      </c>
      <c r="B56" s="131" t="s">
        <v>83</v>
      </c>
      <c r="C56" s="132" t="s">
        <v>84</v>
      </c>
      <c r="D56" s="9">
        <v>3603035981.98</v>
      </c>
      <c r="E56" s="3">
        <f t="shared" si="8"/>
        <v>2.824351754272422E-3</v>
      </c>
      <c r="F56" s="8">
        <v>1</v>
      </c>
      <c r="G56" s="8">
        <v>1</v>
      </c>
      <c r="H56" s="58">
        <v>379</v>
      </c>
      <c r="I56" s="5">
        <v>0.19634664390000001</v>
      </c>
      <c r="J56" s="5">
        <v>0.19634664390000001</v>
      </c>
      <c r="K56" s="9">
        <v>3481923359.5300002</v>
      </c>
      <c r="L56" s="3">
        <f t="shared" si="7"/>
        <v>2.7294138603984859E-3</v>
      </c>
      <c r="M56" s="8">
        <v>1</v>
      </c>
      <c r="N56" s="8">
        <v>1</v>
      </c>
      <c r="O56" s="58">
        <v>378</v>
      </c>
      <c r="P56" s="5">
        <v>0.20185126520000002</v>
      </c>
      <c r="Q56" s="5">
        <v>0.20185126520000002</v>
      </c>
      <c r="R56" s="76">
        <f t="shared" si="9"/>
        <v>-3.3614047446576985E-2</v>
      </c>
      <c r="S56" s="76">
        <f t="shared" si="10"/>
        <v>0</v>
      </c>
      <c r="T56" s="76">
        <f t="shared" si="11"/>
        <v>-2.6385224274406332E-3</v>
      </c>
      <c r="U56" s="77">
        <f t="shared" si="12"/>
        <v>5.5046213000000122E-3</v>
      </c>
      <c r="V56" s="79">
        <f t="shared" si="13"/>
        <v>5.5046213000000122E-3</v>
      </c>
    </row>
    <row r="57" spans="1:22">
      <c r="A57" s="140">
        <v>49</v>
      </c>
      <c r="B57" s="131" t="s">
        <v>85</v>
      </c>
      <c r="C57" s="132" t="s">
        <v>45</v>
      </c>
      <c r="D57" s="9">
        <v>46116938846.559998</v>
      </c>
      <c r="E57" s="3">
        <f t="shared" si="8"/>
        <v>3.6150196052546317E-2</v>
      </c>
      <c r="F57" s="8">
        <v>1</v>
      </c>
      <c r="G57" s="8">
        <v>1</v>
      </c>
      <c r="H57" s="58">
        <v>29072</v>
      </c>
      <c r="I57" s="5">
        <v>0.21870000000000001</v>
      </c>
      <c r="J57" s="5">
        <v>0.21870000000000001</v>
      </c>
      <c r="K57" s="9">
        <v>47470194169.82</v>
      </c>
      <c r="L57" s="3">
        <f t="shared" si="7"/>
        <v>3.7210987303409014E-2</v>
      </c>
      <c r="M57" s="8">
        <v>1</v>
      </c>
      <c r="N57" s="8">
        <v>1</v>
      </c>
      <c r="O57" s="58">
        <v>29694</v>
      </c>
      <c r="P57" s="5">
        <v>0.223</v>
      </c>
      <c r="Q57" s="5">
        <v>0.223</v>
      </c>
      <c r="R57" s="76">
        <f t="shared" si="9"/>
        <v>2.9343997175583253E-2</v>
      </c>
      <c r="S57" s="76">
        <f t="shared" si="10"/>
        <v>0</v>
      </c>
      <c r="T57" s="76">
        <f t="shared" si="11"/>
        <v>2.139515685195377E-2</v>
      </c>
      <c r="U57" s="77">
        <f t="shared" si="12"/>
        <v>4.2999999999999983E-3</v>
      </c>
      <c r="V57" s="79">
        <f t="shared" si="13"/>
        <v>4.2999999999999983E-3</v>
      </c>
    </row>
    <row r="58" spans="1:22">
      <c r="A58" s="140">
        <v>50</v>
      </c>
      <c r="B58" s="131" t="s">
        <v>86</v>
      </c>
      <c r="C58" s="132" t="s">
        <v>87</v>
      </c>
      <c r="D58" s="9">
        <v>1209592518.23</v>
      </c>
      <c r="E58" s="3">
        <f t="shared" si="8"/>
        <v>9.4817669540460912E-4</v>
      </c>
      <c r="F58" s="8">
        <v>1</v>
      </c>
      <c r="G58" s="8">
        <v>1</v>
      </c>
      <c r="H58" s="58">
        <v>103</v>
      </c>
      <c r="I58" s="5">
        <v>0.21110000000000001</v>
      </c>
      <c r="J58" s="5">
        <v>0.21110000000000001</v>
      </c>
      <c r="K58" s="9">
        <v>1230174854.8</v>
      </c>
      <c r="L58" s="3">
        <f t="shared" si="7"/>
        <v>9.6431079972364485E-4</v>
      </c>
      <c r="M58" s="8">
        <v>1</v>
      </c>
      <c r="N58" s="8">
        <v>1</v>
      </c>
      <c r="O58" s="58">
        <v>107</v>
      </c>
      <c r="P58" s="5">
        <v>0.216</v>
      </c>
      <c r="Q58" s="5">
        <v>0.216</v>
      </c>
      <c r="R58" s="76">
        <f t="shared" si="9"/>
        <v>1.7015925826094E-2</v>
      </c>
      <c r="S58" s="76">
        <f t="shared" si="10"/>
        <v>0</v>
      </c>
      <c r="T58" s="76">
        <f t="shared" si="11"/>
        <v>3.8834951456310676E-2</v>
      </c>
      <c r="U58" s="77">
        <f t="shared" si="12"/>
        <v>4.8999999999999877E-3</v>
      </c>
      <c r="V58" s="79">
        <f t="shared" si="13"/>
        <v>4.8999999999999877E-3</v>
      </c>
    </row>
    <row r="59" spans="1:22">
      <c r="A59" s="140">
        <v>51</v>
      </c>
      <c r="B59" s="131" t="s">
        <v>88</v>
      </c>
      <c r="C59" s="132" t="s">
        <v>89</v>
      </c>
      <c r="D59" s="9">
        <v>1942110527.5</v>
      </c>
      <c r="E59" s="3">
        <f t="shared" si="8"/>
        <v>1.5223837071760922E-3</v>
      </c>
      <c r="F59" s="8">
        <v>1</v>
      </c>
      <c r="G59" s="8">
        <v>1</v>
      </c>
      <c r="H59" s="58">
        <v>289</v>
      </c>
      <c r="I59" s="5">
        <v>0.22239999999999999</v>
      </c>
      <c r="J59" s="5">
        <v>0.22239999999999999</v>
      </c>
      <c r="K59" s="9">
        <v>1968107453.71</v>
      </c>
      <c r="L59" s="3">
        <f t="shared" si="7"/>
        <v>1.5427622058960951E-3</v>
      </c>
      <c r="M59" s="8">
        <v>1</v>
      </c>
      <c r="N59" s="8">
        <v>1</v>
      </c>
      <c r="O59" s="58">
        <v>307</v>
      </c>
      <c r="P59" s="5">
        <v>0.215</v>
      </c>
      <c r="Q59" s="5">
        <v>0.15540000000000001</v>
      </c>
      <c r="R59" s="76">
        <f t="shared" si="9"/>
        <v>1.3385914880686437E-2</v>
      </c>
      <c r="S59" s="76">
        <f t="shared" si="10"/>
        <v>0</v>
      </c>
      <c r="T59" s="76">
        <f t="shared" si="11"/>
        <v>6.228373702422145E-2</v>
      </c>
      <c r="U59" s="77">
        <f t="shared" si="12"/>
        <v>-7.3999999999999899E-3</v>
      </c>
      <c r="V59" s="79">
        <f t="shared" si="13"/>
        <v>-6.6999999999999976E-2</v>
      </c>
    </row>
    <row r="60" spans="1:22">
      <c r="A60" s="140">
        <v>52</v>
      </c>
      <c r="B60" s="131" t="s">
        <v>258</v>
      </c>
      <c r="C60" s="132" t="s">
        <v>259</v>
      </c>
      <c r="D60" s="9">
        <v>1279187976.49</v>
      </c>
      <c r="E60" s="3">
        <f t="shared" si="8"/>
        <v>1.0027312587254022E-3</v>
      </c>
      <c r="F60" s="8">
        <v>1</v>
      </c>
      <c r="G60" s="8">
        <v>1</v>
      </c>
      <c r="H60" s="58">
        <v>1128</v>
      </c>
      <c r="I60" s="5">
        <v>0.22509999999999999</v>
      </c>
      <c r="J60" s="5">
        <v>0.22509999999999999</v>
      </c>
      <c r="K60" s="9">
        <v>1508124756.74</v>
      </c>
      <c r="L60" s="3">
        <f t="shared" si="7"/>
        <v>1.1821904703875734E-3</v>
      </c>
      <c r="M60" s="8">
        <v>1</v>
      </c>
      <c r="N60" s="8">
        <v>1</v>
      </c>
      <c r="O60" s="58">
        <v>1160</v>
      </c>
      <c r="P60" s="5">
        <v>0.22789999999999999</v>
      </c>
      <c r="Q60" s="5">
        <v>0.22789999999999999</v>
      </c>
      <c r="R60" s="76">
        <f t="shared" si="9"/>
        <v>0.17897039720322114</v>
      </c>
      <c r="S60" s="76">
        <f t="shared" si="10"/>
        <v>0</v>
      </c>
      <c r="T60" s="76">
        <f t="shared" si="11"/>
        <v>2.8368794326241134E-2</v>
      </c>
      <c r="U60" s="77">
        <f t="shared" si="12"/>
        <v>2.7999999999999969E-3</v>
      </c>
      <c r="V60" s="79">
        <f t="shared" si="13"/>
        <v>2.7999999999999969E-3</v>
      </c>
    </row>
    <row r="61" spans="1:22">
      <c r="A61" s="140">
        <v>53</v>
      </c>
      <c r="B61" s="131" t="s">
        <v>90</v>
      </c>
      <c r="C61" s="132" t="s">
        <v>91</v>
      </c>
      <c r="D61" s="9">
        <v>37761569799.300003</v>
      </c>
      <c r="E61" s="3">
        <f t="shared" si="8"/>
        <v>2.9600580299540703E-2</v>
      </c>
      <c r="F61" s="8">
        <v>1</v>
      </c>
      <c r="G61" s="8">
        <v>1</v>
      </c>
      <c r="H61" s="58">
        <v>3826</v>
      </c>
      <c r="I61" s="5">
        <v>0.21390000000000001</v>
      </c>
      <c r="J61" s="5">
        <v>0.21390000000000001</v>
      </c>
      <c r="K61" s="9">
        <v>38029866824.480003</v>
      </c>
      <c r="L61" s="3">
        <f t="shared" si="7"/>
        <v>2.9810893262698174E-2</v>
      </c>
      <c r="M61" s="8">
        <v>1</v>
      </c>
      <c r="N61" s="8">
        <v>1</v>
      </c>
      <c r="O61" s="58">
        <v>3860</v>
      </c>
      <c r="P61" s="5">
        <v>0.215</v>
      </c>
      <c r="Q61" s="5">
        <v>0.215</v>
      </c>
      <c r="R61" s="76">
        <f t="shared" si="9"/>
        <v>7.105028382188015E-3</v>
      </c>
      <c r="S61" s="76">
        <f t="shared" si="10"/>
        <v>0</v>
      </c>
      <c r="T61" s="76">
        <f t="shared" si="11"/>
        <v>8.8865656037637221E-3</v>
      </c>
      <c r="U61" s="77">
        <f t="shared" si="12"/>
        <v>1.0999999999999899E-3</v>
      </c>
      <c r="V61" s="79">
        <f t="shared" si="13"/>
        <v>1.0999999999999899E-3</v>
      </c>
    </row>
    <row r="62" spans="1:22">
      <c r="A62" s="71"/>
      <c r="B62" s="129"/>
      <c r="C62" s="68" t="s">
        <v>46</v>
      </c>
      <c r="D62" s="57">
        <f>SUM(D26:D61)</f>
        <v>1261933383053.9299</v>
      </c>
      <c r="E62" s="96">
        <f>(D62/$D$204)</f>
        <v>0.38008261986095265</v>
      </c>
      <c r="F62" s="30"/>
      <c r="G62" s="11"/>
      <c r="H62" s="63">
        <f>SUM(H26:H61)</f>
        <v>314103</v>
      </c>
      <c r="I62" s="32"/>
      <c r="J62" s="32"/>
      <c r="K62" s="57">
        <f>SUM(K26:K61)</f>
        <v>1275703699629.3594</v>
      </c>
      <c r="L62" s="96">
        <f>(K62/$K$204)</f>
        <v>0.38125384937094392</v>
      </c>
      <c r="M62" s="30"/>
      <c r="N62" s="11"/>
      <c r="O62" s="63">
        <f>SUM(O26:O61)</f>
        <v>316539</v>
      </c>
      <c r="P62" s="32"/>
      <c r="Q62" s="32"/>
      <c r="R62" s="76">
        <f t="shared" si="9"/>
        <v>1.0912078846907687E-2</v>
      </c>
      <c r="S62" s="76" t="e">
        <f t="shared" si="10"/>
        <v>#DIV/0!</v>
      </c>
      <c r="T62" s="76">
        <f t="shared" si="11"/>
        <v>7.7554178088079387E-3</v>
      </c>
      <c r="U62" s="77">
        <f t="shared" si="12"/>
        <v>0</v>
      </c>
      <c r="V62" s="79">
        <f t="shared" si="13"/>
        <v>0</v>
      </c>
    </row>
    <row r="63" spans="1:22" ht="9" customHeight="1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</row>
    <row r="64" spans="1:22" ht="15" customHeight="1">
      <c r="A64" s="155" t="s">
        <v>92</v>
      </c>
      <c r="B64" s="155"/>
      <c r="C64" s="155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</row>
    <row r="65" spans="1:22">
      <c r="A65" s="143">
        <v>54</v>
      </c>
      <c r="B65" s="131" t="s">
        <v>93</v>
      </c>
      <c r="C65" s="132" t="s">
        <v>19</v>
      </c>
      <c r="D65" s="2">
        <v>463816233.12</v>
      </c>
      <c r="E65" s="3">
        <f>(D65/$D$101)</f>
        <v>2.1394127563519358E-3</v>
      </c>
      <c r="F65" s="14">
        <v>1.2465999999999999</v>
      </c>
      <c r="G65" s="14">
        <v>1.2465999999999999</v>
      </c>
      <c r="H65" s="58">
        <v>456</v>
      </c>
      <c r="I65" s="5">
        <v>-4.8099999999999998E-4</v>
      </c>
      <c r="J65" s="5">
        <v>-2.6200000000000001E-2</v>
      </c>
      <c r="K65" s="2">
        <v>472869840.18000001</v>
      </c>
      <c r="L65" s="3">
        <f t="shared" ref="L65:L86" si="16">(K65/$K$101)</f>
        <v>2.1634612232756061E-3</v>
      </c>
      <c r="M65" s="14">
        <v>1.2709999999999999</v>
      </c>
      <c r="N65" s="14">
        <v>1.2709999999999999</v>
      </c>
      <c r="O65" s="58">
        <v>459</v>
      </c>
      <c r="P65" s="5">
        <v>-7.8999999999999996E-5</v>
      </c>
      <c r="Q65" s="5">
        <v>-7.1000000000000004E-3</v>
      </c>
      <c r="R65" s="76">
        <f>((K65-D65)/D65)</f>
        <v>1.9519814990299453E-2</v>
      </c>
      <c r="S65" s="76">
        <f>((N65-G65)/G65)</f>
        <v>1.957323921065296E-2</v>
      </c>
      <c r="T65" s="76">
        <f>((O65-H65)/H65)</f>
        <v>6.5789473684210523E-3</v>
      </c>
      <c r="U65" s="77">
        <f>P65-I65</f>
        <v>4.0200000000000001E-4</v>
      </c>
      <c r="V65" s="79">
        <f>Q65-J65</f>
        <v>1.9099999999999999E-2</v>
      </c>
    </row>
    <row r="66" spans="1:22">
      <c r="A66" s="142">
        <v>55</v>
      </c>
      <c r="B66" s="131" t="s">
        <v>94</v>
      </c>
      <c r="C66" s="132" t="s">
        <v>21</v>
      </c>
      <c r="D66" s="2">
        <v>1411143894.76</v>
      </c>
      <c r="E66" s="3">
        <f>(D66/$D$101)</f>
        <v>6.5090849218220606E-3</v>
      </c>
      <c r="F66" s="14">
        <v>1.1778</v>
      </c>
      <c r="G66" s="14">
        <v>1.1778</v>
      </c>
      <c r="H66" s="58">
        <v>709</v>
      </c>
      <c r="I66" s="5">
        <v>0.1648</v>
      </c>
      <c r="J66" s="5">
        <v>2.35E-2</v>
      </c>
      <c r="K66" s="2">
        <v>1412337179.02</v>
      </c>
      <c r="L66" s="3">
        <f t="shared" si="16"/>
        <v>6.4616866236111067E-3</v>
      </c>
      <c r="M66" s="14">
        <v>1.1800999999999999</v>
      </c>
      <c r="N66" s="14">
        <v>1.1800999999999999</v>
      </c>
      <c r="O66" s="58">
        <v>726</v>
      </c>
      <c r="P66" s="5">
        <v>0.1021</v>
      </c>
      <c r="Q66" s="5">
        <v>2.58E-2</v>
      </c>
      <c r="R66" s="76">
        <f t="shared" ref="R66:R101" si="17">((K66-D66)/D66)</f>
        <v>8.4561486920718177E-4</v>
      </c>
      <c r="S66" s="76">
        <f t="shared" ref="S66:S101" si="18">((N66-G66)/G66)</f>
        <v>1.9527933435217939E-3</v>
      </c>
      <c r="T66" s="76">
        <f t="shared" ref="T66:T101" si="19">((O66-H66)/H66)</f>
        <v>2.3977433004231313E-2</v>
      </c>
      <c r="U66" s="77">
        <f t="shared" ref="U66:U101" si="20">P66-I66</f>
        <v>-6.2700000000000006E-2</v>
      </c>
      <c r="V66" s="79">
        <f t="shared" ref="V66:V101" si="21">Q66-J66</f>
        <v>2.3E-3</v>
      </c>
    </row>
    <row r="67" spans="1:22">
      <c r="A67" s="142">
        <v>56</v>
      </c>
      <c r="B67" s="131" t="s">
        <v>95</v>
      </c>
      <c r="C67" s="132" t="s">
        <v>21</v>
      </c>
      <c r="D67" s="2">
        <v>843859139.60000002</v>
      </c>
      <c r="E67" s="3">
        <f>(D67/$D$101)</f>
        <v>3.8924101376963229E-3</v>
      </c>
      <c r="F67" s="14">
        <v>1.0734999999999999</v>
      </c>
      <c r="G67" s="14">
        <v>1.0734999999999999</v>
      </c>
      <c r="H67" s="58">
        <v>176</v>
      </c>
      <c r="I67" s="5">
        <v>0.10249999999999999</v>
      </c>
      <c r="J67" s="5">
        <v>4.7999999999999996E-3</v>
      </c>
      <c r="K67" s="2">
        <v>847203891.74000001</v>
      </c>
      <c r="L67" s="3">
        <f t="shared" si="16"/>
        <v>3.8761041881841649E-3</v>
      </c>
      <c r="M67" s="14">
        <v>1.0755999999999999</v>
      </c>
      <c r="N67" s="14">
        <v>1.0755999999999999</v>
      </c>
      <c r="O67" s="58">
        <v>180</v>
      </c>
      <c r="P67" s="5">
        <v>0.1023</v>
      </c>
      <c r="Q67" s="5">
        <v>7.6E-3</v>
      </c>
      <c r="R67" s="76">
        <f t="shared" si="17"/>
        <v>3.963637985346039E-3</v>
      </c>
      <c r="S67" s="76">
        <f t="shared" si="18"/>
        <v>1.956217978574747E-3</v>
      </c>
      <c r="T67" s="76">
        <f t="shared" si="19"/>
        <v>2.2727272727272728E-2</v>
      </c>
      <c r="U67" s="77">
        <f t="shared" si="20"/>
        <v>-1.9999999999999185E-4</v>
      </c>
      <c r="V67" s="79">
        <f t="shared" si="21"/>
        <v>2.8000000000000004E-3</v>
      </c>
    </row>
    <row r="68" spans="1:22">
      <c r="A68" s="142">
        <v>57</v>
      </c>
      <c r="B68" s="131" t="s">
        <v>96</v>
      </c>
      <c r="C68" s="132" t="s">
        <v>97</v>
      </c>
      <c r="D68" s="2">
        <v>267038529.97</v>
      </c>
      <c r="E68" s="3">
        <f>(D68/$D$101)</f>
        <v>1.2317499834195685E-3</v>
      </c>
      <c r="F68" s="7">
        <v>1072.6600000000001</v>
      </c>
      <c r="G68" s="7">
        <v>1072.6600000000001</v>
      </c>
      <c r="H68" s="58">
        <v>112</v>
      </c>
      <c r="I68" s="5">
        <v>2.6740000000000002E-3</v>
      </c>
      <c r="J68" s="5">
        <v>3.8434999999999997E-2</v>
      </c>
      <c r="K68" s="2">
        <v>267038529.97</v>
      </c>
      <c r="L68" s="3">
        <f t="shared" si="16"/>
        <v>1.2217474146600283E-3</v>
      </c>
      <c r="M68" s="7">
        <v>1079.0899999999999</v>
      </c>
      <c r="N68" s="7">
        <v>1079.0899999999999</v>
      </c>
      <c r="O68" s="58">
        <v>112</v>
      </c>
      <c r="P68" s="5">
        <v>3.6819999999999999E-3</v>
      </c>
      <c r="Q68" s="5">
        <v>4.2328999999999999E-2</v>
      </c>
      <c r="R68" s="76">
        <f t="shared" si="17"/>
        <v>0</v>
      </c>
      <c r="S68" s="76">
        <f t="shared" si="18"/>
        <v>5.9944437193517382E-3</v>
      </c>
      <c r="T68" s="76">
        <f t="shared" si="19"/>
        <v>0</v>
      </c>
      <c r="U68" s="77">
        <f t="shared" si="20"/>
        <v>1.0079999999999998E-3</v>
      </c>
      <c r="V68" s="79">
        <f t="shared" si="21"/>
        <v>3.8940000000000016E-3</v>
      </c>
    </row>
    <row r="69" spans="1:22" ht="15" customHeight="1">
      <c r="A69" s="142">
        <v>58</v>
      </c>
      <c r="B69" s="131" t="s">
        <v>98</v>
      </c>
      <c r="C69" s="132" t="s">
        <v>99</v>
      </c>
      <c r="D69" s="2">
        <v>1525951370.76</v>
      </c>
      <c r="E69" s="3">
        <f>(D69/$K$101)</f>
        <v>6.9814911815624554E-3</v>
      </c>
      <c r="F69" s="7">
        <v>1.0459000000000001</v>
      </c>
      <c r="G69" s="7">
        <v>1.0459000000000001</v>
      </c>
      <c r="H69" s="58">
        <v>872</v>
      </c>
      <c r="I69" s="5">
        <v>2.0999999999999999E-3</v>
      </c>
      <c r="J69" s="5">
        <v>6.9900000000000004E-2</v>
      </c>
      <c r="K69" s="2">
        <v>1562928622.3399999</v>
      </c>
      <c r="L69" s="3">
        <f t="shared" si="16"/>
        <v>7.1506684966269659E-3</v>
      </c>
      <c r="M69" s="7">
        <v>1.0488</v>
      </c>
      <c r="N69" s="7">
        <v>1.0488</v>
      </c>
      <c r="O69" s="58">
        <v>877</v>
      </c>
      <c r="P69" s="5">
        <v>2.8E-3</v>
      </c>
      <c r="Q69" s="5">
        <v>7.2700000000000001E-2</v>
      </c>
      <c r="R69" s="76">
        <f t="shared" si="17"/>
        <v>2.4232260797133663E-2</v>
      </c>
      <c r="S69" s="76">
        <f t="shared" si="18"/>
        <v>2.7727316187015033E-3</v>
      </c>
      <c r="T69" s="76">
        <f t="shared" si="19"/>
        <v>5.7339449541284407E-3</v>
      </c>
      <c r="U69" s="77">
        <f t="shared" si="20"/>
        <v>7.000000000000001E-4</v>
      </c>
      <c r="V69" s="79">
        <v>7.87</v>
      </c>
    </row>
    <row r="70" spans="1:22">
      <c r="A70" s="144">
        <v>59</v>
      </c>
      <c r="B70" s="131" t="s">
        <v>100</v>
      </c>
      <c r="C70" s="132" t="s">
        <v>101</v>
      </c>
      <c r="D70" s="2">
        <v>422988511.974123</v>
      </c>
      <c r="E70" s="3">
        <f t="shared" ref="E70:E86" si="22">(D70/$D$101)</f>
        <v>1.9510895774827949E-3</v>
      </c>
      <c r="F70" s="7">
        <v>2.41</v>
      </c>
      <c r="G70" s="7">
        <v>2.41</v>
      </c>
      <c r="H70" s="58">
        <v>1392</v>
      </c>
      <c r="I70" s="5">
        <v>0.124</v>
      </c>
      <c r="J70" s="5">
        <v>0.11990000000000001</v>
      </c>
      <c r="K70" s="2">
        <v>424043216.20808202</v>
      </c>
      <c r="L70" s="3">
        <f t="shared" si="16"/>
        <v>1.9400709821333641E-3</v>
      </c>
      <c r="M70" s="7">
        <v>2.41</v>
      </c>
      <c r="N70" s="7">
        <v>2.41</v>
      </c>
      <c r="O70" s="58">
        <v>1392</v>
      </c>
      <c r="P70" s="5">
        <v>0.13020000000000001</v>
      </c>
      <c r="Q70" s="5">
        <v>0.12039999999999999</v>
      </c>
      <c r="R70" s="76">
        <f t="shared" si="17"/>
        <v>2.4934583424893165E-3</v>
      </c>
      <c r="S70" s="76">
        <f t="shared" si="18"/>
        <v>0</v>
      </c>
      <c r="T70" s="76">
        <f t="shared" si="19"/>
        <v>0</v>
      </c>
      <c r="U70" s="77">
        <f t="shared" si="20"/>
        <v>6.2000000000000111E-3</v>
      </c>
      <c r="V70" s="79">
        <f t="shared" si="21"/>
        <v>4.9999999999998657E-4</v>
      </c>
    </row>
    <row r="71" spans="1:22">
      <c r="A71" s="143">
        <v>60</v>
      </c>
      <c r="B71" s="131" t="s">
        <v>269</v>
      </c>
      <c r="C71" s="132" t="s">
        <v>267</v>
      </c>
      <c r="D71" s="2">
        <v>135027839.06</v>
      </c>
      <c r="E71" s="3">
        <f t="shared" si="22"/>
        <v>6.228334860217369E-4</v>
      </c>
      <c r="F71" s="7">
        <v>10.8</v>
      </c>
      <c r="G71" s="7">
        <v>10.84</v>
      </c>
      <c r="H71" s="58">
        <v>29</v>
      </c>
      <c r="I71" s="5">
        <v>0.55389999999999995</v>
      </c>
      <c r="J71" s="5">
        <v>4.65E-2</v>
      </c>
      <c r="K71" s="2">
        <v>135797160.33000001</v>
      </c>
      <c r="L71" s="3">
        <f t="shared" si="16"/>
        <v>6.2129547211778671E-4</v>
      </c>
      <c r="M71" s="7">
        <v>10.9</v>
      </c>
      <c r="N71" s="7">
        <v>10.93</v>
      </c>
      <c r="O71" s="58">
        <v>29</v>
      </c>
      <c r="P71" s="5">
        <v>1.36</v>
      </c>
      <c r="Q71" s="5">
        <v>6.0999999999999999E-2</v>
      </c>
      <c r="R71" s="76">
        <f>((K71-D71)/D71)</f>
        <v>5.6975011623948205E-3</v>
      </c>
      <c r="S71" s="76">
        <f>((N71-G71)/G71)</f>
        <v>8.3025830258302447E-3</v>
      </c>
      <c r="T71" s="76">
        <f>((O71-H71)/H71)</f>
        <v>0</v>
      </c>
      <c r="U71" s="77">
        <f>P71-I71</f>
        <v>0.80610000000000015</v>
      </c>
      <c r="V71" s="79">
        <f>Q71-J71</f>
        <v>1.4499999999999999E-2</v>
      </c>
    </row>
    <row r="72" spans="1:22">
      <c r="A72" s="143">
        <v>61</v>
      </c>
      <c r="B72" s="131" t="s">
        <v>102</v>
      </c>
      <c r="C72" s="132" t="s">
        <v>56</v>
      </c>
      <c r="D72" s="2">
        <v>2387871089.3681798</v>
      </c>
      <c r="E72" s="3">
        <f t="shared" si="22"/>
        <v>1.101436626043348E-2</v>
      </c>
      <c r="F72" s="2">
        <v>4248.6989880001202</v>
      </c>
      <c r="G72" s="2">
        <v>4248.6989880001202</v>
      </c>
      <c r="H72" s="58">
        <v>1045</v>
      </c>
      <c r="I72" s="5">
        <v>0.10148806678961647</v>
      </c>
      <c r="J72" s="5">
        <v>9.6965721187280696E-2</v>
      </c>
      <c r="K72" s="2">
        <v>2387645923.70824</v>
      </c>
      <c r="L72" s="3">
        <f t="shared" si="16"/>
        <v>1.0923892648532085E-2</v>
      </c>
      <c r="M72" s="2">
        <v>4256.8969962236297</v>
      </c>
      <c r="N72" s="2">
        <v>4256.8969962236297</v>
      </c>
      <c r="O72" s="58">
        <v>1044</v>
      </c>
      <c r="P72" s="5">
        <v>0.10088705198861769</v>
      </c>
      <c r="Q72" s="5">
        <v>9.7260390295867763E-2</v>
      </c>
      <c r="R72" s="76">
        <f t="shared" si="17"/>
        <v>-9.4295567688850305E-5</v>
      </c>
      <c r="S72" s="76">
        <f t="shared" si="18"/>
        <v>1.9295337812030708E-3</v>
      </c>
      <c r="T72" s="76">
        <f t="shared" si="19"/>
        <v>-9.5693779904306223E-4</v>
      </c>
      <c r="U72" s="77">
        <f t="shared" si="20"/>
        <v>-6.0101480099877813E-4</v>
      </c>
      <c r="V72" s="79">
        <f t="shared" si="21"/>
        <v>2.946691085870673E-4</v>
      </c>
    </row>
    <row r="73" spans="1:22">
      <c r="A73" s="143">
        <v>62</v>
      </c>
      <c r="B73" s="131" t="s">
        <v>103</v>
      </c>
      <c r="C73" s="132" t="s">
        <v>58</v>
      </c>
      <c r="D73" s="2">
        <v>361545567.26999998</v>
      </c>
      <c r="E73" s="3">
        <f t="shared" si="22"/>
        <v>1.6676759961952729E-3</v>
      </c>
      <c r="F73" s="14">
        <v>110.21</v>
      </c>
      <c r="G73" s="14">
        <v>110.21</v>
      </c>
      <c r="H73" s="58">
        <v>130</v>
      </c>
      <c r="I73" s="5">
        <v>1.5E-3</v>
      </c>
      <c r="J73" s="5">
        <v>0.1221</v>
      </c>
      <c r="K73" s="2">
        <v>362497144.64999998</v>
      </c>
      <c r="L73" s="3">
        <f t="shared" si="16"/>
        <v>1.6584870705644403E-3</v>
      </c>
      <c r="M73" s="14">
        <v>110.44</v>
      </c>
      <c r="N73" s="14">
        <v>110.44</v>
      </c>
      <c r="O73" s="58">
        <v>130</v>
      </c>
      <c r="P73" s="5">
        <v>2.0999999999999999E-3</v>
      </c>
      <c r="Q73" s="5">
        <v>0.12039999999999999</v>
      </c>
      <c r="R73" s="76">
        <f t="shared" si="17"/>
        <v>2.6319708112735986E-3</v>
      </c>
      <c r="S73" s="76">
        <f t="shared" si="18"/>
        <v>2.0869249614372922E-3</v>
      </c>
      <c r="T73" s="76">
        <f t="shared" si="19"/>
        <v>0</v>
      </c>
      <c r="U73" s="77">
        <f t="shared" si="20"/>
        <v>5.9999999999999984E-4</v>
      </c>
      <c r="V73" s="79">
        <f t="shared" si="21"/>
        <v>-1.7000000000000071E-3</v>
      </c>
    </row>
    <row r="74" spans="1:22" ht="13.5" customHeight="1">
      <c r="A74" s="143">
        <v>63</v>
      </c>
      <c r="B74" s="131" t="s">
        <v>104</v>
      </c>
      <c r="C74" s="132" t="s">
        <v>105</v>
      </c>
      <c r="D74" s="2">
        <v>330391188.29000002</v>
      </c>
      <c r="E74" s="3">
        <f t="shared" si="22"/>
        <v>1.5239723673729714E-3</v>
      </c>
      <c r="F74" s="14">
        <v>1.3240000000000001</v>
      </c>
      <c r="G74" s="14">
        <v>1.3240000000000001</v>
      </c>
      <c r="H74" s="58">
        <v>332</v>
      </c>
      <c r="I74" s="5">
        <v>-9.0562083676370975E-3</v>
      </c>
      <c r="J74" s="5">
        <v>1.1032458441042059E-2</v>
      </c>
      <c r="K74" s="2">
        <v>332471047.75999999</v>
      </c>
      <c r="L74" s="3">
        <f t="shared" si="16"/>
        <v>1.5211124892566036E-3</v>
      </c>
      <c r="M74" s="14">
        <v>1.3349</v>
      </c>
      <c r="N74" s="14">
        <v>1.3349</v>
      </c>
      <c r="O74" s="58">
        <v>347</v>
      </c>
      <c r="P74" s="5">
        <v>8.2326283987914639E-3</v>
      </c>
      <c r="Q74" s="5">
        <v>1.899156760497045E-2</v>
      </c>
      <c r="R74" s="76">
        <f t="shared" si="17"/>
        <v>6.2951420731426335E-3</v>
      </c>
      <c r="S74" s="76">
        <f t="shared" si="18"/>
        <v>8.2326283987914726E-3</v>
      </c>
      <c r="T74" s="76">
        <f t="shared" si="19"/>
        <v>4.5180722891566265E-2</v>
      </c>
      <c r="U74" s="77">
        <f t="shared" si="20"/>
        <v>1.7288836766428561E-2</v>
      </c>
      <c r="V74" s="79">
        <f t="shared" si="21"/>
        <v>7.9591091639283906E-3</v>
      </c>
    </row>
    <row r="75" spans="1:22">
      <c r="A75" s="143">
        <v>64</v>
      </c>
      <c r="B75" s="131" t="s">
        <v>106</v>
      </c>
      <c r="C75" s="132" t="s">
        <v>25</v>
      </c>
      <c r="D75" s="2">
        <v>115113673.47</v>
      </c>
      <c r="E75" s="3">
        <f t="shared" si="22"/>
        <v>5.3097680474786704E-4</v>
      </c>
      <c r="F75" s="14">
        <v>121.34269999999999</v>
      </c>
      <c r="G75" s="14">
        <v>121.34269999999999</v>
      </c>
      <c r="H75" s="58">
        <v>152</v>
      </c>
      <c r="I75" s="5">
        <v>3.6099999999999999E-4</v>
      </c>
      <c r="J75" s="5">
        <v>0.13370000000000001</v>
      </c>
      <c r="K75" s="2">
        <v>118437475.14</v>
      </c>
      <c r="L75" s="3">
        <f t="shared" si="16"/>
        <v>5.4187191289366569E-4</v>
      </c>
      <c r="M75" s="14">
        <v>121.7273</v>
      </c>
      <c r="N75" s="14">
        <v>121.7273</v>
      </c>
      <c r="O75" s="58">
        <v>154</v>
      </c>
      <c r="P75" s="5">
        <v>4.37E-4</v>
      </c>
      <c r="Q75" s="5">
        <v>0.14019999999999999</v>
      </c>
      <c r="R75" s="76">
        <f t="shared" si="17"/>
        <v>2.8874082198985896E-2</v>
      </c>
      <c r="S75" s="76">
        <f t="shared" si="18"/>
        <v>3.1695355386027017E-3</v>
      </c>
      <c r="T75" s="76">
        <f t="shared" si="19"/>
        <v>1.3157894736842105E-2</v>
      </c>
      <c r="U75" s="77">
        <f t="shared" si="20"/>
        <v>7.6000000000000004E-5</v>
      </c>
      <c r="V75" s="79">
        <f t="shared" si="21"/>
        <v>6.499999999999978E-3</v>
      </c>
    </row>
    <row r="76" spans="1:22">
      <c r="A76" s="143">
        <v>65</v>
      </c>
      <c r="B76" s="131" t="s">
        <v>107</v>
      </c>
      <c r="C76" s="132" t="s">
        <v>108</v>
      </c>
      <c r="D76" s="2">
        <v>1531984492.2400002</v>
      </c>
      <c r="E76" s="3">
        <f t="shared" si="22"/>
        <v>7.0664779091154026E-3</v>
      </c>
      <c r="F76" s="7">
        <v>1000</v>
      </c>
      <c r="G76" s="7">
        <v>1000</v>
      </c>
      <c r="H76" s="58">
        <v>335</v>
      </c>
      <c r="I76" s="5">
        <v>2.7000000000000001E-3</v>
      </c>
      <c r="J76" s="5">
        <v>0.17150000000000001</v>
      </c>
      <c r="K76" s="2">
        <v>1546564164.2300003</v>
      </c>
      <c r="L76" s="3">
        <f t="shared" si="16"/>
        <v>7.0757982732533933E-3</v>
      </c>
      <c r="M76" s="7">
        <v>1000</v>
      </c>
      <c r="N76" s="7">
        <v>1000</v>
      </c>
      <c r="O76" s="58">
        <v>340</v>
      </c>
      <c r="P76" s="5">
        <v>9.9000000000000008E-3</v>
      </c>
      <c r="Q76" s="5">
        <v>0.1792</v>
      </c>
      <c r="R76" s="76">
        <f t="shared" si="17"/>
        <v>9.5168535085379726E-3</v>
      </c>
      <c r="S76" s="76">
        <f t="shared" si="18"/>
        <v>0</v>
      </c>
      <c r="T76" s="76">
        <f t="shared" si="19"/>
        <v>1.4925373134328358E-2</v>
      </c>
      <c r="U76" s="77">
        <f t="shared" si="20"/>
        <v>7.2000000000000007E-3</v>
      </c>
      <c r="V76" s="79">
        <f t="shared" si="21"/>
        <v>7.6999999999999846E-3</v>
      </c>
    </row>
    <row r="77" spans="1:22">
      <c r="A77" s="143">
        <v>66</v>
      </c>
      <c r="B77" s="131" t="s">
        <v>109</v>
      </c>
      <c r="C77" s="132" t="s">
        <v>64</v>
      </c>
      <c r="D77" s="2">
        <v>223754807.11000001</v>
      </c>
      <c r="E77" s="3">
        <f t="shared" si="22"/>
        <v>1.0320981769138492E-3</v>
      </c>
      <c r="F77" s="7">
        <v>1054.3</v>
      </c>
      <c r="G77" s="7">
        <v>1059.02</v>
      </c>
      <c r="H77" s="58">
        <v>75</v>
      </c>
      <c r="I77" s="5">
        <v>-5.5999999999999999E-3</v>
      </c>
      <c r="J77" s="5">
        <v>5.2499999999999998E-2</v>
      </c>
      <c r="K77" s="2">
        <v>222330012.44</v>
      </c>
      <c r="L77" s="3">
        <f t="shared" si="16"/>
        <v>1.0171982220334194E-3</v>
      </c>
      <c r="M77" s="7">
        <v>1055.71</v>
      </c>
      <c r="N77" s="7">
        <v>1060.76</v>
      </c>
      <c r="O77" s="58">
        <v>76</v>
      </c>
      <c r="P77" s="5">
        <v>1.9E-3</v>
      </c>
      <c r="Q77" s="5">
        <v>5.4399999999999997E-2</v>
      </c>
      <c r="R77" s="76">
        <f t="shared" si="17"/>
        <v>-6.3676606031510818E-3</v>
      </c>
      <c r="S77" s="76">
        <f t="shared" si="18"/>
        <v>1.643028460274602E-3</v>
      </c>
      <c r="T77" s="76">
        <f t="shared" si="19"/>
        <v>1.3333333333333334E-2</v>
      </c>
      <c r="U77" s="77">
        <f t="shared" si="20"/>
        <v>7.4999999999999997E-3</v>
      </c>
      <c r="V77" s="79">
        <f t="shared" si="21"/>
        <v>1.8999999999999989E-3</v>
      </c>
    </row>
    <row r="78" spans="1:22">
      <c r="A78" s="143">
        <v>67</v>
      </c>
      <c r="B78" s="131" t="s">
        <v>110</v>
      </c>
      <c r="C78" s="132" t="s">
        <v>67</v>
      </c>
      <c r="D78" s="2">
        <v>1166777529.0899999</v>
      </c>
      <c r="E78" s="3">
        <f t="shared" si="22"/>
        <v>5.381913247771361E-3</v>
      </c>
      <c r="F78" s="15">
        <v>1.1920999999999999</v>
      </c>
      <c r="G78" s="15">
        <v>1.1920999999999999</v>
      </c>
      <c r="H78" s="58">
        <v>43</v>
      </c>
      <c r="I78" s="5">
        <v>5.0399999999999999E-5</v>
      </c>
      <c r="J78" s="5">
        <v>0.123876</v>
      </c>
      <c r="K78" s="2">
        <v>955446206.32000005</v>
      </c>
      <c r="L78" s="3">
        <f t="shared" si="16"/>
        <v>4.3713314799528448E-3</v>
      </c>
      <c r="M78" s="15">
        <v>1.1888000000000001</v>
      </c>
      <c r="N78" s="15">
        <v>1.1888000000000001</v>
      </c>
      <c r="O78" s="58">
        <v>42</v>
      </c>
      <c r="P78" s="5">
        <v>6.7199999999999996E-4</v>
      </c>
      <c r="Q78" s="5">
        <v>0.11544699999999999</v>
      </c>
      <c r="R78" s="76">
        <f t="shared" si="17"/>
        <v>-0.18112392251402257</v>
      </c>
      <c r="S78" s="76">
        <f t="shared" si="18"/>
        <v>-2.7682241422698254E-3</v>
      </c>
      <c r="T78" s="76">
        <f t="shared" si="19"/>
        <v>-2.3255813953488372E-2</v>
      </c>
      <c r="U78" s="77">
        <f t="shared" si="20"/>
        <v>6.2159999999999993E-4</v>
      </c>
      <c r="V78" s="79">
        <f t="shared" si="21"/>
        <v>-8.4290000000000059E-3</v>
      </c>
    </row>
    <row r="79" spans="1:22">
      <c r="A79" s="143">
        <v>68</v>
      </c>
      <c r="B79" s="131" t="s">
        <v>111</v>
      </c>
      <c r="C79" s="132" t="s">
        <v>27</v>
      </c>
      <c r="D79" s="2">
        <v>32161907750.27</v>
      </c>
      <c r="E79" s="3">
        <f t="shared" si="22"/>
        <v>0.1483509864385012</v>
      </c>
      <c r="F79" s="15">
        <v>1661.7</v>
      </c>
      <c r="G79" s="15">
        <v>1661.7</v>
      </c>
      <c r="H79" s="58">
        <v>2322</v>
      </c>
      <c r="I79" s="5">
        <v>1.2999999999999999E-3</v>
      </c>
      <c r="J79" s="5">
        <v>7.3899999999999993E-2</v>
      </c>
      <c r="K79" s="2">
        <v>31380311495.139999</v>
      </c>
      <c r="L79" s="3">
        <f t="shared" si="16"/>
        <v>0.14357034711328279</v>
      </c>
      <c r="M79" s="15">
        <v>1663.47</v>
      </c>
      <c r="N79" s="15">
        <v>1663.47</v>
      </c>
      <c r="O79" s="58">
        <v>2137</v>
      </c>
      <c r="P79" s="5">
        <v>1.1000000000000001E-3</v>
      </c>
      <c r="Q79" s="5">
        <v>7.4999999999999997E-2</v>
      </c>
      <c r="R79" s="76">
        <f t="shared" si="17"/>
        <v>-2.430192453752808E-2</v>
      </c>
      <c r="S79" s="76">
        <f t="shared" si="18"/>
        <v>1.0651742191731251E-3</v>
      </c>
      <c r="T79" s="76">
        <f t="shared" si="19"/>
        <v>-7.9672695951765723E-2</v>
      </c>
      <c r="U79" s="77">
        <f t="shared" si="20"/>
        <v>-1.9999999999999987E-4</v>
      </c>
      <c r="V79" s="79">
        <f t="shared" si="21"/>
        <v>1.1000000000000038E-3</v>
      </c>
    </row>
    <row r="80" spans="1:22">
      <c r="A80" s="146">
        <v>69</v>
      </c>
      <c r="B80" s="131" t="s">
        <v>112</v>
      </c>
      <c r="C80" s="132" t="s">
        <v>72</v>
      </c>
      <c r="D80" s="2">
        <v>22875806.23</v>
      </c>
      <c r="E80" s="3">
        <f t="shared" si="22"/>
        <v>1.0551763428175437E-4</v>
      </c>
      <c r="F80" s="14">
        <v>0.69769999999999999</v>
      </c>
      <c r="G80" s="14">
        <v>0.69769999999999999</v>
      </c>
      <c r="H80" s="58">
        <v>746</v>
      </c>
      <c r="I80" s="5">
        <v>2.2000000000000001E-3</v>
      </c>
      <c r="J80" s="5">
        <v>-8.7300000000000003E-2</v>
      </c>
      <c r="K80" s="2">
        <v>22902867.359999999</v>
      </c>
      <c r="L80" s="3">
        <f t="shared" si="16"/>
        <v>1.0478457542634423E-4</v>
      </c>
      <c r="M80" s="14">
        <v>0.69850000000000001</v>
      </c>
      <c r="N80" s="14">
        <v>0.69850000000000001</v>
      </c>
      <c r="O80" s="58">
        <v>746</v>
      </c>
      <c r="P80" s="5">
        <v>2.2000000000000001E-3</v>
      </c>
      <c r="Q80" s="5">
        <v>-8.6199999999999999E-2</v>
      </c>
      <c r="R80" s="76">
        <f t="shared" si="17"/>
        <v>1.1829585251736483E-3</v>
      </c>
      <c r="S80" s="76">
        <f t="shared" si="18"/>
        <v>1.1466246237638283E-3</v>
      </c>
      <c r="T80" s="76">
        <f t="shared" si="19"/>
        <v>0</v>
      </c>
      <c r="U80" s="77">
        <f t="shared" si="20"/>
        <v>0</v>
      </c>
      <c r="V80" s="79">
        <f t="shared" si="21"/>
        <v>1.1000000000000038E-3</v>
      </c>
    </row>
    <row r="81" spans="1:22">
      <c r="A81" s="143">
        <v>70</v>
      </c>
      <c r="B81" s="131" t="s">
        <v>249</v>
      </c>
      <c r="C81" s="132" t="s">
        <v>32</v>
      </c>
      <c r="D81" s="2">
        <v>10401198084.030001</v>
      </c>
      <c r="E81" s="3">
        <f t="shared" si="22"/>
        <v>4.7976880223939623E-2</v>
      </c>
      <c r="F81" s="14">
        <v>1</v>
      </c>
      <c r="G81" s="14">
        <v>1</v>
      </c>
      <c r="H81" s="58">
        <v>5240</v>
      </c>
      <c r="I81" s="5">
        <v>0.06</v>
      </c>
      <c r="J81" s="5">
        <v>0.06</v>
      </c>
      <c r="K81" s="2">
        <v>10276012554.51</v>
      </c>
      <c r="L81" s="3">
        <f t="shared" si="16"/>
        <v>4.7014532969819084E-2</v>
      </c>
      <c r="M81" s="14">
        <v>1</v>
      </c>
      <c r="N81" s="14">
        <v>1</v>
      </c>
      <c r="O81" s="58">
        <v>5240</v>
      </c>
      <c r="P81" s="5">
        <v>0.06</v>
      </c>
      <c r="Q81" s="5">
        <v>0.06</v>
      </c>
      <c r="R81" s="76">
        <f>((K81-D81)/D81)</f>
        <v>-1.2035683630735801E-2</v>
      </c>
      <c r="S81" s="76">
        <f>((N81-G81)/G81)</f>
        <v>0</v>
      </c>
      <c r="T81" s="76">
        <f>((O81-H81)/H81)</f>
        <v>0</v>
      </c>
      <c r="U81" s="77">
        <f>P81-I81</f>
        <v>0</v>
      </c>
      <c r="V81" s="79">
        <f>Q81-J81</f>
        <v>0</v>
      </c>
    </row>
    <row r="82" spans="1:22">
      <c r="A82" s="143">
        <v>71</v>
      </c>
      <c r="B82" s="131" t="s">
        <v>113</v>
      </c>
      <c r="C82" s="132" t="s">
        <v>114</v>
      </c>
      <c r="D82" s="2">
        <v>1182284287.24</v>
      </c>
      <c r="E82" s="3">
        <f t="shared" si="22"/>
        <v>5.4534401884577845E-3</v>
      </c>
      <c r="F82" s="2">
        <v>227.15</v>
      </c>
      <c r="G82" s="2">
        <v>229.28</v>
      </c>
      <c r="H82" s="58">
        <v>491</v>
      </c>
      <c r="I82" s="5">
        <v>2.5999999999999999E-3</v>
      </c>
      <c r="J82" s="5">
        <v>9.2100000000000001E-2</v>
      </c>
      <c r="K82" s="2">
        <v>1186568532.8800001</v>
      </c>
      <c r="L82" s="3">
        <f t="shared" si="16"/>
        <v>5.4287560582585055E-3</v>
      </c>
      <c r="M82" s="2">
        <v>228.05690000000001</v>
      </c>
      <c r="N82" s="2">
        <v>230.2851</v>
      </c>
      <c r="O82" s="58">
        <v>491</v>
      </c>
      <c r="P82" s="5">
        <v>2.5999999999999999E-3</v>
      </c>
      <c r="Q82" s="5">
        <v>9.2100000000000001E-2</v>
      </c>
      <c r="R82" s="76">
        <f t="shared" si="17"/>
        <v>3.6237017494341584E-3</v>
      </c>
      <c r="S82" s="76">
        <f t="shared" si="18"/>
        <v>4.3837229588276289E-3</v>
      </c>
      <c r="T82" s="76">
        <f t="shared" si="19"/>
        <v>0</v>
      </c>
      <c r="U82" s="77">
        <f t="shared" si="20"/>
        <v>0</v>
      </c>
      <c r="V82" s="79">
        <f t="shared" si="21"/>
        <v>0</v>
      </c>
    </row>
    <row r="83" spans="1:22">
      <c r="A83" s="143">
        <v>72</v>
      </c>
      <c r="B83" s="131" t="s">
        <v>115</v>
      </c>
      <c r="C83" s="132" t="s">
        <v>34</v>
      </c>
      <c r="D83" s="2">
        <v>1052313119.1900001</v>
      </c>
      <c r="E83" s="3">
        <f t="shared" si="22"/>
        <v>4.8539312557633347E-3</v>
      </c>
      <c r="F83" s="14">
        <v>3.5</v>
      </c>
      <c r="G83" s="14">
        <v>3.5</v>
      </c>
      <c r="H83" s="59">
        <v>771</v>
      </c>
      <c r="I83" s="12">
        <v>1.6999999999999999E-3</v>
      </c>
      <c r="J83" s="12">
        <v>-3.3599999999999998E-2</v>
      </c>
      <c r="K83" s="2">
        <v>1053463967.72</v>
      </c>
      <c r="L83" s="3">
        <f t="shared" si="16"/>
        <v>4.8197796742814568E-3</v>
      </c>
      <c r="M83" s="14">
        <v>3.51</v>
      </c>
      <c r="N83" s="14">
        <v>3.51</v>
      </c>
      <c r="O83" s="59">
        <v>771</v>
      </c>
      <c r="P83" s="12">
        <v>1.1000000000000001E-3</v>
      </c>
      <c r="Q83" s="12">
        <v>-3.1099999999999999E-2</v>
      </c>
      <c r="R83" s="76">
        <f t="shared" si="17"/>
        <v>1.0936369688955483E-3</v>
      </c>
      <c r="S83" s="76">
        <f t="shared" si="18"/>
        <v>2.8571428571427964E-3</v>
      </c>
      <c r="T83" s="76">
        <f t="shared" si="19"/>
        <v>0</v>
      </c>
      <c r="U83" s="77">
        <f t="shared" si="20"/>
        <v>-5.9999999999999984E-4</v>
      </c>
      <c r="V83" s="79">
        <f t="shared" si="21"/>
        <v>2.4999999999999988E-3</v>
      </c>
    </row>
    <row r="84" spans="1:22">
      <c r="A84" s="147">
        <v>73</v>
      </c>
      <c r="B84" s="131" t="s">
        <v>256</v>
      </c>
      <c r="C84" s="132" t="s">
        <v>36</v>
      </c>
      <c r="D84" s="2">
        <v>528510189.60000002</v>
      </c>
      <c r="E84" s="3">
        <f t="shared" si="22"/>
        <v>2.4378220526828382E-3</v>
      </c>
      <c r="F84" s="14">
        <v>106.16</v>
      </c>
      <c r="G84" s="14">
        <v>106.16</v>
      </c>
      <c r="H84" s="59">
        <v>61</v>
      </c>
      <c r="I84" s="12">
        <v>0.14019999999999999</v>
      </c>
      <c r="J84" s="12">
        <v>0.16420000000000001</v>
      </c>
      <c r="K84" s="2">
        <v>530583016.81</v>
      </c>
      <c r="L84" s="3">
        <f t="shared" si="16"/>
        <v>2.4275089782847484E-3</v>
      </c>
      <c r="M84" s="14">
        <v>106.44</v>
      </c>
      <c r="N84" s="14">
        <v>106.44</v>
      </c>
      <c r="O84" s="59">
        <v>61</v>
      </c>
      <c r="P84" s="12">
        <v>0.16420000000000001</v>
      </c>
      <c r="Q84" s="12">
        <v>0.16420000000000001</v>
      </c>
      <c r="R84" s="76">
        <f>((K84-D84)/D84)</f>
        <v>3.9220193873060159E-3</v>
      </c>
      <c r="S84" s="76">
        <f>((N84-G84)/G84)</f>
        <v>2.6375282592313596E-3</v>
      </c>
      <c r="T84" s="76">
        <f>((O84-H84)/H84)</f>
        <v>0</v>
      </c>
      <c r="U84" s="77">
        <f>P84-I84</f>
        <v>2.4000000000000021E-2</v>
      </c>
      <c r="V84" s="79">
        <f>Q84-J84</f>
        <v>0</v>
      </c>
    </row>
    <row r="85" spans="1:22">
      <c r="A85" s="143">
        <v>74</v>
      </c>
      <c r="B85" s="132" t="s">
        <v>116</v>
      </c>
      <c r="C85" s="145" t="s">
        <v>40</v>
      </c>
      <c r="D85" s="2">
        <v>1806095649.77</v>
      </c>
      <c r="E85" s="3">
        <f t="shared" si="22"/>
        <v>8.330851307892826E-3</v>
      </c>
      <c r="F85" s="14">
        <v>98.72</v>
      </c>
      <c r="G85" s="14">
        <v>98.72</v>
      </c>
      <c r="H85" s="58">
        <v>139</v>
      </c>
      <c r="I85" s="5">
        <v>2.0999999999999999E-3</v>
      </c>
      <c r="J85" s="5">
        <v>7.0000000000000007E-2</v>
      </c>
      <c r="K85" s="2">
        <v>1810572780.8099999</v>
      </c>
      <c r="L85" s="3">
        <f t="shared" si="16"/>
        <v>8.2836833106329118E-3</v>
      </c>
      <c r="M85" s="14">
        <v>98.93</v>
      </c>
      <c r="N85" s="14">
        <v>98.93</v>
      </c>
      <c r="O85" s="58">
        <v>139</v>
      </c>
      <c r="P85" s="5">
        <v>2.0999999999999999E-3</v>
      </c>
      <c r="Q85" s="5">
        <v>7.2099999999999997E-2</v>
      </c>
      <c r="R85" s="76">
        <f t="shared" si="17"/>
        <v>2.4789002955464229E-3</v>
      </c>
      <c r="S85" s="76">
        <f t="shared" si="18"/>
        <v>2.1272285251216364E-3</v>
      </c>
      <c r="T85" s="76">
        <f t="shared" si="19"/>
        <v>0</v>
      </c>
      <c r="U85" s="77">
        <f t="shared" si="20"/>
        <v>0</v>
      </c>
      <c r="V85" s="79">
        <f t="shared" si="21"/>
        <v>2.0999999999999908E-3</v>
      </c>
    </row>
    <row r="86" spans="1:22">
      <c r="A86" s="142">
        <v>75</v>
      </c>
      <c r="B86" s="131" t="s">
        <v>117</v>
      </c>
      <c r="C86" s="132" t="s">
        <v>17</v>
      </c>
      <c r="D86" s="2">
        <v>1288697848.29</v>
      </c>
      <c r="E86" s="3">
        <f t="shared" si="22"/>
        <v>5.9442865920598413E-3</v>
      </c>
      <c r="F86" s="14">
        <v>338.54320000000001</v>
      </c>
      <c r="G86" s="14">
        <v>338.54320000000001</v>
      </c>
      <c r="H86" s="58">
        <v>105</v>
      </c>
      <c r="I86" s="5">
        <v>2.3999999999999998E-3</v>
      </c>
      <c r="J86" s="5">
        <v>7.0300000000000001E-2</v>
      </c>
      <c r="K86" s="2">
        <v>1291940657.26</v>
      </c>
      <c r="L86" s="3">
        <f t="shared" si="16"/>
        <v>5.9108517339385757E-3</v>
      </c>
      <c r="M86" s="14">
        <v>339.36470000000003</v>
      </c>
      <c r="N86" s="14">
        <v>339.36470000000003</v>
      </c>
      <c r="O86" s="58">
        <v>105</v>
      </c>
      <c r="P86" s="5">
        <v>2.3999999999999998E-3</v>
      </c>
      <c r="Q86" s="5">
        <v>7.2700000000000001E-2</v>
      </c>
      <c r="R86" s="76">
        <f t="shared" si="17"/>
        <v>2.5163454523517512E-3</v>
      </c>
      <c r="S86" s="76">
        <f t="shared" si="18"/>
        <v>2.4265736248727326E-3</v>
      </c>
      <c r="T86" s="76">
        <f t="shared" si="19"/>
        <v>0</v>
      </c>
      <c r="U86" s="77">
        <f t="shared" si="20"/>
        <v>0</v>
      </c>
      <c r="V86" s="79">
        <f t="shared" si="21"/>
        <v>2.3999999999999994E-3</v>
      </c>
    </row>
    <row r="87" spans="1:22">
      <c r="A87" s="143">
        <v>76</v>
      </c>
      <c r="B87" s="131" t="s">
        <v>250</v>
      </c>
      <c r="C87" s="132" t="s">
        <v>78</v>
      </c>
      <c r="D87" s="9">
        <v>1534161261.49</v>
      </c>
      <c r="E87" s="3">
        <f>(D87/$K$62)</f>
        <v>1.202599993976448E-3</v>
      </c>
      <c r="F87" s="14">
        <v>102.93</v>
      </c>
      <c r="G87" s="14">
        <v>102.93</v>
      </c>
      <c r="H87" s="58">
        <v>376</v>
      </c>
      <c r="I87" s="5">
        <v>2.5999999999999999E-3</v>
      </c>
      <c r="J87" s="5">
        <v>8.5699999999999998E-2</v>
      </c>
      <c r="K87" s="9">
        <v>1518066287.55</v>
      </c>
      <c r="L87" s="3">
        <f>(K87/$K$62)</f>
        <v>1.1899834483438875E-3</v>
      </c>
      <c r="M87" s="14">
        <v>103.21</v>
      </c>
      <c r="N87" s="14">
        <v>103.21</v>
      </c>
      <c r="O87" s="58">
        <v>376</v>
      </c>
      <c r="P87" s="5">
        <v>2.7000000000000001E-3</v>
      </c>
      <c r="Q87" s="5">
        <v>8.8499999999999995E-2</v>
      </c>
      <c r="R87" s="76">
        <f t="shared" si="17"/>
        <v>-1.0491057455308435E-2</v>
      </c>
      <c r="S87" s="76">
        <f t="shared" si="18"/>
        <v>2.7202953463517626E-3</v>
      </c>
      <c r="T87" s="76">
        <f t="shared" si="19"/>
        <v>0</v>
      </c>
      <c r="U87" s="77">
        <f t="shared" si="20"/>
        <v>1.0000000000000026E-4</v>
      </c>
      <c r="V87" s="79">
        <f t="shared" si="21"/>
        <v>2.7999999999999969E-3</v>
      </c>
    </row>
    <row r="88" spans="1:22">
      <c r="A88" s="143">
        <v>77</v>
      </c>
      <c r="B88" s="131" t="s">
        <v>118</v>
      </c>
      <c r="C88" s="132" t="s">
        <v>38</v>
      </c>
      <c r="D88" s="2">
        <v>57691987.829999998</v>
      </c>
      <c r="E88" s="3">
        <f t="shared" ref="E88:E100" si="23">(D88/$D$101)</f>
        <v>2.6611180439402434E-4</v>
      </c>
      <c r="F88" s="2">
        <v>12.6</v>
      </c>
      <c r="G88" s="2">
        <v>12.82</v>
      </c>
      <c r="H88" s="58">
        <v>56</v>
      </c>
      <c r="I88" s="5">
        <v>5.0000000000000001E-4</v>
      </c>
      <c r="J88" s="5">
        <v>7.9500000000000001E-2</v>
      </c>
      <c r="K88" s="2">
        <v>57791993.219999999</v>
      </c>
      <c r="L88" s="3">
        <f t="shared" ref="L88:L100" si="24">(K88/$K$101)</f>
        <v>2.6440835452665629E-4</v>
      </c>
      <c r="M88" s="2">
        <v>12.626141000000001</v>
      </c>
      <c r="N88" s="2">
        <v>12.848007000000001</v>
      </c>
      <c r="O88" s="58">
        <v>56</v>
      </c>
      <c r="P88" s="5">
        <v>2.0000000000000001E-4</v>
      </c>
      <c r="Q88" s="5">
        <v>7.9899999999999999E-2</v>
      </c>
      <c r="R88" s="76">
        <f t="shared" si="17"/>
        <v>1.7334363706566114E-3</v>
      </c>
      <c r="S88" s="76">
        <f t="shared" si="18"/>
        <v>2.1846333853354572E-3</v>
      </c>
      <c r="T88" s="76">
        <f t="shared" si="19"/>
        <v>0</v>
      </c>
      <c r="U88" s="77">
        <f t="shared" si="20"/>
        <v>-3.0000000000000003E-4</v>
      </c>
      <c r="V88" s="79">
        <f t="shared" si="21"/>
        <v>3.9999999999999758E-4</v>
      </c>
    </row>
    <row r="89" spans="1:22">
      <c r="A89" s="142">
        <v>78</v>
      </c>
      <c r="B89" s="131" t="s">
        <v>234</v>
      </c>
      <c r="C89" s="132" t="s">
        <v>235</v>
      </c>
      <c r="D89" s="2">
        <v>303187284.57999998</v>
      </c>
      <c r="E89" s="3">
        <f t="shared" si="23"/>
        <v>1.398490820019095E-3</v>
      </c>
      <c r="F89" s="2">
        <v>123.8</v>
      </c>
      <c r="G89" s="2">
        <v>123.8</v>
      </c>
      <c r="H89" s="58">
        <v>87</v>
      </c>
      <c r="I89" s="5">
        <v>0.1384</v>
      </c>
      <c r="J89" s="5">
        <v>0.1704</v>
      </c>
      <c r="K89" s="2">
        <v>304619681.81</v>
      </c>
      <c r="L89" s="3">
        <f t="shared" si="24"/>
        <v>1.3936876777584815E-3</v>
      </c>
      <c r="M89" s="2">
        <v>124.15</v>
      </c>
      <c r="N89" s="2">
        <v>124.15</v>
      </c>
      <c r="O89" s="58">
        <v>88</v>
      </c>
      <c r="P89" s="5">
        <v>0.156</v>
      </c>
      <c r="Q89" s="5">
        <v>0.17</v>
      </c>
      <c r="R89" s="76">
        <f>((K89-D89)/D89)</f>
        <v>4.7244634021650798E-3</v>
      </c>
      <c r="S89" s="76">
        <f>((N89-G89)/G89)</f>
        <v>2.8271405492730898E-3</v>
      </c>
      <c r="T89" s="76">
        <f>((O89-H89)/H89)</f>
        <v>1.1494252873563218E-2</v>
      </c>
      <c r="U89" s="77">
        <f t="shared" si="20"/>
        <v>1.7600000000000005E-2</v>
      </c>
      <c r="V89" s="79">
        <f t="shared" si="21"/>
        <v>-3.999999999999837E-4</v>
      </c>
    </row>
    <row r="90" spans="1:22">
      <c r="A90" s="142">
        <v>79</v>
      </c>
      <c r="B90" s="131" t="s">
        <v>119</v>
      </c>
      <c r="C90" s="132" t="s">
        <v>120</v>
      </c>
      <c r="D90" s="2">
        <v>7508362609.1605415</v>
      </c>
      <c r="E90" s="3">
        <f t="shared" si="23"/>
        <v>3.4633299997497008E-2</v>
      </c>
      <c r="F90" s="2">
        <v>1.0900000000000001</v>
      </c>
      <c r="G90" s="2">
        <v>1.0900000000000001</v>
      </c>
      <c r="H90" s="58">
        <v>4526</v>
      </c>
      <c r="I90" s="5">
        <v>0.17030000000000001</v>
      </c>
      <c r="J90" s="5">
        <v>0.17030000000000001</v>
      </c>
      <c r="K90" s="2">
        <v>7520988255.7094688</v>
      </c>
      <c r="L90" s="3">
        <f t="shared" si="24"/>
        <v>3.4409820778049424E-2</v>
      </c>
      <c r="M90" s="2">
        <v>1.0900000000000001</v>
      </c>
      <c r="N90" s="2">
        <v>1.0900000000000001</v>
      </c>
      <c r="O90" s="58">
        <v>4535</v>
      </c>
      <c r="P90" s="5">
        <v>0.17019999999999999</v>
      </c>
      <c r="Q90" s="5">
        <v>0.17019999999999999</v>
      </c>
      <c r="R90" s="76">
        <f t="shared" si="17"/>
        <v>1.6815445931611572E-3</v>
      </c>
      <c r="S90" s="76">
        <f t="shared" si="18"/>
        <v>0</v>
      </c>
      <c r="T90" s="76">
        <f t="shared" si="19"/>
        <v>1.988510826336721E-3</v>
      </c>
      <c r="U90" s="77">
        <f t="shared" si="20"/>
        <v>-1.0000000000001674E-4</v>
      </c>
      <c r="V90" s="79">
        <f t="shared" si="21"/>
        <v>-1.0000000000001674E-4</v>
      </c>
    </row>
    <row r="91" spans="1:22" ht="14.25" customHeight="1">
      <c r="A91" s="143">
        <v>80</v>
      </c>
      <c r="B91" s="131" t="s">
        <v>121</v>
      </c>
      <c r="C91" s="132" t="s">
        <v>42</v>
      </c>
      <c r="D91" s="2">
        <v>13389545551.66</v>
      </c>
      <c r="E91" s="3">
        <f t="shared" si="23"/>
        <v>6.176102195104801E-2</v>
      </c>
      <c r="F91" s="2">
        <v>5164.32</v>
      </c>
      <c r="G91" s="2">
        <v>5164.32</v>
      </c>
      <c r="H91" s="58">
        <v>330</v>
      </c>
      <c r="I91" s="5">
        <v>1E-4</v>
      </c>
      <c r="J91" s="5">
        <v>3.0499999999999999E-2</v>
      </c>
      <c r="K91" s="2">
        <v>13397062618.540001</v>
      </c>
      <c r="L91" s="3">
        <f t="shared" si="24"/>
        <v>6.1293876280994253E-2</v>
      </c>
      <c r="M91" s="2">
        <v>5164.5200000000004</v>
      </c>
      <c r="N91" s="2">
        <v>5164.5200000000004</v>
      </c>
      <c r="O91" s="58">
        <v>330</v>
      </c>
      <c r="P91" s="5">
        <v>0</v>
      </c>
      <c r="Q91" s="5">
        <v>3.0499999999999999E-2</v>
      </c>
      <c r="R91" s="76">
        <f t="shared" si="17"/>
        <v>5.6141314512867262E-4</v>
      </c>
      <c r="S91" s="76">
        <f t="shared" si="18"/>
        <v>3.8727267094356584E-5</v>
      </c>
      <c r="T91" s="76">
        <f t="shared" si="19"/>
        <v>0</v>
      </c>
      <c r="U91" s="77">
        <f t="shared" si="20"/>
        <v>-1E-4</v>
      </c>
      <c r="V91" s="79">
        <f t="shared" si="21"/>
        <v>0</v>
      </c>
    </row>
    <row r="92" spans="1:22">
      <c r="A92" s="143">
        <v>81</v>
      </c>
      <c r="B92" s="131" t="s">
        <v>122</v>
      </c>
      <c r="C92" s="132" t="s">
        <v>42</v>
      </c>
      <c r="D92" s="2">
        <v>25329206378.389999</v>
      </c>
      <c r="E92" s="3">
        <f t="shared" si="23"/>
        <v>0.11683426185770922</v>
      </c>
      <c r="F92" s="14">
        <v>258.39999999999998</v>
      </c>
      <c r="G92" s="14">
        <v>258.39999999999998</v>
      </c>
      <c r="H92" s="58">
        <v>6491</v>
      </c>
      <c r="I92" s="5">
        <v>0</v>
      </c>
      <c r="J92" s="5">
        <v>1.01E-2</v>
      </c>
      <c r="K92" s="2">
        <v>25214531378.549999</v>
      </c>
      <c r="L92" s="3">
        <f t="shared" si="24"/>
        <v>0.11536083773030224</v>
      </c>
      <c r="M92" s="14">
        <v>258.41000000000003</v>
      </c>
      <c r="N92" s="14">
        <v>258.41000000000003</v>
      </c>
      <c r="O92" s="58">
        <v>6480</v>
      </c>
      <c r="P92" s="5">
        <v>0</v>
      </c>
      <c r="Q92" s="5">
        <v>1.0200000000000001E-2</v>
      </c>
      <c r="R92" s="76">
        <f t="shared" si="17"/>
        <v>-4.5273822687882112E-3</v>
      </c>
      <c r="S92" s="76">
        <f t="shared" si="18"/>
        <v>3.8699690402661571E-5</v>
      </c>
      <c r="T92" s="76">
        <f t="shared" si="19"/>
        <v>-1.6946541364966877E-3</v>
      </c>
      <c r="U92" s="77">
        <f t="shared" si="20"/>
        <v>0</v>
      </c>
      <c r="V92" s="79">
        <f t="shared" si="21"/>
        <v>1.0000000000000113E-4</v>
      </c>
    </row>
    <row r="93" spans="1:22" ht="12.75" customHeight="1">
      <c r="A93" s="143">
        <v>82</v>
      </c>
      <c r="B93" s="131" t="s">
        <v>123</v>
      </c>
      <c r="C93" s="132" t="s">
        <v>42</v>
      </c>
      <c r="D93" s="2">
        <v>354140985.08999997</v>
      </c>
      <c r="E93" s="3">
        <f t="shared" si="23"/>
        <v>1.6335213969377483E-3</v>
      </c>
      <c r="F93" s="2">
        <v>6139.19</v>
      </c>
      <c r="G93" s="7">
        <v>6170.8</v>
      </c>
      <c r="H93" s="58">
        <v>15</v>
      </c>
      <c r="I93" s="5">
        <v>7.1999999999999998E-3</v>
      </c>
      <c r="J93" s="5">
        <v>0.1623</v>
      </c>
      <c r="K93" s="2">
        <v>360412835.69</v>
      </c>
      <c r="L93" s="3">
        <f t="shared" si="24"/>
        <v>1.6489509969367178E-3</v>
      </c>
      <c r="M93" s="2">
        <v>6247.32</v>
      </c>
      <c r="N93" s="7">
        <v>6280.5</v>
      </c>
      <c r="O93" s="58">
        <v>15</v>
      </c>
      <c r="P93" s="5">
        <v>1.78E-2</v>
      </c>
      <c r="Q93" s="5">
        <v>0.183</v>
      </c>
      <c r="R93" s="76">
        <f t="shared" si="17"/>
        <v>1.7710038837798231E-2</v>
      </c>
      <c r="S93" s="76">
        <f t="shared" si="18"/>
        <v>1.777727361120111E-2</v>
      </c>
      <c r="T93" s="76">
        <f t="shared" si="19"/>
        <v>0</v>
      </c>
      <c r="U93" s="77">
        <f t="shared" si="20"/>
        <v>1.06E-2</v>
      </c>
      <c r="V93" s="79">
        <f t="shared" si="21"/>
        <v>2.0699999999999996E-2</v>
      </c>
    </row>
    <row r="94" spans="1:22" ht="12.75" customHeight="1">
      <c r="A94" s="143">
        <v>83</v>
      </c>
      <c r="B94" s="131" t="s">
        <v>124</v>
      </c>
      <c r="C94" s="132" t="s">
        <v>42</v>
      </c>
      <c r="D94" s="2">
        <v>10623399197.58</v>
      </c>
      <c r="E94" s="3">
        <f t="shared" si="23"/>
        <v>4.9001811787043152E-2</v>
      </c>
      <c r="F94" s="14">
        <v>133.58000000000001</v>
      </c>
      <c r="G94" s="14">
        <v>133.58000000000001</v>
      </c>
      <c r="H94" s="58">
        <v>4440</v>
      </c>
      <c r="I94" s="5">
        <v>1.6000000000000001E-3</v>
      </c>
      <c r="J94" s="5">
        <v>6.08E-2</v>
      </c>
      <c r="K94" s="2">
        <v>10626955907.5</v>
      </c>
      <c r="L94" s="3">
        <f t="shared" si="24"/>
        <v>4.8620159447226009E-2</v>
      </c>
      <c r="M94" s="14">
        <v>133.81</v>
      </c>
      <c r="N94" s="14">
        <v>133.81</v>
      </c>
      <c r="O94" s="58">
        <v>4448</v>
      </c>
      <c r="P94" s="5">
        <v>1.6999999999999999E-3</v>
      </c>
      <c r="Q94" s="5">
        <v>6.2700000000000006E-2</v>
      </c>
      <c r="R94" s="76">
        <f t="shared" si="17"/>
        <v>3.3479961110849447E-4</v>
      </c>
      <c r="S94" s="76">
        <f t="shared" si="18"/>
        <v>1.7218146429105385E-3</v>
      </c>
      <c r="T94" s="76">
        <f t="shared" si="19"/>
        <v>1.8018018018018018E-3</v>
      </c>
      <c r="U94" s="77">
        <f t="shared" si="20"/>
        <v>9.9999999999999829E-5</v>
      </c>
      <c r="V94" s="79">
        <f t="shared" si="21"/>
        <v>1.9000000000000059E-3</v>
      </c>
    </row>
    <row r="95" spans="1:22" ht="12.75" customHeight="1">
      <c r="A95" s="143">
        <v>84</v>
      </c>
      <c r="B95" s="131" t="s">
        <v>125</v>
      </c>
      <c r="C95" s="132" t="s">
        <v>42</v>
      </c>
      <c r="D95" s="2">
        <v>9142707412.3999996</v>
      </c>
      <c r="E95" s="3">
        <f t="shared" si="23"/>
        <v>4.2171928166691242E-2</v>
      </c>
      <c r="F95" s="14">
        <v>358.62</v>
      </c>
      <c r="G95" s="14">
        <v>359.17</v>
      </c>
      <c r="H95" s="58">
        <v>10208</v>
      </c>
      <c r="I95" s="5">
        <v>1.4E-3</v>
      </c>
      <c r="J95" s="5">
        <v>1.6500000000000001E-2</v>
      </c>
      <c r="K95" s="2">
        <v>9080057675.9599991</v>
      </c>
      <c r="L95" s="3">
        <f t="shared" si="24"/>
        <v>4.15428327583078E-2</v>
      </c>
      <c r="M95" s="14">
        <v>358.28</v>
      </c>
      <c r="N95" s="14">
        <v>358.83</v>
      </c>
      <c r="O95" s="58">
        <v>10209</v>
      </c>
      <c r="P95" s="5">
        <v>-8.9999999999999998E-4</v>
      </c>
      <c r="Q95" s="5">
        <v>1.55E-2</v>
      </c>
      <c r="R95" s="76">
        <f>((K95-D95)/D95)</f>
        <v>-6.8524271437397678E-3</v>
      </c>
      <c r="S95" s="76">
        <f t="shared" si="18"/>
        <v>-9.4662694545767135E-4</v>
      </c>
      <c r="T95" s="76">
        <f t="shared" si="19"/>
        <v>9.7962382445141062E-5</v>
      </c>
      <c r="U95" s="77">
        <f t="shared" si="20"/>
        <v>-2.3E-3</v>
      </c>
      <c r="V95" s="79">
        <f t="shared" si="21"/>
        <v>-1.0000000000000009E-3</v>
      </c>
    </row>
    <row r="96" spans="1:22">
      <c r="A96" s="140">
        <v>85</v>
      </c>
      <c r="B96" s="131" t="s">
        <v>126</v>
      </c>
      <c r="C96" s="132" t="s">
        <v>45</v>
      </c>
      <c r="D96" s="2">
        <v>86048780715.139999</v>
      </c>
      <c r="E96" s="3">
        <f t="shared" si="23"/>
        <v>0.39691120315504702</v>
      </c>
      <c r="F96" s="2">
        <v>1.9111</v>
      </c>
      <c r="G96" s="2">
        <v>1.9111</v>
      </c>
      <c r="H96" s="58">
        <v>6292</v>
      </c>
      <c r="I96" s="5">
        <v>7.9399999999999998E-2</v>
      </c>
      <c r="J96" s="5">
        <v>5.6099999999999997E-2</v>
      </c>
      <c r="K96" s="2">
        <v>86173068742.240005</v>
      </c>
      <c r="L96" s="3">
        <f t="shared" si="24"/>
        <v>0.39425667884323784</v>
      </c>
      <c r="M96" s="2">
        <v>1.9138999999999999</v>
      </c>
      <c r="N96" s="2">
        <v>1.9138999999999999</v>
      </c>
      <c r="O96" s="58">
        <v>6296</v>
      </c>
      <c r="P96" s="5">
        <v>7.9299999999999995E-2</v>
      </c>
      <c r="Q96" s="5">
        <v>5.67E-2</v>
      </c>
      <c r="R96" s="76">
        <f t="shared" si="17"/>
        <v>1.4443903337974669E-3</v>
      </c>
      <c r="S96" s="76">
        <f t="shared" si="18"/>
        <v>1.465124797237148E-3</v>
      </c>
      <c r="T96" s="76">
        <f t="shared" si="19"/>
        <v>6.3572790845518119E-4</v>
      </c>
      <c r="U96" s="77">
        <f t="shared" si="20"/>
        <v>-1.0000000000000286E-4</v>
      </c>
      <c r="V96" s="79">
        <f t="shared" si="21"/>
        <v>6.0000000000000331E-4</v>
      </c>
    </row>
    <row r="97" spans="1:28">
      <c r="A97" s="140">
        <v>86</v>
      </c>
      <c r="B97" s="131" t="s">
        <v>291</v>
      </c>
      <c r="C97" s="132" t="s">
        <v>45</v>
      </c>
      <c r="D97" s="2">
        <v>0</v>
      </c>
      <c r="E97" s="3">
        <f t="shared" si="23"/>
        <v>0</v>
      </c>
      <c r="F97" s="2">
        <v>0</v>
      </c>
      <c r="G97" s="2">
        <v>0</v>
      </c>
      <c r="H97" s="58">
        <v>0</v>
      </c>
      <c r="I97" s="5">
        <v>0</v>
      </c>
      <c r="J97" s="5">
        <v>0</v>
      </c>
      <c r="K97" s="2">
        <v>2847442211.29</v>
      </c>
      <c r="L97" s="3">
        <f t="shared" si="24"/>
        <v>1.3027540109766998E-2</v>
      </c>
      <c r="M97" s="2">
        <v>101.7604</v>
      </c>
      <c r="N97" s="2">
        <v>101.7604</v>
      </c>
      <c r="O97" s="58">
        <v>67</v>
      </c>
      <c r="P97" s="5">
        <v>0.2127</v>
      </c>
      <c r="Q97" s="5">
        <v>0.2281</v>
      </c>
      <c r="R97" s="76" t="e">
        <f t="shared" ref="R97" si="25">((K97-D97)/D97)</f>
        <v>#DIV/0!</v>
      </c>
      <c r="S97" s="76" t="e">
        <f t="shared" ref="S97" si="26">((N97-G97)/G97)</f>
        <v>#DIV/0!</v>
      </c>
      <c r="T97" s="76" t="e">
        <f t="shared" ref="T97" si="27">((O97-H97)/H97)</f>
        <v>#DIV/0!</v>
      </c>
      <c r="U97" s="77">
        <f t="shared" ref="U97" si="28">P97-I97</f>
        <v>0.2127</v>
      </c>
      <c r="V97" s="79">
        <f t="shared" ref="V97" si="29">Q97-J97</f>
        <v>0.2281</v>
      </c>
    </row>
    <row r="98" spans="1:28">
      <c r="A98" s="143">
        <v>87</v>
      </c>
      <c r="B98" s="131" t="s">
        <v>239</v>
      </c>
      <c r="C98" s="131" t="s">
        <v>240</v>
      </c>
      <c r="D98" s="2">
        <v>86867461.829999998</v>
      </c>
      <c r="E98" s="3">
        <f t="shared" si="23"/>
        <v>4.0068747637587402E-4</v>
      </c>
      <c r="F98" s="2">
        <v>106.8379974518264</v>
      </c>
      <c r="G98" s="2">
        <v>106.8379974518264</v>
      </c>
      <c r="H98" s="58">
        <v>56</v>
      </c>
      <c r="I98" s="5">
        <v>-9.0223625451059267E-4</v>
      </c>
      <c r="J98" s="5">
        <v>5.1565443083360973E-2</v>
      </c>
      <c r="K98" s="2">
        <v>87111843.590000004</v>
      </c>
      <c r="L98" s="3">
        <f t="shared" si="24"/>
        <v>3.9855173597723079E-4</v>
      </c>
      <c r="M98" s="2">
        <v>107.02776881188852</v>
      </c>
      <c r="N98" s="2">
        <v>107.02776881188852</v>
      </c>
      <c r="O98" s="58">
        <v>56</v>
      </c>
      <c r="P98" s="5">
        <v>1.7762534359340926E-3</v>
      </c>
      <c r="Q98" s="5">
        <v>5.3433289814747376E-2</v>
      </c>
      <c r="R98" s="76">
        <f>((K98-D98)/D98)</f>
        <v>2.8132715616609304E-3</v>
      </c>
      <c r="S98" s="76">
        <f>((N98-G98)/G98)</f>
        <v>1.7762534359340926E-3</v>
      </c>
      <c r="T98" s="76">
        <f>((O98-H98)/H98)</f>
        <v>0</v>
      </c>
      <c r="U98" s="77">
        <f>P98-I98</f>
        <v>2.6784896904446854E-3</v>
      </c>
      <c r="V98" s="79">
        <f>Q98-J98</f>
        <v>1.8678467313864022E-3</v>
      </c>
    </row>
    <row r="99" spans="1:28">
      <c r="A99" s="143">
        <v>88</v>
      </c>
      <c r="B99" s="131" t="s">
        <v>260</v>
      </c>
      <c r="C99" s="132" t="s">
        <v>259</v>
      </c>
      <c r="D99" s="2">
        <v>240832927.68000001</v>
      </c>
      <c r="E99" s="3">
        <f t="shared" si="23"/>
        <v>1.1108732313275256E-3</v>
      </c>
      <c r="F99" s="2">
        <v>1</v>
      </c>
      <c r="G99" s="2">
        <v>1</v>
      </c>
      <c r="H99" s="58">
        <v>305</v>
      </c>
      <c r="I99" s="5">
        <v>1.3899999999999999E-2</v>
      </c>
      <c r="J99" s="5">
        <v>-2.3599999999999999E-2</v>
      </c>
      <c r="K99" s="2">
        <v>239820804.58000001</v>
      </c>
      <c r="L99" s="3">
        <f t="shared" si="24"/>
        <v>1.097221618207004E-3</v>
      </c>
      <c r="M99" s="2">
        <v>1.0112000000000001</v>
      </c>
      <c r="N99" s="2">
        <v>1.0112000000000001</v>
      </c>
      <c r="O99" s="58">
        <v>308</v>
      </c>
      <c r="P99" s="5">
        <v>-5.1000000000000004E-3</v>
      </c>
      <c r="Q99" s="5">
        <v>2.8566000000000001E-2</v>
      </c>
      <c r="R99" s="76">
        <f>((K99-D99)/D99)</f>
        <v>-4.2025943451753584E-3</v>
      </c>
      <c r="S99" s="76">
        <f>((N99-G99)/G99)</f>
        <v>1.1200000000000099E-2</v>
      </c>
      <c r="T99" s="76">
        <f>((O99-H99)/H99)</f>
        <v>9.8360655737704927E-3</v>
      </c>
      <c r="U99" s="77">
        <f>P99-I99</f>
        <v>-1.9E-2</v>
      </c>
      <c r="V99" s="79">
        <f>Q99-J99</f>
        <v>5.2166000000000004E-2</v>
      </c>
    </row>
    <row r="100" spans="1:28">
      <c r="A100" s="143">
        <v>89</v>
      </c>
      <c r="B100" s="131" t="s">
        <v>127</v>
      </c>
      <c r="C100" s="132" t="s">
        <v>91</v>
      </c>
      <c r="D100" s="2">
        <v>2546018796</v>
      </c>
      <c r="E100" s="3">
        <f t="shared" si="23"/>
        <v>1.1743843145448806E-2</v>
      </c>
      <c r="F100" s="14">
        <v>27.153300000000002</v>
      </c>
      <c r="G100" s="14">
        <v>27.153300000000002</v>
      </c>
      <c r="H100" s="58">
        <v>1313</v>
      </c>
      <c r="I100" s="5">
        <v>0.13689999999999999</v>
      </c>
      <c r="J100" s="5">
        <v>0.13689999999999999</v>
      </c>
      <c r="K100" s="2">
        <v>2543083669.8299999</v>
      </c>
      <c r="L100" s="3">
        <f t="shared" si="24"/>
        <v>1.1635047194230702E-2</v>
      </c>
      <c r="M100" s="14">
        <v>27.213999999999999</v>
      </c>
      <c r="N100" s="14">
        <v>27.213999999999999</v>
      </c>
      <c r="O100" s="58">
        <v>1312</v>
      </c>
      <c r="P100" s="5">
        <v>0.1371</v>
      </c>
      <c r="Q100" s="5">
        <v>0.1371</v>
      </c>
      <c r="R100" s="76">
        <f t="shared" si="17"/>
        <v>-1.1528297334691304E-3</v>
      </c>
      <c r="S100" s="76">
        <f t="shared" si="18"/>
        <v>2.2354557272963906E-3</v>
      </c>
      <c r="T100" s="76">
        <f t="shared" si="19"/>
        <v>-7.6161462300076163E-4</v>
      </c>
      <c r="U100" s="77">
        <f t="shared" si="20"/>
        <v>2.0000000000000573E-4</v>
      </c>
      <c r="V100" s="79">
        <f t="shared" si="21"/>
        <v>2.0000000000000573E-4</v>
      </c>
    </row>
    <row r="101" spans="1:28">
      <c r="A101" s="71"/>
      <c r="B101" s="129"/>
      <c r="C101" s="68" t="s">
        <v>46</v>
      </c>
      <c r="D101" s="57">
        <f>SUM(D65:D100)</f>
        <v>216796049169.53281</v>
      </c>
      <c r="E101" s="96">
        <f>(D101/$D$204)</f>
        <v>6.5296957391243277E-2</v>
      </c>
      <c r="F101" s="30"/>
      <c r="G101" s="11"/>
      <c r="H101" s="63">
        <f>SUM(H65:H100)</f>
        <v>50228</v>
      </c>
      <c r="I101" s="12"/>
      <c r="J101" s="12"/>
      <c r="K101" s="57">
        <f>SUM(K65:K100)</f>
        <v>218570980192.58582</v>
      </c>
      <c r="L101" s="96">
        <f>(K101/$K$204)</f>
        <v>6.5321616283949419E-2</v>
      </c>
      <c r="M101" s="30"/>
      <c r="N101" s="11"/>
      <c r="O101" s="63">
        <f>SUM(O65:O100)</f>
        <v>50174</v>
      </c>
      <c r="P101" s="12"/>
      <c r="Q101" s="12"/>
      <c r="R101" s="76">
        <f t="shared" si="17"/>
        <v>8.1871004100495717E-3</v>
      </c>
      <c r="S101" s="76" t="e">
        <f t="shared" si="18"/>
        <v>#DIV/0!</v>
      </c>
      <c r="T101" s="76">
        <f t="shared" si="19"/>
        <v>-1.0750975551485228E-3</v>
      </c>
      <c r="U101" s="77">
        <f t="shared" si="20"/>
        <v>0</v>
      </c>
      <c r="V101" s="79">
        <f t="shared" si="21"/>
        <v>0</v>
      </c>
    </row>
    <row r="102" spans="1:28" ht="8.25" customHeight="1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</row>
    <row r="103" spans="1:28" ht="15" customHeight="1">
      <c r="A103" s="155" t="s">
        <v>128</v>
      </c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</row>
    <row r="104" spans="1:28">
      <c r="A104" s="159" t="s">
        <v>228</v>
      </c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159"/>
      <c r="P104" s="159"/>
      <c r="Q104" s="159"/>
      <c r="R104" s="159"/>
      <c r="S104" s="159"/>
      <c r="T104" s="159"/>
      <c r="U104" s="159"/>
      <c r="V104" s="159"/>
      <c r="Z104" s="110"/>
      <c r="AB104" s="99"/>
    </row>
    <row r="105" spans="1:28" ht="16.5" customHeight="1">
      <c r="A105" s="142">
        <v>90</v>
      </c>
      <c r="B105" s="131" t="s">
        <v>129</v>
      </c>
      <c r="C105" s="132" t="s">
        <v>17</v>
      </c>
      <c r="D105" s="2">
        <f>1851401.83*1565.429</f>
        <v>2898238115.3350701</v>
      </c>
      <c r="E105" s="3">
        <f>(D105/$D$135)</f>
        <v>1.7999084701380969E-3</v>
      </c>
      <c r="F105" s="2">
        <f>109.8121*1565.429</f>
        <v>171903.04589090002</v>
      </c>
      <c r="G105" s="2">
        <f>109.8121*1565.429</f>
        <v>171903.04589090002</v>
      </c>
      <c r="H105" s="58">
        <v>242</v>
      </c>
      <c r="I105" s="5">
        <v>1.1000000000000001E-3</v>
      </c>
      <c r="J105" s="5">
        <v>3.7100000000000001E-2</v>
      </c>
      <c r="K105" s="2">
        <f>1859153.78*1598.642</f>
        <v>2972121317.16676</v>
      </c>
      <c r="L105" s="3">
        <f t="shared" ref="L105:L117" si="30">(K105/$K$135)</f>
        <v>1.8349998977120648E-3</v>
      </c>
      <c r="M105" s="2">
        <f>110.0079*1598.642</f>
        <v>175863.24927180001</v>
      </c>
      <c r="N105" s="2">
        <f>110.0079*1598.642</f>
        <v>175863.24927180001</v>
      </c>
      <c r="O105" s="58">
        <v>242</v>
      </c>
      <c r="P105" s="5">
        <v>1.8E-3</v>
      </c>
      <c r="Q105" s="5">
        <v>3.8800000000000001E-2</v>
      </c>
      <c r="R105" s="77">
        <f>((K105-D105)/D105)</f>
        <v>2.5492453998434864E-2</v>
      </c>
      <c r="S105" s="77">
        <f>((N105-G105)/G105)</f>
        <v>2.3037424150200232E-2</v>
      </c>
      <c r="T105" s="77">
        <f>((O105-H105)/H105)</f>
        <v>0</v>
      </c>
      <c r="U105" s="77">
        <f>P105-I105</f>
        <v>6.9999999999999988E-4</v>
      </c>
      <c r="V105" s="79">
        <f>Q105-J105</f>
        <v>1.7000000000000001E-3</v>
      </c>
      <c r="X105" s="110"/>
      <c r="Y105" s="112"/>
      <c r="Z105" s="110"/>
      <c r="AA105" s="100"/>
    </row>
    <row r="106" spans="1:28" ht="16.5" customHeight="1">
      <c r="A106" s="140">
        <v>91</v>
      </c>
      <c r="B106" s="131" t="s">
        <v>266</v>
      </c>
      <c r="C106" s="132" t="s">
        <v>50</v>
      </c>
      <c r="D106" s="2">
        <f>954826.15*1565.429</f>
        <v>1494712545.1683502</v>
      </c>
      <c r="E106" s="3">
        <f>(D106/$D$135)</f>
        <v>9.2826940486190898E-4</v>
      </c>
      <c r="F106" s="2">
        <f>100*1565.429</f>
        <v>156542.90000000002</v>
      </c>
      <c r="G106" s="2">
        <f>100*1565.429</f>
        <v>156542.90000000002</v>
      </c>
      <c r="H106" s="58">
        <v>15</v>
      </c>
      <c r="I106" s="5">
        <v>-8.2570000000000005E-3</v>
      </c>
      <c r="J106" s="5">
        <v>5.9565E-2</v>
      </c>
      <c r="K106" s="2">
        <f>972354.61*1598.642</f>
        <v>1554446918.43962</v>
      </c>
      <c r="L106" s="3">
        <f t="shared" si="30"/>
        <v>9.5972190632334609E-4</v>
      </c>
      <c r="M106" s="2">
        <f>100*1598.642</f>
        <v>159864.20000000001</v>
      </c>
      <c r="N106" s="2">
        <f>100*1598.642</f>
        <v>159864.20000000001</v>
      </c>
      <c r="O106" s="58">
        <v>15</v>
      </c>
      <c r="P106" s="5">
        <v>1.4499999999999999E-3</v>
      </c>
      <c r="Q106" s="5">
        <v>6.1015E-2</v>
      </c>
      <c r="R106" s="77">
        <f>((K106-D106)/D106)</f>
        <v>3.9963786658753095E-2</v>
      </c>
      <c r="S106" s="77">
        <f>((N106-G106)/G106)</f>
        <v>2.1216548307205169E-2</v>
      </c>
      <c r="T106" s="77">
        <f>((O106-H106)/H106)</f>
        <v>0</v>
      </c>
      <c r="U106" s="77">
        <f>P106-I106</f>
        <v>9.7070000000000004E-3</v>
      </c>
      <c r="V106" s="79">
        <f>Q106-J106</f>
        <v>1.4499999999999999E-3</v>
      </c>
      <c r="X106" s="110"/>
      <c r="Y106" s="112"/>
      <c r="Z106" s="110"/>
      <c r="AA106" s="100"/>
    </row>
    <row r="107" spans="1:28">
      <c r="A107" s="142">
        <v>92</v>
      </c>
      <c r="B107" s="131" t="s">
        <v>130</v>
      </c>
      <c r="C107" s="132" t="s">
        <v>21</v>
      </c>
      <c r="D107" s="2">
        <f>11033467.68*1564.929</f>
        <v>17266593542.99472</v>
      </c>
      <c r="E107" s="3">
        <f>(D107/$D$135)</f>
        <v>1.0723165844803251E-2</v>
      </c>
      <c r="F107" s="2">
        <f>1.1396*1564.929</f>
        <v>1783.3930884000001</v>
      </c>
      <c r="G107" s="2">
        <f>1.1396*1564.929</f>
        <v>1783.3930884000001</v>
      </c>
      <c r="H107" s="58">
        <v>302</v>
      </c>
      <c r="I107" s="5">
        <v>5.5100000000000003E-2</v>
      </c>
      <c r="J107" s="5">
        <v>-4.7899999999999998E-2</v>
      </c>
      <c r="K107" s="2">
        <f>11043894.13*1596.14</f>
        <v>17627601176.658203</v>
      </c>
      <c r="L107" s="3">
        <f t="shared" si="30"/>
        <v>1.088335330366394E-2</v>
      </c>
      <c r="M107" s="2">
        <f>1.1408*1596.14</f>
        <v>1820.8765120000003</v>
      </c>
      <c r="N107" s="2">
        <f>1.1408*1596.14</f>
        <v>1820.8765120000003</v>
      </c>
      <c r="O107" s="58">
        <v>301</v>
      </c>
      <c r="P107" s="5">
        <v>5.5100000000000003E-2</v>
      </c>
      <c r="Q107" s="5">
        <v>-4.4999999999999998E-2</v>
      </c>
      <c r="R107" s="77">
        <f t="shared" ref="R107:R117" si="31">((K107-D107)/D107)</f>
        <v>2.0907866555412612E-2</v>
      </c>
      <c r="S107" s="77">
        <f t="shared" ref="S107:S117" si="32">((N107-G107)/G107)</f>
        <v>2.1018037943406526E-2</v>
      </c>
      <c r="T107" s="77">
        <f t="shared" ref="T107:T117" si="33">((O107-H107)/H107)</f>
        <v>-3.3112582781456954E-3</v>
      </c>
      <c r="U107" s="77">
        <f t="shared" ref="U107:U117" si="34">P107-I107</f>
        <v>0</v>
      </c>
      <c r="V107" s="79">
        <f t="shared" ref="V107:V117" si="35">Q107-J107</f>
        <v>2.8999999999999998E-3</v>
      </c>
    </row>
    <row r="108" spans="1:28">
      <c r="A108" s="142">
        <v>93</v>
      </c>
      <c r="B108" s="131" t="s">
        <v>265</v>
      </c>
      <c r="C108" s="132" t="s">
        <v>99</v>
      </c>
      <c r="D108" s="2">
        <f>1930307.09*1565.429</f>
        <v>3021758697.5916104</v>
      </c>
      <c r="E108" s="3">
        <f>(D108/$D$135)</f>
        <v>1.8766191244710081E-3</v>
      </c>
      <c r="F108" s="2">
        <f>1.0378*1565.429</f>
        <v>1624.6022162000002</v>
      </c>
      <c r="G108" s="2">
        <f>1.0378*1565.429</f>
        <v>1624.6022162000002</v>
      </c>
      <c r="H108" s="58">
        <v>226</v>
      </c>
      <c r="I108" s="5">
        <v>1.4E-3</v>
      </c>
      <c r="J108" s="5">
        <v>3.78E-2</v>
      </c>
      <c r="K108" s="2">
        <f>1909032.57*1598.642</f>
        <v>3051859645.7699404</v>
      </c>
      <c r="L108" s="3">
        <f t="shared" si="30"/>
        <v>1.8842306690084565E-3</v>
      </c>
      <c r="M108" s="2">
        <f>1.0393*1598.642</f>
        <v>1661.4686305999999</v>
      </c>
      <c r="N108" s="2">
        <f>1.0393*1598.642</f>
        <v>1661.4686305999999</v>
      </c>
      <c r="O108" s="58">
        <v>229</v>
      </c>
      <c r="P108" s="5">
        <v>1.4E-3</v>
      </c>
      <c r="Q108" s="5">
        <v>3.9300000000000002E-2</v>
      </c>
      <c r="R108" s="77">
        <f>((K108-D108)/D108)</f>
        <v>9.9614003601018429E-3</v>
      </c>
      <c r="S108" s="77">
        <f t="shared" ref="S108:T111" si="36">((N108-G108)/G108)</f>
        <v>2.2692579163305287E-2</v>
      </c>
      <c r="T108" s="77">
        <f t="shared" si="36"/>
        <v>1.3274336283185841E-2</v>
      </c>
      <c r="U108" s="77">
        <f>P108-I108</f>
        <v>0</v>
      </c>
      <c r="V108" s="79">
        <f>Q108-J108</f>
        <v>1.5000000000000013E-3</v>
      </c>
    </row>
    <row r="109" spans="1:28">
      <c r="A109" s="143">
        <v>94</v>
      </c>
      <c r="B109" s="131" t="s">
        <v>270</v>
      </c>
      <c r="C109" s="132" t="s">
        <v>267</v>
      </c>
      <c r="D109" s="2">
        <f>381595.66*1565.429</f>
        <v>597360912.43814003</v>
      </c>
      <c r="E109" s="3">
        <f>(D109/$D$135)</f>
        <v>3.7098227379516921E-4</v>
      </c>
      <c r="F109" s="2">
        <f>1.04*1565.429</f>
        <v>1628.0461600000001</v>
      </c>
      <c r="G109" s="2">
        <f>1.05*1565.429</f>
        <v>1643.7004500000003</v>
      </c>
      <c r="H109" s="58">
        <v>15</v>
      </c>
      <c r="I109" s="5">
        <v>0.29699999999999999</v>
      </c>
      <c r="J109" s="5">
        <v>4.8300000000000003E-2</v>
      </c>
      <c r="K109" s="2">
        <f>383392.41*1598.642</f>
        <v>612907209.10721993</v>
      </c>
      <c r="L109" s="3">
        <f t="shared" si="30"/>
        <v>3.784114260486736E-4</v>
      </c>
      <c r="M109" s="2">
        <f>1.05*1598.642</f>
        <v>1678.5741</v>
      </c>
      <c r="N109" s="2">
        <f>1.05*1598.642</f>
        <v>1678.5741</v>
      </c>
      <c r="O109" s="58">
        <v>15</v>
      </c>
      <c r="P109" s="5">
        <v>0.53500000000000003</v>
      </c>
      <c r="Q109" s="5">
        <v>5.3999999999999999E-2</v>
      </c>
      <c r="R109" s="77">
        <f>((K109-D109)/D109)</f>
        <v>2.6024964716267408E-2</v>
      </c>
      <c r="S109" s="77">
        <f t="shared" si="36"/>
        <v>2.1216548307205103E-2</v>
      </c>
      <c r="T109" s="77">
        <f t="shared" si="36"/>
        <v>0</v>
      </c>
      <c r="U109" s="77">
        <f>P109-I109</f>
        <v>0.23800000000000004</v>
      </c>
      <c r="V109" s="79">
        <f>Q109-J109</f>
        <v>5.6999999999999967E-3</v>
      </c>
    </row>
    <row r="110" spans="1:28">
      <c r="A110" s="140">
        <v>95</v>
      </c>
      <c r="B110" s="131" t="s">
        <v>241</v>
      </c>
      <c r="C110" s="132" t="s">
        <v>25</v>
      </c>
      <c r="D110" s="2">
        <f>475220.07*1565.429</f>
        <v>743923278.96003008</v>
      </c>
      <c r="E110" s="3">
        <v>0</v>
      </c>
      <c r="F110" s="2">
        <f>1.1597*1565.429</f>
        <v>1815.4280113</v>
      </c>
      <c r="G110" s="2">
        <f>1.1597*1565.429</f>
        <v>1815.4280113</v>
      </c>
      <c r="H110" s="58">
        <v>35</v>
      </c>
      <c r="I110" s="5">
        <v>2.5000000000000001E-4</v>
      </c>
      <c r="J110" s="5">
        <v>9.6000000000000002E-2</v>
      </c>
      <c r="K110" s="2">
        <f>474437.1*1598.642</f>
        <v>758455074.41820002</v>
      </c>
      <c r="L110" s="3">
        <f t="shared" si="30"/>
        <v>4.6827327536660724E-4</v>
      </c>
      <c r="M110" s="2">
        <f>1.1615*1598.642</f>
        <v>1856.8226830000001</v>
      </c>
      <c r="N110" s="2">
        <f>1.1615*1598.642</f>
        <v>1856.8226830000001</v>
      </c>
      <c r="O110" s="58">
        <v>35</v>
      </c>
      <c r="P110" s="5">
        <v>2.7799999999999998E-4</v>
      </c>
      <c r="Q110" s="5">
        <v>9.7000000000000003E-2</v>
      </c>
      <c r="R110" s="77">
        <f>((K110-D110)/D110)</f>
        <v>1.9533997482219817E-2</v>
      </c>
      <c r="S110" s="77">
        <f t="shared" si="36"/>
        <v>2.2801604603620736E-2</v>
      </c>
      <c r="T110" s="77">
        <f t="shared" si="36"/>
        <v>0</v>
      </c>
      <c r="U110" s="77">
        <f>P110-I110</f>
        <v>2.7999999999999976E-5</v>
      </c>
      <c r="V110" s="79">
        <f t="shared" si="35"/>
        <v>1.0000000000000009E-3</v>
      </c>
    </row>
    <row r="111" spans="1:28">
      <c r="A111" s="142">
        <v>96</v>
      </c>
      <c r="B111" s="131" t="s">
        <v>138</v>
      </c>
      <c r="C111" s="132" t="s">
        <v>64</v>
      </c>
      <c r="D111" s="2">
        <f>422936.56*1565.429</f>
        <v>662077156.18423998</v>
      </c>
      <c r="E111" s="3">
        <f t="shared" ref="E111:E117" si="37">(D111/$D$135)</f>
        <v>4.1117335218096297E-4</v>
      </c>
      <c r="F111" s="2">
        <f>105.56*1565.429</f>
        <v>165246.68524000002</v>
      </c>
      <c r="G111" s="2">
        <f>106.08*1565.429</f>
        <v>166060.70832000001</v>
      </c>
      <c r="H111" s="58">
        <v>44</v>
      </c>
      <c r="I111" s="5">
        <v>-1.14E-2</v>
      </c>
      <c r="J111" s="5">
        <v>5.57E-2</v>
      </c>
      <c r="K111" s="2">
        <f>385492.34*1598.642</f>
        <v>616264245.40228009</v>
      </c>
      <c r="L111" s="3">
        <f t="shared" si="30"/>
        <v>3.8048407403328661E-4</v>
      </c>
      <c r="M111" s="2">
        <f>105.66*1598.642</f>
        <v>168912.51371999999</v>
      </c>
      <c r="N111" s="2">
        <f>106.32*1598.642</f>
        <v>169967.61744</v>
      </c>
      <c r="O111" s="58">
        <v>43</v>
      </c>
      <c r="P111" s="5">
        <v>1.6999999999999999E-3</v>
      </c>
      <c r="Q111" s="5">
        <v>5.74E-2</v>
      </c>
      <c r="R111" s="77">
        <f>((K111-D111)/D111)</f>
        <v>-6.9195727951095881E-2</v>
      </c>
      <c r="S111" s="77">
        <f t="shared" si="36"/>
        <v>2.3526992986633289E-2</v>
      </c>
      <c r="T111" s="77">
        <f t="shared" si="36"/>
        <v>-2.2727272727272728E-2</v>
      </c>
      <c r="U111" s="77">
        <f>P111-I111</f>
        <v>1.3100000000000001E-2</v>
      </c>
      <c r="V111" s="79">
        <f>Q111-J111</f>
        <v>1.7000000000000001E-3</v>
      </c>
    </row>
    <row r="112" spans="1:28">
      <c r="A112" s="142">
        <v>97</v>
      </c>
      <c r="B112" s="131" t="s">
        <v>131</v>
      </c>
      <c r="C112" s="132" t="s">
        <v>67</v>
      </c>
      <c r="D112" s="2">
        <v>4633133555.3331804</v>
      </c>
      <c r="E112" s="3">
        <f t="shared" si="37"/>
        <v>2.8773399554029105E-3</v>
      </c>
      <c r="F112" s="2">
        <v>169221.9356426</v>
      </c>
      <c r="G112" s="2">
        <v>169221.9356426</v>
      </c>
      <c r="H112" s="58">
        <v>50</v>
      </c>
      <c r="I112" s="5">
        <v>-1.0629999999999999E-3</v>
      </c>
      <c r="J112" s="5">
        <v>5.7371999999999999E-2</v>
      </c>
      <c r="K112" s="2">
        <v>4801735337.1366396</v>
      </c>
      <c r="L112" s="3">
        <f t="shared" si="30"/>
        <v>2.9646111017048241E-3</v>
      </c>
      <c r="M112" s="2">
        <v>174145.18871439999</v>
      </c>
      <c r="N112" s="2">
        <v>174145.18871439999</v>
      </c>
      <c r="O112" s="58">
        <v>50</v>
      </c>
      <c r="P112" s="5">
        <v>7.3480000000000004E-3</v>
      </c>
      <c r="Q112" s="5">
        <v>6.7567000000000002E-2</v>
      </c>
      <c r="R112" s="77">
        <f t="shared" si="31"/>
        <v>3.6390442837414515E-2</v>
      </c>
      <c r="S112" s="77">
        <f t="shared" si="32"/>
        <v>2.9093468604436699E-2</v>
      </c>
      <c r="T112" s="77">
        <f t="shared" si="33"/>
        <v>0</v>
      </c>
      <c r="U112" s="77">
        <f t="shared" si="34"/>
        <v>8.4110000000000001E-3</v>
      </c>
      <c r="V112" s="79">
        <f t="shared" si="35"/>
        <v>1.0195000000000003E-2</v>
      </c>
      <c r="X112" s="104"/>
    </row>
    <row r="113" spans="1:24">
      <c r="A113" s="142">
        <v>98</v>
      </c>
      <c r="B113" s="131" t="s">
        <v>132</v>
      </c>
      <c r="C113" s="132" t="s">
        <v>27</v>
      </c>
      <c r="D113" s="2">
        <v>55013229362.860001</v>
      </c>
      <c r="E113" s="3">
        <f t="shared" si="37"/>
        <v>3.4165162957431418E-2</v>
      </c>
      <c r="F113" s="2">
        <v>203537.25</v>
      </c>
      <c r="G113" s="2">
        <v>203537.25</v>
      </c>
      <c r="H113" s="58">
        <v>2167</v>
      </c>
      <c r="I113" s="5">
        <v>-2.2000000000000001E-3</v>
      </c>
      <c r="J113" s="5">
        <v>4.6100000000000002E-2</v>
      </c>
      <c r="K113" s="2">
        <v>55894158654.900002</v>
      </c>
      <c r="L113" s="3">
        <f t="shared" si="30"/>
        <v>3.4509282922615188E-2</v>
      </c>
      <c r="M113" s="2">
        <v>208308.35</v>
      </c>
      <c r="N113" s="2">
        <v>208308.35</v>
      </c>
      <c r="O113" s="58">
        <v>2169</v>
      </c>
      <c r="P113" s="5">
        <v>1.5E-3</v>
      </c>
      <c r="Q113" s="5">
        <v>5.16E-2</v>
      </c>
      <c r="R113" s="77">
        <f t="shared" si="31"/>
        <v>1.6013044539332669E-2</v>
      </c>
      <c r="S113" s="77">
        <f t="shared" si="32"/>
        <v>2.3440918062909891E-2</v>
      </c>
      <c r="T113" s="77">
        <f t="shared" si="33"/>
        <v>9.2293493308721734E-4</v>
      </c>
      <c r="U113" s="77">
        <f t="shared" si="34"/>
        <v>3.7000000000000002E-3</v>
      </c>
      <c r="V113" s="79">
        <f t="shared" si="35"/>
        <v>5.4999999999999979E-3</v>
      </c>
    </row>
    <row r="114" spans="1:24">
      <c r="A114" s="140">
        <v>99</v>
      </c>
      <c r="B114" s="138" t="s">
        <v>133</v>
      </c>
      <c r="C114" s="138" t="s">
        <v>27</v>
      </c>
      <c r="D114" s="2">
        <v>88963113073.619995</v>
      </c>
      <c r="E114" s="3">
        <f t="shared" si="37"/>
        <v>5.5249242601500159E-2</v>
      </c>
      <c r="F114" s="2">
        <v>186422.72</v>
      </c>
      <c r="G114" s="2">
        <v>186422.72</v>
      </c>
      <c r="H114" s="58">
        <v>487</v>
      </c>
      <c r="I114" s="5">
        <v>1.9E-3</v>
      </c>
      <c r="J114" s="5">
        <v>6.1199999999999997E-2</v>
      </c>
      <c r="K114" s="2">
        <v>90035005900.639999</v>
      </c>
      <c r="L114" s="3">
        <f t="shared" si="30"/>
        <v>5.5587982113621676E-2</v>
      </c>
      <c r="M114" s="2">
        <v>190132.73</v>
      </c>
      <c r="N114" s="2">
        <v>190132.73</v>
      </c>
      <c r="O114" s="58">
        <v>496</v>
      </c>
      <c r="P114" s="5">
        <v>1.8E-3</v>
      </c>
      <c r="Q114" s="5">
        <v>6.3100000000000003E-2</v>
      </c>
      <c r="R114" s="77">
        <f t="shared" si="31"/>
        <v>1.2048733345616814E-2</v>
      </c>
      <c r="S114" s="77">
        <f t="shared" si="32"/>
        <v>1.9901061415690154E-2</v>
      </c>
      <c r="T114" s="77">
        <f t="shared" si="33"/>
        <v>1.8480492813141684E-2</v>
      </c>
      <c r="U114" s="77">
        <f t="shared" si="34"/>
        <v>-1.0000000000000005E-4</v>
      </c>
      <c r="V114" s="79">
        <f t="shared" si="35"/>
        <v>1.9000000000000059E-3</v>
      </c>
    </row>
    <row r="115" spans="1:24">
      <c r="A115" s="143">
        <v>100</v>
      </c>
      <c r="B115" s="131" t="s">
        <v>134</v>
      </c>
      <c r="C115" s="132" t="s">
        <v>31</v>
      </c>
      <c r="D115" s="2">
        <f>108687.82*1565.429</f>
        <v>170143065.37478003</v>
      </c>
      <c r="E115" s="3">
        <f t="shared" si="37"/>
        <v>1.0566486683166176E-4</v>
      </c>
      <c r="F115" s="2">
        <f>114.15*1565.429</f>
        <v>178693.72035000002</v>
      </c>
      <c r="G115" s="2">
        <f>114.15*1565.429</f>
        <v>178693.72035000002</v>
      </c>
      <c r="H115" s="58">
        <v>5</v>
      </c>
      <c r="I115" s="5">
        <v>2.0999999999999999E-3</v>
      </c>
      <c r="J115" s="5">
        <v>-3.8999999999999998E-3</v>
      </c>
      <c r="K115" s="2">
        <f>100199.3218*1598.642</f>
        <v>160182844.20099562</v>
      </c>
      <c r="L115" s="3">
        <f t="shared" si="30"/>
        <v>9.8897545341202655E-5</v>
      </c>
      <c r="M115" s="2">
        <f>114.5452844*1598.642</f>
        <v>183116.90254378482</v>
      </c>
      <c r="N115" s="2">
        <f>114.5452844*1598.642</f>
        <v>183116.90254378482</v>
      </c>
      <c r="O115" s="58">
        <v>4</v>
      </c>
      <c r="P115" s="5">
        <v>2.5999999999999999E-3</v>
      </c>
      <c r="Q115" s="5">
        <v>-4.0000000000000002E-4</v>
      </c>
      <c r="R115" s="77">
        <f t="shared" si="31"/>
        <v>-5.8540271105640897E-2</v>
      </c>
      <c r="S115" s="77">
        <f t="shared" si="32"/>
        <v>2.4752868680115312E-2</v>
      </c>
      <c r="T115" s="77">
        <f t="shared" si="33"/>
        <v>-0.2</v>
      </c>
      <c r="U115" s="77">
        <f t="shared" si="34"/>
        <v>5.0000000000000001E-4</v>
      </c>
      <c r="V115" s="79">
        <f t="shared" si="35"/>
        <v>3.4999999999999996E-3</v>
      </c>
    </row>
    <row r="116" spans="1:24">
      <c r="A116" s="140">
        <v>101</v>
      </c>
      <c r="B116" s="131" t="s">
        <v>135</v>
      </c>
      <c r="C116" s="132" t="s">
        <v>34</v>
      </c>
      <c r="D116" s="2">
        <f>10096492.71*1565.429</f>
        <v>15805342486.522593</v>
      </c>
      <c r="E116" s="3">
        <f t="shared" si="37"/>
        <v>9.8156772089917129E-3</v>
      </c>
      <c r="F116" s="2">
        <f>1.36*1565.429</f>
        <v>2128.9834400000004</v>
      </c>
      <c r="G116" s="2">
        <f>1.36*1565.429</f>
        <v>2128.9834400000004</v>
      </c>
      <c r="H116" s="59">
        <v>113</v>
      </c>
      <c r="I116" s="12">
        <v>8.9999999999999998E-4</v>
      </c>
      <c r="J116" s="12">
        <v>4.7E-2</v>
      </c>
      <c r="K116" s="2">
        <f>10014969.19*1598.642</f>
        <v>16010350375.839979</v>
      </c>
      <c r="L116" s="3">
        <f t="shared" si="30"/>
        <v>9.8848560226359981E-3</v>
      </c>
      <c r="M116" s="2">
        <f>1.36*1598.642</f>
        <v>2174.1531200000004</v>
      </c>
      <c r="N116" s="2">
        <f>1.36*1598.642</f>
        <v>2174.1531200000004</v>
      </c>
      <c r="O116" s="59">
        <v>110</v>
      </c>
      <c r="P116" s="12">
        <v>8.0000000000000004E-4</v>
      </c>
      <c r="Q116" s="12">
        <v>4.6899999999999997E-2</v>
      </c>
      <c r="R116" s="77">
        <f t="shared" si="31"/>
        <v>1.2970797025891679E-2</v>
      </c>
      <c r="S116" s="77">
        <f t="shared" si="32"/>
        <v>2.1216548307205228E-2</v>
      </c>
      <c r="T116" s="77">
        <f t="shared" si="33"/>
        <v>-2.6548672566371681E-2</v>
      </c>
      <c r="U116" s="77">
        <f t="shared" si="34"/>
        <v>-9.9999999999999937E-5</v>
      </c>
      <c r="V116" s="79">
        <f t="shared" si="35"/>
        <v>-1.0000000000000286E-4</v>
      </c>
    </row>
    <row r="117" spans="1:24">
      <c r="A117" s="143">
        <v>102</v>
      </c>
      <c r="B117" s="131" t="s">
        <v>136</v>
      </c>
      <c r="C117" s="132" t="s">
        <v>78</v>
      </c>
      <c r="D117" s="2">
        <f>15765116.71*1565.429</f>
        <v>24679170886.218594</v>
      </c>
      <c r="E117" s="3">
        <f t="shared" si="37"/>
        <v>1.5326638787563827E-2</v>
      </c>
      <c r="F117" s="2">
        <f>104.25*1565.429</f>
        <v>163195.97325000001</v>
      </c>
      <c r="G117" s="2">
        <f>104.25*1565.429</f>
        <v>163195.97325000001</v>
      </c>
      <c r="H117" s="58">
        <v>382</v>
      </c>
      <c r="I117" s="5">
        <v>1.6999999999999999E-3</v>
      </c>
      <c r="J117" s="5">
        <v>6.5199999999999994E-2</v>
      </c>
      <c r="K117" s="2">
        <f>15822235.92*1598.642</f>
        <v>25294090875.62064</v>
      </c>
      <c r="L117" s="3">
        <f t="shared" si="30"/>
        <v>1.5616675504258803E-2</v>
      </c>
      <c r="M117" s="2">
        <f>104.41*1598.642</f>
        <v>166914.21122</v>
      </c>
      <c r="N117" s="2">
        <f>104.41*1598.642</f>
        <v>166914.21122</v>
      </c>
      <c r="O117" s="58">
        <v>385</v>
      </c>
      <c r="P117" s="5">
        <v>1.6000000000000001E-3</v>
      </c>
      <c r="Q117" s="5">
        <v>6.6799999999999998E-2</v>
      </c>
      <c r="R117" s="77">
        <f t="shared" si="31"/>
        <v>2.4916557863191077E-2</v>
      </c>
      <c r="S117" s="77">
        <f t="shared" si="32"/>
        <v>2.2783883057604714E-2</v>
      </c>
      <c r="T117" s="77">
        <f t="shared" si="33"/>
        <v>7.8534031413612562E-3</v>
      </c>
      <c r="U117" s="77">
        <f t="shared" si="34"/>
        <v>-9.9999999999999829E-5</v>
      </c>
      <c r="V117" s="79">
        <f t="shared" si="35"/>
        <v>1.6000000000000042E-3</v>
      </c>
    </row>
    <row r="118" spans="1:24">
      <c r="A118" s="143">
        <v>103</v>
      </c>
      <c r="B118" s="131" t="s">
        <v>137</v>
      </c>
      <c r="C118" s="132" t="s">
        <v>38</v>
      </c>
      <c r="D118" s="2">
        <f>1925637.8*1565.429</f>
        <v>3014449255.6162004</v>
      </c>
      <c r="E118" s="3">
        <f t="shared" ref="E118:E119" si="38">(D118/$D$135)</f>
        <v>1.8720797022427546E-3</v>
      </c>
      <c r="F118" s="2">
        <f>135.45*1565.429</f>
        <v>212037.35804999998</v>
      </c>
      <c r="G118" s="2">
        <f>139.32*1565.429</f>
        <v>218095.56828000001</v>
      </c>
      <c r="H118" s="58">
        <v>47</v>
      </c>
      <c r="I118" s="5">
        <v>1.9E-3</v>
      </c>
      <c r="J118" s="5">
        <v>2.8899999999999999E-2</v>
      </c>
      <c r="K118" s="2">
        <f>1919076.24*1598.642</f>
        <v>3067915878.4660802</v>
      </c>
      <c r="L118" s="3">
        <f t="shared" ref="L118:L119" si="39">(K118/$K$135)</f>
        <v>1.8941438529639298E-3</v>
      </c>
      <c r="M118" s="2">
        <f>135.62*1598.642</f>
        <v>216807.82804000002</v>
      </c>
      <c r="N118" s="2">
        <f>139.55*1598.642</f>
        <v>223090.49110000001</v>
      </c>
      <c r="O118" s="58">
        <v>47</v>
      </c>
      <c r="P118" s="5">
        <v>2E-3</v>
      </c>
      <c r="Q118" s="5">
        <v>3.04E-2</v>
      </c>
      <c r="R118" s="77">
        <f t="shared" ref="R118:R119" si="40">((K118-D118)/D118)</f>
        <v>1.7736779861285253E-2</v>
      </c>
      <c r="S118" s="77">
        <f t="shared" ref="S118:S119" si="41">((N118-G118)/G118)</f>
        <v>2.2902449872742581E-2</v>
      </c>
      <c r="T118" s="77">
        <f t="shared" ref="T118:T119" si="42">((O118-H118)/H118)</f>
        <v>0</v>
      </c>
      <c r="U118" s="77">
        <f t="shared" ref="U118:U119" si="43">P118-I118</f>
        <v>1.0000000000000005E-4</v>
      </c>
      <c r="V118" s="79">
        <f t="shared" ref="V118:V119" si="44">Q118-J118</f>
        <v>1.5000000000000013E-3</v>
      </c>
    </row>
    <row r="119" spans="1:24">
      <c r="A119" s="143">
        <v>104</v>
      </c>
      <c r="B119" s="131" t="s">
        <v>281</v>
      </c>
      <c r="C119" s="132" t="s">
        <v>45</v>
      </c>
      <c r="D119" s="4">
        <f>142657896.78*1570.14</f>
        <v>223992870050.14923</v>
      </c>
      <c r="E119" s="3">
        <f t="shared" si="38"/>
        <v>0.13910750187176904</v>
      </c>
      <c r="F119" s="2">
        <f>121.8945*1570.14</f>
        <v>191391.43023</v>
      </c>
      <c r="G119" s="2">
        <f>121.8945*1570.14</f>
        <v>191391.43023</v>
      </c>
      <c r="H119" s="58">
        <v>3273</v>
      </c>
      <c r="I119" s="5">
        <v>5.5399999999999998E-2</v>
      </c>
      <c r="J119" s="5">
        <v>5.33E-2</v>
      </c>
      <c r="K119" s="4">
        <f>142529638.75*1598.56</f>
        <v>227842179320.19998</v>
      </c>
      <c r="L119" s="3">
        <f t="shared" si="39"/>
        <v>0.14067069649283859</v>
      </c>
      <c r="M119" s="2">
        <f>122.0205*1598.56</f>
        <v>195057.09047999998</v>
      </c>
      <c r="N119" s="2">
        <f>122.0205*1598.56</f>
        <v>195057.09047999998</v>
      </c>
      <c r="O119" s="58">
        <v>3281</v>
      </c>
      <c r="P119" s="5">
        <v>5.5300000000000002E-2</v>
      </c>
      <c r="Q119" s="5">
        <v>5.33E-2</v>
      </c>
      <c r="R119" s="77">
        <f t="shared" si="40"/>
        <v>1.7184963383829754E-2</v>
      </c>
      <c r="S119" s="77">
        <f t="shared" si="41"/>
        <v>1.9152687482375089E-2</v>
      </c>
      <c r="T119" s="77">
        <f t="shared" si="42"/>
        <v>2.4442407577146348E-3</v>
      </c>
      <c r="U119" s="77">
        <f t="shared" si="43"/>
        <v>-9.9999999999995925E-5</v>
      </c>
      <c r="V119" s="79">
        <f t="shared" si="44"/>
        <v>0</v>
      </c>
    </row>
    <row r="120" spans="1:24" ht="6" customHeight="1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</row>
    <row r="121" spans="1:24">
      <c r="A121" s="159" t="s">
        <v>229</v>
      </c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159"/>
      <c r="P121" s="159"/>
      <c r="Q121" s="159"/>
      <c r="R121" s="159"/>
      <c r="S121" s="159"/>
      <c r="T121" s="159"/>
      <c r="U121" s="159"/>
      <c r="V121" s="159"/>
    </row>
    <row r="122" spans="1:24">
      <c r="A122" s="142">
        <v>105</v>
      </c>
      <c r="B122" s="131" t="s">
        <v>139</v>
      </c>
      <c r="C122" s="132" t="s">
        <v>97</v>
      </c>
      <c r="D122" s="4">
        <f>1147162.57*1565.429</f>
        <v>1795801554.7925303</v>
      </c>
      <c r="E122" s="3">
        <f t="shared" ref="E122:E132" si="45">(D122/$D$135)</f>
        <v>1.1152563386892557E-3</v>
      </c>
      <c r="F122" s="2">
        <f>106.2*1565.429</f>
        <v>166248.55980000002</v>
      </c>
      <c r="G122" s="2">
        <f>106.2*1565.429</f>
        <v>166248.55980000002</v>
      </c>
      <c r="H122" s="58">
        <v>21</v>
      </c>
      <c r="I122" s="5">
        <v>1.5063999999999999E-2</v>
      </c>
      <c r="J122" s="5">
        <v>6.1899999999999997E-2</v>
      </c>
      <c r="K122" s="4">
        <f>1151439.02*1598.642</f>
        <v>1840738777.8108401</v>
      </c>
      <c r="L122" s="3">
        <f t="shared" ref="L122:L134" si="46">(K122/$K$135)</f>
        <v>1.1364796751356847E-3</v>
      </c>
      <c r="M122" s="2">
        <f>106.59*1598.642</f>
        <v>170399.25078</v>
      </c>
      <c r="N122" s="2">
        <f>106.59*1598.642</f>
        <v>170399.25078</v>
      </c>
      <c r="O122" s="58">
        <v>21</v>
      </c>
      <c r="P122" s="5">
        <v>4.4260000000000002E-3</v>
      </c>
      <c r="Q122" s="5">
        <v>7.0400000000000004E-2</v>
      </c>
      <c r="R122" s="77">
        <f>((K122-D122)/D122)</f>
        <v>2.5023490428763687E-2</v>
      </c>
      <c r="S122" s="77">
        <f>((N122-G122)/G122)</f>
        <v>2.4966778569350256E-2</v>
      </c>
      <c r="T122" s="77">
        <f>((O122-H122)/H122)</f>
        <v>0</v>
      </c>
      <c r="U122" s="77">
        <f>P122-I122</f>
        <v>-1.0637999999999998E-2</v>
      </c>
      <c r="V122" s="79">
        <f>Q122-J122</f>
        <v>8.5000000000000075E-3</v>
      </c>
    </row>
    <row r="123" spans="1:24">
      <c r="A123" s="143">
        <v>106</v>
      </c>
      <c r="B123" s="132" t="s">
        <v>140</v>
      </c>
      <c r="C123" s="132" t="s">
        <v>23</v>
      </c>
      <c r="D123" s="2">
        <f>9341819.95*1565.429</f>
        <v>14623955862.508549</v>
      </c>
      <c r="E123" s="3">
        <f t="shared" si="45"/>
        <v>9.0819942932162112E-3</v>
      </c>
      <c r="F123" s="4">
        <f>131.12*1565.429</f>
        <v>205259.05048000001</v>
      </c>
      <c r="G123" s="4">
        <f>131.12*1565.429</f>
        <v>205259.05048000001</v>
      </c>
      <c r="H123" s="58">
        <v>464</v>
      </c>
      <c r="I123" s="5">
        <v>5.0000000000000001E-4</v>
      </c>
      <c r="J123" s="5">
        <v>3.7999999999999999E-2</v>
      </c>
      <c r="K123" s="2">
        <f>9393030.46*1598.642</f>
        <v>15016093000.635323</v>
      </c>
      <c r="L123" s="3">
        <f t="shared" si="46"/>
        <v>9.2709974391178718E-3</v>
      </c>
      <c r="M123" s="4">
        <f>131.34*1598.642</f>
        <v>209965.64028000002</v>
      </c>
      <c r="N123" s="4">
        <f>131.34*1598.642</f>
        <v>209965.64028000002</v>
      </c>
      <c r="O123" s="58">
        <v>464</v>
      </c>
      <c r="P123" s="5">
        <v>5.0000000000000001E-4</v>
      </c>
      <c r="Q123" s="5">
        <v>4.41E-2</v>
      </c>
      <c r="R123" s="77">
        <f t="shared" ref="R123:R135" si="47">((K123-D123)/D123)</f>
        <v>2.6814710179213289E-2</v>
      </c>
      <c r="S123" s="77">
        <f t="shared" ref="S123:S135" si="48">((N123-G123)/G123)</f>
        <v>2.2929998891613387E-2</v>
      </c>
      <c r="T123" s="77">
        <f t="shared" ref="T123:T135" si="49">((O123-H123)/H123)</f>
        <v>0</v>
      </c>
      <c r="U123" s="77">
        <f t="shared" ref="U123:U135" si="50">P123-I123</f>
        <v>0</v>
      </c>
      <c r="V123" s="79">
        <f t="shared" ref="V123:V135" si="51">Q123-J123</f>
        <v>6.1000000000000013E-3</v>
      </c>
    </row>
    <row r="124" spans="1:24">
      <c r="A124" s="142">
        <v>107</v>
      </c>
      <c r="B124" s="131" t="s">
        <v>141</v>
      </c>
      <c r="C124" s="132" t="s">
        <v>58</v>
      </c>
      <c r="D124" s="4">
        <v>16481160167.85</v>
      </c>
      <c r="E124" s="3">
        <f t="shared" si="45"/>
        <v>1.0235383913714854E-2</v>
      </c>
      <c r="F124" s="4">
        <v>185271.03</v>
      </c>
      <c r="G124" s="4">
        <v>185271.03</v>
      </c>
      <c r="H124" s="58">
        <v>617</v>
      </c>
      <c r="I124" s="5">
        <v>8.9999999999999998E-4</v>
      </c>
      <c r="J124" s="5">
        <v>6.4000000000000001E-2</v>
      </c>
      <c r="K124" s="4">
        <v>15996830436.51</v>
      </c>
      <c r="L124" s="3">
        <f t="shared" si="46"/>
        <v>9.876508756612808E-3</v>
      </c>
      <c r="M124" s="4">
        <v>181473.38</v>
      </c>
      <c r="N124" s="4">
        <v>181473.38</v>
      </c>
      <c r="O124" s="58">
        <v>617</v>
      </c>
      <c r="P124" s="5">
        <v>1.5E-3</v>
      </c>
      <c r="Q124" s="5">
        <v>6.4100000000000004E-2</v>
      </c>
      <c r="R124" s="77">
        <f t="shared" si="47"/>
        <v>-2.9386871215825453E-2</v>
      </c>
      <c r="S124" s="77">
        <f t="shared" si="48"/>
        <v>-2.0497807995130131E-2</v>
      </c>
      <c r="T124" s="77">
        <f t="shared" si="49"/>
        <v>0</v>
      </c>
      <c r="U124" s="77">
        <f t="shared" si="50"/>
        <v>6.0000000000000006E-4</v>
      </c>
      <c r="V124" s="79">
        <f t="shared" si="51"/>
        <v>1.0000000000000286E-4</v>
      </c>
    </row>
    <row r="125" spans="1:24">
      <c r="A125" s="142">
        <v>108</v>
      </c>
      <c r="B125" s="131" t="s">
        <v>142</v>
      </c>
      <c r="C125" s="132" t="s">
        <v>56</v>
      </c>
      <c r="D125" s="4">
        <v>6963082172.5637512</v>
      </c>
      <c r="E125" s="3">
        <f t="shared" si="45"/>
        <v>4.3243205292040421E-3</v>
      </c>
      <c r="F125" s="4">
        <v>1977.5374584382128</v>
      </c>
      <c r="G125" s="4">
        <v>1977.5374584382128</v>
      </c>
      <c r="H125" s="58">
        <v>205</v>
      </c>
      <c r="I125" s="5">
        <v>5.5490878261526058E-2</v>
      </c>
      <c r="J125" s="5">
        <v>5.3135717451892113E-2</v>
      </c>
      <c r="K125" s="4">
        <v>7016529755.7332039</v>
      </c>
      <c r="L125" s="3">
        <f t="shared" si="46"/>
        <v>4.3320342644484582E-3</v>
      </c>
      <c r="M125" s="4">
        <v>1985.5984920158755</v>
      </c>
      <c r="N125" s="4">
        <v>1985.5984920158755</v>
      </c>
      <c r="O125" s="58">
        <v>210</v>
      </c>
      <c r="P125" s="5">
        <v>5.6570765819713639E-2</v>
      </c>
      <c r="Q125" s="5">
        <v>5.329050379015092E-2</v>
      </c>
      <c r="R125" s="77">
        <f t="shared" si="47"/>
        <v>7.6758512746049777E-3</v>
      </c>
      <c r="S125" s="77">
        <f t="shared" si="48"/>
        <v>4.0762988044884341E-3</v>
      </c>
      <c r="T125" s="77">
        <f t="shared" si="49"/>
        <v>2.4390243902439025E-2</v>
      </c>
      <c r="U125" s="77">
        <f t="shared" si="50"/>
        <v>1.0798875581875811E-3</v>
      </c>
      <c r="V125" s="79">
        <f t="shared" si="51"/>
        <v>1.5478633825880689E-4</v>
      </c>
    </row>
    <row r="126" spans="1:24">
      <c r="A126" s="142">
        <v>109</v>
      </c>
      <c r="B126" s="131" t="s">
        <v>276</v>
      </c>
      <c r="C126" s="132" t="s">
        <v>32</v>
      </c>
      <c r="D126" s="4">
        <v>71775216520.317902</v>
      </c>
      <c r="E126" s="3">
        <f t="shared" si="45"/>
        <v>4.4574950373247824E-2</v>
      </c>
      <c r="F126" s="4">
        <f>100*1608.03</f>
        <v>160803</v>
      </c>
      <c r="G126" s="4">
        <f>100*1608.03</f>
        <v>160803</v>
      </c>
      <c r="H126" s="58">
        <v>1616</v>
      </c>
      <c r="I126" s="5">
        <v>5.3499999999999999E-2</v>
      </c>
      <c r="J126" s="5">
        <v>5.8337300000000002E-2</v>
      </c>
      <c r="K126" s="4">
        <v>72258101702.681595</v>
      </c>
      <c r="L126" s="3">
        <f t="shared" si="46"/>
        <v>4.4612448511922281E-2</v>
      </c>
      <c r="M126" s="4">
        <f>100*1598.56</f>
        <v>159856</v>
      </c>
      <c r="N126" s="4">
        <f>100*1598.56</f>
        <v>159856</v>
      </c>
      <c r="O126" s="58">
        <v>1637</v>
      </c>
      <c r="P126" s="5">
        <v>5.4800000000000001E-2</v>
      </c>
      <c r="Q126" s="5">
        <v>5.8063799999999999E-2</v>
      </c>
      <c r="R126" s="77">
        <f>((K126-D126)/D126)</f>
        <v>6.7277426077425994E-3</v>
      </c>
      <c r="S126" s="77">
        <f>((N126-G126)/G126)</f>
        <v>-5.8891936095719606E-3</v>
      </c>
      <c r="T126" s="77">
        <f>((O126-H126)/H126)</f>
        <v>1.2995049504950494E-2</v>
      </c>
      <c r="U126" s="77">
        <f>P126-I126</f>
        <v>1.3000000000000025E-3</v>
      </c>
      <c r="V126" s="79">
        <f>Q126-J126</f>
        <v>-2.7350000000000291E-4</v>
      </c>
    </row>
    <row r="127" spans="1:24" ht="15.75">
      <c r="A127" s="143">
        <v>110</v>
      </c>
      <c r="B127" s="131" t="s">
        <v>251</v>
      </c>
      <c r="C127" s="132" t="s">
        <v>114</v>
      </c>
      <c r="D127" s="4">
        <f>998570.31*1565.429</f>
        <v>1563190921.8129902</v>
      </c>
      <c r="E127" s="3">
        <f t="shared" si="45"/>
        <v>9.7079690096094659E-4</v>
      </c>
      <c r="F127" s="4">
        <f>1.07*1565.429</f>
        <v>1675.0090300000002</v>
      </c>
      <c r="G127" s="4">
        <f>1.09*1565.429</f>
        <v>1706.3176100000003</v>
      </c>
      <c r="H127" s="58">
        <v>37</v>
      </c>
      <c r="I127" s="5">
        <v>5.4999999999999997E-3</v>
      </c>
      <c r="J127" s="5">
        <v>8.1699999999999995E-2</v>
      </c>
      <c r="K127" s="4">
        <f>1014762.18*1598.642</f>
        <v>1622241440.9595602</v>
      </c>
      <c r="L127" s="3">
        <f t="shared" si="46"/>
        <v>1.0015785227309557E-3</v>
      </c>
      <c r="M127" s="4">
        <f>1.077649*1598.642</f>
        <v>1722.7749526580001</v>
      </c>
      <c r="N127" s="4">
        <f>1.099463*1598.642</f>
        <v>1757.6477292460002</v>
      </c>
      <c r="O127" s="58">
        <v>38</v>
      </c>
      <c r="P127" s="5">
        <v>7.9000000000000008E-3</v>
      </c>
      <c r="Q127" s="5">
        <v>8.1699999999999995E-2</v>
      </c>
      <c r="R127" s="77">
        <f t="shared" si="47"/>
        <v>3.7775628250247974E-2</v>
      </c>
      <c r="S127" s="77">
        <f t="shared" si="48"/>
        <v>3.0082394359160283E-2</v>
      </c>
      <c r="T127" s="77">
        <f t="shared" si="49"/>
        <v>2.7027027027027029E-2</v>
      </c>
      <c r="U127" s="77">
        <f t="shared" si="50"/>
        <v>2.4000000000000011E-3</v>
      </c>
      <c r="V127" s="79">
        <f t="shared" si="51"/>
        <v>0</v>
      </c>
      <c r="X127" s="113"/>
    </row>
    <row r="128" spans="1:24" ht="15.75">
      <c r="A128" s="147">
        <v>111</v>
      </c>
      <c r="B128" s="131" t="s">
        <v>257</v>
      </c>
      <c r="C128" s="132" t="s">
        <v>36</v>
      </c>
      <c r="D128" s="2">
        <f>1871699.77*1565.429</f>
        <v>2930013099.2513304</v>
      </c>
      <c r="E128" s="3">
        <f t="shared" si="45"/>
        <v>1.819641860016163E-3</v>
      </c>
      <c r="F128" s="4">
        <f>10.32*1565.429</f>
        <v>16155.227280000001</v>
      </c>
      <c r="G128" s="4">
        <f>10.32*1565.429</f>
        <v>16155.227280000001</v>
      </c>
      <c r="H128" s="58">
        <v>65</v>
      </c>
      <c r="I128" s="5">
        <v>7.6399999999999996E-2</v>
      </c>
      <c r="J128" s="5">
        <v>9.5799999999999996E-2</v>
      </c>
      <c r="K128" s="2">
        <f>1739665.13*1598.642</f>
        <v>2781101742.7534599</v>
      </c>
      <c r="L128" s="3">
        <f t="shared" si="46"/>
        <v>1.7170636285951805E-3</v>
      </c>
      <c r="M128" s="4">
        <f>10.36*1598.642</f>
        <v>16561.931120000001</v>
      </c>
      <c r="N128" s="4">
        <f>10.36*1598.642</f>
        <v>16561.931120000001</v>
      </c>
      <c r="O128" s="58">
        <v>64</v>
      </c>
      <c r="P128" s="5">
        <v>7.6399999999999996E-2</v>
      </c>
      <c r="Q128" s="5">
        <v>9.5399999999999999E-2</v>
      </c>
      <c r="R128" s="77">
        <f>((K128-D128)/D128)</f>
        <v>-5.0822761350766625E-2</v>
      </c>
      <c r="S128" s="77">
        <f>((N128-G128)/G128)</f>
        <v>2.5174751982814575E-2</v>
      </c>
      <c r="T128" s="77">
        <f>((O128-H128)/H128)</f>
        <v>-1.5384615384615385E-2</v>
      </c>
      <c r="U128" s="77">
        <f>P128-I128</f>
        <v>0</v>
      </c>
      <c r="V128" s="79">
        <f>Q128-J128</f>
        <v>-3.9999999999999758E-4</v>
      </c>
      <c r="X128" s="113"/>
    </row>
    <row r="129" spans="1:24" ht="15.75">
      <c r="A129" s="143">
        <v>112</v>
      </c>
      <c r="B129" s="132" t="s">
        <v>143</v>
      </c>
      <c r="C129" s="145" t="s">
        <v>40</v>
      </c>
      <c r="D129" s="4">
        <v>18772429369</v>
      </c>
      <c r="E129" s="3">
        <f t="shared" si="45"/>
        <v>1.165834320084011E-2</v>
      </c>
      <c r="F129" s="4">
        <f>1.0366*1565.429</f>
        <v>1622.7237014</v>
      </c>
      <c r="G129" s="4">
        <f>1.0366*1565.429</f>
        <v>1622.7237014</v>
      </c>
      <c r="H129" s="58">
        <v>371</v>
      </c>
      <c r="I129" s="5">
        <v>7.7000000000000002E-3</v>
      </c>
      <c r="J129" s="5">
        <v>7.22E-2</v>
      </c>
      <c r="K129" s="4">
        <v>20087417256</v>
      </c>
      <c r="L129" s="3">
        <f t="shared" si="46"/>
        <v>1.2402053845230505E-2</v>
      </c>
      <c r="M129" s="4">
        <f>1.0439*1598.642</f>
        <v>1668.8223838000001</v>
      </c>
      <c r="N129" s="4">
        <f>1.0439*1598.642</f>
        <v>1668.8223838000001</v>
      </c>
      <c r="O129" s="58">
        <v>371</v>
      </c>
      <c r="P129" s="5">
        <v>9.1000000000000004E-3</v>
      </c>
      <c r="Q129" s="5">
        <v>7.9200000000000007E-2</v>
      </c>
      <c r="R129" s="77">
        <f t="shared" si="47"/>
        <v>7.0048892508900076E-2</v>
      </c>
      <c r="S129" s="77">
        <f t="shared" si="48"/>
        <v>2.8408214140354666E-2</v>
      </c>
      <c r="T129" s="77">
        <f t="shared" si="49"/>
        <v>0</v>
      </c>
      <c r="U129" s="77">
        <f t="shared" si="50"/>
        <v>1.4000000000000002E-3</v>
      </c>
      <c r="V129" s="79">
        <f t="shared" si="51"/>
        <v>7.0000000000000062E-3</v>
      </c>
      <c r="X129" s="113"/>
    </row>
    <row r="130" spans="1:24">
      <c r="A130" s="142">
        <v>113</v>
      </c>
      <c r="B130" s="131" t="s">
        <v>144</v>
      </c>
      <c r="C130" s="132" t="s">
        <v>80</v>
      </c>
      <c r="D130" s="2">
        <f>324935.28*1598.07</f>
        <v>519269322.90960002</v>
      </c>
      <c r="E130" s="3">
        <f t="shared" si="45"/>
        <v>3.2248463217792188E-4</v>
      </c>
      <c r="F130" s="4">
        <f>1.07*1598.07</f>
        <v>1709.9349</v>
      </c>
      <c r="G130" s="4">
        <f>1.07*1598.07</f>
        <v>1709.9349</v>
      </c>
      <c r="H130" s="58">
        <v>3</v>
      </c>
      <c r="I130" s="5">
        <v>1.3762E-2</v>
      </c>
      <c r="J130" s="5">
        <v>3.3665E-2</v>
      </c>
      <c r="K130" s="2">
        <f>327497.09*1602.85</f>
        <v>524928710.70649999</v>
      </c>
      <c r="L130" s="3">
        <f t="shared" si="46"/>
        <v>3.2409314010465332E-4</v>
      </c>
      <c r="M130" s="4">
        <f>1.08*1602.85</f>
        <v>1731.078</v>
      </c>
      <c r="N130" s="4">
        <f>1.08*1602.85</f>
        <v>1731.078</v>
      </c>
      <c r="O130" s="58">
        <v>3</v>
      </c>
      <c r="P130" s="5">
        <v>7.8840000000000004E-3</v>
      </c>
      <c r="Q130" s="5">
        <v>4.1814999999999998E-2</v>
      </c>
      <c r="R130" s="77">
        <f t="shared" si="47"/>
        <v>1.0898752433879522E-2</v>
      </c>
      <c r="S130" s="77">
        <f t="shared" si="48"/>
        <v>1.2364856697176017E-2</v>
      </c>
      <c r="T130" s="77">
        <f t="shared" si="49"/>
        <v>0</v>
      </c>
      <c r="U130" s="77">
        <f t="shared" si="50"/>
        <v>-5.8779999999999995E-3</v>
      </c>
      <c r="V130" s="79">
        <f t="shared" si="51"/>
        <v>8.1499999999999975E-3</v>
      </c>
    </row>
    <row r="131" spans="1:24">
      <c r="A131" s="143">
        <v>114</v>
      </c>
      <c r="B131" s="131" t="s">
        <v>145</v>
      </c>
      <c r="C131" s="132" t="s">
        <v>42</v>
      </c>
      <c r="D131" s="2">
        <v>931973190539.79004</v>
      </c>
      <c r="E131" s="3">
        <f t="shared" si="45"/>
        <v>0.57878834410410751</v>
      </c>
      <c r="F131" s="4">
        <v>2452.88</v>
      </c>
      <c r="G131" s="4">
        <v>2452.88</v>
      </c>
      <c r="H131" s="58">
        <v>8151</v>
      </c>
      <c r="I131" s="5">
        <v>1.4E-3</v>
      </c>
      <c r="J131" s="5">
        <v>4.7899999999999998E-2</v>
      </c>
      <c r="K131" s="2">
        <v>931973190539.79004</v>
      </c>
      <c r="L131" s="3">
        <f t="shared" si="46"/>
        <v>0.57540407231463864</v>
      </c>
      <c r="M131" s="4">
        <v>2463.9</v>
      </c>
      <c r="N131" s="4">
        <v>2463.9</v>
      </c>
      <c r="O131" s="58">
        <v>8205</v>
      </c>
      <c r="P131" s="5">
        <v>1.5E-3</v>
      </c>
      <c r="Q131" s="5">
        <v>4.9500000000000002E-2</v>
      </c>
      <c r="R131" s="77">
        <f t="shared" si="47"/>
        <v>0</v>
      </c>
      <c r="S131" s="77">
        <f t="shared" si="48"/>
        <v>4.492677994846866E-3</v>
      </c>
      <c r="T131" s="77">
        <f t="shared" si="49"/>
        <v>6.6249539933750457E-3</v>
      </c>
      <c r="U131" s="77">
        <f t="shared" si="50"/>
        <v>1.0000000000000005E-4</v>
      </c>
      <c r="V131" s="79">
        <f t="shared" si="51"/>
        <v>1.6000000000000042E-3</v>
      </c>
    </row>
    <row r="132" spans="1:24" ht="16.5" customHeight="1">
      <c r="A132" s="140">
        <v>115</v>
      </c>
      <c r="B132" s="131" t="s">
        <v>146</v>
      </c>
      <c r="C132" s="132" t="s">
        <v>45</v>
      </c>
      <c r="D132" s="2">
        <f>62493440.91*1570.14</f>
        <v>98123451310.427399</v>
      </c>
      <c r="E132" s="3">
        <f t="shared" si="45"/>
        <v>6.0938136931651961E-2</v>
      </c>
      <c r="F132" s="4">
        <f>1.1297*1570.14</f>
        <v>1773.7871580000001</v>
      </c>
      <c r="G132" s="4">
        <f>1.1297*1570.14</f>
        <v>1773.7871580000001</v>
      </c>
      <c r="H132" s="58">
        <v>371</v>
      </c>
      <c r="I132" s="5">
        <v>0.1019</v>
      </c>
      <c r="J132" s="5">
        <v>8.6900000000000005E-2</v>
      </c>
      <c r="K132" s="2">
        <f>61749342.34*1598.56</f>
        <v>98710028691.030396</v>
      </c>
      <c r="L132" s="3">
        <f t="shared" si="46"/>
        <v>6.0943976783513223E-2</v>
      </c>
      <c r="M132" s="4">
        <f>1.1318*1598.56</f>
        <v>1809.2502079999997</v>
      </c>
      <c r="N132" s="4">
        <f>1.1318*1598.56</f>
        <v>1809.2502079999997</v>
      </c>
      <c r="O132" s="58">
        <v>374</v>
      </c>
      <c r="P132" s="5">
        <v>0.1017</v>
      </c>
      <c r="Q132" s="5">
        <v>8.7300000000000003E-2</v>
      </c>
      <c r="R132" s="77">
        <f t="shared" si="47"/>
        <v>5.9779530048049007E-3</v>
      </c>
      <c r="S132" s="77">
        <f t="shared" si="48"/>
        <v>1.9992844034334593E-2</v>
      </c>
      <c r="T132" s="77">
        <f t="shared" si="49"/>
        <v>8.0862533692722376E-3</v>
      </c>
      <c r="U132" s="77">
        <f t="shared" si="50"/>
        <v>-2.0000000000000573E-4</v>
      </c>
      <c r="V132" s="79">
        <f t="shared" si="51"/>
        <v>3.9999999999999758E-4</v>
      </c>
    </row>
    <row r="133" spans="1:24" ht="16.5" customHeight="1">
      <c r="A133" s="140">
        <v>116</v>
      </c>
      <c r="B133" s="131" t="s">
        <v>279</v>
      </c>
      <c r="C133" s="132" t="s">
        <v>277</v>
      </c>
      <c r="D133" s="4">
        <v>101408670.79947323</v>
      </c>
      <c r="E133" s="3">
        <v>0</v>
      </c>
      <c r="F133" s="4">
        <v>161261.24369999999</v>
      </c>
      <c r="G133" s="4">
        <v>161261.24369999999</v>
      </c>
      <c r="H133" s="58">
        <v>5</v>
      </c>
      <c r="I133" s="5">
        <v>5.9999999999999995E-4</v>
      </c>
      <c r="J133" s="5">
        <v>2.8000000000000001E-2</v>
      </c>
      <c r="K133" s="4">
        <v>101760870.34312341</v>
      </c>
      <c r="L133" s="3">
        <f t="shared" si="46"/>
        <v>6.2827578939048069E-5</v>
      </c>
      <c r="M133" s="4">
        <v>161823.73599999998</v>
      </c>
      <c r="N133" s="4">
        <v>161823.73599999998</v>
      </c>
      <c r="O133" s="58">
        <v>5</v>
      </c>
      <c r="P133" s="5">
        <v>5.0000000000000001E-4</v>
      </c>
      <c r="Q133" s="5">
        <v>2.7900000000000001E-2</v>
      </c>
      <c r="R133" s="77">
        <f>((K133-D133)/D133)</f>
        <v>3.4730712953197451E-3</v>
      </c>
      <c r="S133" s="77">
        <f>((N133-G133)/G133)</f>
        <v>3.4880811228667433E-3</v>
      </c>
      <c r="T133" s="77">
        <f>((O133-H133)/H133)</f>
        <v>0</v>
      </c>
      <c r="U133" s="77">
        <f>P133-I133</f>
        <v>-9.9999999999999937E-5</v>
      </c>
      <c r="V133" s="79">
        <f>Q133-J133</f>
        <v>-9.9999999999999395E-5</v>
      </c>
    </row>
    <row r="134" spans="1:24">
      <c r="A134" s="140">
        <v>117</v>
      </c>
      <c r="B134" s="131" t="s">
        <v>261</v>
      </c>
      <c r="C134" s="132" t="s">
        <v>259</v>
      </c>
      <c r="D134" s="4">
        <f>1045004.32*1565.429</f>
        <v>1635880067.65328</v>
      </c>
      <c r="E134" s="3">
        <f>(D134/$D$135)</f>
        <v>1.0159394337959048E-3</v>
      </c>
      <c r="F134" s="4">
        <f>1.18*1565.429</f>
        <v>1847.20622</v>
      </c>
      <c r="G134" s="4">
        <f>1.18*1565.429</f>
        <v>1847.20622</v>
      </c>
      <c r="H134" s="58">
        <v>50</v>
      </c>
      <c r="I134" s="5">
        <v>1.176E-3</v>
      </c>
      <c r="J134" s="5">
        <v>7.1016999999999997E-2</v>
      </c>
      <c r="K134" s="4">
        <f>911082.09*1598.642</f>
        <v>1456494094.52178</v>
      </c>
      <c r="L134" s="3">
        <f t="shared" si="46"/>
        <v>8.9924543087409065E-4</v>
      </c>
      <c r="M134" s="4">
        <f>1.2034*1598.642</f>
        <v>1923.8057828000001</v>
      </c>
      <c r="N134" s="4">
        <f>1.2034*1598.642</f>
        <v>1923.8057828000001</v>
      </c>
      <c r="O134" s="58">
        <v>51</v>
      </c>
      <c r="P134" s="5">
        <v>1.9314999999999999E-2</v>
      </c>
      <c r="Q134" s="5">
        <v>9.1703000000000007E-2</v>
      </c>
      <c r="R134" s="77">
        <f t="shared" si="47"/>
        <v>-0.10965716660930692</v>
      </c>
      <c r="S134" s="77">
        <f t="shared" si="48"/>
        <v>4.146779172278884E-2</v>
      </c>
      <c r="T134" s="77">
        <f t="shared" si="49"/>
        <v>0.02</v>
      </c>
      <c r="U134" s="77">
        <f t="shared" si="50"/>
        <v>1.8138999999999999E-2</v>
      </c>
      <c r="V134" s="79">
        <f t="shared" si="51"/>
        <v>2.068600000000001E-2</v>
      </c>
    </row>
    <row r="135" spans="1:24">
      <c r="A135" s="71"/>
      <c r="B135" s="129"/>
      <c r="C135" s="64" t="s">
        <v>46</v>
      </c>
      <c r="D135" s="57">
        <f>SUM(D105:D134)</f>
        <v>1610214165564.0437</v>
      </c>
      <c r="E135" s="96">
        <f>(D135/$D$204)</f>
        <v>0.48498155830040712</v>
      </c>
      <c r="F135" s="30"/>
      <c r="G135" s="11"/>
      <c r="H135" s="63">
        <f>SUM(H105:H134)</f>
        <v>19379</v>
      </c>
      <c r="I135" s="33"/>
      <c r="J135" s="33"/>
      <c r="K135" s="57">
        <f>SUM(K105:K134)</f>
        <v>1619684731793.4424</v>
      </c>
      <c r="L135" s="96">
        <f>(K135/$K$204)</f>
        <v>0.48405522296674791</v>
      </c>
      <c r="M135" s="30"/>
      <c r="N135" s="11"/>
      <c r="O135" s="63">
        <f>SUM(O105:O134)</f>
        <v>19482</v>
      </c>
      <c r="P135" s="33"/>
      <c r="Q135" s="33"/>
      <c r="R135" s="77">
        <f t="shared" si="47"/>
        <v>5.8815568959308135E-3</v>
      </c>
      <c r="S135" s="77" t="e">
        <f t="shared" si="48"/>
        <v>#DIV/0!</v>
      </c>
      <c r="T135" s="77">
        <f t="shared" si="49"/>
        <v>5.3150317353836624E-3</v>
      </c>
      <c r="U135" s="77">
        <f t="shared" si="50"/>
        <v>0</v>
      </c>
      <c r="V135" s="79">
        <f t="shared" si="51"/>
        <v>0</v>
      </c>
    </row>
    <row r="136" spans="1:24" ht="8.25" customHeight="1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</row>
    <row r="137" spans="1:24" ht="15.75">
      <c r="A137" s="155" t="s">
        <v>147</v>
      </c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</row>
    <row r="138" spans="1:24">
      <c r="A138" s="140">
        <v>118</v>
      </c>
      <c r="B138" s="131" t="s">
        <v>243</v>
      </c>
      <c r="C138" s="132" t="s">
        <v>244</v>
      </c>
      <c r="D138" s="2">
        <v>2385121583.9000001</v>
      </c>
      <c r="E138" s="3">
        <f>(D138/$D$143)</f>
        <v>2.4406365282469721E-2</v>
      </c>
      <c r="F138" s="14">
        <v>112.4</v>
      </c>
      <c r="G138" s="14">
        <v>112.4</v>
      </c>
      <c r="H138" s="58">
        <v>7</v>
      </c>
      <c r="I138" s="5">
        <v>2.684940071041364E-3</v>
      </c>
      <c r="J138" s="5">
        <v>9.9599999999999994E-2</v>
      </c>
      <c r="K138" s="2">
        <v>2391503627.0886087</v>
      </c>
      <c r="L138" s="3">
        <f>(K138/$K$143)</f>
        <v>2.4649162266249372E-2</v>
      </c>
      <c r="M138" s="14">
        <v>112.7</v>
      </c>
      <c r="N138" s="14">
        <v>112.7</v>
      </c>
      <c r="O138" s="58">
        <v>7</v>
      </c>
      <c r="P138" s="5">
        <v>2.684940071041364E-3</v>
      </c>
      <c r="Q138" s="5">
        <v>0.1026</v>
      </c>
      <c r="R138" s="77">
        <f t="shared" ref="R138:R143" si="52">((K138-D138)/D138)</f>
        <v>2.6757726866791978E-3</v>
      </c>
      <c r="S138" s="77">
        <f t="shared" ref="S138:T143" si="53">((N138-G138)/G138)</f>
        <v>2.6690391459074478E-3</v>
      </c>
      <c r="T138" s="77">
        <f t="shared" si="53"/>
        <v>0</v>
      </c>
      <c r="U138" s="77">
        <f t="shared" ref="U138:V143" si="54">P138-I138</f>
        <v>0</v>
      </c>
      <c r="V138" s="79">
        <f t="shared" si="54"/>
        <v>3.0000000000000027E-3</v>
      </c>
    </row>
    <row r="139" spans="1:24">
      <c r="A139" s="143">
        <v>119</v>
      </c>
      <c r="B139" s="131" t="s">
        <v>148</v>
      </c>
      <c r="C139" s="132" t="s">
        <v>40</v>
      </c>
      <c r="D139" s="2">
        <v>53749983529</v>
      </c>
      <c r="E139" s="3">
        <f>(D139/$D$143)</f>
        <v>0.55001042328016847</v>
      </c>
      <c r="F139" s="14">
        <v>102.5</v>
      </c>
      <c r="G139" s="14">
        <v>102.5</v>
      </c>
      <c r="H139" s="58">
        <v>666</v>
      </c>
      <c r="I139" s="5">
        <v>0</v>
      </c>
      <c r="J139" s="5">
        <v>7.6999999999999999E-2</v>
      </c>
      <c r="K139" s="2">
        <v>53749983529</v>
      </c>
      <c r="L139" s="3">
        <f>(K139/$K$143)</f>
        <v>0.55399960543963789</v>
      </c>
      <c r="M139" s="14">
        <v>102.5</v>
      </c>
      <c r="N139" s="14">
        <v>102.5</v>
      </c>
      <c r="O139" s="58">
        <v>666</v>
      </c>
      <c r="P139" s="5">
        <v>0</v>
      </c>
      <c r="Q139" s="5">
        <v>7.6999999999999999E-2</v>
      </c>
      <c r="R139" s="77">
        <f t="shared" si="52"/>
        <v>0</v>
      </c>
      <c r="S139" s="77">
        <f t="shared" si="53"/>
        <v>0</v>
      </c>
      <c r="T139" s="77">
        <f t="shared" si="53"/>
        <v>0</v>
      </c>
      <c r="U139" s="77">
        <f t="shared" si="54"/>
        <v>0</v>
      </c>
      <c r="V139" s="79">
        <f t="shared" si="54"/>
        <v>0</v>
      </c>
    </row>
    <row r="140" spans="1:24" ht="15.75" customHeight="1">
      <c r="A140" s="140">
        <v>120</v>
      </c>
      <c r="B140" s="131" t="s">
        <v>149</v>
      </c>
      <c r="C140" s="132" t="s">
        <v>120</v>
      </c>
      <c r="D140" s="2">
        <v>2474182292.513073</v>
      </c>
      <c r="E140" s="3">
        <f>(D140/$D$143)</f>
        <v>2.5317701711354005E-2</v>
      </c>
      <c r="F140" s="14">
        <v>122.65</v>
      </c>
      <c r="G140" s="14">
        <v>122.65</v>
      </c>
      <c r="H140" s="58">
        <v>2835</v>
      </c>
      <c r="I140" s="5">
        <v>6.8916570104284938E-2</v>
      </c>
      <c r="J140" s="5">
        <v>8.1266223847672125E-2</v>
      </c>
      <c r="K140" s="2">
        <v>2481005609.1422834</v>
      </c>
      <c r="L140" s="3">
        <f>(K140/$K$143)</f>
        <v>2.5571656739518354E-2</v>
      </c>
      <c r="M140" s="14">
        <v>134.9</v>
      </c>
      <c r="N140" s="14">
        <v>134.9</v>
      </c>
      <c r="O140" s="58">
        <v>2835</v>
      </c>
      <c r="P140" s="5">
        <v>0.18007380073800919</v>
      </c>
      <c r="Q140" s="5">
        <v>7.4681350033749427E-2</v>
      </c>
      <c r="R140" s="77">
        <f t="shared" si="52"/>
        <v>2.7578067508841082E-3</v>
      </c>
      <c r="S140" s="77">
        <f t="shared" si="53"/>
        <v>9.9877700774561762E-2</v>
      </c>
      <c r="T140" s="77">
        <f t="shared" si="53"/>
        <v>0</v>
      </c>
      <c r="U140" s="77">
        <f t="shared" si="54"/>
        <v>0.11115723063372425</v>
      </c>
      <c r="V140" s="79">
        <f t="shared" si="54"/>
        <v>-6.5848738139226981E-3</v>
      </c>
    </row>
    <row r="141" spans="1:24">
      <c r="A141" s="143">
        <v>121</v>
      </c>
      <c r="B141" s="131" t="s">
        <v>150</v>
      </c>
      <c r="C141" s="132" t="s">
        <v>120</v>
      </c>
      <c r="D141" s="2">
        <v>10113533675.360001</v>
      </c>
      <c r="E141" s="3">
        <f>(D141/$D$143)</f>
        <v>0.10348931427377651</v>
      </c>
      <c r="F141" s="14">
        <v>36.6</v>
      </c>
      <c r="G141" s="14">
        <v>36.6</v>
      </c>
      <c r="H141" s="58">
        <v>5261</v>
      </c>
      <c r="I141" s="5">
        <v>8.281792125508787E-2</v>
      </c>
      <c r="J141" s="5">
        <v>0.19550722831505482</v>
      </c>
      <c r="K141" s="2">
        <v>10120909350.26</v>
      </c>
      <c r="L141" s="3">
        <f>(K141/$K$143)</f>
        <v>0.10431593497529575</v>
      </c>
      <c r="M141" s="14">
        <v>36.6</v>
      </c>
      <c r="N141" s="14">
        <v>36.6</v>
      </c>
      <c r="O141" s="58">
        <v>5261</v>
      </c>
      <c r="P141" s="5">
        <v>3.6749755252653782E-2</v>
      </c>
      <c r="Q141" s="5">
        <v>0.19290123456790123</v>
      </c>
      <c r="R141" s="77">
        <f t="shared" si="52"/>
        <v>7.2928761961501794E-4</v>
      </c>
      <c r="S141" s="77">
        <f t="shared" si="53"/>
        <v>0</v>
      </c>
      <c r="T141" s="77">
        <f t="shared" si="53"/>
        <v>0</v>
      </c>
      <c r="U141" s="77">
        <f t="shared" si="54"/>
        <v>-4.6068166002434088E-2</v>
      </c>
      <c r="V141" s="79">
        <f t="shared" si="54"/>
        <v>-2.6059937471535899E-3</v>
      </c>
    </row>
    <row r="142" spans="1:24">
      <c r="A142" s="143">
        <v>122</v>
      </c>
      <c r="B142" s="131" t="s">
        <v>151</v>
      </c>
      <c r="C142" s="132" t="s">
        <v>42</v>
      </c>
      <c r="D142" s="2">
        <v>29002569664.450001</v>
      </c>
      <c r="E142" s="3">
        <f>(D142/$D$143)</f>
        <v>0.29677619545223133</v>
      </c>
      <c r="F142" s="14">
        <v>4.5999999999999996</v>
      </c>
      <c r="G142" s="14">
        <v>4.5999999999999996</v>
      </c>
      <c r="H142" s="58">
        <v>208263</v>
      </c>
      <c r="I142" s="5">
        <v>-7.0699999999999999E-2</v>
      </c>
      <c r="J142" s="5">
        <v>-0.28129999999999999</v>
      </c>
      <c r="K142" s="2">
        <v>28278297902.41</v>
      </c>
      <c r="L142" s="3">
        <f>(K142/$K$143)</f>
        <v>0.29146364057929863</v>
      </c>
      <c r="M142" s="14">
        <v>4.7</v>
      </c>
      <c r="N142" s="14">
        <v>4.7</v>
      </c>
      <c r="O142" s="58">
        <v>208263</v>
      </c>
      <c r="P142" s="5">
        <v>2.1700000000000001E-2</v>
      </c>
      <c r="Q142" s="5">
        <v>-0.2656</v>
      </c>
      <c r="R142" s="77">
        <f t="shared" si="52"/>
        <v>-2.4972675539429168E-2</v>
      </c>
      <c r="S142" s="77">
        <f t="shared" si="53"/>
        <v>2.1739130434782726E-2</v>
      </c>
      <c r="T142" s="77">
        <f t="shared" si="53"/>
        <v>0</v>
      </c>
      <c r="U142" s="77">
        <f t="shared" si="54"/>
        <v>9.2399999999999996E-2</v>
      </c>
      <c r="V142" s="79">
        <f t="shared" si="54"/>
        <v>1.5699999999999992E-2</v>
      </c>
    </row>
    <row r="143" spans="1:24">
      <c r="A143" s="115"/>
      <c r="B143" s="130"/>
      <c r="C143" s="68" t="s">
        <v>46</v>
      </c>
      <c r="D143" s="56">
        <f>SUM(D138:D142)</f>
        <v>97725390745.223068</v>
      </c>
      <c r="E143" s="96">
        <f>(D143/$D$204)</f>
        <v>2.9433980462178096E-2</v>
      </c>
      <c r="F143" s="30"/>
      <c r="G143" s="34"/>
      <c r="H143" s="63">
        <f>SUM(H138:H142)</f>
        <v>217032</v>
      </c>
      <c r="I143" s="35"/>
      <c r="J143" s="35"/>
      <c r="K143" s="56">
        <f>SUM(K138:K142)</f>
        <v>97021700017.900894</v>
      </c>
      <c r="L143" s="96">
        <f>(K143/$K$204)</f>
        <v>2.8995680278331614E-2</v>
      </c>
      <c r="M143" s="30"/>
      <c r="N143" s="34"/>
      <c r="O143" s="63">
        <f>SUM(O138:O142)</f>
        <v>217032</v>
      </c>
      <c r="P143" s="35"/>
      <c r="Q143" s="35"/>
      <c r="R143" s="77">
        <f t="shared" si="52"/>
        <v>-7.2006949468920011E-3</v>
      </c>
      <c r="S143" s="77" t="e">
        <f t="shared" si="53"/>
        <v>#DIV/0!</v>
      </c>
      <c r="T143" s="77">
        <f t="shared" si="53"/>
        <v>0</v>
      </c>
      <c r="U143" s="77">
        <f t="shared" si="54"/>
        <v>0</v>
      </c>
      <c r="V143" s="79">
        <f t="shared" si="54"/>
        <v>0</v>
      </c>
    </row>
    <row r="144" spans="1:24" ht="7.5" customHeight="1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</row>
    <row r="145" spans="1:24" ht="15" customHeight="1">
      <c r="A145" s="155" t="s">
        <v>152</v>
      </c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</row>
    <row r="146" spans="1:24">
      <c r="A146" s="140">
        <v>123</v>
      </c>
      <c r="B146" s="131" t="s">
        <v>153</v>
      </c>
      <c r="C146" s="132" t="s">
        <v>50</v>
      </c>
      <c r="D146" s="4">
        <v>241205975.84</v>
      </c>
      <c r="E146" s="3">
        <f t="shared" ref="E146:E173" si="55">(D146/$D$174)</f>
        <v>4.8508992874426319E-3</v>
      </c>
      <c r="F146" s="4">
        <v>5.4</v>
      </c>
      <c r="G146" s="4">
        <v>5.47</v>
      </c>
      <c r="H146" s="60">
        <v>11835</v>
      </c>
      <c r="I146" s="6">
        <v>-7.5950000000000002E-3</v>
      </c>
      <c r="J146" s="6">
        <v>7.2644E-2</v>
      </c>
      <c r="K146" s="4">
        <v>242459474.22999999</v>
      </c>
      <c r="L146" s="16">
        <f t="shared" ref="L146:L173" si="56">(K146/$K$174)</f>
        <v>4.7972054393056887E-3</v>
      </c>
      <c r="M146" s="4">
        <v>5.42</v>
      </c>
      <c r="N146" s="4">
        <v>5.5</v>
      </c>
      <c r="O146" s="60">
        <v>11835</v>
      </c>
      <c r="P146" s="6">
        <v>-0.16591600000000001</v>
      </c>
      <c r="Q146" s="6">
        <v>4.5564E-2</v>
      </c>
      <c r="R146" s="77">
        <f>((K146-D146)/D146)</f>
        <v>5.1967965786696478E-3</v>
      </c>
      <c r="S146" s="77">
        <f>((N146-G146)/G146)</f>
        <v>5.4844606946984004E-3</v>
      </c>
      <c r="T146" s="77">
        <f>((O146-H146)/H146)</f>
        <v>0</v>
      </c>
      <c r="U146" s="77">
        <f>P146-I146</f>
        <v>-0.15832100000000002</v>
      </c>
      <c r="V146" s="79">
        <f>Q146-J146</f>
        <v>-2.708E-2</v>
      </c>
    </row>
    <row r="147" spans="1:24">
      <c r="A147" s="142">
        <v>124</v>
      </c>
      <c r="B147" s="131" t="s">
        <v>253</v>
      </c>
      <c r="C147" s="131" t="s">
        <v>252</v>
      </c>
      <c r="D147" s="4">
        <v>619139611.10331535</v>
      </c>
      <c r="E147" s="3">
        <f t="shared" si="55"/>
        <v>1.2451531882115665E-2</v>
      </c>
      <c r="F147" s="4">
        <v>1182.0556631589845</v>
      </c>
      <c r="G147" s="4">
        <v>1193.0772572343033</v>
      </c>
      <c r="H147" s="60">
        <v>168</v>
      </c>
      <c r="I147" s="6">
        <v>4.2069272560064941E-4</v>
      </c>
      <c r="J147" s="6">
        <v>5.5058482706162662E-2</v>
      </c>
      <c r="K147" s="4">
        <v>616743096.25542212</v>
      </c>
      <c r="L147" s="16">
        <f t="shared" si="56"/>
        <v>1.2202630338149369E-2</v>
      </c>
      <c r="M147" s="4">
        <v>1176.4265634499702</v>
      </c>
      <c r="N147" s="4">
        <v>1187.3025926690786</v>
      </c>
      <c r="O147" s="60">
        <v>169</v>
      </c>
      <c r="P147" s="6">
        <v>-4.8095015078470768E-3</v>
      </c>
      <c r="Q147" s="6">
        <v>4.9984177342720523E-2</v>
      </c>
      <c r="R147" s="77">
        <f>((K147-D147)/D147)</f>
        <v>-3.8707180172540012E-3</v>
      </c>
      <c r="S147" s="77">
        <f>((N147-G147)/G147)</f>
        <v>-4.8401430252815137E-3</v>
      </c>
      <c r="T147" s="77">
        <f>((O147-H147)/H147)</f>
        <v>5.9523809523809521E-3</v>
      </c>
      <c r="U147" s="77">
        <f>P147-I147</f>
        <v>-5.2301942334477261E-3</v>
      </c>
      <c r="V147" s="79">
        <f>Q147-J147</f>
        <v>-5.0743053634421387E-3</v>
      </c>
    </row>
    <row r="148" spans="1:24">
      <c r="A148" s="142">
        <v>125</v>
      </c>
      <c r="B148" s="131" t="s">
        <v>154</v>
      </c>
      <c r="C148" s="132" t="s">
        <v>21</v>
      </c>
      <c r="D148" s="4">
        <v>6351189895.2200003</v>
      </c>
      <c r="E148" s="3">
        <f t="shared" si="55"/>
        <v>0.12772893552841399</v>
      </c>
      <c r="F148" s="4">
        <v>736.69860000000006</v>
      </c>
      <c r="G148" s="4">
        <v>758.91060000000004</v>
      </c>
      <c r="H148" s="60">
        <v>21315</v>
      </c>
      <c r="I148" s="6">
        <v>-0.30980000000000002</v>
      </c>
      <c r="J148" s="6">
        <v>0.17380000000000001</v>
      </c>
      <c r="K148" s="4">
        <v>6379120192.4700003</v>
      </c>
      <c r="L148" s="16">
        <f t="shared" si="56"/>
        <v>0.12621470116804945</v>
      </c>
      <c r="M148" s="4">
        <v>740.8193</v>
      </c>
      <c r="N148" s="4">
        <v>763.15560000000005</v>
      </c>
      <c r="O148" s="60">
        <v>21319</v>
      </c>
      <c r="P148" s="6">
        <v>0.29249999999999998</v>
      </c>
      <c r="Q148" s="6">
        <v>0.17810000000000001</v>
      </c>
      <c r="R148" s="77">
        <f t="shared" ref="R148:R174" si="57">((K148-D148)/D148)</f>
        <v>4.3976479542866065E-3</v>
      </c>
      <c r="S148" s="77">
        <f t="shared" ref="S148:S174" si="58">((N148-G148)/G148)</f>
        <v>5.5935442198330135E-3</v>
      </c>
      <c r="T148" s="77">
        <f t="shared" ref="T148:T174" si="59">((O148-H148)/H148)</f>
        <v>1.8766127140511376E-4</v>
      </c>
      <c r="U148" s="77">
        <f t="shared" ref="U148:U174" si="60">P148-I148</f>
        <v>0.60230000000000006</v>
      </c>
      <c r="V148" s="79">
        <f t="shared" ref="V148:V174" si="61">Q148-J148</f>
        <v>4.2999999999999983E-3</v>
      </c>
    </row>
    <row r="149" spans="1:24">
      <c r="A149" s="142">
        <v>126</v>
      </c>
      <c r="B149" s="131" t="s">
        <v>155</v>
      </c>
      <c r="C149" s="132" t="s">
        <v>91</v>
      </c>
      <c r="D149" s="4">
        <v>3639886107.7600002</v>
      </c>
      <c r="E149" s="3">
        <f t="shared" si="55"/>
        <v>7.3201838656839976E-2</v>
      </c>
      <c r="F149" s="4">
        <v>20.496600000000001</v>
      </c>
      <c r="G149" s="4">
        <v>20.736499999999999</v>
      </c>
      <c r="H149" s="58">
        <v>6221</v>
      </c>
      <c r="I149" s="5">
        <v>-5.5999999999999999E-3</v>
      </c>
      <c r="J149" s="5">
        <v>0.1113</v>
      </c>
      <c r="K149" s="4">
        <v>3651754003.6700001</v>
      </c>
      <c r="L149" s="16">
        <f t="shared" si="56"/>
        <v>7.2252132959729432E-2</v>
      </c>
      <c r="M149" s="4">
        <v>20.658999999999999</v>
      </c>
      <c r="N149" s="4">
        <v>20.901700000000002</v>
      </c>
      <c r="O149" s="58">
        <v>6217</v>
      </c>
      <c r="P149" s="5">
        <v>9.7000000000000003E-3</v>
      </c>
      <c r="Q149" s="5">
        <v>0.1201</v>
      </c>
      <c r="R149" s="77">
        <f t="shared" si="57"/>
        <v>3.2605129827271975E-3</v>
      </c>
      <c r="S149" s="77">
        <f t="shared" si="58"/>
        <v>7.9666288910858751E-3</v>
      </c>
      <c r="T149" s="77">
        <f t="shared" si="59"/>
        <v>-6.4298344317633826E-4</v>
      </c>
      <c r="U149" s="77">
        <f t="shared" si="60"/>
        <v>1.5300000000000001E-2</v>
      </c>
      <c r="V149" s="79">
        <f t="shared" si="61"/>
        <v>8.8000000000000023E-3</v>
      </c>
    </row>
    <row r="150" spans="1:24">
      <c r="A150" s="142">
        <v>127</v>
      </c>
      <c r="B150" s="131" t="s">
        <v>156</v>
      </c>
      <c r="C150" s="132" t="s">
        <v>101</v>
      </c>
      <c r="D150" s="2">
        <v>1659465822.9191074</v>
      </c>
      <c r="E150" s="3">
        <f t="shared" si="55"/>
        <v>3.337355780635165E-2</v>
      </c>
      <c r="F150" s="4">
        <v>3.9047000000000001</v>
      </c>
      <c r="G150" s="4">
        <v>4.0030000000000001</v>
      </c>
      <c r="H150" s="58">
        <v>2748</v>
      </c>
      <c r="I150" s="5">
        <v>0.26250000000000001</v>
      </c>
      <c r="J150" s="5">
        <v>0.40029999999999999</v>
      </c>
      <c r="K150" s="2">
        <v>1768084871.1616058</v>
      </c>
      <c r="L150" s="16">
        <f t="shared" si="56"/>
        <v>3.4982614674172526E-2</v>
      </c>
      <c r="M150" s="4">
        <v>4.1580000000000004</v>
      </c>
      <c r="N150" s="4">
        <v>4.2672999999999996</v>
      </c>
      <c r="O150" s="58">
        <v>2748</v>
      </c>
      <c r="P150" s="5">
        <v>3.4521999999999999</v>
      </c>
      <c r="Q150" s="5">
        <v>0.51380000000000003</v>
      </c>
      <c r="R150" s="77">
        <f t="shared" si="57"/>
        <v>6.5454224330712935E-2</v>
      </c>
      <c r="S150" s="77">
        <f t="shared" si="58"/>
        <v>6.6025480889332883E-2</v>
      </c>
      <c r="T150" s="77">
        <f t="shared" si="59"/>
        <v>0</v>
      </c>
      <c r="U150" s="77">
        <f t="shared" si="60"/>
        <v>3.1896999999999998</v>
      </c>
      <c r="V150" s="79">
        <f t="shared" si="61"/>
        <v>0.11350000000000005</v>
      </c>
    </row>
    <row r="151" spans="1:24">
      <c r="A151" s="142">
        <v>128</v>
      </c>
      <c r="B151" s="131" t="s">
        <v>157</v>
      </c>
      <c r="C151" s="132" t="s">
        <v>56</v>
      </c>
      <c r="D151" s="4">
        <v>2990406591.0652499</v>
      </c>
      <c r="E151" s="3">
        <f t="shared" si="55"/>
        <v>6.014014019032677E-2</v>
      </c>
      <c r="F151" s="4">
        <v>6822.8661478041404</v>
      </c>
      <c r="G151" s="4">
        <v>6871.4303716362201</v>
      </c>
      <c r="H151" s="58">
        <v>870</v>
      </c>
      <c r="I151" s="5">
        <v>0.58429130486851533</v>
      </c>
      <c r="J151" s="5">
        <v>0.27744549761553727</v>
      </c>
      <c r="K151" s="4">
        <v>3106466811.16047</v>
      </c>
      <c r="L151" s="16">
        <f t="shared" si="56"/>
        <v>6.1463300334409887E-2</v>
      </c>
      <c r="M151" s="4">
        <v>7028.4699861039599</v>
      </c>
      <c r="N151" s="4">
        <v>7075.9363484917703</v>
      </c>
      <c r="O151" s="58">
        <v>874</v>
      </c>
      <c r="P151" s="5">
        <v>1.5756052240377556</v>
      </c>
      <c r="Q151" s="5">
        <v>0.32296089100983549</v>
      </c>
      <c r="R151" s="77">
        <f t="shared" si="57"/>
        <v>3.881084948180135E-2</v>
      </c>
      <c r="S151" s="77">
        <f t="shared" si="58"/>
        <v>2.9761776776449152E-2</v>
      </c>
      <c r="T151" s="77">
        <f t="shared" si="59"/>
        <v>4.5977011494252873E-3</v>
      </c>
      <c r="U151" s="77">
        <f t="shared" si="60"/>
        <v>0.99131391916924028</v>
      </c>
      <c r="V151" s="79">
        <f t="shared" si="61"/>
        <v>4.551539339429822E-2</v>
      </c>
    </row>
    <row r="152" spans="1:24">
      <c r="A152" s="140">
        <v>129</v>
      </c>
      <c r="B152" s="131" t="s">
        <v>158</v>
      </c>
      <c r="C152" s="132" t="s">
        <v>58</v>
      </c>
      <c r="D152" s="4">
        <v>715939085.52999997</v>
      </c>
      <c r="E152" s="3">
        <f t="shared" si="55"/>
        <v>1.4398268483006115E-2</v>
      </c>
      <c r="F152" s="4">
        <v>177.51</v>
      </c>
      <c r="G152" s="4">
        <v>178.7</v>
      </c>
      <c r="H152" s="58">
        <v>674</v>
      </c>
      <c r="I152" s="5">
        <v>5.4000000000000003E-3</v>
      </c>
      <c r="J152" s="5">
        <v>0.14910000000000001</v>
      </c>
      <c r="K152" s="4">
        <v>719115688.13999999</v>
      </c>
      <c r="L152" s="16">
        <f t="shared" si="56"/>
        <v>1.4228133182219107E-2</v>
      </c>
      <c r="M152" s="4">
        <v>177.96</v>
      </c>
      <c r="N152" s="4">
        <v>179.16</v>
      </c>
      <c r="O152" s="58">
        <v>674</v>
      </c>
      <c r="P152" s="5">
        <v>2.5999999999999999E-3</v>
      </c>
      <c r="Q152" s="5">
        <v>0.1517</v>
      </c>
      <c r="R152" s="77">
        <f t="shared" si="57"/>
        <v>4.4369733042978346E-3</v>
      </c>
      <c r="S152" s="77">
        <f t="shared" si="58"/>
        <v>2.5741466144376494E-3</v>
      </c>
      <c r="T152" s="77">
        <f t="shared" si="59"/>
        <v>0</v>
      </c>
      <c r="U152" s="77">
        <f t="shared" si="60"/>
        <v>-2.8000000000000004E-3</v>
      </c>
      <c r="V152" s="79">
        <f t="shared" si="61"/>
        <v>2.5999999999999912E-3</v>
      </c>
    </row>
    <row r="153" spans="1:24">
      <c r="A153" s="143">
        <v>130</v>
      </c>
      <c r="B153" s="131" t="s">
        <v>159</v>
      </c>
      <c r="C153" s="132" t="s">
        <v>60</v>
      </c>
      <c r="D153" s="4">
        <v>3734808.11</v>
      </c>
      <c r="E153" s="3">
        <f t="shared" si="55"/>
        <v>7.5110817368603225E-5</v>
      </c>
      <c r="F153" s="4">
        <v>102.747</v>
      </c>
      <c r="G153" s="4">
        <v>102.99</v>
      </c>
      <c r="H153" s="58">
        <v>0</v>
      </c>
      <c r="I153" s="5">
        <v>0</v>
      </c>
      <c r="J153" s="5">
        <v>0</v>
      </c>
      <c r="K153" s="4">
        <v>3734808.11</v>
      </c>
      <c r="L153" s="16">
        <f t="shared" si="56"/>
        <v>7.3895408034495091E-5</v>
      </c>
      <c r="M153" s="4">
        <v>102.747</v>
      </c>
      <c r="N153" s="4">
        <v>102.99</v>
      </c>
      <c r="O153" s="58">
        <v>0</v>
      </c>
      <c r="P153" s="5">
        <v>0</v>
      </c>
      <c r="Q153" s="5">
        <v>0</v>
      </c>
      <c r="R153" s="77">
        <f t="shared" si="57"/>
        <v>0</v>
      </c>
      <c r="S153" s="77">
        <f t="shared" si="58"/>
        <v>0</v>
      </c>
      <c r="T153" s="77" t="e">
        <f t="shared" si="59"/>
        <v>#DIV/0!</v>
      </c>
      <c r="U153" s="77">
        <f t="shared" si="60"/>
        <v>0</v>
      </c>
      <c r="V153" s="79">
        <f t="shared" si="61"/>
        <v>0</v>
      </c>
    </row>
    <row r="154" spans="1:24">
      <c r="A154" s="142">
        <v>131</v>
      </c>
      <c r="B154" s="131" t="s">
        <v>160</v>
      </c>
      <c r="C154" s="132" t="s">
        <v>105</v>
      </c>
      <c r="D154" s="4">
        <v>195850100.12</v>
      </c>
      <c r="E154" s="3">
        <f t="shared" si="55"/>
        <v>3.9387461600365803E-3</v>
      </c>
      <c r="F154" s="4">
        <v>1.4590000000000001</v>
      </c>
      <c r="G154" s="4">
        <v>1.478</v>
      </c>
      <c r="H154" s="58">
        <v>347</v>
      </c>
      <c r="I154" s="5">
        <v>-4.7070059349204607E-3</v>
      </c>
      <c r="J154" s="5">
        <v>-3.3472231709815725E-3</v>
      </c>
      <c r="K154" s="4">
        <v>197460358.78</v>
      </c>
      <c r="L154" s="16">
        <f t="shared" si="56"/>
        <v>3.9068710768880429E-3</v>
      </c>
      <c r="M154" s="4">
        <v>1.4696</v>
      </c>
      <c r="N154" s="4">
        <v>1.4814000000000001</v>
      </c>
      <c r="O154" s="58">
        <v>332</v>
      </c>
      <c r="P154" s="5">
        <v>7.2652501713501572E-3</v>
      </c>
      <c r="Q154" s="5">
        <v>3.893708586652167E-3</v>
      </c>
      <c r="R154" s="77">
        <f t="shared" si="57"/>
        <v>8.2218934736993706E-3</v>
      </c>
      <c r="S154" s="77">
        <f t="shared" si="58"/>
        <v>2.3004059539919281E-3</v>
      </c>
      <c r="T154" s="77">
        <f t="shared" si="59"/>
        <v>-4.3227665706051875E-2</v>
      </c>
      <c r="U154" s="77">
        <f t="shared" si="60"/>
        <v>1.1972256106270618E-2</v>
      </c>
      <c r="V154" s="79">
        <f t="shared" si="61"/>
        <v>7.2409317576337395E-3</v>
      </c>
    </row>
    <row r="155" spans="1:24">
      <c r="A155" s="142">
        <v>132</v>
      </c>
      <c r="B155" s="131" t="s">
        <v>161</v>
      </c>
      <c r="C155" s="132" t="s">
        <v>25</v>
      </c>
      <c r="D155" s="9">
        <v>129857880.69</v>
      </c>
      <c r="E155" s="3">
        <f t="shared" si="55"/>
        <v>2.611575018878402E-3</v>
      </c>
      <c r="F155" s="4">
        <v>147.2748</v>
      </c>
      <c r="G155" s="4">
        <v>147.86760000000001</v>
      </c>
      <c r="H155" s="58">
        <v>118</v>
      </c>
      <c r="I155" s="5">
        <v>-3.5569999999999998E-3</v>
      </c>
      <c r="J155" s="5">
        <v>0.16919999999999999</v>
      </c>
      <c r="K155" s="9">
        <v>132392865.36</v>
      </c>
      <c r="L155" s="16">
        <f t="shared" si="56"/>
        <v>2.6194718760619729E-3</v>
      </c>
      <c r="M155" s="4">
        <v>150.3638</v>
      </c>
      <c r="N155" s="4">
        <v>151.03890000000001</v>
      </c>
      <c r="O155" s="58">
        <v>121</v>
      </c>
      <c r="P155" s="5">
        <v>4.0930000000000003E-3</v>
      </c>
      <c r="Q155" s="5">
        <v>0.20080000000000001</v>
      </c>
      <c r="R155" s="77">
        <f t="shared" si="57"/>
        <v>1.9521223175138526E-2</v>
      </c>
      <c r="S155" s="77">
        <f t="shared" si="58"/>
        <v>2.1446888973649412E-2</v>
      </c>
      <c r="T155" s="77">
        <f t="shared" si="59"/>
        <v>2.5423728813559324E-2</v>
      </c>
      <c r="U155" s="77">
        <f t="shared" si="60"/>
        <v>7.6500000000000005E-3</v>
      </c>
      <c r="V155" s="79">
        <f t="shared" si="61"/>
        <v>3.1600000000000017E-2</v>
      </c>
    </row>
    <row r="156" spans="1:24">
      <c r="A156" s="140">
        <v>133</v>
      </c>
      <c r="B156" s="131" t="s">
        <v>162</v>
      </c>
      <c r="C156" s="132" t="s">
        <v>64</v>
      </c>
      <c r="D156" s="9">
        <v>213311846.62</v>
      </c>
      <c r="E156" s="3">
        <f t="shared" si="55"/>
        <v>4.2899197715500102E-3</v>
      </c>
      <c r="F156" s="4">
        <v>114.58</v>
      </c>
      <c r="G156" s="4">
        <v>115.22</v>
      </c>
      <c r="H156" s="58">
        <v>43</v>
      </c>
      <c r="I156" s="5">
        <v>-1.0500000000000001E-2</v>
      </c>
      <c r="J156" s="5">
        <v>0.14180000000000001</v>
      </c>
      <c r="K156" s="9">
        <v>213311846.62</v>
      </c>
      <c r="L156" s="16">
        <f t="shared" si="56"/>
        <v>4.2205022267065104E-3</v>
      </c>
      <c r="M156" s="4">
        <v>114.58</v>
      </c>
      <c r="N156" s="4">
        <v>115.22</v>
      </c>
      <c r="O156" s="58">
        <v>27</v>
      </c>
      <c r="P156" s="5">
        <v>3.5000000000000001E-3</v>
      </c>
      <c r="Q156" s="5">
        <v>0.14530000000000001</v>
      </c>
      <c r="R156" s="77">
        <f t="shared" si="57"/>
        <v>0</v>
      </c>
      <c r="S156" s="77">
        <f t="shared" si="58"/>
        <v>0</v>
      </c>
      <c r="T156" s="77">
        <f t="shared" si="59"/>
        <v>-0.37209302325581395</v>
      </c>
      <c r="U156" s="77">
        <f t="shared" si="60"/>
        <v>1.4E-2</v>
      </c>
      <c r="V156" s="79">
        <f t="shared" si="61"/>
        <v>3.5000000000000031E-3</v>
      </c>
    </row>
    <row r="157" spans="1:24" ht="15.75" customHeight="1">
      <c r="A157" s="142">
        <v>134</v>
      </c>
      <c r="B157" s="131" t="s">
        <v>163</v>
      </c>
      <c r="C157" s="132" t="s">
        <v>67</v>
      </c>
      <c r="D157" s="2">
        <v>345265960.52999997</v>
      </c>
      <c r="E157" s="3">
        <f t="shared" si="55"/>
        <v>6.9436521880542343E-3</v>
      </c>
      <c r="F157" s="4">
        <v>1.2423</v>
      </c>
      <c r="G157" s="4">
        <v>1.2287999999999999</v>
      </c>
      <c r="H157" s="58">
        <v>109</v>
      </c>
      <c r="I157" s="5">
        <v>-1.6487999999999999E-2</v>
      </c>
      <c r="J157" s="5">
        <v>6.6116999999999995E-2</v>
      </c>
      <c r="K157" s="2">
        <v>314102470.88999999</v>
      </c>
      <c r="L157" s="16">
        <f t="shared" si="56"/>
        <v>6.2147048971304894E-3</v>
      </c>
      <c r="M157" s="4">
        <v>1.2232000000000001</v>
      </c>
      <c r="N157" s="4">
        <v>1.2363999999999999</v>
      </c>
      <c r="O157" s="58">
        <v>109</v>
      </c>
      <c r="P157" s="5">
        <v>-4.4768000000000004E-3</v>
      </c>
      <c r="Q157" s="5">
        <v>5.7688999999999997E-2</v>
      </c>
      <c r="R157" s="77">
        <f t="shared" si="57"/>
        <v>-9.0259374518595809E-2</v>
      </c>
      <c r="S157" s="77">
        <f t="shared" si="58"/>
        <v>6.1848958333333755E-3</v>
      </c>
      <c r="T157" s="77">
        <f t="shared" si="59"/>
        <v>0</v>
      </c>
      <c r="U157" s="77">
        <f t="shared" si="60"/>
        <v>1.20112E-2</v>
      </c>
      <c r="V157" s="79">
        <f t="shared" si="61"/>
        <v>-8.427999999999998E-3</v>
      </c>
      <c r="X157" s="101"/>
    </row>
    <row r="158" spans="1:24">
      <c r="A158" s="140">
        <v>135</v>
      </c>
      <c r="B158" s="131" t="s">
        <v>164</v>
      </c>
      <c r="C158" s="132" t="s">
        <v>27</v>
      </c>
      <c r="D158" s="4">
        <v>8726671227.5</v>
      </c>
      <c r="E158" s="3">
        <f t="shared" si="55"/>
        <v>0.17550229877930651</v>
      </c>
      <c r="F158" s="4">
        <v>320.91000000000003</v>
      </c>
      <c r="G158" s="4">
        <v>322.94</v>
      </c>
      <c r="H158" s="58">
        <v>5467</v>
      </c>
      <c r="I158" s="5">
        <v>4.1999999999999997E-3</v>
      </c>
      <c r="J158" s="5">
        <v>0.18679999999999999</v>
      </c>
      <c r="K158" s="4">
        <v>8869360939.0300007</v>
      </c>
      <c r="L158" s="16">
        <f t="shared" si="56"/>
        <v>0.17548560094425694</v>
      </c>
      <c r="M158" s="4">
        <v>326.01</v>
      </c>
      <c r="N158" s="4">
        <v>328.1</v>
      </c>
      <c r="O158" s="58">
        <v>5467</v>
      </c>
      <c r="P158" s="5">
        <v>1.5900000000000001E-2</v>
      </c>
      <c r="Q158" s="5">
        <v>0.2056</v>
      </c>
      <c r="R158" s="77">
        <f t="shared" si="57"/>
        <v>1.6350989719923041E-2</v>
      </c>
      <c r="S158" s="77">
        <f t="shared" si="58"/>
        <v>1.597820028488272E-2</v>
      </c>
      <c r="T158" s="77">
        <f t="shared" si="59"/>
        <v>0</v>
      </c>
      <c r="U158" s="77">
        <f t="shared" si="60"/>
        <v>1.1700000000000002E-2</v>
      </c>
      <c r="V158" s="79">
        <f t="shared" si="61"/>
        <v>1.8800000000000011E-2</v>
      </c>
    </row>
    <row r="159" spans="1:24">
      <c r="A159" s="146">
        <v>136</v>
      </c>
      <c r="B159" s="131" t="s">
        <v>165</v>
      </c>
      <c r="C159" s="132" t="s">
        <v>72</v>
      </c>
      <c r="D159" s="4">
        <v>2857701842.9400001</v>
      </c>
      <c r="E159" s="3">
        <f t="shared" si="55"/>
        <v>5.7471311750736033E-2</v>
      </c>
      <c r="F159" s="4">
        <v>2.0015999999999998</v>
      </c>
      <c r="G159" s="4">
        <v>2.0343</v>
      </c>
      <c r="H159" s="58">
        <v>10309</v>
      </c>
      <c r="I159" s="5">
        <v>-2.2700000000000001E-2</v>
      </c>
      <c r="J159" s="5">
        <v>0.14699999999999999</v>
      </c>
      <c r="K159" s="4">
        <v>2889151238.0100002</v>
      </c>
      <c r="L159" s="16">
        <f t="shared" si="56"/>
        <v>5.7163581988182957E-2</v>
      </c>
      <c r="M159" s="4">
        <v>2.0234000000000001</v>
      </c>
      <c r="N159" s="4">
        <v>2.0569999999999999</v>
      </c>
      <c r="O159" s="58">
        <v>10308</v>
      </c>
      <c r="P159" s="5">
        <v>1.14E-2</v>
      </c>
      <c r="Q159" s="5">
        <v>0.15970000000000001</v>
      </c>
      <c r="R159" s="77">
        <f t="shared" si="57"/>
        <v>1.1005135174509694E-2</v>
      </c>
      <c r="S159" s="77">
        <f t="shared" si="58"/>
        <v>1.1158629504006264E-2</v>
      </c>
      <c r="T159" s="77">
        <f t="shared" si="59"/>
        <v>-9.7002619070714915E-5</v>
      </c>
      <c r="U159" s="77">
        <f t="shared" si="60"/>
        <v>3.4100000000000005E-2</v>
      </c>
      <c r="V159" s="79">
        <f t="shared" si="61"/>
        <v>1.2700000000000017E-2</v>
      </c>
    </row>
    <row r="160" spans="1:24">
      <c r="A160" s="142">
        <v>137</v>
      </c>
      <c r="B160" s="131" t="s">
        <v>166</v>
      </c>
      <c r="C160" s="132" t="s">
        <v>74</v>
      </c>
      <c r="D160" s="4">
        <v>189979378.98355374</v>
      </c>
      <c r="E160" s="3">
        <f t="shared" si="55"/>
        <v>3.8206799434829233E-3</v>
      </c>
      <c r="F160" s="4">
        <v>247.62039258438156</v>
      </c>
      <c r="G160" s="4">
        <v>256.10723375072592</v>
      </c>
      <c r="H160" s="58">
        <v>39</v>
      </c>
      <c r="I160" s="5">
        <v>1.7398290832166818E-3</v>
      </c>
      <c r="J160" s="5">
        <v>2.1593195456646695E-2</v>
      </c>
      <c r="K160" s="4">
        <v>189979378.98355374</v>
      </c>
      <c r="L160" s="16">
        <f t="shared" si="56"/>
        <v>3.7588554256753194E-3</v>
      </c>
      <c r="M160" s="4">
        <v>251.19</v>
      </c>
      <c r="N160" s="4">
        <v>259.82130521801548</v>
      </c>
      <c r="O160" s="58">
        <v>39</v>
      </c>
      <c r="P160" s="5">
        <v>1.4415643955503432E-2</v>
      </c>
      <c r="Q160" s="5">
        <v>4.2999999999999997E-2</v>
      </c>
      <c r="R160" s="77">
        <f t="shared" si="57"/>
        <v>0</v>
      </c>
      <c r="S160" s="77">
        <f t="shared" si="58"/>
        <v>1.4502017037537229E-2</v>
      </c>
      <c r="T160" s="77">
        <f t="shared" si="59"/>
        <v>0</v>
      </c>
      <c r="U160" s="77">
        <f t="shared" si="60"/>
        <v>1.267581487228675E-2</v>
      </c>
      <c r="V160" s="79">
        <f t="shared" si="61"/>
        <v>2.1406804543353301E-2</v>
      </c>
    </row>
    <row r="161" spans="1:22">
      <c r="A161" s="142">
        <v>138</v>
      </c>
      <c r="B161" s="131" t="s">
        <v>275</v>
      </c>
      <c r="C161" s="131" t="s">
        <v>255</v>
      </c>
      <c r="D161" s="4">
        <v>60313303.899999999</v>
      </c>
      <c r="E161" s="3">
        <f t="shared" si="55"/>
        <v>1.2129623318532328E-3</v>
      </c>
      <c r="F161" s="4">
        <v>1.1919999999999999</v>
      </c>
      <c r="G161" s="4">
        <v>1.171</v>
      </c>
      <c r="H161" s="58">
        <v>21</v>
      </c>
      <c r="I161" s="5">
        <v>9.0999999999999998E-2</v>
      </c>
      <c r="J161" s="5">
        <v>0.20599999999999999</v>
      </c>
      <c r="K161" s="4">
        <v>57977800.100000001</v>
      </c>
      <c r="L161" s="16">
        <f t="shared" si="56"/>
        <v>1.147125386137145E-3</v>
      </c>
      <c r="M161" s="4">
        <v>1.133</v>
      </c>
      <c r="N161" s="4">
        <v>1.1459999999999999</v>
      </c>
      <c r="O161" s="58">
        <v>21</v>
      </c>
      <c r="P161" s="5">
        <v>-2.1299999999999999E-2</v>
      </c>
      <c r="Q161" s="5">
        <v>3.8699999999999998E-2</v>
      </c>
      <c r="R161" s="77">
        <f t="shared" ref="R161" si="62">((K161-D161)/D161)</f>
        <v>-3.8722862933728244E-2</v>
      </c>
      <c r="S161" s="77">
        <f t="shared" ref="S161" si="63">((N161-G161)/G161)</f>
        <v>-2.1349274124679875E-2</v>
      </c>
      <c r="T161" s="77">
        <f t="shared" ref="T161" si="64">((O161-H161)/H161)</f>
        <v>0</v>
      </c>
      <c r="U161" s="77">
        <f t="shared" ref="U161" si="65">P161-I161</f>
        <v>-0.1123</v>
      </c>
      <c r="V161" s="79">
        <f t="shared" ref="V161" si="66">Q161-J161</f>
        <v>-0.1673</v>
      </c>
    </row>
    <row r="162" spans="1:22" ht="13.5" customHeight="1">
      <c r="A162" s="140">
        <v>139</v>
      </c>
      <c r="B162" s="131" t="s">
        <v>238</v>
      </c>
      <c r="C162" s="132" t="s">
        <v>32</v>
      </c>
      <c r="D162" s="2">
        <v>2782843658.8400002</v>
      </c>
      <c r="E162" s="3">
        <f t="shared" si="55"/>
        <v>5.5965836976965021E-2</v>
      </c>
      <c r="F162" s="4">
        <v>3.9279389999999998</v>
      </c>
      <c r="G162" s="4">
        <v>4.0562060000000004</v>
      </c>
      <c r="H162" s="58">
        <v>2332</v>
      </c>
      <c r="I162" s="5">
        <v>7.0946406759739844E-3</v>
      </c>
      <c r="J162" s="5">
        <v>7.990514942402327E-2</v>
      </c>
      <c r="K162" s="2">
        <v>2763244397.3299999</v>
      </c>
      <c r="L162" s="16">
        <f t="shared" si="56"/>
        <v>5.4672439982393857E-2</v>
      </c>
      <c r="M162" s="4">
        <v>3.9003640000000002</v>
      </c>
      <c r="N162" s="4">
        <v>4.0307440000000003</v>
      </c>
      <c r="O162" s="58">
        <v>2335</v>
      </c>
      <c r="P162" s="5">
        <v>-7.0202210370373663E-3</v>
      </c>
      <c r="Q162" s="5">
        <v>7.2323976576031734E-2</v>
      </c>
      <c r="R162" s="77">
        <f t="shared" si="57"/>
        <v>-7.0428899042679167E-3</v>
      </c>
      <c r="S162" s="77">
        <f t="shared" si="58"/>
        <v>-6.2772945949984031E-3</v>
      </c>
      <c r="T162" s="77">
        <f t="shared" si="59"/>
        <v>1.2864493996569469E-3</v>
      </c>
      <c r="U162" s="77">
        <f t="shared" si="60"/>
        <v>-1.4114861713011351E-2</v>
      </c>
      <c r="V162" s="79">
        <f>Q162-J162</f>
        <v>-7.5811728479915352E-3</v>
      </c>
    </row>
    <row r="163" spans="1:22">
      <c r="A163" s="143">
        <v>140</v>
      </c>
      <c r="B163" s="131" t="s">
        <v>167</v>
      </c>
      <c r="C163" s="132" t="s">
        <v>114</v>
      </c>
      <c r="D163" s="2">
        <v>214092580.21000001</v>
      </c>
      <c r="E163" s="3">
        <f t="shared" si="55"/>
        <v>4.3056211238992814E-3</v>
      </c>
      <c r="F163" s="4">
        <v>183.35</v>
      </c>
      <c r="G163" s="4">
        <v>186.84</v>
      </c>
      <c r="H163" s="58">
        <v>139</v>
      </c>
      <c r="I163" s="5">
        <v>1.8800000000000001E-2</v>
      </c>
      <c r="J163" s="5">
        <v>2.9000000000000001E-2</v>
      </c>
      <c r="K163" s="2">
        <v>216986117.38999999</v>
      </c>
      <c r="L163" s="16">
        <f t="shared" si="56"/>
        <v>4.293199867329971E-3</v>
      </c>
      <c r="M163" s="4">
        <v>185.83109999999999</v>
      </c>
      <c r="N163" s="4">
        <v>189.41</v>
      </c>
      <c r="O163" s="58">
        <v>141</v>
      </c>
      <c r="P163" s="5">
        <v>3.7000000000000002E-3</v>
      </c>
      <c r="Q163" s="5">
        <v>2.9000000000000001E-2</v>
      </c>
      <c r="R163" s="77">
        <f t="shared" si="57"/>
        <v>1.3515354792593711E-2</v>
      </c>
      <c r="S163" s="77">
        <f t="shared" si="58"/>
        <v>1.3755084564333083E-2</v>
      </c>
      <c r="T163" s="77">
        <f t="shared" si="59"/>
        <v>1.4388489208633094E-2</v>
      </c>
      <c r="U163" s="77">
        <f t="shared" si="60"/>
        <v>-1.5100000000000001E-2</v>
      </c>
      <c r="V163" s="79">
        <f t="shared" si="61"/>
        <v>0</v>
      </c>
    </row>
    <row r="164" spans="1:22">
      <c r="A164" s="144">
        <v>141</v>
      </c>
      <c r="B164" s="131" t="s">
        <v>168</v>
      </c>
      <c r="C164" s="132" t="s">
        <v>29</v>
      </c>
      <c r="D164" s="2">
        <v>1849869585.97</v>
      </c>
      <c r="E164" s="3">
        <f t="shared" si="55"/>
        <v>3.7202772548206323E-2</v>
      </c>
      <c r="F164" s="4">
        <v>552.22</v>
      </c>
      <c r="G164" s="4">
        <v>552.22</v>
      </c>
      <c r="H164" s="58">
        <v>823</v>
      </c>
      <c r="I164" s="5">
        <v>3.2500000000000001E-2</v>
      </c>
      <c r="J164" s="5">
        <v>0.18329999999999999</v>
      </c>
      <c r="K164" s="2">
        <v>2032606643.6800001</v>
      </c>
      <c r="L164" s="16">
        <f t="shared" si="56"/>
        <v>4.0216335855701883E-2</v>
      </c>
      <c r="M164" s="4">
        <v>552.22</v>
      </c>
      <c r="N164" s="4">
        <v>552.22</v>
      </c>
      <c r="O164" s="58">
        <v>823</v>
      </c>
      <c r="P164" s="5">
        <v>9.8790000000000003E-2</v>
      </c>
      <c r="Q164" s="5">
        <v>0.30029</v>
      </c>
      <c r="R164" s="77">
        <f t="shared" si="57"/>
        <v>9.8783751620079643E-2</v>
      </c>
      <c r="S164" s="77">
        <f t="shared" si="58"/>
        <v>0</v>
      </c>
      <c r="T164" s="77">
        <f t="shared" si="59"/>
        <v>0</v>
      </c>
      <c r="U164" s="77">
        <f t="shared" si="60"/>
        <v>6.6290000000000002E-2</v>
      </c>
      <c r="V164" s="79">
        <f t="shared" si="61"/>
        <v>0.11699000000000001</v>
      </c>
    </row>
    <row r="165" spans="1:22">
      <c r="A165" s="142">
        <v>142</v>
      </c>
      <c r="B165" s="131" t="s">
        <v>169</v>
      </c>
      <c r="C165" s="132" t="s">
        <v>80</v>
      </c>
      <c r="D165" s="4">
        <v>26797675.359999999</v>
      </c>
      <c r="E165" s="3">
        <f t="shared" si="55"/>
        <v>5.3892870546114321E-4</v>
      </c>
      <c r="F165" s="4">
        <v>1.68</v>
      </c>
      <c r="G165" s="4">
        <v>1.68</v>
      </c>
      <c r="H165" s="58">
        <v>8</v>
      </c>
      <c r="I165" s="5">
        <v>-7.587E-3</v>
      </c>
      <c r="J165" s="5">
        <v>3.3749000000000001E-2</v>
      </c>
      <c r="K165" s="4">
        <v>27118559.550000001</v>
      </c>
      <c r="L165" s="16">
        <f t="shared" si="56"/>
        <v>5.3655688973402267E-4</v>
      </c>
      <c r="M165" s="4">
        <v>1.7</v>
      </c>
      <c r="N165" s="4">
        <v>1.7</v>
      </c>
      <c r="O165" s="58">
        <v>8</v>
      </c>
      <c r="P165" s="5">
        <v>8.2129999999999998E-3</v>
      </c>
      <c r="Q165" s="5">
        <v>4.2238999999999999E-2</v>
      </c>
      <c r="R165" s="77">
        <f t="shared" si="57"/>
        <v>1.1974329328542225E-2</v>
      </c>
      <c r="S165" s="77">
        <f t="shared" si="58"/>
        <v>1.1904761904761916E-2</v>
      </c>
      <c r="T165" s="77">
        <f t="shared" si="59"/>
        <v>0</v>
      </c>
      <c r="U165" s="77">
        <f t="shared" si="60"/>
        <v>1.5800000000000002E-2</v>
      </c>
      <c r="V165" s="79">
        <f t="shared" si="61"/>
        <v>8.4899999999999975E-3</v>
      </c>
    </row>
    <row r="166" spans="1:22">
      <c r="A166" s="140">
        <v>143</v>
      </c>
      <c r="B166" s="131" t="s">
        <v>170</v>
      </c>
      <c r="C166" s="132" t="s">
        <v>38</v>
      </c>
      <c r="D166" s="4">
        <v>272382582.32999998</v>
      </c>
      <c r="E166" s="3">
        <f t="shared" si="55"/>
        <v>5.4778927841026785E-3</v>
      </c>
      <c r="F166" s="4">
        <v>2.9961679999999999</v>
      </c>
      <c r="G166" s="4">
        <v>3.0499390000000002</v>
      </c>
      <c r="H166" s="58">
        <v>118</v>
      </c>
      <c r="I166" s="5">
        <v>5.3100000000000001E-2</v>
      </c>
      <c r="J166" s="5">
        <v>0.28970000000000001</v>
      </c>
      <c r="K166" s="4">
        <v>268925257.39999998</v>
      </c>
      <c r="L166" s="16">
        <f t="shared" si="56"/>
        <v>5.3208467586717918E-3</v>
      </c>
      <c r="M166" s="4">
        <v>2.7580770000000001</v>
      </c>
      <c r="N166" s="4">
        <v>2.8091970000000002</v>
      </c>
      <c r="O166" s="58">
        <v>118</v>
      </c>
      <c r="P166" s="5">
        <v>-9.9400000000000002E-2</v>
      </c>
      <c r="Q166" s="5">
        <v>0.1875</v>
      </c>
      <c r="R166" s="77">
        <f t="shared" si="57"/>
        <v>-1.2692900186295137E-2</v>
      </c>
      <c r="S166" s="77">
        <f t="shared" si="58"/>
        <v>-7.8933381946327444E-2</v>
      </c>
      <c r="T166" s="77">
        <f t="shared" si="59"/>
        <v>0</v>
      </c>
      <c r="U166" s="77">
        <f t="shared" si="60"/>
        <v>-0.1525</v>
      </c>
      <c r="V166" s="79">
        <f t="shared" si="61"/>
        <v>-0.10220000000000001</v>
      </c>
    </row>
    <row r="167" spans="1:22">
      <c r="A167" s="143">
        <v>144</v>
      </c>
      <c r="B167" s="131" t="s">
        <v>171</v>
      </c>
      <c r="C167" s="132" t="s">
        <v>42</v>
      </c>
      <c r="D167" s="2">
        <v>2605295762.7800002</v>
      </c>
      <c r="E167" s="3">
        <f t="shared" si="55"/>
        <v>5.2395166891014505E-2</v>
      </c>
      <c r="F167" s="4">
        <v>5626.78</v>
      </c>
      <c r="G167" s="4">
        <v>5691.36</v>
      </c>
      <c r="H167" s="58">
        <v>2248</v>
      </c>
      <c r="I167" s="5">
        <v>-3.5000000000000001E-3</v>
      </c>
      <c r="J167" s="5">
        <v>0.13350000000000001</v>
      </c>
      <c r="K167" s="2">
        <v>2589724485.1199999</v>
      </c>
      <c r="L167" s="3">
        <f t="shared" si="56"/>
        <v>5.1239244932684135E-2</v>
      </c>
      <c r="M167" s="4">
        <v>5603.07</v>
      </c>
      <c r="N167" s="4">
        <v>5666.96</v>
      </c>
      <c r="O167" s="58">
        <v>2248</v>
      </c>
      <c r="P167" s="5">
        <v>-4.3E-3</v>
      </c>
      <c r="Q167" s="5">
        <v>0.12859999999999999</v>
      </c>
      <c r="R167" s="77">
        <f t="shared" si="57"/>
        <v>-5.9767792518822804E-3</v>
      </c>
      <c r="S167" s="77">
        <f t="shared" si="58"/>
        <v>-4.2872002473924751E-3</v>
      </c>
      <c r="T167" s="77">
        <f t="shared" si="59"/>
        <v>0</v>
      </c>
      <c r="U167" s="77">
        <f t="shared" si="60"/>
        <v>-7.9999999999999993E-4</v>
      </c>
      <c r="V167" s="79">
        <f t="shared" si="61"/>
        <v>-4.9000000000000155E-3</v>
      </c>
    </row>
    <row r="168" spans="1:22">
      <c r="A168" s="143">
        <v>145</v>
      </c>
      <c r="B168" s="131" t="s">
        <v>273</v>
      </c>
      <c r="C168" s="131" t="s">
        <v>271</v>
      </c>
      <c r="D168" s="2">
        <v>79911099.079999998</v>
      </c>
      <c r="E168" s="3">
        <f t="shared" si="55"/>
        <v>1.6070940706836576E-3</v>
      </c>
      <c r="F168" s="4">
        <v>1046.3</v>
      </c>
      <c r="G168" s="4">
        <v>1059.6199999999999</v>
      </c>
      <c r="H168" s="58">
        <v>4</v>
      </c>
      <c r="I168" s="5">
        <v>8.7255553642893169E-3</v>
      </c>
      <c r="J168" s="5">
        <v>5.8200000000000002E-2</v>
      </c>
      <c r="K168" s="2">
        <v>80785742.629999995</v>
      </c>
      <c r="L168" s="3">
        <f t="shared" si="56"/>
        <v>1.5983941448101746E-3</v>
      </c>
      <c r="M168" s="4">
        <v>1057.6099999999999</v>
      </c>
      <c r="N168" s="4">
        <v>1071.31</v>
      </c>
      <c r="O168" s="58">
        <v>5</v>
      </c>
      <c r="P168" s="5">
        <v>1.3143457919338797E-2</v>
      </c>
      <c r="Q168" s="5">
        <v>7.0448999999999998E-2</v>
      </c>
      <c r="R168" s="77">
        <f>((K168-D168)/D168)</f>
        <v>1.0945207362551484E-2</v>
      </c>
      <c r="S168" s="77">
        <f>((N168-G168)/G168)</f>
        <v>1.1032256846794186E-2</v>
      </c>
      <c r="T168" s="77">
        <f t="shared" si="59"/>
        <v>0.25</v>
      </c>
      <c r="U168" s="77">
        <f>P168-I168</f>
        <v>4.4179025550494799E-3</v>
      </c>
      <c r="V168" s="79">
        <f>Q168-J168</f>
        <v>1.2248999999999996E-2</v>
      </c>
    </row>
    <row r="169" spans="1:22">
      <c r="A169" s="143">
        <v>146</v>
      </c>
      <c r="B169" s="131" t="s">
        <v>254</v>
      </c>
      <c r="C169" s="131" t="s">
        <v>255</v>
      </c>
      <c r="D169" s="2">
        <v>668699485.84000003</v>
      </c>
      <c r="E169" s="3">
        <f t="shared" si="55"/>
        <v>1.3448231736705511E-2</v>
      </c>
      <c r="F169" s="4">
        <v>1.2809999999999999</v>
      </c>
      <c r="G169" s="4">
        <v>1.2809999999999999</v>
      </c>
      <c r="H169" s="58">
        <v>40</v>
      </c>
      <c r="I169" s="5">
        <v>3.0999999999999999E-3</v>
      </c>
      <c r="J169" s="5">
        <v>0.2</v>
      </c>
      <c r="K169" s="2">
        <v>671050679.82000005</v>
      </c>
      <c r="L169" s="3">
        <f t="shared" si="56"/>
        <v>1.3277138299114444E-2</v>
      </c>
      <c r="M169" s="4">
        <v>1.2849999999999999</v>
      </c>
      <c r="N169" s="4">
        <v>1.2849999999999999</v>
      </c>
      <c r="O169" s="58">
        <v>40</v>
      </c>
      <c r="P169" s="5">
        <v>3.0999999999999999E-3</v>
      </c>
      <c r="Q169" s="5">
        <v>0.20280000000000001</v>
      </c>
      <c r="R169" s="77">
        <f>((K169-D169)/D169)</f>
        <v>3.5160696692424108E-3</v>
      </c>
      <c r="S169" s="77">
        <f>((N169-G169)/G169)</f>
        <v>3.122560499609683E-3</v>
      </c>
      <c r="T169" s="77">
        <f>((O169-H169)/H169)</f>
        <v>0</v>
      </c>
      <c r="U169" s="77">
        <f>P169-I169</f>
        <v>0</v>
      </c>
      <c r="V169" s="79">
        <f>Q169-J169</f>
        <v>2.7999999999999969E-3</v>
      </c>
    </row>
    <row r="170" spans="1:22">
      <c r="A170" s="143">
        <v>147</v>
      </c>
      <c r="B170" s="131" t="s">
        <v>172</v>
      </c>
      <c r="C170" s="132" t="s">
        <v>45</v>
      </c>
      <c r="D170" s="4">
        <v>1779495267.9200001</v>
      </c>
      <c r="E170" s="3">
        <f t="shared" si="55"/>
        <v>3.5787472914380281E-2</v>
      </c>
      <c r="F170" s="4">
        <v>1.6752</v>
      </c>
      <c r="G170" s="4">
        <v>1.6849000000000001</v>
      </c>
      <c r="H170" s="58">
        <v>2150</v>
      </c>
      <c r="I170" s="5">
        <v>4.7000000000000002E-3</v>
      </c>
      <c r="J170" s="5">
        <v>9.8699999999999996E-2</v>
      </c>
      <c r="K170" s="4">
        <v>1794398262.8199999</v>
      </c>
      <c r="L170" s="16">
        <f t="shared" si="56"/>
        <v>3.5503240836507945E-2</v>
      </c>
      <c r="M170" s="4">
        <v>1.6891</v>
      </c>
      <c r="N170" s="4">
        <v>1.6989000000000001</v>
      </c>
      <c r="O170" s="58">
        <v>2151</v>
      </c>
      <c r="P170" s="5">
        <v>8.3000000000000001E-3</v>
      </c>
      <c r="Q170" s="5">
        <v>0.1062</v>
      </c>
      <c r="R170" s="77">
        <f t="shared" si="57"/>
        <v>8.3748437934423568E-3</v>
      </c>
      <c r="S170" s="77">
        <f t="shared" si="58"/>
        <v>8.309098462816791E-3</v>
      </c>
      <c r="T170" s="77">
        <f t="shared" si="59"/>
        <v>4.6511627906976747E-4</v>
      </c>
      <c r="U170" s="77">
        <f t="shared" si="60"/>
        <v>3.5999999999999999E-3</v>
      </c>
      <c r="V170" s="79">
        <f t="shared" si="61"/>
        <v>7.5000000000000067E-3</v>
      </c>
    </row>
    <row r="171" spans="1:22">
      <c r="A171" s="143">
        <v>148</v>
      </c>
      <c r="B171" s="131" t="s">
        <v>173</v>
      </c>
      <c r="C171" s="132" t="s">
        <v>45</v>
      </c>
      <c r="D171" s="4">
        <v>1060916864.87</v>
      </c>
      <c r="E171" s="3">
        <f t="shared" si="55"/>
        <v>2.1336125052090475E-2</v>
      </c>
      <c r="F171" s="4">
        <v>1.3785000000000001</v>
      </c>
      <c r="G171" s="4">
        <v>1.3863000000000001</v>
      </c>
      <c r="H171" s="58">
        <v>746</v>
      </c>
      <c r="I171" s="5">
        <v>1.1999999999999999E-3</v>
      </c>
      <c r="J171" s="5">
        <v>0.16109999999999999</v>
      </c>
      <c r="K171" s="4">
        <v>1069643017.99</v>
      </c>
      <c r="L171" s="16">
        <f t="shared" si="56"/>
        <v>2.1163525658516317E-2</v>
      </c>
      <c r="M171" s="4">
        <v>1.3886000000000001</v>
      </c>
      <c r="N171" s="4">
        <v>1.3965000000000001</v>
      </c>
      <c r="O171" s="58">
        <v>752</v>
      </c>
      <c r="P171" s="5">
        <v>7.3000000000000001E-3</v>
      </c>
      <c r="Q171" s="5">
        <v>0.16819999999999999</v>
      </c>
      <c r="R171" s="77">
        <f t="shared" si="57"/>
        <v>8.2251054808797561E-3</v>
      </c>
      <c r="S171" s="77">
        <f t="shared" si="58"/>
        <v>7.3577147803505633E-3</v>
      </c>
      <c r="T171" s="77">
        <f t="shared" si="59"/>
        <v>8.0428954423592495E-3</v>
      </c>
      <c r="U171" s="77">
        <f t="shared" si="60"/>
        <v>6.1000000000000004E-3</v>
      </c>
      <c r="V171" s="79">
        <f t="shared" si="61"/>
        <v>7.0999999999999952E-3</v>
      </c>
    </row>
    <row r="172" spans="1:22">
      <c r="A172" s="143">
        <v>149</v>
      </c>
      <c r="B172" s="131" t="s">
        <v>174</v>
      </c>
      <c r="C172" s="132" t="s">
        <v>87</v>
      </c>
      <c r="D172" s="2">
        <v>8977861832.8999996</v>
      </c>
      <c r="E172" s="3">
        <f t="shared" si="55"/>
        <v>0.18055399919636175</v>
      </c>
      <c r="F172" s="4">
        <v>487.59</v>
      </c>
      <c r="G172" s="4">
        <v>492.71</v>
      </c>
      <c r="H172" s="58">
        <v>34</v>
      </c>
      <c r="I172" s="5">
        <v>2.16E-3</v>
      </c>
      <c r="J172" s="5">
        <v>0.40109</v>
      </c>
      <c r="K172" s="2">
        <v>9204488981.6900005</v>
      </c>
      <c r="L172" s="16">
        <f t="shared" si="56"/>
        <v>0.18211630933054734</v>
      </c>
      <c r="M172" s="4">
        <v>499.88</v>
      </c>
      <c r="N172" s="4">
        <v>505.16</v>
      </c>
      <c r="O172" s="58">
        <v>34</v>
      </c>
      <c r="P172" s="5">
        <v>2.5000000000000001E-3</v>
      </c>
      <c r="Q172" s="5">
        <v>0.4365</v>
      </c>
      <c r="R172" s="77">
        <f t="shared" si="57"/>
        <v>2.5242886670355069E-2</v>
      </c>
      <c r="S172" s="77">
        <f t="shared" si="58"/>
        <v>2.526841346836891E-2</v>
      </c>
      <c r="T172" s="77">
        <f t="shared" si="59"/>
        <v>0</v>
      </c>
      <c r="U172" s="77">
        <f t="shared" si="60"/>
        <v>3.4000000000000002E-4</v>
      </c>
      <c r="V172" s="79">
        <f t="shared" si="61"/>
        <v>3.5409999999999997E-2</v>
      </c>
    </row>
    <row r="173" spans="1:22">
      <c r="A173" s="143">
        <v>150</v>
      </c>
      <c r="B173" s="131" t="s">
        <v>175</v>
      </c>
      <c r="C173" s="132" t="s">
        <v>40</v>
      </c>
      <c r="D173" s="2">
        <v>465885236.66000003</v>
      </c>
      <c r="E173" s="3">
        <f t="shared" si="55"/>
        <v>9.3694294043657721E-3</v>
      </c>
      <c r="F173" s="4">
        <v>236.43</v>
      </c>
      <c r="G173" s="4">
        <v>239.7</v>
      </c>
      <c r="H173" s="58">
        <v>690</v>
      </c>
      <c r="I173" s="5">
        <v>-1E-4</v>
      </c>
      <c r="J173" s="5">
        <v>0.22620000000000001</v>
      </c>
      <c r="K173" s="2">
        <v>471627928.73000002</v>
      </c>
      <c r="L173" s="16">
        <f t="shared" si="56"/>
        <v>9.3314401188785909E-3</v>
      </c>
      <c r="M173" s="4">
        <v>239.33</v>
      </c>
      <c r="N173" s="4">
        <v>242.65</v>
      </c>
      <c r="O173" s="58">
        <v>690</v>
      </c>
      <c r="P173" s="5">
        <v>8.8000000000000005E-3</v>
      </c>
      <c r="Q173" s="5">
        <v>0.2412</v>
      </c>
      <c r="R173" s="77">
        <f t="shared" si="57"/>
        <v>1.2326409205773936E-2</v>
      </c>
      <c r="S173" s="77">
        <f t="shared" si="58"/>
        <v>1.2307050479766447E-2</v>
      </c>
      <c r="T173" s="77">
        <f t="shared" si="59"/>
        <v>0</v>
      </c>
      <c r="U173" s="77">
        <f t="shared" si="60"/>
        <v>8.8999999999999999E-3</v>
      </c>
      <c r="V173" s="79">
        <f t="shared" si="61"/>
        <v>1.4999999999999986E-2</v>
      </c>
    </row>
    <row r="174" spans="1:22">
      <c r="A174" s="80"/>
      <c r="B174" s="129"/>
      <c r="C174" s="68" t="s">
        <v>46</v>
      </c>
      <c r="D174" s="69">
        <f>SUM(D146:D173)</f>
        <v>49723971071.59124</v>
      </c>
      <c r="E174" s="96">
        <f>(D174/$D$204)</f>
        <v>1.497639847599859E-2</v>
      </c>
      <c r="F174" s="30"/>
      <c r="G174" s="36"/>
      <c r="H174" s="63">
        <f>SUM(H146:H173)</f>
        <v>69616</v>
      </c>
      <c r="I174" s="37"/>
      <c r="J174" s="37"/>
      <c r="K174" s="69">
        <f>SUM(K146:K173)</f>
        <v>50541815917.121063</v>
      </c>
      <c r="L174" s="96">
        <f>(K174/$K$204)</f>
        <v>1.5104809900761835E-2</v>
      </c>
      <c r="M174" s="30"/>
      <c r="N174" s="36"/>
      <c r="O174" s="63">
        <f>SUM(O146:O173)</f>
        <v>69605</v>
      </c>
      <c r="P174" s="37"/>
      <c r="Q174" s="37"/>
      <c r="R174" s="77">
        <f t="shared" si="57"/>
        <v>1.6447697718114915E-2</v>
      </c>
      <c r="S174" s="77" t="e">
        <f t="shared" si="58"/>
        <v>#DIV/0!</v>
      </c>
      <c r="T174" s="77">
        <f t="shared" si="59"/>
        <v>-1.5800965295334406E-4</v>
      </c>
      <c r="U174" s="77">
        <f t="shared" si="60"/>
        <v>0</v>
      </c>
      <c r="V174" s="79">
        <f t="shared" si="61"/>
        <v>0</v>
      </c>
    </row>
    <row r="175" spans="1:22" ht="8.25" customHeight="1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</row>
    <row r="176" spans="1:22" ht="15" customHeight="1">
      <c r="A176" s="155" t="s">
        <v>176</v>
      </c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</row>
    <row r="177" spans="1:24">
      <c r="A177" s="142">
        <v>151</v>
      </c>
      <c r="B177" s="131" t="s">
        <v>177</v>
      </c>
      <c r="C177" s="132" t="s">
        <v>21</v>
      </c>
      <c r="D177" s="17">
        <v>953147881.96000004</v>
      </c>
      <c r="E177" s="3">
        <f>(D177/$D$180)</f>
        <v>0.18103628423354098</v>
      </c>
      <c r="F177" s="17">
        <v>63.374299999999998</v>
      </c>
      <c r="G177" s="17">
        <v>65.2851</v>
      </c>
      <c r="H177" s="60">
        <v>1589</v>
      </c>
      <c r="I177" s="6">
        <v>-0.22020000000000001</v>
      </c>
      <c r="J177" s="6">
        <v>0.25159999999999999</v>
      </c>
      <c r="K177" s="17">
        <v>981122968.92999995</v>
      </c>
      <c r="L177" s="16">
        <f>(K177/$K$180)</f>
        <v>0.18565285218141592</v>
      </c>
      <c r="M177" s="17">
        <v>64.647599999999997</v>
      </c>
      <c r="N177" s="17">
        <v>66.596800000000002</v>
      </c>
      <c r="O177" s="60">
        <v>1594</v>
      </c>
      <c r="P177" s="6">
        <v>1.0505</v>
      </c>
      <c r="Q177" s="6">
        <v>0.27950000000000003</v>
      </c>
      <c r="R177" s="77">
        <f>((K177-D177)/D177)</f>
        <v>2.9350206300069098E-2</v>
      </c>
      <c r="S177" s="77">
        <f t="shared" ref="S177:T180" si="67">((N177-G177)/G177)</f>
        <v>2.009187394979868E-2</v>
      </c>
      <c r="T177" s="77">
        <f t="shared" si="67"/>
        <v>3.1466331025802393E-3</v>
      </c>
      <c r="U177" s="77">
        <f t="shared" ref="U177:V180" si="68">P177-I177</f>
        <v>1.2706999999999999</v>
      </c>
      <c r="V177" s="79">
        <f t="shared" si="68"/>
        <v>2.7900000000000036E-2</v>
      </c>
    </row>
    <row r="178" spans="1:24">
      <c r="A178" s="140">
        <v>152</v>
      </c>
      <c r="B178" s="131" t="s">
        <v>178</v>
      </c>
      <c r="C178" s="132" t="s">
        <v>179</v>
      </c>
      <c r="D178" s="94">
        <v>917445806.09000003</v>
      </c>
      <c r="E178" s="3">
        <f>(D178/$D$180)</f>
        <v>0.1742552051614899</v>
      </c>
      <c r="F178" s="17">
        <v>26.0365</v>
      </c>
      <c r="G178" s="17">
        <v>26.290199999999999</v>
      </c>
      <c r="H178" s="58">
        <v>1490</v>
      </c>
      <c r="I178" s="5">
        <v>7.1000000000000004E-3</v>
      </c>
      <c r="J178" s="5">
        <v>7.1900000000000006E-2</v>
      </c>
      <c r="K178" s="94">
        <v>917149935.86000001</v>
      </c>
      <c r="L178" s="16">
        <f>(K178/$K$180)</f>
        <v>0.17354756423255238</v>
      </c>
      <c r="M178" s="17">
        <v>26.081600000000002</v>
      </c>
      <c r="N178" s="17">
        <v>26.335899999999999</v>
      </c>
      <c r="O178" s="58">
        <v>1490</v>
      </c>
      <c r="P178" s="5">
        <v>4.4999999999999997E-3</v>
      </c>
      <c r="Q178" s="5">
        <v>0.1973</v>
      </c>
      <c r="R178" s="77">
        <f>((K178-D178)/D178)</f>
        <v>-3.224934138191424E-4</v>
      </c>
      <c r="S178" s="77">
        <f t="shared" si="67"/>
        <v>1.7382903135008511E-3</v>
      </c>
      <c r="T178" s="77">
        <f t="shared" si="67"/>
        <v>0</v>
      </c>
      <c r="U178" s="77">
        <f t="shared" si="68"/>
        <v>-2.6000000000000007E-3</v>
      </c>
      <c r="V178" s="79">
        <f t="shared" si="68"/>
        <v>0.12540000000000001</v>
      </c>
    </row>
    <row r="179" spans="1:24">
      <c r="A179" s="143">
        <v>153</v>
      </c>
      <c r="B179" s="131" t="s">
        <v>180</v>
      </c>
      <c r="C179" s="132" t="s">
        <v>42</v>
      </c>
      <c r="D179" s="9">
        <v>3394361268.3299999</v>
      </c>
      <c r="E179" s="3">
        <f>(D179/$D$180)</f>
        <v>0.64470851060496914</v>
      </c>
      <c r="F179" s="17">
        <v>2.4700000000000002</v>
      </c>
      <c r="G179" s="17">
        <v>2.5</v>
      </c>
      <c r="H179" s="58">
        <v>10128</v>
      </c>
      <c r="I179" s="5">
        <v>-2.3400000000000001E-2</v>
      </c>
      <c r="J179" s="5">
        <v>0.2019</v>
      </c>
      <c r="K179" s="9">
        <v>3386445091.1999998</v>
      </c>
      <c r="L179" s="16">
        <f>(K179/$K$180)</f>
        <v>0.64079958358603173</v>
      </c>
      <c r="M179" s="17">
        <v>2.4700000000000002</v>
      </c>
      <c r="N179" s="17">
        <v>2.5</v>
      </c>
      <c r="O179" s="58">
        <v>10132</v>
      </c>
      <c r="P179" s="5">
        <v>0</v>
      </c>
      <c r="Q179" s="5">
        <v>0.2019</v>
      </c>
      <c r="R179" s="77">
        <f>((K179-D179)/D179)</f>
        <v>-2.3321551550388783E-3</v>
      </c>
      <c r="S179" s="77">
        <f t="shared" si="67"/>
        <v>0</v>
      </c>
      <c r="T179" s="77">
        <f t="shared" si="67"/>
        <v>3.9494470774091627E-4</v>
      </c>
      <c r="U179" s="77">
        <f t="shared" si="68"/>
        <v>2.3400000000000001E-2</v>
      </c>
      <c r="V179" s="79">
        <f t="shared" si="68"/>
        <v>0</v>
      </c>
    </row>
    <row r="180" spans="1:24">
      <c r="A180" s="71"/>
      <c r="B180" s="129"/>
      <c r="C180" s="64" t="s">
        <v>46</v>
      </c>
      <c r="D180" s="69">
        <f>SUM(D177:D179)</f>
        <v>5264954956.3800001</v>
      </c>
      <c r="E180" s="96">
        <f>(D180/$D$204)</f>
        <v>1.5857555558345178E-3</v>
      </c>
      <c r="F180" s="30"/>
      <c r="G180" s="36"/>
      <c r="H180" s="63">
        <f>SUM(H177:H179)</f>
        <v>13207</v>
      </c>
      <c r="I180" s="37"/>
      <c r="J180" s="37"/>
      <c r="K180" s="69">
        <f>SUM(K177:K179)</f>
        <v>5284717995.9899998</v>
      </c>
      <c r="L180" s="96">
        <f>(K180/$K$204)</f>
        <v>1.5793785652549804E-3</v>
      </c>
      <c r="M180" s="30"/>
      <c r="N180" s="36"/>
      <c r="O180" s="63">
        <f>SUM(O177:O179)</f>
        <v>13216</v>
      </c>
      <c r="P180" s="37"/>
      <c r="Q180" s="37"/>
      <c r="R180" s="77">
        <f>((K180-D180)/D180)</f>
        <v>3.7536958575592515E-3</v>
      </c>
      <c r="S180" s="77" t="e">
        <f t="shared" si="67"/>
        <v>#DIV/0!</v>
      </c>
      <c r="T180" s="77">
        <f t="shared" si="67"/>
        <v>6.8145680321041874E-4</v>
      </c>
      <c r="U180" s="77">
        <f t="shared" si="68"/>
        <v>0</v>
      </c>
      <c r="V180" s="79">
        <f t="shared" si="68"/>
        <v>0</v>
      </c>
    </row>
    <row r="181" spans="1:24" ht="6" customHeight="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</row>
    <row r="182" spans="1:24" ht="15" customHeight="1">
      <c r="A182" s="155" t="s">
        <v>181</v>
      </c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</row>
    <row r="183" spans="1:24">
      <c r="A183" s="159" t="s">
        <v>230</v>
      </c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159"/>
      <c r="P183" s="159"/>
      <c r="Q183" s="159"/>
      <c r="R183" s="159"/>
      <c r="S183" s="159"/>
      <c r="T183" s="159"/>
      <c r="U183" s="159"/>
      <c r="V183" s="159"/>
    </row>
    <row r="184" spans="1:24">
      <c r="A184" s="140">
        <v>154</v>
      </c>
      <c r="B184" s="131" t="s">
        <v>182</v>
      </c>
      <c r="C184" s="132" t="s">
        <v>183</v>
      </c>
      <c r="D184" s="13">
        <v>4346171629.0699997</v>
      </c>
      <c r="E184" s="3">
        <f>(D184/$D$203)</f>
        <v>8.5163332213781556E-2</v>
      </c>
      <c r="F184" s="18">
        <v>2.04</v>
      </c>
      <c r="G184" s="18">
        <v>2.08</v>
      </c>
      <c r="H184" s="59">
        <v>14986</v>
      </c>
      <c r="I184" s="12">
        <v>5.1999999999999998E-3</v>
      </c>
      <c r="J184" s="12">
        <v>0.13100000000000001</v>
      </c>
      <c r="K184" s="13">
        <v>4525111622.3299999</v>
      </c>
      <c r="L184" s="3">
        <f>(K184/$K$203)</f>
        <v>8.8314084370877705E-2</v>
      </c>
      <c r="M184" s="18">
        <v>2.13</v>
      </c>
      <c r="N184" s="18">
        <v>2.17</v>
      </c>
      <c r="O184" s="59">
        <v>14984</v>
      </c>
      <c r="P184" s="12">
        <v>4.0599999999999997E-2</v>
      </c>
      <c r="Q184" s="12">
        <v>0.1769</v>
      </c>
      <c r="R184" s="77">
        <f>((K184-D184)/D184)</f>
        <v>4.1171865386800219E-2</v>
      </c>
      <c r="S184" s="77">
        <f>((N184-G184)/G184)</f>
        <v>4.3269230769230699E-2</v>
      </c>
      <c r="T184" s="77">
        <f>((O184-H184)/H184)</f>
        <v>-1.3345789403443215E-4</v>
      </c>
      <c r="U184" s="77">
        <f>P184-I184</f>
        <v>3.5400000000000001E-2</v>
      </c>
      <c r="V184" s="79">
        <f>Q184-J184</f>
        <v>4.5899999999999996E-2</v>
      </c>
    </row>
    <row r="185" spans="1:24">
      <c r="A185" s="143">
        <v>155</v>
      </c>
      <c r="B185" s="131" t="s">
        <v>184</v>
      </c>
      <c r="C185" s="132" t="s">
        <v>42</v>
      </c>
      <c r="D185" s="13">
        <v>647274901.38</v>
      </c>
      <c r="E185" s="3">
        <f>(D185/$D$203)</f>
        <v>1.2683366457772211E-2</v>
      </c>
      <c r="F185" s="18">
        <v>430.95</v>
      </c>
      <c r="G185" s="18">
        <v>436.43</v>
      </c>
      <c r="H185" s="59">
        <v>840</v>
      </c>
      <c r="I185" s="12">
        <v>-2.0199999999999999E-2</v>
      </c>
      <c r="J185" s="12">
        <v>0.1429</v>
      </c>
      <c r="K185" s="13">
        <v>662789056.13999999</v>
      </c>
      <c r="L185" s="3">
        <f>(K185/$K$203)</f>
        <v>1.2935285029257056E-2</v>
      </c>
      <c r="M185" s="18">
        <v>441.59</v>
      </c>
      <c r="N185" s="18">
        <v>447.25</v>
      </c>
      <c r="O185" s="59">
        <v>840</v>
      </c>
      <c r="P185" s="12">
        <v>2.4799999999999999E-2</v>
      </c>
      <c r="Q185" s="12">
        <v>0.17119999999999999</v>
      </c>
      <c r="R185" s="77">
        <f>((K185-D185)/D185)</f>
        <v>2.3968417015588855E-2</v>
      </c>
      <c r="S185" s="77">
        <f>((N185-G185)/G185)</f>
        <v>2.4792062873771264E-2</v>
      </c>
      <c r="T185" s="77">
        <f>((O185-H185)/H185)</f>
        <v>0</v>
      </c>
      <c r="U185" s="77">
        <f>P185-I185</f>
        <v>4.4999999999999998E-2</v>
      </c>
      <c r="V185" s="79">
        <f>Q185-J185</f>
        <v>2.8299999999999992E-2</v>
      </c>
    </row>
    <row r="186" spans="1:24" ht="6" customHeight="1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</row>
    <row r="187" spans="1:24" ht="15" customHeight="1">
      <c r="A187" s="159" t="s">
        <v>229</v>
      </c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159"/>
      <c r="P187" s="159"/>
      <c r="Q187" s="159"/>
      <c r="R187" s="159"/>
      <c r="S187" s="159"/>
      <c r="T187" s="159"/>
      <c r="U187" s="159"/>
      <c r="V187" s="159"/>
    </row>
    <row r="188" spans="1:24">
      <c r="A188" s="143">
        <v>156</v>
      </c>
      <c r="B188" s="131" t="s">
        <v>185</v>
      </c>
      <c r="C188" s="132" t="s">
        <v>186</v>
      </c>
      <c r="D188" s="2">
        <v>408465163.76999998</v>
      </c>
      <c r="E188" s="3">
        <f t="shared" ref="E188:E199" si="69">(D188/$D$203)</f>
        <v>8.0038842017255574E-3</v>
      </c>
      <c r="F188" s="2">
        <v>1046.21</v>
      </c>
      <c r="G188" s="2">
        <v>1046.21</v>
      </c>
      <c r="H188" s="58">
        <v>22</v>
      </c>
      <c r="I188" s="5">
        <v>2.5000000000000001E-3</v>
      </c>
      <c r="J188" s="5">
        <v>7.9000000000000001E-2</v>
      </c>
      <c r="K188" s="2">
        <v>409341580.54000002</v>
      </c>
      <c r="L188" s="3">
        <f t="shared" ref="L188:L199" si="70">(K188/$K$203)</f>
        <v>7.9888917440016378E-3</v>
      </c>
      <c r="M188" s="2">
        <v>1048.46</v>
      </c>
      <c r="N188" s="2">
        <v>1048.46</v>
      </c>
      <c r="O188" s="58">
        <v>22</v>
      </c>
      <c r="P188" s="5">
        <v>2.5000000000000001E-3</v>
      </c>
      <c r="Q188" s="5">
        <v>8.1500000000000003E-2</v>
      </c>
      <c r="R188" s="77">
        <f>((K188-D188)/D188)</f>
        <v>2.1456340656103943E-3</v>
      </c>
      <c r="S188" s="77">
        <f>((N188-G188)/G188)</f>
        <v>2.1506198564341765E-3</v>
      </c>
      <c r="T188" s="77">
        <f>((O188-H188)/H188)</f>
        <v>0</v>
      </c>
      <c r="U188" s="77">
        <f>P188-I188</f>
        <v>0</v>
      </c>
      <c r="V188" s="79">
        <f>Q188-J188</f>
        <v>2.5000000000000022E-3</v>
      </c>
      <c r="X188" s="67"/>
    </row>
    <row r="189" spans="1:24">
      <c r="A189" s="140">
        <v>157</v>
      </c>
      <c r="B189" s="131" t="s">
        <v>187</v>
      </c>
      <c r="C189" s="132" t="s">
        <v>58</v>
      </c>
      <c r="D189" s="2">
        <v>127818759.34</v>
      </c>
      <c r="E189" s="3">
        <f t="shared" si="69"/>
        <v>2.5046115049890713E-3</v>
      </c>
      <c r="F189" s="17">
        <v>114.69</v>
      </c>
      <c r="G189" s="17">
        <v>114.69</v>
      </c>
      <c r="H189" s="58">
        <v>75</v>
      </c>
      <c r="I189" s="5">
        <v>1.9E-3</v>
      </c>
      <c r="J189" s="5">
        <v>0.14599999999999999</v>
      </c>
      <c r="K189" s="2">
        <v>127799243.86</v>
      </c>
      <c r="L189" s="3">
        <f t="shared" si="70"/>
        <v>2.4941866956587821E-3</v>
      </c>
      <c r="M189" s="17">
        <v>115</v>
      </c>
      <c r="N189" s="17">
        <v>115</v>
      </c>
      <c r="O189" s="58">
        <v>75</v>
      </c>
      <c r="P189" s="5">
        <v>2.7000000000000001E-3</v>
      </c>
      <c r="Q189" s="5">
        <v>0.14630000000000001</v>
      </c>
      <c r="R189" s="77">
        <f t="shared" ref="R189:R204" si="71">((K189-D189)/D189)</f>
        <v>-1.5268087486354547E-4</v>
      </c>
      <c r="S189" s="77">
        <f t="shared" ref="S189:S203" si="72">((N189-G189)/G189)</f>
        <v>2.7029383555672009E-3</v>
      </c>
      <c r="T189" s="77">
        <f t="shared" ref="T189:T203" si="73">((O189-H189)/H189)</f>
        <v>0</v>
      </c>
      <c r="U189" s="77">
        <f t="shared" ref="U189:U203" si="74">P189-I189</f>
        <v>8.0000000000000015E-4</v>
      </c>
      <c r="V189" s="79">
        <f t="shared" ref="V189:V203" si="75">Q189-J189</f>
        <v>3.0000000000002247E-4</v>
      </c>
    </row>
    <row r="190" spans="1:24">
      <c r="A190" s="143">
        <v>158</v>
      </c>
      <c r="B190" s="139" t="s">
        <v>188</v>
      </c>
      <c r="C190" s="132" t="s">
        <v>64</v>
      </c>
      <c r="D190" s="9">
        <v>58522287.109999999</v>
      </c>
      <c r="E190" s="3">
        <f t="shared" si="69"/>
        <v>1.1467455508943419E-3</v>
      </c>
      <c r="F190" s="17">
        <v>104.24</v>
      </c>
      <c r="G190" s="17">
        <v>107.32</v>
      </c>
      <c r="H190" s="58">
        <v>15</v>
      </c>
      <c r="I190" s="5">
        <v>2.0999999999999999E-3</v>
      </c>
      <c r="J190" s="5">
        <v>9.7000000000000003E-2</v>
      </c>
      <c r="K190" s="9">
        <v>58605742.880000003</v>
      </c>
      <c r="L190" s="3">
        <f t="shared" si="70"/>
        <v>1.1437756575510259E-3</v>
      </c>
      <c r="M190" s="17">
        <v>104.32</v>
      </c>
      <c r="N190" s="17">
        <v>107.46</v>
      </c>
      <c r="O190" s="58">
        <v>13</v>
      </c>
      <c r="P190" s="5">
        <v>1.4E-3</v>
      </c>
      <c r="Q190" s="5">
        <v>9.8400000000000001E-2</v>
      </c>
      <c r="R190" s="77">
        <f t="shared" si="71"/>
        <v>1.4260510674016834E-3</v>
      </c>
      <c r="S190" s="77">
        <f t="shared" si="72"/>
        <v>1.3045098770033598E-3</v>
      </c>
      <c r="T190" s="77">
        <f t="shared" si="73"/>
        <v>-0.13333333333333333</v>
      </c>
      <c r="U190" s="77">
        <f t="shared" si="74"/>
        <v>-6.9999999999999988E-4</v>
      </c>
      <c r="V190" s="79">
        <f t="shared" si="75"/>
        <v>1.3999999999999985E-3</v>
      </c>
    </row>
    <row r="191" spans="1:24">
      <c r="A191" s="143">
        <v>159</v>
      </c>
      <c r="B191" s="131" t="s">
        <v>280</v>
      </c>
      <c r="C191" s="132" t="s">
        <v>67</v>
      </c>
      <c r="D191" s="9">
        <v>59624056.75</v>
      </c>
      <c r="E191" s="3">
        <v>0</v>
      </c>
      <c r="F191" s="17">
        <v>1.0041</v>
      </c>
      <c r="G191" s="17">
        <v>1.0056</v>
      </c>
      <c r="H191" s="58">
        <v>21</v>
      </c>
      <c r="I191" s="5">
        <v>1.5939999999999999E-3</v>
      </c>
      <c r="J191" s="5">
        <v>5.9839999999999997E-2</v>
      </c>
      <c r="K191" s="9">
        <v>111121304.56</v>
      </c>
      <c r="L191" s="3">
        <f t="shared" si="70"/>
        <v>2.1686926390692622E-3</v>
      </c>
      <c r="M191" s="17">
        <v>1.0041</v>
      </c>
      <c r="N191" s="17">
        <v>1.0055000000000001</v>
      </c>
      <c r="O191" s="58">
        <v>23</v>
      </c>
      <c r="P191" s="5">
        <v>6.96E-4</v>
      </c>
      <c r="Q191" s="5">
        <v>3.4779999999999998E-2</v>
      </c>
      <c r="R191" s="77">
        <f t="shared" ref="R191" si="76">((K191-D191)/D191)</f>
        <v>0.86369916132887092</v>
      </c>
      <c r="S191" s="77">
        <f t="shared" ref="S191" si="77">((N191-G191)/G191)</f>
        <v>-9.9443118536186336E-5</v>
      </c>
      <c r="T191" s="77">
        <f t="shared" ref="T191" si="78">((O191-H191)/H191)</f>
        <v>9.5238095238095233E-2</v>
      </c>
      <c r="U191" s="77">
        <f t="shared" ref="U191" si="79">P191-I191</f>
        <v>-8.9799999999999993E-4</v>
      </c>
      <c r="V191" s="79">
        <f t="shared" ref="V191" si="80">Q191-J191</f>
        <v>-2.5059999999999999E-2</v>
      </c>
    </row>
    <row r="192" spans="1:24">
      <c r="A192" s="143">
        <v>160</v>
      </c>
      <c r="B192" s="131" t="s">
        <v>189</v>
      </c>
      <c r="C192" s="132" t="s">
        <v>27</v>
      </c>
      <c r="D192" s="2">
        <v>8660322016.1399994</v>
      </c>
      <c r="E192" s="3">
        <f t="shared" si="69"/>
        <v>0.16969920746012454</v>
      </c>
      <c r="F192" s="17">
        <v>146.54</v>
      </c>
      <c r="G192" s="17">
        <v>146.54</v>
      </c>
      <c r="H192" s="58">
        <v>695</v>
      </c>
      <c r="I192" s="5">
        <v>3.0999999999999999E-3</v>
      </c>
      <c r="J192" s="5">
        <v>9.6000000000000002E-2</v>
      </c>
      <c r="K192" s="2">
        <v>8664949546.3999996</v>
      </c>
      <c r="L192" s="3">
        <f>(K192/$K$203)</f>
        <v>0.16910899645744962</v>
      </c>
      <c r="M192" s="17">
        <v>146.99</v>
      </c>
      <c r="N192" s="17">
        <v>146.99</v>
      </c>
      <c r="O192" s="58">
        <v>698</v>
      </c>
      <c r="P192" s="5">
        <v>3.0999999999999999E-3</v>
      </c>
      <c r="Q192" s="5">
        <v>9.9299999999999999E-2</v>
      </c>
      <c r="R192" s="77">
        <f>((K192-D192)/D192)</f>
        <v>5.343369740035105E-4</v>
      </c>
      <c r="S192" s="77">
        <f>((N192-G192)/G192)</f>
        <v>3.0708339020063947E-3</v>
      </c>
      <c r="T192" s="77">
        <f t="shared" si="73"/>
        <v>4.3165467625899279E-3</v>
      </c>
      <c r="U192" s="77">
        <f t="shared" si="74"/>
        <v>0</v>
      </c>
      <c r="V192" s="79">
        <f t="shared" si="75"/>
        <v>3.2999999999999974E-3</v>
      </c>
    </row>
    <row r="193" spans="1:22">
      <c r="A193" s="143">
        <v>161</v>
      </c>
      <c r="B193" s="131" t="s">
        <v>247</v>
      </c>
      <c r="C193" s="132" t="s">
        <v>56</v>
      </c>
      <c r="D193" s="2">
        <v>313469185.68445599</v>
      </c>
      <c r="E193" s="3">
        <f t="shared" si="69"/>
        <v>6.1424358441503546E-3</v>
      </c>
      <c r="F193" s="17">
        <v>1120.09885197111</v>
      </c>
      <c r="G193" s="17">
        <v>1120.09885197111</v>
      </c>
      <c r="H193" s="58">
        <v>86</v>
      </c>
      <c r="I193" s="5">
        <v>0.15071913611649523</v>
      </c>
      <c r="J193" s="5">
        <v>0.13680261895455897</v>
      </c>
      <c r="K193" s="2">
        <v>325175086.86209702</v>
      </c>
      <c r="L193" s="3">
        <f t="shared" si="70"/>
        <v>6.346261142981471E-3</v>
      </c>
      <c r="M193" s="17">
        <v>1123.34969458869</v>
      </c>
      <c r="N193" s="17">
        <v>1123.34969458869</v>
      </c>
      <c r="O193" s="58">
        <v>87</v>
      </c>
      <c r="P193" s="5">
        <v>0.15174788188694299</v>
      </c>
      <c r="Q193" s="5">
        <v>0.1376187433366223</v>
      </c>
      <c r="R193" s="77">
        <f t="shared" si="71"/>
        <v>3.7343068193708889E-2</v>
      </c>
      <c r="S193" s="77">
        <f t="shared" si="72"/>
        <v>2.902281894012571E-3</v>
      </c>
      <c r="T193" s="77">
        <f t="shared" si="73"/>
        <v>1.1627906976744186E-2</v>
      </c>
      <c r="U193" s="77">
        <f t="shared" si="74"/>
        <v>1.0287457704477587E-3</v>
      </c>
      <c r="V193" s="79">
        <f t="shared" si="75"/>
        <v>8.1612438206332683E-4</v>
      </c>
    </row>
    <row r="194" spans="1:22">
      <c r="A194" s="143">
        <v>162</v>
      </c>
      <c r="B194" s="131" t="s">
        <v>190</v>
      </c>
      <c r="C194" s="132" t="s">
        <v>183</v>
      </c>
      <c r="D194" s="2">
        <v>23862005236.580002</v>
      </c>
      <c r="E194" s="3">
        <f t="shared" si="69"/>
        <v>0.46757653693595719</v>
      </c>
      <c r="F194" s="7">
        <v>1228.96</v>
      </c>
      <c r="G194" s="7">
        <v>1228.96</v>
      </c>
      <c r="H194" s="58">
        <v>8949</v>
      </c>
      <c r="I194" s="5">
        <v>3.3999999999999998E-3</v>
      </c>
      <c r="J194" s="5">
        <v>9.3899999999999997E-2</v>
      </c>
      <c r="K194" s="2">
        <v>23776753436.220001</v>
      </c>
      <c r="L194" s="3">
        <f t="shared" si="70"/>
        <v>0.46403766012531683</v>
      </c>
      <c r="M194" s="7">
        <v>1232.07</v>
      </c>
      <c r="N194" s="7">
        <v>1232.07</v>
      </c>
      <c r="O194" s="58">
        <v>8946</v>
      </c>
      <c r="P194" s="5">
        <v>2.5000000000000001E-3</v>
      </c>
      <c r="Q194" s="5">
        <v>9.64E-2</v>
      </c>
      <c r="R194" s="77">
        <f t="shared" si="71"/>
        <v>-3.5727005972369503E-3</v>
      </c>
      <c r="S194" s="77">
        <f t="shared" si="72"/>
        <v>2.5305949746125991E-3</v>
      </c>
      <c r="T194" s="77">
        <f t="shared" si="73"/>
        <v>-3.3523298692591353E-4</v>
      </c>
      <c r="U194" s="77">
        <f t="shared" si="74"/>
        <v>-8.9999999999999976E-4</v>
      </c>
      <c r="V194" s="79">
        <f t="shared" si="75"/>
        <v>2.5000000000000022E-3</v>
      </c>
    </row>
    <row r="195" spans="1:22">
      <c r="A195" s="143">
        <v>163</v>
      </c>
      <c r="B195" s="131" t="s">
        <v>194</v>
      </c>
      <c r="C195" s="132" t="s">
        <v>195</v>
      </c>
      <c r="D195" s="2">
        <v>389196531.68000001</v>
      </c>
      <c r="E195" s="3">
        <f t="shared" si="69"/>
        <v>7.6263149163779981E-3</v>
      </c>
      <c r="F195" s="18">
        <v>123.5885</v>
      </c>
      <c r="G195" s="18">
        <v>124.2812</v>
      </c>
      <c r="H195" s="59">
        <v>167</v>
      </c>
      <c r="I195" s="5">
        <v>-2.4939999999999999E-4</v>
      </c>
      <c r="J195" s="5">
        <v>0.24845</v>
      </c>
      <c r="K195" s="2">
        <v>388744042.06</v>
      </c>
      <c r="L195" s="3">
        <f t="shared" si="70"/>
        <v>7.5869010522850687E-3</v>
      </c>
      <c r="M195" s="18">
        <v>123.82</v>
      </c>
      <c r="N195" s="18">
        <v>124.52</v>
      </c>
      <c r="O195" s="59">
        <v>166</v>
      </c>
      <c r="P195" s="5">
        <v>2E-3</v>
      </c>
      <c r="Q195" s="5">
        <v>0.25090000000000001</v>
      </c>
      <c r="R195" s="77">
        <f>((K195-D195)/D195)</f>
        <v>-1.1626250060523273E-3</v>
      </c>
      <c r="S195" s="77">
        <f>((N195-G195)/G195)</f>
        <v>1.9214491009098536E-3</v>
      </c>
      <c r="T195" s="77">
        <f>((O195-H195)/H195)</f>
        <v>-5.9880239520958087E-3</v>
      </c>
      <c r="U195" s="77">
        <f>P195-I195</f>
        <v>2.2493999999999999E-3</v>
      </c>
      <c r="V195" s="79">
        <f>Q195-J195</f>
        <v>2.4500000000000077E-3</v>
      </c>
    </row>
    <row r="196" spans="1:22">
      <c r="A196" s="142">
        <v>164</v>
      </c>
      <c r="B196" s="131" t="s">
        <v>242</v>
      </c>
      <c r="C196" s="132" t="s">
        <v>195</v>
      </c>
      <c r="D196" s="2">
        <v>148011954.69</v>
      </c>
      <c r="E196" s="3">
        <f t="shared" si="69"/>
        <v>2.9002976285068915E-3</v>
      </c>
      <c r="F196" s="18">
        <v>107.178</v>
      </c>
      <c r="G196" s="18">
        <v>107.178</v>
      </c>
      <c r="H196" s="59">
        <v>73</v>
      </c>
      <c r="I196" s="5">
        <v>-1.381E-4</v>
      </c>
      <c r="J196" s="5">
        <v>6.9360000000000005E-2</v>
      </c>
      <c r="K196" s="2">
        <v>102128001.42</v>
      </c>
      <c r="L196" s="3">
        <f t="shared" si="70"/>
        <v>1.9931753483223248E-3</v>
      </c>
      <c r="M196" s="18">
        <v>106.7</v>
      </c>
      <c r="N196" s="18">
        <v>106.7</v>
      </c>
      <c r="O196" s="59">
        <v>72</v>
      </c>
      <c r="P196" s="5">
        <v>-4.4999999999999997E-3</v>
      </c>
      <c r="Q196" s="5">
        <v>6.4600000000000005E-2</v>
      </c>
      <c r="R196" s="77">
        <f>((K196-D196)/D196)</f>
        <v>-0.31000167091976127</v>
      </c>
      <c r="S196" s="77">
        <f>((N196-G196)/G196)</f>
        <v>-4.4598704958106559E-3</v>
      </c>
      <c r="T196" s="77">
        <f>((O196-H196)/H196)</f>
        <v>-1.3698630136986301E-2</v>
      </c>
      <c r="U196" s="77">
        <f>P196-I196</f>
        <v>-4.3618999999999993E-3</v>
      </c>
      <c r="V196" s="79">
        <f>Q196-J196</f>
        <v>-4.7600000000000003E-3</v>
      </c>
    </row>
    <row r="197" spans="1:22" ht="13.5" customHeight="1">
      <c r="A197" s="140">
        <v>165</v>
      </c>
      <c r="B197" s="131" t="s">
        <v>191</v>
      </c>
      <c r="C197" s="132" t="s">
        <v>78</v>
      </c>
      <c r="D197" s="2">
        <v>1041099941.98</v>
      </c>
      <c r="E197" s="3">
        <f t="shared" si="69"/>
        <v>2.0400377112020265E-2</v>
      </c>
      <c r="F197" s="14">
        <v>104.47</v>
      </c>
      <c r="G197" s="14">
        <v>104.47</v>
      </c>
      <c r="H197" s="58">
        <v>567</v>
      </c>
      <c r="I197" s="5">
        <v>2.7000000000000001E-3</v>
      </c>
      <c r="J197" s="5">
        <v>7.6600000000000001E-2</v>
      </c>
      <c r="K197" s="2">
        <v>1064479854.51</v>
      </c>
      <c r="L197" s="3">
        <f t="shared" si="70"/>
        <v>2.077486071689218E-2</v>
      </c>
      <c r="M197" s="14">
        <v>104.41</v>
      </c>
      <c r="N197" s="14">
        <v>104.41</v>
      </c>
      <c r="O197" s="58">
        <v>569</v>
      </c>
      <c r="P197" s="5">
        <v>2.3E-3</v>
      </c>
      <c r="Q197" s="5">
        <v>7.8899999999999998E-2</v>
      </c>
      <c r="R197" s="77">
        <f t="shared" si="71"/>
        <v>2.2456933851648517E-2</v>
      </c>
      <c r="S197" s="77">
        <f t="shared" si="72"/>
        <v>-5.7432755815068704E-4</v>
      </c>
      <c r="T197" s="77">
        <f t="shared" si="73"/>
        <v>3.5273368606701938E-3</v>
      </c>
      <c r="U197" s="77">
        <f t="shared" si="74"/>
        <v>-4.0000000000000018E-4</v>
      </c>
      <c r="V197" s="79">
        <f t="shared" si="75"/>
        <v>2.2999999999999965E-3</v>
      </c>
    </row>
    <row r="198" spans="1:22" ht="15.75" customHeight="1">
      <c r="A198" s="143">
        <v>166</v>
      </c>
      <c r="B198" s="131" t="s">
        <v>192</v>
      </c>
      <c r="C198" s="132" t="s">
        <v>42</v>
      </c>
      <c r="D198" s="2">
        <v>6982048575.6899996</v>
      </c>
      <c r="E198" s="3">
        <f t="shared" si="69"/>
        <v>0.13681340111078041</v>
      </c>
      <c r="F198" s="14">
        <v>131.63999999999999</v>
      </c>
      <c r="G198" s="14">
        <v>131.63999999999999</v>
      </c>
      <c r="H198" s="58">
        <v>1226</v>
      </c>
      <c r="I198" s="5">
        <v>1.5E-3</v>
      </c>
      <c r="J198" s="5">
        <v>2.6100000000000002E-2</v>
      </c>
      <c r="K198" s="2">
        <v>7014329132.4799995</v>
      </c>
      <c r="L198" s="3">
        <f t="shared" si="70"/>
        <v>0.13689475675121121</v>
      </c>
      <c r="M198" s="14">
        <v>131.86000000000001</v>
      </c>
      <c r="N198" s="14">
        <v>131.86000000000001</v>
      </c>
      <c r="O198" s="58">
        <v>1231</v>
      </c>
      <c r="P198" s="5">
        <v>1.6999999999999999E-3</v>
      </c>
      <c r="Q198" s="5">
        <v>2.7799999999999998E-2</v>
      </c>
      <c r="R198" s="77">
        <f t="shared" si="71"/>
        <v>4.6233646815912969E-3</v>
      </c>
      <c r="S198" s="77">
        <f t="shared" si="72"/>
        <v>1.6712245518081686E-3</v>
      </c>
      <c r="T198" s="77">
        <f t="shared" si="73"/>
        <v>4.0783034257748773E-3</v>
      </c>
      <c r="U198" s="77">
        <f t="shared" si="74"/>
        <v>1.9999999999999987E-4</v>
      </c>
      <c r="V198" s="79">
        <f t="shared" si="75"/>
        <v>1.6999999999999967E-3</v>
      </c>
    </row>
    <row r="199" spans="1:22">
      <c r="A199" s="140">
        <v>167</v>
      </c>
      <c r="B199" s="131" t="s">
        <v>193</v>
      </c>
      <c r="C199" s="132" t="s">
        <v>45</v>
      </c>
      <c r="D199" s="2">
        <v>3804700032.4299998</v>
      </c>
      <c r="E199" s="3">
        <f t="shared" si="69"/>
        <v>7.4553183925908609E-2</v>
      </c>
      <c r="F199" s="14">
        <v>1.1738</v>
      </c>
      <c r="G199" s="14">
        <v>1.1738</v>
      </c>
      <c r="H199" s="58">
        <v>862</v>
      </c>
      <c r="I199" s="5">
        <v>9.7900000000000001E-2</v>
      </c>
      <c r="J199" s="5">
        <v>9.8100000000000007E-2</v>
      </c>
      <c r="K199" s="2">
        <v>3809463541.5599999</v>
      </c>
      <c r="L199" s="3">
        <f t="shared" si="70"/>
        <v>7.4347179184915554E-2</v>
      </c>
      <c r="M199" s="14">
        <v>1.1758999999999999</v>
      </c>
      <c r="N199" s="14">
        <v>1.1758999999999999</v>
      </c>
      <c r="O199" s="58">
        <v>907</v>
      </c>
      <c r="P199" s="5">
        <v>9.7699999999999995E-2</v>
      </c>
      <c r="Q199" s="5">
        <v>9.7900000000000001E-2</v>
      </c>
      <c r="R199" s="77">
        <f t="shared" si="71"/>
        <v>1.2520064891837844E-3</v>
      </c>
      <c r="S199" s="77">
        <f t="shared" si="72"/>
        <v>1.7890611688532892E-3</v>
      </c>
      <c r="T199" s="77">
        <f t="shared" si="73"/>
        <v>5.2204176334106726E-2</v>
      </c>
      <c r="U199" s="77">
        <f t="shared" si="74"/>
        <v>-2.0000000000000573E-4</v>
      </c>
      <c r="V199" s="79">
        <f t="shared" si="75"/>
        <v>-2.0000000000000573E-4</v>
      </c>
    </row>
    <row r="200" spans="1:22" ht="6" customHeight="1">
      <c r="A200" s="161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3"/>
    </row>
    <row r="201" spans="1:22">
      <c r="A201" s="159" t="s">
        <v>284</v>
      </c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159"/>
      <c r="P201" s="159"/>
      <c r="Q201" s="159"/>
      <c r="R201" s="159"/>
      <c r="S201" s="159"/>
      <c r="T201" s="159"/>
      <c r="U201" s="159"/>
      <c r="V201" s="159"/>
    </row>
    <row r="202" spans="1:22">
      <c r="A202" s="140">
        <v>168</v>
      </c>
      <c r="B202" s="131" t="s">
        <v>285</v>
      </c>
      <c r="C202" s="132" t="s">
        <v>183</v>
      </c>
      <c r="D202" s="2">
        <v>184637212.19999999</v>
      </c>
      <c r="E202" s="3">
        <f t="shared" ref="E202" si="81">(D202/$D$203)</f>
        <v>3.6179703848878593E-3</v>
      </c>
      <c r="F202" s="7">
        <v>1005.92</v>
      </c>
      <c r="G202" s="7">
        <v>1005.92</v>
      </c>
      <c r="H202" s="58">
        <v>63</v>
      </c>
      <c r="I202" s="5">
        <v>-4.3E-3</v>
      </c>
      <c r="J202" s="5">
        <v>5.8999999999999999E-3</v>
      </c>
      <c r="K202" s="2">
        <v>198053150.68000001</v>
      </c>
      <c r="L202" s="3">
        <f t="shared" ref="L202" si="82">(K202/$K$203)</f>
        <v>3.8652930842102725E-3</v>
      </c>
      <c r="M202" s="7">
        <v>1079.01</v>
      </c>
      <c r="N202" s="7">
        <v>1079.01</v>
      </c>
      <c r="O202" s="58">
        <v>63</v>
      </c>
      <c r="P202" s="5">
        <v>7.2700000000000001E-2</v>
      </c>
      <c r="Q202" s="5">
        <v>7.9000000000000001E-2</v>
      </c>
      <c r="R202" s="77">
        <f t="shared" ref="R202" si="83">((K202-D202)/D202)</f>
        <v>7.2661075847851322E-2</v>
      </c>
      <c r="S202" s="77">
        <f t="shared" ref="S202" si="84">((N202-G202)/G202)</f>
        <v>7.2659853666295571E-2</v>
      </c>
      <c r="T202" s="77">
        <f t="shared" ref="T202" si="85">((O202-H202)/H202)</f>
        <v>0</v>
      </c>
      <c r="U202" s="77">
        <f t="shared" ref="U202" si="86">P202-I202</f>
        <v>7.6999999999999999E-2</v>
      </c>
      <c r="V202" s="79">
        <f t="shared" ref="V202" si="87">Q202-J202</f>
        <v>7.3099999999999998E-2</v>
      </c>
    </row>
    <row r="203" spans="1:22">
      <c r="A203" s="81"/>
      <c r="B203" s="129"/>
      <c r="C203" s="64" t="s">
        <v>46</v>
      </c>
      <c r="D203" s="57">
        <f>SUM(D184:D202)</f>
        <v>51033367484.494461</v>
      </c>
      <c r="E203" s="96">
        <f>(D203/$D$204)</f>
        <v>1.5370776519828754E-2</v>
      </c>
      <c r="F203" s="30"/>
      <c r="G203" s="34"/>
      <c r="H203" s="57">
        <f>SUM(H184:H202)</f>
        <v>28647</v>
      </c>
      <c r="I203" s="35"/>
      <c r="J203" s="35"/>
      <c r="K203" s="57">
        <f>SUM(K184:K202)</f>
        <v>51238844342.502098</v>
      </c>
      <c r="L203" s="96">
        <f>(K203/$K$204)</f>
        <v>1.5313122199593214E-2</v>
      </c>
      <c r="M203" s="30"/>
      <c r="N203" s="34"/>
      <c r="O203" s="57">
        <f>SUM(O184:O202)</f>
        <v>28696</v>
      </c>
      <c r="P203" s="35"/>
      <c r="Q203" s="35"/>
      <c r="R203" s="77">
        <f t="shared" si="71"/>
        <v>4.0263237198695017E-3</v>
      </c>
      <c r="S203" s="77" t="e">
        <f t="shared" si="72"/>
        <v>#DIV/0!</v>
      </c>
      <c r="T203" s="77">
        <f t="shared" si="73"/>
        <v>1.7104757915313994E-3</v>
      </c>
      <c r="U203" s="77">
        <f t="shared" si="74"/>
        <v>0</v>
      </c>
      <c r="V203" s="79">
        <f t="shared" si="75"/>
        <v>0</v>
      </c>
    </row>
    <row r="204" spans="1:22">
      <c r="A204" s="82"/>
      <c r="B204" s="38"/>
      <c r="C204" s="65" t="s">
        <v>196</v>
      </c>
      <c r="D204" s="66">
        <f>SUM(D23,D62,D101,D135,D143,D174,D180,D203)</f>
        <v>3320155453347.4556</v>
      </c>
      <c r="E204" s="39"/>
      <c r="F204" s="39"/>
      <c r="G204" s="40"/>
      <c r="H204" s="66">
        <f>SUM(H23,H62,H101,H135,H143,H174,H180,H203)</f>
        <v>762168</v>
      </c>
      <c r="I204" s="41"/>
      <c r="J204" s="41"/>
      <c r="K204" s="66">
        <f>SUM(K23,K62,K101,K135,K143,K174,K180,K203)</f>
        <v>3346074280257.7017</v>
      </c>
      <c r="L204" s="39"/>
      <c r="M204" s="39"/>
      <c r="N204" s="40"/>
      <c r="O204" s="66">
        <f>SUM(O23,O62,O101,O135,O143,O174,O180,O203)</f>
        <v>764760</v>
      </c>
      <c r="P204" s="42"/>
      <c r="Q204" s="66"/>
      <c r="R204" s="25">
        <f t="shared" si="71"/>
        <v>7.8065100488334512E-3</v>
      </c>
      <c r="S204" s="25"/>
      <c r="T204" s="25"/>
      <c r="U204" s="25"/>
      <c r="V204" s="25"/>
    </row>
    <row r="205" spans="1:22" ht="6.75" customHeight="1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9"/>
    </row>
    <row r="206" spans="1:22" ht="15.75">
      <c r="A206" s="155" t="s">
        <v>197</v>
      </c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</row>
    <row r="207" spans="1:22">
      <c r="A207" s="143">
        <v>1</v>
      </c>
      <c r="B207" s="131" t="s">
        <v>198</v>
      </c>
      <c r="C207" s="132" t="s">
        <v>199</v>
      </c>
      <c r="D207" s="2">
        <v>103175705234</v>
      </c>
      <c r="E207" s="3">
        <f>(D207/$D$209)</f>
        <v>0.93454614666707403</v>
      </c>
      <c r="F207" s="14">
        <v>107.39</v>
      </c>
      <c r="G207" s="14">
        <v>107.39</v>
      </c>
      <c r="H207" s="62">
        <v>0</v>
      </c>
      <c r="I207" s="20">
        <v>0</v>
      </c>
      <c r="J207" s="20">
        <v>0.13800000000000001</v>
      </c>
      <c r="K207" s="2">
        <v>103175705234</v>
      </c>
      <c r="L207" s="3">
        <f>(K207/$K$209)</f>
        <v>0.93401689657948406</v>
      </c>
      <c r="M207" s="14">
        <v>107.39</v>
      </c>
      <c r="N207" s="14">
        <v>107.39</v>
      </c>
      <c r="O207" s="62">
        <v>0</v>
      </c>
      <c r="P207" s="20">
        <v>0</v>
      </c>
      <c r="Q207" s="20">
        <v>0.13800000000000001</v>
      </c>
      <c r="R207" s="77">
        <f>((K207-D207)/D207)</f>
        <v>0</v>
      </c>
      <c r="S207" s="77">
        <f>((N207-G207)/G207)</f>
        <v>0</v>
      </c>
      <c r="T207" s="77" t="e">
        <f>((O207-H207)/H207)</f>
        <v>#DIV/0!</v>
      </c>
      <c r="U207" s="77">
        <f>P207-I207</f>
        <v>0</v>
      </c>
      <c r="V207" s="79">
        <f>Q207-J207</f>
        <v>0</v>
      </c>
    </row>
    <row r="208" spans="1:22">
      <c r="A208" s="140">
        <v>2</v>
      </c>
      <c r="B208" s="131" t="s">
        <v>200</v>
      </c>
      <c r="C208" s="132" t="s">
        <v>45</v>
      </c>
      <c r="D208" s="2">
        <v>7226232221.9099998</v>
      </c>
      <c r="E208" s="3">
        <f>(D208/$D$209)</f>
        <v>6.5453853332925971E-2</v>
      </c>
      <c r="F208" s="21">
        <v>1000000</v>
      </c>
      <c r="G208" s="21">
        <v>1000000</v>
      </c>
      <c r="H208" s="62">
        <v>0</v>
      </c>
      <c r="I208" s="20">
        <v>0.18970000000000001</v>
      </c>
      <c r="J208" s="20">
        <v>0.18970000000000001</v>
      </c>
      <c r="K208" s="2">
        <v>7288790228.3900003</v>
      </c>
      <c r="L208" s="3">
        <f>(K208/$K$209)</f>
        <v>6.5983103420516012E-2</v>
      </c>
      <c r="M208" s="21">
        <v>1000000</v>
      </c>
      <c r="N208" s="21">
        <v>1000000</v>
      </c>
      <c r="O208" s="62">
        <v>0</v>
      </c>
      <c r="P208" s="20">
        <v>0.19719999999999999</v>
      </c>
      <c r="Q208" s="20">
        <v>0.19719999999999999</v>
      </c>
      <c r="R208" s="77">
        <f>((K208-D208)/D208)</f>
        <v>8.6570711484089957E-3</v>
      </c>
      <c r="S208" s="77">
        <f>((N208-G208)/G208)</f>
        <v>0</v>
      </c>
      <c r="T208" s="77" t="e">
        <f>((O208-H208)/H208)</f>
        <v>#DIV/0!</v>
      </c>
      <c r="U208" s="77">
        <f>P208-I208</f>
        <v>7.4999999999999789E-3</v>
      </c>
      <c r="V208" s="79">
        <f>Q208-J208</f>
        <v>7.4999999999999789E-3</v>
      </c>
    </row>
    <row r="209" spans="1:22">
      <c r="A209" s="38"/>
      <c r="B209" s="38"/>
      <c r="C209" s="65" t="s">
        <v>201</v>
      </c>
      <c r="D209" s="70">
        <f>SUM(D207:D208)</f>
        <v>110401937455.91</v>
      </c>
      <c r="E209" s="24"/>
      <c r="F209" s="22"/>
      <c r="G209" s="22"/>
      <c r="H209" s="70">
        <f>SUM(H207:H208)</f>
        <v>0</v>
      </c>
      <c r="I209" s="23"/>
      <c r="J209" s="23"/>
      <c r="K209" s="70">
        <f>SUM(K207:K208)</f>
        <v>110464495462.39</v>
      </c>
      <c r="L209" s="24"/>
      <c r="M209" s="22"/>
      <c r="N209" s="22"/>
      <c r="O209" s="23"/>
      <c r="P209" s="23"/>
      <c r="Q209" s="70"/>
      <c r="R209" s="25">
        <f>((K209-D209)/D209)</f>
        <v>5.6663866524062426E-4</v>
      </c>
      <c r="S209" s="26"/>
      <c r="T209" s="26"/>
      <c r="U209" s="25"/>
      <c r="V209" s="83"/>
    </row>
    <row r="210" spans="1:22" ht="8.25" customHeight="1">
      <c r="A210" s="160"/>
      <c r="B210" s="160"/>
      <c r="C210" s="160"/>
      <c r="D210" s="160"/>
      <c r="E210" s="160"/>
      <c r="F210" s="160"/>
      <c r="G210" s="160"/>
      <c r="H210" s="160"/>
      <c r="I210" s="160"/>
      <c r="J210" s="160"/>
      <c r="K210" s="160"/>
      <c r="L210" s="160"/>
      <c r="M210" s="160"/>
      <c r="N210" s="160"/>
      <c r="O210" s="160"/>
      <c r="P210" s="160"/>
      <c r="Q210" s="160"/>
      <c r="R210" s="160"/>
      <c r="S210" s="160"/>
      <c r="T210" s="160"/>
      <c r="U210" s="160"/>
      <c r="V210" s="160"/>
    </row>
    <row r="211" spans="1:22" ht="15.75">
      <c r="A211" s="155" t="s">
        <v>202</v>
      </c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</row>
    <row r="212" spans="1:22">
      <c r="A212" s="142">
        <v>1</v>
      </c>
      <c r="B212" s="131" t="s">
        <v>203</v>
      </c>
      <c r="C212" s="132" t="s">
        <v>74</v>
      </c>
      <c r="D212" s="27">
        <v>930630494.49764609</v>
      </c>
      <c r="E212" s="10">
        <f t="shared" ref="E212:E223" si="88">(D212/$D$224)</f>
        <v>7.7411057108356163E-2</v>
      </c>
      <c r="F212" s="21">
        <v>215.73</v>
      </c>
      <c r="G212" s="21">
        <v>220.41615705903143</v>
      </c>
      <c r="H212" s="61">
        <v>61</v>
      </c>
      <c r="I212" s="28">
        <v>-1.6311779581046792E-2</v>
      </c>
      <c r="J212" s="28">
        <v>0.23233989061512061</v>
      </c>
      <c r="K212" s="27">
        <v>930630494.49764609</v>
      </c>
      <c r="L212" s="10">
        <f t="shared" ref="L212:L223" si="89">(K212/$K$224)</f>
        <v>7.6339614000341824E-2</v>
      </c>
      <c r="M212" s="21">
        <v>216.13245484960947</v>
      </c>
      <c r="N212" s="21">
        <v>220.91653057381879</v>
      </c>
      <c r="O212" s="61">
        <v>61</v>
      </c>
      <c r="P212" s="28">
        <v>2.2701308355237426E-3</v>
      </c>
      <c r="Q212" s="28">
        <v>0.2346</v>
      </c>
      <c r="R212" s="77">
        <f>((K212-D212)/D212)</f>
        <v>0</v>
      </c>
      <c r="S212" s="77">
        <f>((N212-G212)/G212)</f>
        <v>2.2701308355237613E-3</v>
      </c>
      <c r="T212" s="77">
        <f>((O212-H212)/H212)</f>
        <v>0</v>
      </c>
      <c r="U212" s="77">
        <f>P212-I212</f>
        <v>1.8581910416570535E-2</v>
      </c>
      <c r="V212" s="79">
        <f>Q212-J212</f>
        <v>2.2601093848793885E-3</v>
      </c>
    </row>
    <row r="213" spans="1:22">
      <c r="A213" s="140">
        <v>2</v>
      </c>
      <c r="B213" s="131" t="s">
        <v>204</v>
      </c>
      <c r="C213" s="132" t="s">
        <v>183</v>
      </c>
      <c r="D213" s="27">
        <v>992832473.54999995</v>
      </c>
      <c r="E213" s="10">
        <f t="shared" si="88"/>
        <v>8.2585098772737411E-2</v>
      </c>
      <c r="F213" s="21">
        <v>28.24</v>
      </c>
      <c r="G213" s="21">
        <v>31.75</v>
      </c>
      <c r="H213" s="61">
        <v>212</v>
      </c>
      <c r="I213" s="28">
        <v>-1.8800000000000001E-2</v>
      </c>
      <c r="J213" s="28">
        <v>0.3175</v>
      </c>
      <c r="K213" s="27">
        <v>1029232020.79</v>
      </c>
      <c r="L213" s="10">
        <f t="shared" si="89"/>
        <v>8.4427896623259779E-2</v>
      </c>
      <c r="M213" s="21">
        <v>29.27</v>
      </c>
      <c r="N213" s="21">
        <v>32.36</v>
      </c>
      <c r="O213" s="61">
        <v>212</v>
      </c>
      <c r="P213" s="28">
        <v>3.6700000000000003E-2</v>
      </c>
      <c r="Q213" s="28">
        <v>0.36580000000000001</v>
      </c>
      <c r="R213" s="77">
        <f t="shared" ref="R213:R224" si="90">((K213-D213)/D213)</f>
        <v>3.6662325427218104E-2</v>
      </c>
      <c r="S213" s="77">
        <f t="shared" ref="S213:S224" si="91">((N213-G213)/G213)</f>
        <v>1.9212598425196833E-2</v>
      </c>
      <c r="T213" s="77">
        <f t="shared" ref="T213:T224" si="92">((O213-H213)/H213)</f>
        <v>0</v>
      </c>
      <c r="U213" s="77">
        <f t="shared" ref="U213:U224" si="93">P213-I213</f>
        <v>5.5500000000000008E-2</v>
      </c>
      <c r="V213" s="79">
        <f t="shared" ref="V213:V224" si="94">Q213-J213</f>
        <v>4.830000000000001E-2</v>
      </c>
    </row>
    <row r="214" spans="1:22">
      <c r="A214" s="147">
        <v>3</v>
      </c>
      <c r="B214" s="131" t="s">
        <v>205</v>
      </c>
      <c r="C214" s="132" t="s">
        <v>36</v>
      </c>
      <c r="D214" s="27">
        <v>278490260.41000003</v>
      </c>
      <c r="E214" s="10">
        <f t="shared" si="88"/>
        <v>2.3165182723092061E-2</v>
      </c>
      <c r="F214" s="21">
        <v>20.472591999999999</v>
      </c>
      <c r="G214" s="21">
        <v>21.23</v>
      </c>
      <c r="H214" s="61">
        <v>143</v>
      </c>
      <c r="I214" s="28">
        <v>-5.4502232259497463E-2</v>
      </c>
      <c r="J214" s="28">
        <v>-0.1071</v>
      </c>
      <c r="K214" s="27">
        <v>280652279.07999998</v>
      </c>
      <c r="L214" s="10">
        <f t="shared" si="89"/>
        <v>2.3021904805353013E-2</v>
      </c>
      <c r="M214" s="21">
        <v>21.26</v>
      </c>
      <c r="N214" s="21">
        <v>21.44</v>
      </c>
      <c r="O214" s="61">
        <v>143</v>
      </c>
      <c r="P214" s="28">
        <v>-5.4502232259497463E-2</v>
      </c>
      <c r="Q214" s="28">
        <v>-9.8500000000000004E-2</v>
      </c>
      <c r="R214" s="77">
        <f t="shared" si="90"/>
        <v>7.7633546926092903E-3</v>
      </c>
      <c r="S214" s="77">
        <f t="shared" si="91"/>
        <v>9.8916627414037134E-3</v>
      </c>
      <c r="T214" s="77">
        <f t="shared" si="92"/>
        <v>0</v>
      </c>
      <c r="U214" s="77">
        <f t="shared" si="93"/>
        <v>0</v>
      </c>
      <c r="V214" s="79">
        <f t="shared" si="94"/>
        <v>8.5999999999999965E-3</v>
      </c>
    </row>
    <row r="215" spans="1:22">
      <c r="A215" s="147">
        <v>4</v>
      </c>
      <c r="B215" s="131" t="s">
        <v>206</v>
      </c>
      <c r="C215" s="132" t="s">
        <v>36</v>
      </c>
      <c r="D215" s="27">
        <v>615785934.97000003</v>
      </c>
      <c r="E215" s="10">
        <f t="shared" si="88"/>
        <v>5.1221876416393038E-2</v>
      </c>
      <c r="F215" s="21">
        <v>46.08</v>
      </c>
      <c r="G215" s="21">
        <v>46.34</v>
      </c>
      <c r="H215" s="61">
        <v>122</v>
      </c>
      <c r="I215" s="28">
        <v>-5.3036812573749037E-3</v>
      </c>
      <c r="J215" s="28">
        <v>0.22</v>
      </c>
      <c r="K215" s="27">
        <v>637912828.62</v>
      </c>
      <c r="L215" s="10">
        <f t="shared" si="89"/>
        <v>5.2327985586808193E-2</v>
      </c>
      <c r="M215" s="21">
        <v>47.9</v>
      </c>
      <c r="N215" s="21">
        <v>48.18</v>
      </c>
      <c r="O215" s="61">
        <v>122</v>
      </c>
      <c r="P215" s="28">
        <v>-5.3036812573749037E-3</v>
      </c>
      <c r="Q215" s="28">
        <v>0.26829999999999998</v>
      </c>
      <c r="R215" s="77">
        <f t="shared" si="90"/>
        <v>3.5932768829931065E-2</v>
      </c>
      <c r="S215" s="77">
        <f t="shared" si="91"/>
        <v>3.9706517047906696E-2</v>
      </c>
      <c r="T215" s="77">
        <f t="shared" si="92"/>
        <v>0</v>
      </c>
      <c r="U215" s="77">
        <f t="shared" si="93"/>
        <v>0</v>
      </c>
      <c r="V215" s="79">
        <f t="shared" si="94"/>
        <v>4.8299999999999982E-2</v>
      </c>
    </row>
    <row r="216" spans="1:22">
      <c r="A216" s="143">
        <v>5</v>
      </c>
      <c r="B216" s="131" t="s">
        <v>207</v>
      </c>
      <c r="C216" s="132" t="s">
        <v>208</v>
      </c>
      <c r="D216" s="27">
        <v>1231856112.54</v>
      </c>
      <c r="E216" s="10">
        <f t="shared" si="88"/>
        <v>0.10246739650261134</v>
      </c>
      <c r="F216" s="21">
        <v>34800</v>
      </c>
      <c r="G216" s="21">
        <v>40450</v>
      </c>
      <c r="H216" s="61">
        <v>226</v>
      </c>
      <c r="I216" s="28">
        <v>0</v>
      </c>
      <c r="J216" s="28">
        <v>1.1100000000000001</v>
      </c>
      <c r="K216" s="27">
        <v>1245592209.52</v>
      </c>
      <c r="L216" s="10">
        <f t="shared" si="89"/>
        <v>0.10217592163463134</v>
      </c>
      <c r="M216" s="21">
        <v>34490</v>
      </c>
      <c r="N216" s="21">
        <v>40070</v>
      </c>
      <c r="O216" s="61">
        <v>226</v>
      </c>
      <c r="P216" s="28">
        <v>0.01</v>
      </c>
      <c r="Q216" s="28">
        <v>1.1299999999999999</v>
      </c>
      <c r="R216" s="77">
        <f t="shared" si="90"/>
        <v>1.1150731680567108E-2</v>
      </c>
      <c r="S216" s="77">
        <f t="shared" si="91"/>
        <v>-9.3943139678615579E-3</v>
      </c>
      <c r="T216" s="77">
        <f t="shared" si="92"/>
        <v>0</v>
      </c>
      <c r="U216" s="77">
        <f t="shared" si="93"/>
        <v>0.01</v>
      </c>
      <c r="V216" s="79">
        <f t="shared" si="94"/>
        <v>1.9999999999999796E-2</v>
      </c>
    </row>
    <row r="217" spans="1:22">
      <c r="A217" s="143">
        <v>6</v>
      </c>
      <c r="B217" s="131" t="s">
        <v>209</v>
      </c>
      <c r="C217" s="132" t="s">
        <v>210</v>
      </c>
      <c r="D217" s="27">
        <v>1055829943.16</v>
      </c>
      <c r="E217" s="10">
        <f t="shared" si="88"/>
        <v>8.7825310378197519E-2</v>
      </c>
      <c r="F217" s="21">
        <v>1068.18</v>
      </c>
      <c r="G217" s="21">
        <v>1068.18</v>
      </c>
      <c r="H217" s="61">
        <v>122</v>
      </c>
      <c r="I217" s="28">
        <v>-1.8E-3</v>
      </c>
      <c r="J217" s="28">
        <v>0.12239999999999999</v>
      </c>
      <c r="K217" s="27">
        <v>1060105040.4</v>
      </c>
      <c r="L217" s="10">
        <f t="shared" si="89"/>
        <v>8.6960410240626895E-2</v>
      </c>
      <c r="M217" s="21">
        <v>1057.19</v>
      </c>
      <c r="N217" s="21">
        <v>1057.19</v>
      </c>
      <c r="O217" s="61">
        <v>126</v>
      </c>
      <c r="P217" s="28">
        <v>3.8999999999999998E-3</v>
      </c>
      <c r="Q217" s="28">
        <v>0.12659999999999999</v>
      </c>
      <c r="R217" s="77">
        <f t="shared" si="90"/>
        <v>4.0490395898463011E-3</v>
      </c>
      <c r="S217" s="77">
        <f t="shared" si="91"/>
        <v>-1.0288528150686222E-2</v>
      </c>
      <c r="T217" s="77">
        <f t="shared" si="92"/>
        <v>3.2786885245901641E-2</v>
      </c>
      <c r="U217" s="77">
        <f t="shared" si="93"/>
        <v>5.7000000000000002E-3</v>
      </c>
      <c r="V217" s="79">
        <f t="shared" si="94"/>
        <v>4.1999999999999954E-3</v>
      </c>
    </row>
    <row r="218" spans="1:22">
      <c r="A218" s="143">
        <v>7</v>
      </c>
      <c r="B218" s="131" t="s">
        <v>211</v>
      </c>
      <c r="C218" s="132" t="s">
        <v>210</v>
      </c>
      <c r="D218" s="27">
        <v>850801781.99000001</v>
      </c>
      <c r="E218" s="10">
        <f t="shared" si="88"/>
        <v>7.0770800788202276E-2</v>
      </c>
      <c r="F218" s="21">
        <v>588.02</v>
      </c>
      <c r="G218" s="21">
        <v>588.02</v>
      </c>
      <c r="H218" s="61">
        <v>572</v>
      </c>
      <c r="I218" s="28">
        <v>-1.4200000000000001E-2</v>
      </c>
      <c r="J218" s="28">
        <v>0.27450000000000002</v>
      </c>
      <c r="K218" s="27">
        <v>861734719.69000006</v>
      </c>
      <c r="L218" s="10">
        <f t="shared" si="89"/>
        <v>7.0688093997325771E-2</v>
      </c>
      <c r="M218" s="21">
        <v>589.99</v>
      </c>
      <c r="N218" s="21">
        <v>589.99</v>
      </c>
      <c r="O218" s="61">
        <v>572</v>
      </c>
      <c r="P218" s="28">
        <v>1.2800000000000001E-2</v>
      </c>
      <c r="Q218" s="28">
        <v>0.29070000000000001</v>
      </c>
      <c r="R218" s="77">
        <f t="shared" si="90"/>
        <v>1.2850158440463338E-2</v>
      </c>
      <c r="S218" s="77">
        <f t="shared" si="91"/>
        <v>3.350226182782945E-3</v>
      </c>
      <c r="T218" s="77">
        <f t="shared" si="92"/>
        <v>0</v>
      </c>
      <c r="U218" s="77">
        <f t="shared" si="93"/>
        <v>2.7000000000000003E-2</v>
      </c>
      <c r="V218" s="79">
        <f t="shared" si="94"/>
        <v>1.6199999999999992E-2</v>
      </c>
    </row>
    <row r="219" spans="1:22">
      <c r="A219" s="140">
        <v>8</v>
      </c>
      <c r="B219" s="131" t="s">
        <v>212</v>
      </c>
      <c r="C219" s="132" t="s">
        <v>213</v>
      </c>
      <c r="D219" s="27">
        <v>49562163.060000002</v>
      </c>
      <c r="E219" s="10">
        <f t="shared" si="88"/>
        <v>4.1226453009390665E-3</v>
      </c>
      <c r="F219" s="21">
        <v>15.17</v>
      </c>
      <c r="G219" s="21">
        <v>15.27</v>
      </c>
      <c r="H219" s="61">
        <v>61</v>
      </c>
      <c r="I219" s="28">
        <v>0</v>
      </c>
      <c r="J219" s="28">
        <v>0.43230000000000002</v>
      </c>
      <c r="K219" s="27">
        <v>51166340.490000002</v>
      </c>
      <c r="L219" s="10">
        <f t="shared" si="89"/>
        <v>4.1971746100208417E-3</v>
      </c>
      <c r="M219" s="21">
        <v>15.7</v>
      </c>
      <c r="N219" s="21">
        <v>15.8</v>
      </c>
      <c r="O219" s="61">
        <v>61</v>
      </c>
      <c r="P219" s="28">
        <v>1.0500000000000001E-2</v>
      </c>
      <c r="Q219" s="28">
        <v>0.43230000000000002</v>
      </c>
      <c r="R219" s="77">
        <f t="shared" si="90"/>
        <v>3.2366977770077972E-2</v>
      </c>
      <c r="S219" s="77">
        <f t="shared" si="91"/>
        <v>3.4708578912901189E-2</v>
      </c>
      <c r="T219" s="77">
        <f t="shared" si="92"/>
        <v>0</v>
      </c>
      <c r="U219" s="77">
        <f t="shared" si="93"/>
        <v>1.0500000000000001E-2</v>
      </c>
      <c r="V219" s="79">
        <f t="shared" si="94"/>
        <v>0</v>
      </c>
    </row>
    <row r="220" spans="1:22">
      <c r="A220" s="140">
        <v>9</v>
      </c>
      <c r="B220" s="131" t="s">
        <v>214</v>
      </c>
      <c r="C220" s="132" t="s">
        <v>213</v>
      </c>
      <c r="D220" s="29">
        <v>525378736.17000002</v>
      </c>
      <c r="E220" s="10">
        <f t="shared" si="88"/>
        <v>4.370168782307695E-2</v>
      </c>
      <c r="F220" s="21">
        <v>8.36</v>
      </c>
      <c r="G220" s="21">
        <v>8.4600000000000009</v>
      </c>
      <c r="H220" s="61">
        <v>101</v>
      </c>
      <c r="I220" s="28">
        <v>0</v>
      </c>
      <c r="J220" s="28">
        <v>-3.1699999999999999E-2</v>
      </c>
      <c r="K220" s="29">
        <v>535145599.89999998</v>
      </c>
      <c r="L220" s="10">
        <f t="shared" si="89"/>
        <v>4.3897990418205336E-2</v>
      </c>
      <c r="M220" s="21">
        <v>8.52</v>
      </c>
      <c r="N220" s="21">
        <v>8.6199999999999992</v>
      </c>
      <c r="O220" s="61">
        <v>102</v>
      </c>
      <c r="P220" s="28">
        <v>0</v>
      </c>
      <c r="Q220" s="28">
        <v>-3.1699999999999999E-2</v>
      </c>
      <c r="R220" s="77">
        <f t="shared" si="90"/>
        <v>1.8590138994204811E-2</v>
      </c>
      <c r="S220" s="77">
        <f t="shared" si="91"/>
        <v>1.8912529550827228E-2</v>
      </c>
      <c r="T220" s="77">
        <f t="shared" si="92"/>
        <v>9.9009900990099011E-3</v>
      </c>
      <c r="U220" s="77">
        <f t="shared" si="93"/>
        <v>0</v>
      </c>
      <c r="V220" s="79">
        <f t="shared" si="94"/>
        <v>0</v>
      </c>
    </row>
    <row r="221" spans="1:22" ht="15" customHeight="1">
      <c r="A221" s="140">
        <v>10</v>
      </c>
      <c r="B221" s="131" t="s">
        <v>215</v>
      </c>
      <c r="C221" s="132" t="s">
        <v>213</v>
      </c>
      <c r="D221" s="27">
        <v>431526499.05000001</v>
      </c>
      <c r="E221" s="10">
        <f t="shared" si="88"/>
        <v>3.5894936453549714E-2</v>
      </c>
      <c r="F221" s="21">
        <v>121.58</v>
      </c>
      <c r="G221" s="21">
        <v>123.58</v>
      </c>
      <c r="H221" s="61">
        <v>265</v>
      </c>
      <c r="I221" s="28">
        <v>8.1600000000000006E-2</v>
      </c>
      <c r="J221" s="28">
        <v>0.35199999999999998</v>
      </c>
      <c r="K221" s="27">
        <v>436601484.73000002</v>
      </c>
      <c r="L221" s="10">
        <f t="shared" si="89"/>
        <v>3.5814417229317046E-2</v>
      </c>
      <c r="M221" s="21">
        <v>123.02</v>
      </c>
      <c r="N221" s="21">
        <v>125.02</v>
      </c>
      <c r="O221" s="61">
        <v>203</v>
      </c>
      <c r="P221" s="28">
        <v>1.4500000000000001E-2</v>
      </c>
      <c r="Q221" s="28">
        <v>0.37159999999999999</v>
      </c>
      <c r="R221" s="77">
        <f t="shared" si="90"/>
        <v>1.176054237960478E-2</v>
      </c>
      <c r="S221" s="77">
        <f t="shared" si="91"/>
        <v>1.1652370933808042E-2</v>
      </c>
      <c r="T221" s="77">
        <f t="shared" si="92"/>
        <v>-0.2339622641509434</v>
      </c>
      <c r="U221" s="77">
        <f t="shared" si="93"/>
        <v>-6.7100000000000007E-2</v>
      </c>
      <c r="V221" s="79">
        <f t="shared" si="94"/>
        <v>1.9600000000000006E-2</v>
      </c>
    </row>
    <row r="222" spans="1:22">
      <c r="A222" s="140">
        <v>11</v>
      </c>
      <c r="B222" s="131" t="s">
        <v>216</v>
      </c>
      <c r="C222" s="132" t="s">
        <v>213</v>
      </c>
      <c r="D222" s="27">
        <v>4993555743.0200005</v>
      </c>
      <c r="E222" s="10">
        <f t="shared" si="88"/>
        <v>0.41537047311709269</v>
      </c>
      <c r="F222" s="21">
        <v>35.76</v>
      </c>
      <c r="G222" s="21">
        <v>35.96</v>
      </c>
      <c r="H222" s="61">
        <v>279</v>
      </c>
      <c r="I222" s="28">
        <v>8.3999999999999995E-3</v>
      </c>
      <c r="J222" s="28">
        <v>0.31850000000000001</v>
      </c>
      <c r="K222" s="27">
        <v>5056012301.71</v>
      </c>
      <c r="L222" s="10">
        <f t="shared" si="89"/>
        <v>0.41474465942776767</v>
      </c>
      <c r="M222" s="21">
        <v>36.14</v>
      </c>
      <c r="N222" s="21">
        <v>36.340000000000003</v>
      </c>
      <c r="O222" s="61">
        <v>282</v>
      </c>
      <c r="P222" s="28">
        <v>0</v>
      </c>
      <c r="Q222" s="28">
        <v>0.31850000000000001</v>
      </c>
      <c r="R222" s="77">
        <f t="shared" si="90"/>
        <v>1.2507431959140829E-2</v>
      </c>
      <c r="S222" s="77">
        <f t="shared" si="91"/>
        <v>1.056729699666303E-2</v>
      </c>
      <c r="T222" s="77">
        <f t="shared" si="92"/>
        <v>1.0752688172043012E-2</v>
      </c>
      <c r="U222" s="77">
        <f t="shared" si="93"/>
        <v>-8.3999999999999995E-3</v>
      </c>
      <c r="V222" s="79">
        <f t="shared" si="94"/>
        <v>0</v>
      </c>
    </row>
    <row r="223" spans="1:22">
      <c r="A223" s="140">
        <v>12</v>
      </c>
      <c r="B223" s="131" t="s">
        <v>217</v>
      </c>
      <c r="C223" s="132" t="s">
        <v>213</v>
      </c>
      <c r="D223" s="29">
        <v>65682243.740000002</v>
      </c>
      <c r="E223" s="10">
        <f t="shared" si="88"/>
        <v>5.4635346157518054E-3</v>
      </c>
      <c r="F223" s="21">
        <v>38.42</v>
      </c>
      <c r="G223" s="21">
        <v>38.619999999999997</v>
      </c>
      <c r="H223" s="61">
        <v>57</v>
      </c>
      <c r="I223" s="28">
        <v>0</v>
      </c>
      <c r="J223" s="28">
        <v>0.81130000000000002</v>
      </c>
      <c r="K223" s="29">
        <v>65877505.950000003</v>
      </c>
      <c r="L223" s="10">
        <f t="shared" si="89"/>
        <v>5.4039314263422114E-3</v>
      </c>
      <c r="M223" s="21">
        <v>38.450000000000003</v>
      </c>
      <c r="N223" s="21">
        <v>38.65</v>
      </c>
      <c r="O223" s="61">
        <v>58</v>
      </c>
      <c r="P223" s="28">
        <v>0</v>
      </c>
      <c r="Q223" s="28">
        <v>0.81130000000000002</v>
      </c>
      <c r="R223" s="77">
        <f t="shared" si="90"/>
        <v>2.9728309948261959E-3</v>
      </c>
      <c r="S223" s="77">
        <f t="shared" si="91"/>
        <v>7.767995857069171E-4</v>
      </c>
      <c r="T223" s="77">
        <f t="shared" si="92"/>
        <v>1.7543859649122806E-2</v>
      </c>
      <c r="U223" s="77">
        <f t="shared" si="93"/>
        <v>0</v>
      </c>
      <c r="V223" s="79">
        <f t="shared" si="94"/>
        <v>0</v>
      </c>
    </row>
    <row r="224" spans="1:22">
      <c r="A224" s="127"/>
      <c r="B224" s="127"/>
      <c r="C224" s="128" t="s">
        <v>218</v>
      </c>
      <c r="D224" s="70">
        <f>SUM(D212:D223)</f>
        <v>12021932386.157646</v>
      </c>
      <c r="E224" s="24"/>
      <c r="F224" s="24"/>
      <c r="G224" s="22"/>
      <c r="H224" s="70">
        <f>SUM(H212:H223)</f>
        <v>2221</v>
      </c>
      <c r="I224" s="23"/>
      <c r="J224" s="23"/>
      <c r="K224" s="70">
        <f>SUM(K212:K223)</f>
        <v>12190662825.377647</v>
      </c>
      <c r="L224" s="24"/>
      <c r="M224" s="24"/>
      <c r="N224" s="22"/>
      <c r="O224" s="70">
        <f>SUM(O212:O223)</f>
        <v>2168</v>
      </c>
      <c r="P224" s="23"/>
      <c r="Q224" s="23"/>
      <c r="R224" s="77">
        <f t="shared" si="90"/>
        <v>1.4035217783646968E-2</v>
      </c>
      <c r="S224" s="77" t="e">
        <f t="shared" si="91"/>
        <v>#DIV/0!</v>
      </c>
      <c r="T224" s="77">
        <f t="shared" si="92"/>
        <v>-2.3863124718595228E-2</v>
      </c>
      <c r="U224" s="77">
        <f t="shared" si="93"/>
        <v>0</v>
      </c>
      <c r="V224" s="79">
        <f t="shared" si="94"/>
        <v>0</v>
      </c>
    </row>
    <row r="225" spans="1:22">
      <c r="A225" s="84"/>
      <c r="B225" s="84"/>
      <c r="C225" s="85" t="s">
        <v>219</v>
      </c>
      <c r="D225" s="86">
        <f>SUM(D204,D209,D224)</f>
        <v>3442579323189.5234</v>
      </c>
      <c r="E225" s="87"/>
      <c r="F225" s="87"/>
      <c r="G225" s="88"/>
      <c r="H225" s="86">
        <f>SUM(H204,H209,H224)</f>
        <v>764389</v>
      </c>
      <c r="I225" s="89"/>
      <c r="J225" s="89"/>
      <c r="K225" s="86">
        <f>SUM(K204,K209,K224)</f>
        <v>3468729438545.4692</v>
      </c>
      <c r="L225" s="87"/>
      <c r="M225" s="87"/>
      <c r="N225" s="88"/>
      <c r="O225" s="86">
        <f>SUM(O204,O209,O224)</f>
        <v>766928</v>
      </c>
      <c r="P225" s="90"/>
      <c r="Q225" s="86"/>
      <c r="R225" s="91"/>
      <c r="S225" s="92"/>
      <c r="T225" s="92"/>
      <c r="U225" s="93"/>
      <c r="V225" s="93"/>
    </row>
    <row r="226" spans="1:22">
      <c r="A226" s="105" t="s">
        <v>248</v>
      </c>
      <c r="B226" s="106" t="s">
        <v>290</v>
      </c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</row>
    <row r="228" spans="1:22">
      <c r="B228" s="109"/>
      <c r="C228" s="109"/>
      <c r="D228" s="108"/>
      <c r="K228" s="108"/>
    </row>
    <row r="229" spans="1:22">
      <c r="B229" s="121"/>
      <c r="C229" s="122"/>
      <c r="D229" s="123"/>
      <c r="F229" s="124"/>
      <c r="G229" s="124"/>
      <c r="I229" s="125"/>
      <c r="J229" s="126"/>
    </row>
    <row r="232" spans="1:22">
      <c r="B232" s="109"/>
    </row>
  </sheetData>
  <sheetProtection password="CA3B" sheet="1" objects="1" scenarios="1"/>
  <mergeCells count="33">
    <mergeCell ref="A210:V210"/>
    <mergeCell ref="A211:V211"/>
    <mergeCell ref="A183:V183"/>
    <mergeCell ref="A186:V186"/>
    <mergeCell ref="A187:V187"/>
    <mergeCell ref="A205:U205"/>
    <mergeCell ref="A206:V206"/>
    <mergeCell ref="A201:V201"/>
    <mergeCell ref="A200:V200"/>
    <mergeCell ref="A182:V182"/>
    <mergeCell ref="A103:V103"/>
    <mergeCell ref="A104:V104"/>
    <mergeCell ref="A120:V120"/>
    <mergeCell ref="A121:V121"/>
    <mergeCell ref="A136:V136"/>
    <mergeCell ref="A137:V137"/>
    <mergeCell ref="A144:V144"/>
    <mergeCell ref="A145:V145"/>
    <mergeCell ref="A175:V175"/>
    <mergeCell ref="A176:V176"/>
    <mergeCell ref="A181:V181"/>
    <mergeCell ref="A102:V102"/>
    <mergeCell ref="A1:V1"/>
    <mergeCell ref="U2:V2"/>
    <mergeCell ref="A4:V4"/>
    <mergeCell ref="A5:V5"/>
    <mergeCell ref="A24:V24"/>
    <mergeCell ref="A25:V25"/>
    <mergeCell ref="A63:V63"/>
    <mergeCell ref="A64:V64"/>
    <mergeCell ref="R2:T2"/>
    <mergeCell ref="K2:Q2"/>
    <mergeCell ref="D2:J2"/>
  </mergeCells>
  <pageMargins left="0.7" right="0.7" top="0.75" bottom="0.75" header="0.3" footer="0.3"/>
  <pageSetup paperSize="9" orientation="portrait" horizontalDpi="300" verticalDpi="300" r:id="rId1"/>
  <ignoredErrors>
    <ignoredError sqref="L87 E87 E69 L44" formula="1"/>
    <ignoredError sqref="S143 S23 T35 S62 S101 S135 T153 S174 S180 S203 S224 T207:T20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E29"/>
  <sheetViews>
    <sheetView workbookViewId="0">
      <selection activeCell="F6" sqref="F6"/>
    </sheetView>
  </sheetViews>
  <sheetFormatPr defaultRowHeight="15"/>
  <cols>
    <col min="1" max="1" width="34" customWidth="1"/>
    <col min="2" max="2" width="16.85546875" customWidth="1"/>
    <col min="3" max="3" width="17.42578125" customWidth="1"/>
  </cols>
  <sheetData>
    <row r="1" spans="1:5">
      <c r="A1" s="95"/>
      <c r="B1" s="95"/>
      <c r="C1" s="95"/>
      <c r="D1" s="95"/>
    </row>
    <row r="2" spans="1:5" ht="33">
      <c r="A2" s="165" t="s">
        <v>220</v>
      </c>
      <c r="B2" s="171" t="s">
        <v>286</v>
      </c>
      <c r="C2" s="171" t="s">
        <v>292</v>
      </c>
      <c r="D2" s="95"/>
    </row>
    <row r="3" spans="1:5" ht="16.5">
      <c r="A3" s="172" t="s">
        <v>15</v>
      </c>
      <c r="B3" s="168">
        <f t="shared" ref="B3:C10" si="0">B13</f>
        <v>27.464171302260002</v>
      </c>
      <c r="C3" s="168">
        <f t="shared" si="0"/>
        <v>28.027790368799899</v>
      </c>
      <c r="D3" s="95"/>
    </row>
    <row r="4" spans="1:5" ht="17.25" customHeight="1">
      <c r="A4" s="167" t="s">
        <v>47</v>
      </c>
      <c r="B4" s="170">
        <f t="shared" si="0"/>
        <v>1261.9333830539299</v>
      </c>
      <c r="C4" s="170">
        <f t="shared" si="0"/>
        <v>1275.7036996293593</v>
      </c>
      <c r="D4" s="95"/>
    </row>
    <row r="5" spans="1:5" ht="19.5" customHeight="1">
      <c r="A5" s="167" t="s">
        <v>221</v>
      </c>
      <c r="B5" s="168">
        <f t="shared" si="0"/>
        <v>216.79604916953281</v>
      </c>
      <c r="C5" s="168">
        <f t="shared" si="0"/>
        <v>218.57098019258581</v>
      </c>
      <c r="D5" s="95"/>
    </row>
    <row r="6" spans="1:5" ht="16.5">
      <c r="A6" s="167" t="s">
        <v>128</v>
      </c>
      <c r="B6" s="170">
        <f t="shared" si="0"/>
        <v>1610.2141655640437</v>
      </c>
      <c r="C6" s="170">
        <f t="shared" si="0"/>
        <v>1619.6847317934423</v>
      </c>
      <c r="D6" s="95"/>
    </row>
    <row r="7" spans="1:5" ht="16.5">
      <c r="A7" s="167" t="s">
        <v>222</v>
      </c>
      <c r="B7" s="168">
        <f t="shared" si="0"/>
        <v>97.725390745223066</v>
      </c>
      <c r="C7" s="168">
        <f t="shared" si="0"/>
        <v>97.021700017900898</v>
      </c>
      <c r="D7" s="95"/>
    </row>
    <row r="8" spans="1:5" ht="16.5">
      <c r="A8" s="167" t="s">
        <v>152</v>
      </c>
      <c r="B8" s="169">
        <f t="shared" si="0"/>
        <v>49.723971071591237</v>
      </c>
      <c r="C8" s="169">
        <f t="shared" si="0"/>
        <v>50.541815917121063</v>
      </c>
      <c r="D8" s="95"/>
    </row>
    <row r="9" spans="1:5" ht="16.5">
      <c r="A9" s="167" t="s">
        <v>176</v>
      </c>
      <c r="B9" s="168">
        <f t="shared" si="0"/>
        <v>5.2649549563800004</v>
      </c>
      <c r="C9" s="168">
        <f t="shared" si="0"/>
        <v>5.2847179959899995</v>
      </c>
      <c r="D9" s="95"/>
    </row>
    <row r="10" spans="1:5" ht="16.5">
      <c r="A10" s="167" t="s">
        <v>223</v>
      </c>
      <c r="B10" s="168">
        <f t="shared" si="0"/>
        <v>51.033367484494462</v>
      </c>
      <c r="C10" s="168">
        <f t="shared" si="0"/>
        <v>51.238844342502098</v>
      </c>
      <c r="D10" s="95"/>
    </row>
    <row r="11" spans="1:5" ht="16.5">
      <c r="A11" s="173"/>
      <c r="B11" s="174"/>
      <c r="C11" s="174"/>
      <c r="D11" s="95"/>
    </row>
    <row r="12" spans="1:5">
      <c r="A12" s="95"/>
      <c r="B12" s="95"/>
      <c r="C12" s="95"/>
      <c r="D12" s="95"/>
    </row>
    <row r="13" spans="1:5">
      <c r="A13" s="175" t="s">
        <v>15</v>
      </c>
      <c r="B13" s="176">
        <f>'Weekly Valuation'!D23/1000000000</f>
        <v>27.464171302260002</v>
      </c>
      <c r="C13" s="177">
        <f>'Weekly Valuation'!K23/1000000000</f>
        <v>28.027790368799899</v>
      </c>
      <c r="D13" s="95"/>
      <c r="E13" s="97"/>
    </row>
    <row r="14" spans="1:5">
      <c r="A14" s="178" t="s">
        <v>47</v>
      </c>
      <c r="B14" s="176">
        <f>'Weekly Valuation'!D62/1000000000</f>
        <v>1261.9333830539299</v>
      </c>
      <c r="C14" s="179">
        <f>'Weekly Valuation'!K62/1000000000</f>
        <v>1275.7036996293593</v>
      </c>
      <c r="D14" s="95"/>
      <c r="E14" s="97"/>
    </row>
    <row r="15" spans="1:5">
      <c r="A15" s="178" t="s">
        <v>221</v>
      </c>
      <c r="B15" s="176">
        <f>'Weekly Valuation'!D101/1000000000</f>
        <v>216.79604916953281</v>
      </c>
      <c r="C15" s="177">
        <f>'Weekly Valuation'!K101/1000000000</f>
        <v>218.57098019258581</v>
      </c>
      <c r="D15" s="95"/>
      <c r="E15" s="97"/>
    </row>
    <row r="16" spans="1:5">
      <c r="A16" s="178" t="s">
        <v>128</v>
      </c>
      <c r="B16" s="176">
        <f>'Weekly Valuation'!D135/1000000000</f>
        <v>1610.2141655640437</v>
      </c>
      <c r="C16" s="179">
        <f>'Weekly Valuation'!K135/1000000000</f>
        <v>1619.6847317934423</v>
      </c>
      <c r="D16" s="95"/>
      <c r="E16" s="97"/>
    </row>
    <row r="17" spans="1:5">
      <c r="A17" s="178" t="s">
        <v>222</v>
      </c>
      <c r="B17" s="176">
        <f>'Weekly Valuation'!D143/1000000000</f>
        <v>97.725390745223066</v>
      </c>
      <c r="C17" s="177">
        <f>'Weekly Valuation'!K143/1000000000</f>
        <v>97.021700017900898</v>
      </c>
      <c r="D17" s="95"/>
      <c r="E17" s="97"/>
    </row>
    <row r="18" spans="1:5">
      <c r="A18" s="178" t="s">
        <v>152</v>
      </c>
      <c r="B18" s="176">
        <f>'Weekly Valuation'!D174/1000000000</f>
        <v>49.723971071591237</v>
      </c>
      <c r="C18" s="180">
        <f>'Weekly Valuation'!K174/1000000000</f>
        <v>50.541815917121063</v>
      </c>
      <c r="D18" s="95"/>
      <c r="E18" s="97"/>
    </row>
    <row r="19" spans="1:5">
      <c r="A19" s="178" t="s">
        <v>176</v>
      </c>
      <c r="B19" s="176">
        <f>'Weekly Valuation'!D180/1000000000</f>
        <v>5.2649549563800004</v>
      </c>
      <c r="C19" s="177">
        <f>'Weekly Valuation'!K180/1000000000</f>
        <v>5.2847179959899995</v>
      </c>
      <c r="D19" s="95"/>
      <c r="E19" s="97"/>
    </row>
    <row r="20" spans="1:5">
      <c r="A20" s="178" t="s">
        <v>223</v>
      </c>
      <c r="B20" s="176">
        <f>'Weekly Valuation'!D203/1000000000</f>
        <v>51.033367484494462</v>
      </c>
      <c r="C20" s="177">
        <f>'Weekly Valuation'!K203/1000000000</f>
        <v>51.238844342502098</v>
      </c>
      <c r="D20" s="95"/>
      <c r="E20" s="97"/>
    </row>
    <row r="21" spans="1:5" ht="16.5">
      <c r="A21" s="173"/>
      <c r="B21" s="95"/>
      <c r="C21" s="181"/>
      <c r="D21" s="95"/>
      <c r="E21" s="97"/>
    </row>
    <row r="22" spans="1:5" ht="16.5">
      <c r="A22" s="173"/>
      <c r="B22" s="95"/>
      <c r="C22" s="174"/>
      <c r="D22" s="95"/>
      <c r="E22" s="97"/>
    </row>
    <row r="23" spans="1:5" ht="16.5">
      <c r="A23" s="173"/>
      <c r="B23" s="174"/>
      <c r="C23" s="182"/>
      <c r="D23" s="95"/>
      <c r="E23" s="97"/>
    </row>
    <row r="24" spans="1:5" ht="16.5">
      <c r="A24" s="111"/>
      <c r="B24" s="102"/>
      <c r="C24" s="102"/>
      <c r="D24" s="97"/>
      <c r="E24" s="97"/>
    </row>
    <row r="25" spans="1:5" ht="16.5">
      <c r="A25" s="111"/>
      <c r="B25" s="102"/>
      <c r="C25" s="102"/>
      <c r="D25" s="97"/>
      <c r="E25" s="97"/>
    </row>
    <row r="26" spans="1:5" ht="16.5">
      <c r="A26" s="111"/>
      <c r="B26" s="102"/>
      <c r="C26" s="102"/>
      <c r="D26" s="97"/>
      <c r="E26" s="97"/>
    </row>
    <row r="27" spans="1:5" ht="16.5">
      <c r="A27" s="111"/>
      <c r="B27" s="102"/>
      <c r="C27" s="102"/>
      <c r="D27" s="97"/>
      <c r="E27" s="97"/>
    </row>
    <row r="28" spans="1:5">
      <c r="A28" s="97"/>
      <c r="B28" s="97"/>
      <c r="C28" s="97"/>
      <c r="D28" s="97"/>
    </row>
    <row r="29" spans="1:5">
      <c r="B29" s="97"/>
      <c r="C29" s="97"/>
    </row>
  </sheetData>
  <sheetProtection password="CA3B" sheet="1" objects="1" scenarios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Q33"/>
  <sheetViews>
    <sheetView zoomScale="85" zoomScaleNormal="85" workbookViewId="0">
      <selection activeCell="F9" sqref="F9"/>
    </sheetView>
  </sheetViews>
  <sheetFormatPr defaultRowHeight="15"/>
  <cols>
    <col min="1" max="1" width="26.7109375" customWidth="1"/>
    <col min="2" max="2" width="17.42578125" customWidth="1"/>
  </cols>
  <sheetData>
    <row r="1" spans="1:6" ht="16.5">
      <c r="A1" s="165" t="s">
        <v>220</v>
      </c>
      <c r="B1" s="166">
        <v>45534</v>
      </c>
      <c r="C1" s="97"/>
      <c r="D1" s="97"/>
    </row>
    <row r="2" spans="1:6" ht="16.5">
      <c r="A2" s="167" t="s">
        <v>176</v>
      </c>
      <c r="B2" s="168">
        <f>'Weekly Valuation'!K180</f>
        <v>5284717995.9899998</v>
      </c>
      <c r="C2" s="97"/>
      <c r="D2" s="97"/>
    </row>
    <row r="3" spans="1:6" ht="16.5">
      <c r="A3" s="167" t="s">
        <v>15</v>
      </c>
      <c r="B3" s="168">
        <f>'Weekly Valuation'!K23</f>
        <v>28027790368.7999</v>
      </c>
      <c r="C3" s="97"/>
      <c r="D3" s="97"/>
    </row>
    <row r="4" spans="1:6" ht="16.5">
      <c r="A4" s="167" t="s">
        <v>152</v>
      </c>
      <c r="B4" s="169">
        <f>'Weekly Valuation'!K174</f>
        <v>50541815917.121063</v>
      </c>
      <c r="C4" s="97"/>
      <c r="D4" s="97"/>
    </row>
    <row r="5" spans="1:6" ht="16.5">
      <c r="A5" s="167" t="s">
        <v>223</v>
      </c>
      <c r="B5" s="168">
        <f>'Weekly Valuation'!K203</f>
        <v>51238844342.502098</v>
      </c>
      <c r="C5" s="97"/>
      <c r="D5" s="97"/>
    </row>
    <row r="6" spans="1:6" ht="16.5">
      <c r="A6" s="167" t="s">
        <v>222</v>
      </c>
      <c r="B6" s="168">
        <f>'Weekly Valuation'!K143</f>
        <v>97021700017.900894</v>
      </c>
      <c r="C6" s="97"/>
      <c r="D6" s="97"/>
    </row>
    <row r="7" spans="1:6" ht="16.5">
      <c r="A7" s="167" t="s">
        <v>221</v>
      </c>
      <c r="B7" s="168">
        <f>'Weekly Valuation'!K101</f>
        <v>218570980192.58582</v>
      </c>
      <c r="C7" s="97"/>
      <c r="D7" s="97"/>
    </row>
    <row r="8" spans="1:6" ht="16.5">
      <c r="A8" s="167" t="s">
        <v>47</v>
      </c>
      <c r="B8" s="170">
        <f>'Weekly Valuation'!K62</f>
        <v>1275703699629.3594</v>
      </c>
      <c r="C8" s="97"/>
      <c r="D8" s="97"/>
    </row>
    <row r="9" spans="1:6" ht="16.5">
      <c r="A9" s="167" t="s">
        <v>128</v>
      </c>
      <c r="B9" s="170">
        <f>'Weekly Valuation'!K135</f>
        <v>1619684731793.4424</v>
      </c>
      <c r="C9" s="97"/>
      <c r="D9" s="97"/>
      <c r="F9" t="s">
        <v>282</v>
      </c>
    </row>
    <row r="10" spans="1:6">
      <c r="A10" s="95"/>
      <c r="B10" s="95"/>
      <c r="C10" s="97"/>
      <c r="D10" s="97"/>
    </row>
    <row r="11" spans="1:6" ht="16.5">
      <c r="A11" s="111"/>
      <c r="B11" s="117"/>
      <c r="C11" s="97"/>
      <c r="D11" s="97"/>
    </row>
    <row r="12" spans="1:6" ht="16.5">
      <c r="A12" s="102"/>
      <c r="B12" s="97"/>
      <c r="C12" s="97"/>
      <c r="D12" s="97"/>
    </row>
    <row r="13" spans="1:6" ht="16.5">
      <c r="A13" s="102"/>
      <c r="B13" s="102"/>
      <c r="C13" s="97"/>
      <c r="D13" s="97"/>
    </row>
    <row r="14" spans="1:6" ht="16.5">
      <c r="A14" s="102"/>
      <c r="B14" s="102"/>
      <c r="C14" s="97"/>
      <c r="D14" s="97"/>
    </row>
    <row r="15" spans="1:6" ht="16.5" customHeight="1">
      <c r="A15" s="141"/>
      <c r="B15" s="141"/>
      <c r="C15" s="97"/>
      <c r="D15" s="97"/>
    </row>
    <row r="16" spans="1:6" ht="16.5">
      <c r="A16" s="102"/>
      <c r="B16" s="102"/>
      <c r="C16" s="97"/>
      <c r="D16" s="97"/>
    </row>
    <row r="17" spans="1:17" ht="16.5">
      <c r="A17" s="102"/>
      <c r="B17" s="102"/>
      <c r="C17" s="97"/>
    </row>
    <row r="18" spans="1:17" ht="16.5">
      <c r="A18" s="114"/>
      <c r="B18" s="102"/>
      <c r="C18" s="97"/>
    </row>
    <row r="19" spans="1:17" ht="16.5">
      <c r="A19" s="114"/>
      <c r="B19" s="114"/>
      <c r="C19" s="97"/>
    </row>
    <row r="20" spans="1:17" ht="16.5">
      <c r="A20" s="114"/>
      <c r="B20" s="114"/>
      <c r="C20" s="97"/>
    </row>
    <row r="21" spans="1:17" ht="16.5">
      <c r="A21" s="111"/>
      <c r="B21" s="114"/>
      <c r="C21" s="97"/>
    </row>
    <row r="22" spans="1:17" ht="16.5">
      <c r="A22" s="97"/>
      <c r="B22" s="114"/>
      <c r="C22" s="97"/>
    </row>
    <row r="23" spans="1:17">
      <c r="A23" s="97"/>
      <c r="B23" s="97"/>
      <c r="C23" s="97"/>
    </row>
    <row r="24" spans="1:17">
      <c r="A24" s="97"/>
      <c r="B24" s="97"/>
      <c r="C24" s="97"/>
    </row>
    <row r="25" spans="1:17">
      <c r="A25" s="97"/>
      <c r="B25" s="97"/>
      <c r="C25" s="97"/>
    </row>
    <row r="26" spans="1:17">
      <c r="A26" s="97"/>
      <c r="B26" s="97"/>
    </row>
    <row r="32" spans="1:17" ht="16.5" customHeight="1">
      <c r="A32" s="164" t="s">
        <v>293</v>
      </c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03"/>
    </row>
    <row r="33" spans="1:17" ht="15" customHeight="1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03"/>
    </row>
  </sheetData>
  <sheetProtection password="CA3B" sheet="1" objects="1" scenarios="1"/>
  <sortState ref="A2:B9">
    <sortCondition ref="B2:B9"/>
  </sortState>
  <mergeCells count="1">
    <mergeCell ref="A32:P3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M7"/>
  <sheetViews>
    <sheetView zoomScale="110" zoomScaleNormal="110" workbookViewId="0">
      <selection activeCell="B6" sqref="B6"/>
    </sheetView>
  </sheetViews>
  <sheetFormatPr defaultRowHeight="15"/>
  <cols>
    <col min="1" max="2" width="10.5703125" customWidth="1"/>
    <col min="3" max="3" width="11.140625" customWidth="1"/>
    <col min="4" max="4" width="10.5703125" customWidth="1"/>
    <col min="5" max="5" width="10.85546875" customWidth="1"/>
    <col min="6" max="6" width="11.140625" customWidth="1"/>
    <col min="7" max="7" width="12.140625" customWidth="1"/>
    <col min="8" max="8" width="11.7109375" customWidth="1"/>
    <col min="9" max="9" width="11.42578125" customWidth="1"/>
  </cols>
  <sheetData>
    <row r="1" spans="1:13">
      <c r="A1" s="95"/>
      <c r="B1" s="95"/>
      <c r="C1" s="95"/>
      <c r="D1" s="95"/>
      <c r="E1" s="95"/>
      <c r="F1" s="95"/>
      <c r="G1" s="95"/>
      <c r="H1" s="95"/>
      <c r="I1" s="95"/>
      <c r="J1" s="95"/>
      <c r="K1" s="97"/>
      <c r="L1" s="97"/>
      <c r="M1" s="97"/>
    </row>
    <row r="2" spans="1:13">
      <c r="A2" s="133" t="s">
        <v>231</v>
      </c>
      <c r="B2" s="134">
        <v>45485</v>
      </c>
      <c r="C2" s="134">
        <v>45492</v>
      </c>
      <c r="D2" s="134">
        <v>45499</v>
      </c>
      <c r="E2" s="134">
        <v>45506</v>
      </c>
      <c r="F2" s="134">
        <v>45513</v>
      </c>
      <c r="G2" s="134">
        <v>45520</v>
      </c>
      <c r="H2" s="134">
        <v>45527</v>
      </c>
      <c r="I2" s="134">
        <v>45534</v>
      </c>
      <c r="J2" s="95"/>
      <c r="K2" s="97"/>
      <c r="L2" s="97"/>
      <c r="M2" s="97"/>
    </row>
    <row r="3" spans="1:13">
      <c r="A3" s="133" t="s">
        <v>232</v>
      </c>
      <c r="B3" s="135">
        <f t="shared" ref="B3:I3" si="0">B4</f>
        <v>3097.1617711497356</v>
      </c>
      <c r="C3" s="135">
        <f t="shared" si="0"/>
        <v>3161.8406486109188</v>
      </c>
      <c r="D3" s="135">
        <f t="shared" si="0"/>
        <v>3212.3863205334346</v>
      </c>
      <c r="E3" s="135">
        <f t="shared" si="0"/>
        <v>3251.4108261292827</v>
      </c>
      <c r="F3" s="135">
        <f t="shared" si="0"/>
        <v>3244.6913921078954</v>
      </c>
      <c r="G3" s="135">
        <f t="shared" si="0"/>
        <v>3279.8332952209639</v>
      </c>
      <c r="H3" s="135">
        <f t="shared" si="0"/>
        <v>3320.1554533474555</v>
      </c>
      <c r="I3" s="135">
        <f t="shared" si="0"/>
        <v>3346.0742802577015</v>
      </c>
      <c r="J3" s="95"/>
      <c r="K3" s="97"/>
      <c r="L3" s="97"/>
      <c r="M3" s="97"/>
    </row>
    <row r="4" spans="1:13">
      <c r="A4" s="95"/>
      <c r="B4" s="136">
        <f>'NAV Trend'!C10/1000000000</f>
        <v>3097.1617711497356</v>
      </c>
      <c r="C4" s="136">
        <f>'NAV Trend'!D10/1000000000</f>
        <v>3161.8406486109188</v>
      </c>
      <c r="D4" s="136">
        <f>'NAV Trend'!E10/1000000000</f>
        <v>3212.3863205334346</v>
      </c>
      <c r="E4" s="136">
        <f>'NAV Trend'!F10/1000000000</f>
        <v>3251.4108261292827</v>
      </c>
      <c r="F4" s="136">
        <f>'NAV Trend'!G10/1000000000</f>
        <v>3244.6913921078954</v>
      </c>
      <c r="G4" s="136">
        <f>'NAV Trend'!H10/1000000000</f>
        <v>3279.8332952209639</v>
      </c>
      <c r="H4" s="137">
        <f>'NAV Trend'!I10/1000000000</f>
        <v>3320.1554533474555</v>
      </c>
      <c r="I4" s="137">
        <f>'NAV Trend'!J10/1000000000</f>
        <v>3346.0742802577015</v>
      </c>
      <c r="J4" s="95"/>
      <c r="K4" s="97"/>
      <c r="L4" s="97"/>
      <c r="M4" s="97"/>
    </row>
    <row r="5" spans="1:13">
      <c r="A5" s="95"/>
      <c r="B5" s="95"/>
      <c r="C5" s="95"/>
      <c r="D5" s="95"/>
      <c r="E5" s="95"/>
      <c r="F5" s="95"/>
      <c r="G5" s="95"/>
      <c r="H5" s="95"/>
      <c r="I5" s="95"/>
      <c r="J5" s="95"/>
      <c r="K5" s="97"/>
      <c r="L5" s="97"/>
    </row>
    <row r="6" spans="1:13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</row>
    <row r="7" spans="1:13">
      <c r="A7" s="97"/>
      <c r="B7" s="97"/>
      <c r="C7" s="97"/>
      <c r="D7" s="97"/>
      <c r="E7" s="97"/>
      <c r="F7" s="97"/>
      <c r="G7" s="97"/>
      <c r="H7" s="97"/>
      <c r="I7" s="97"/>
      <c r="J7" s="97"/>
    </row>
  </sheetData>
  <sheetProtection password="CA3B" sheet="1" objects="1" scenarios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L7"/>
  <sheetViews>
    <sheetView workbookViewId="0">
      <selection activeCell="F7" sqref="F7"/>
    </sheetView>
  </sheetViews>
  <sheetFormatPr defaultRowHeight="15"/>
  <cols>
    <col min="1" max="1" width="16.5703125" customWidth="1"/>
    <col min="2" max="2" width="11.140625" bestFit="1" customWidth="1"/>
    <col min="3" max="3" width="11.42578125" bestFit="1" customWidth="1"/>
    <col min="4" max="4" width="11.5703125" bestFit="1" customWidth="1"/>
    <col min="5" max="5" width="11.140625" bestFit="1" customWidth="1"/>
    <col min="6" max="7" width="11.28515625" bestFit="1" customWidth="1"/>
    <col min="8" max="8" width="11.7109375" bestFit="1" customWidth="1"/>
    <col min="9" max="9" width="11.140625" customWidth="1"/>
  </cols>
  <sheetData>
    <row r="1" spans="1:12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>
      <c r="A2" s="133" t="s">
        <v>231</v>
      </c>
      <c r="B2" s="134">
        <v>45485</v>
      </c>
      <c r="C2" s="134">
        <v>45492</v>
      </c>
      <c r="D2" s="134">
        <v>45499</v>
      </c>
      <c r="E2" s="134">
        <v>45506</v>
      </c>
      <c r="F2" s="134">
        <v>45513</v>
      </c>
      <c r="G2" s="134">
        <v>45520</v>
      </c>
      <c r="H2" s="134">
        <v>45527</v>
      </c>
      <c r="I2" s="134">
        <v>45534</v>
      </c>
      <c r="J2" s="97"/>
      <c r="K2" s="97"/>
      <c r="L2" s="97"/>
    </row>
    <row r="3" spans="1:12">
      <c r="A3" s="133" t="s">
        <v>263</v>
      </c>
      <c r="B3" s="135">
        <f t="shared" ref="B3:I3" si="0">B4</f>
        <v>12.34693280092509</v>
      </c>
      <c r="C3" s="135">
        <f t="shared" si="0"/>
        <v>12.398936333326033</v>
      </c>
      <c r="D3" s="135">
        <f t="shared" si="0"/>
        <v>12.157713481032657</v>
      </c>
      <c r="E3" s="135">
        <f t="shared" si="0"/>
        <v>12.159294190102655</v>
      </c>
      <c r="F3" s="135">
        <f t="shared" si="0"/>
        <v>12.203531382445654</v>
      </c>
      <c r="G3" s="135">
        <f t="shared" si="0"/>
        <v>12.119077784973646</v>
      </c>
      <c r="H3" s="135">
        <f t="shared" si="0"/>
        <v>12.021932386157646</v>
      </c>
      <c r="I3" s="135">
        <f t="shared" si="0"/>
        <v>12.190662825377647</v>
      </c>
      <c r="J3" s="97"/>
      <c r="K3" s="97"/>
      <c r="L3" s="97"/>
    </row>
    <row r="4" spans="1:12">
      <c r="A4" s="95"/>
      <c r="B4" s="136">
        <f>'NAV Trend'!C16/1000000000</f>
        <v>12.34693280092509</v>
      </c>
      <c r="C4" s="136">
        <f>'NAV Trend'!D16/1000000000</f>
        <v>12.398936333326033</v>
      </c>
      <c r="D4" s="136">
        <f>'NAV Trend'!E16/1000000000</f>
        <v>12.157713481032657</v>
      </c>
      <c r="E4" s="136">
        <f>'NAV Trend'!F16/1000000000</f>
        <v>12.159294190102655</v>
      </c>
      <c r="F4" s="136">
        <f>'NAV Trend'!G16/1000000000</f>
        <v>12.203531382445654</v>
      </c>
      <c r="G4" s="136">
        <f>'NAV Trend'!H16/1000000000</f>
        <v>12.119077784973646</v>
      </c>
      <c r="H4" s="136">
        <f>'NAV Trend'!I16/1000000000</f>
        <v>12.021932386157646</v>
      </c>
      <c r="I4" s="137">
        <f>'NAV Trend'!J16/1000000000</f>
        <v>12.190662825377647</v>
      </c>
      <c r="J4" s="97"/>
      <c r="K4" s="97"/>
      <c r="L4" s="97"/>
    </row>
    <row r="5" spans="1:12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</row>
    <row r="6" spans="1:12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</row>
    <row r="7" spans="1:12">
      <c r="A7" s="97"/>
      <c r="B7" s="97"/>
      <c r="C7" s="97"/>
      <c r="D7" s="97"/>
      <c r="E7" s="97"/>
      <c r="F7" s="97"/>
      <c r="G7" s="97"/>
      <c r="H7" s="97"/>
      <c r="I7" s="97"/>
      <c r="J7" s="97"/>
    </row>
  </sheetData>
  <sheetProtection password="CA3B" sheet="1" objects="1" scenario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22"/>
  <sheetViews>
    <sheetView topLeftCell="E1" workbookViewId="0">
      <selection activeCell="K1" sqref="K1"/>
    </sheetView>
  </sheetViews>
  <sheetFormatPr defaultRowHeight="15"/>
  <cols>
    <col min="1" max="1" width="36.28515625" customWidth="1"/>
    <col min="2" max="2" width="23.5703125" customWidth="1"/>
    <col min="3" max="3" width="22.5703125" customWidth="1"/>
    <col min="4" max="4" width="20.85546875" customWidth="1"/>
    <col min="5" max="5" width="22.5703125" customWidth="1"/>
    <col min="6" max="6" width="24.7109375" customWidth="1"/>
    <col min="7" max="7" width="22.42578125" customWidth="1"/>
    <col min="8" max="8" width="24.28515625" customWidth="1"/>
    <col min="9" max="9" width="22.5703125" customWidth="1"/>
    <col min="10" max="10" width="21.7109375" customWidth="1"/>
    <col min="11" max="12" width="20.7109375" bestFit="1" customWidth="1"/>
    <col min="13" max="13" width="20.5703125" bestFit="1" customWidth="1"/>
  </cols>
  <sheetData>
    <row r="1" spans="1:11" ht="16.5">
      <c r="A1" s="43" t="s">
        <v>220</v>
      </c>
      <c r="B1" s="44">
        <v>45478</v>
      </c>
      <c r="C1" s="44">
        <v>45485</v>
      </c>
      <c r="D1" s="44">
        <v>45492</v>
      </c>
      <c r="E1" s="44">
        <v>45499</v>
      </c>
      <c r="F1" s="44">
        <v>45506</v>
      </c>
      <c r="G1" s="44">
        <v>45513</v>
      </c>
      <c r="H1" s="44">
        <v>45520</v>
      </c>
      <c r="I1" s="44">
        <v>45527</v>
      </c>
      <c r="J1" s="44">
        <v>45534</v>
      </c>
    </row>
    <row r="2" spans="1:11" ht="16.5">
      <c r="A2" s="45" t="s">
        <v>15</v>
      </c>
      <c r="B2" s="120">
        <v>28719008525.705399</v>
      </c>
      <c r="C2" s="120">
        <v>28668185801.740002</v>
      </c>
      <c r="D2" s="120">
        <v>27374223550.790398</v>
      </c>
      <c r="E2" s="120">
        <v>26986311220.071198</v>
      </c>
      <c r="F2" s="120">
        <v>27041982230.700104</v>
      </c>
      <c r="G2" s="120">
        <v>27433680041.348602</v>
      </c>
      <c r="H2" s="120">
        <v>27391940327.104202</v>
      </c>
      <c r="I2" s="120">
        <v>27464171302.260002</v>
      </c>
      <c r="J2" s="120">
        <v>28027790368.7999</v>
      </c>
    </row>
    <row r="3" spans="1:11" ht="16.5">
      <c r="A3" s="45" t="s">
        <v>47</v>
      </c>
      <c r="B3" s="120">
        <v>1119081554645.3997</v>
      </c>
      <c r="C3" s="120">
        <v>1142921312773.24</v>
      </c>
      <c r="D3" s="120">
        <v>1166722877285.0798</v>
      </c>
      <c r="E3" s="120">
        <v>1182826404297.3062</v>
      </c>
      <c r="F3" s="120">
        <v>1197584357066.3213</v>
      </c>
      <c r="G3" s="120">
        <v>1218572512276.3979</v>
      </c>
      <c r="H3" s="120">
        <v>1238391247596.4695</v>
      </c>
      <c r="I3" s="120">
        <v>1261933383053.9299</v>
      </c>
      <c r="J3" s="120">
        <v>1275703699629.3594</v>
      </c>
    </row>
    <row r="4" spans="1:11" ht="16.5">
      <c r="A4" s="45" t="s">
        <v>221</v>
      </c>
      <c r="B4" s="119">
        <v>231541169667.96704</v>
      </c>
      <c r="C4" s="119">
        <v>234509456399.79123</v>
      </c>
      <c r="D4" s="119">
        <v>231629021027.44598</v>
      </c>
      <c r="E4" s="119">
        <v>227274142538.3446</v>
      </c>
      <c r="F4" s="119">
        <v>222265413610.996</v>
      </c>
      <c r="G4" s="119">
        <v>220342612965.04529</v>
      </c>
      <c r="H4" s="119">
        <v>217819038959.14166</v>
      </c>
      <c r="I4" s="119">
        <v>216796049169.53281</v>
      </c>
      <c r="J4" s="119">
        <v>218570980192.58582</v>
      </c>
    </row>
    <row r="5" spans="1:11" ht="16.5">
      <c r="A5" s="45" t="s">
        <v>128</v>
      </c>
      <c r="B5" s="120">
        <v>1462330955935.3621</v>
      </c>
      <c r="C5" s="120">
        <v>1488355338715.866</v>
      </c>
      <c r="D5" s="120">
        <v>1533129708414.949</v>
      </c>
      <c r="E5" s="120">
        <v>1572548889455.8511</v>
      </c>
      <c r="F5" s="120">
        <v>1602267920125.6169</v>
      </c>
      <c r="G5" s="120">
        <v>1574721850668.9399</v>
      </c>
      <c r="H5" s="120">
        <v>1593037556995.613</v>
      </c>
      <c r="I5" s="120">
        <v>1610214165564.0437</v>
      </c>
      <c r="J5" s="120">
        <v>1619684731793.4424</v>
      </c>
    </row>
    <row r="6" spans="1:11" ht="16.5">
      <c r="A6" s="45" t="s">
        <v>222</v>
      </c>
      <c r="B6" s="46">
        <v>100344953021.42615</v>
      </c>
      <c r="C6" s="46">
        <v>98677642489.274277</v>
      </c>
      <c r="D6" s="46">
        <v>98890361757.442917</v>
      </c>
      <c r="E6" s="46">
        <v>98354700217.78096</v>
      </c>
      <c r="F6" s="46">
        <v>98122255921.538315</v>
      </c>
      <c r="G6" s="46">
        <v>98421099303.410858</v>
      </c>
      <c r="H6" s="46">
        <v>97679677536.488846</v>
      </c>
      <c r="I6" s="46">
        <v>97725390745.223068</v>
      </c>
      <c r="J6" s="46">
        <v>97021700017.900894</v>
      </c>
    </row>
    <row r="7" spans="1:11" ht="16.5">
      <c r="A7" s="45" t="s">
        <v>152</v>
      </c>
      <c r="B7" s="47">
        <v>50184242132.945633</v>
      </c>
      <c r="C7" s="47">
        <v>49261704634.470764</v>
      </c>
      <c r="D7" s="47">
        <v>49152903684.924065</v>
      </c>
      <c r="E7" s="47">
        <v>48792555116.379303</v>
      </c>
      <c r="F7" s="47">
        <v>48930496510.281784</v>
      </c>
      <c r="G7" s="47">
        <v>49553288389.12748</v>
      </c>
      <c r="H7" s="47">
        <v>49479509081.395515</v>
      </c>
      <c r="I7" s="47">
        <v>49723971071.59124</v>
      </c>
      <c r="J7" s="47">
        <v>50541815917.121063</v>
      </c>
    </row>
    <row r="8" spans="1:11" ht="16.5">
      <c r="A8" s="45" t="s">
        <v>176</v>
      </c>
      <c r="B8" s="46">
        <v>5228361973.7299995</v>
      </c>
      <c r="C8" s="46">
        <v>5224194854.3199997</v>
      </c>
      <c r="D8" s="46">
        <v>5245977844.9799995</v>
      </c>
      <c r="E8" s="46">
        <v>5211618372.9899998</v>
      </c>
      <c r="F8" s="46">
        <v>5230729086.9300003</v>
      </c>
      <c r="G8" s="46">
        <v>5343194037.2600002</v>
      </c>
      <c r="H8" s="46">
        <v>5322624044.9300003</v>
      </c>
      <c r="I8" s="46">
        <v>5264954956.3800001</v>
      </c>
      <c r="J8" s="46">
        <v>5284717995.9899998</v>
      </c>
    </row>
    <row r="9" spans="1:11" ht="16.5">
      <c r="A9" s="45" t="s">
        <v>223</v>
      </c>
      <c r="B9" s="46">
        <v>49588495979.853813</v>
      </c>
      <c r="C9" s="46">
        <v>49543935481.033516</v>
      </c>
      <c r="D9" s="46">
        <v>49695575045.307137</v>
      </c>
      <c r="E9" s="46">
        <v>50391699314.71109</v>
      </c>
      <c r="F9" s="46">
        <v>49967671576.897987</v>
      </c>
      <c r="G9" s="46">
        <v>50303154426.365845</v>
      </c>
      <c r="H9" s="46">
        <v>50711700679.821404</v>
      </c>
      <c r="I9" s="46">
        <v>51033367484.494461</v>
      </c>
      <c r="J9" s="46">
        <v>51238844342.502098</v>
      </c>
    </row>
    <row r="10" spans="1:11" ht="15.75">
      <c r="A10" s="48" t="s">
        <v>224</v>
      </c>
      <c r="B10" s="49">
        <f t="shared" ref="B10:I10" si="0">SUM(B2:B9)</f>
        <v>3047018741882.3901</v>
      </c>
      <c r="C10" s="49">
        <f t="shared" si="0"/>
        <v>3097161771149.7358</v>
      </c>
      <c r="D10" s="49">
        <f t="shared" si="0"/>
        <v>3161840648610.9189</v>
      </c>
      <c r="E10" s="49">
        <f t="shared" si="0"/>
        <v>3212386320533.4346</v>
      </c>
      <c r="F10" s="49">
        <f t="shared" si="0"/>
        <v>3251410826129.2827</v>
      </c>
      <c r="G10" s="49">
        <f t="shared" si="0"/>
        <v>3244691392107.8955</v>
      </c>
      <c r="H10" s="49">
        <f t="shared" si="0"/>
        <v>3279833295220.9639</v>
      </c>
      <c r="I10" s="49">
        <f t="shared" si="0"/>
        <v>3320155453347.4556</v>
      </c>
      <c r="J10" s="49">
        <f>SUM(J2:J9)</f>
        <v>3346074280257.7017</v>
      </c>
    </row>
    <row r="11" spans="1:11" ht="16.5">
      <c r="A11" s="50"/>
      <c r="B11" s="51"/>
      <c r="C11" s="51"/>
      <c r="D11" s="51"/>
      <c r="E11" s="51"/>
      <c r="F11" s="51"/>
      <c r="G11" s="51"/>
      <c r="H11" s="51"/>
      <c r="I11" s="50"/>
      <c r="J11" s="50"/>
    </row>
    <row r="12" spans="1:11" ht="15.75">
      <c r="A12" s="52" t="s">
        <v>225</v>
      </c>
      <c r="B12" s="53" t="s">
        <v>226</v>
      </c>
      <c r="C12" s="54">
        <f>(B10+C10)/2</f>
        <v>3072090256516.063</v>
      </c>
      <c r="D12" s="55">
        <f t="shared" ref="D12:J12" si="1">(C10+D10)/2</f>
        <v>3129501209880.3271</v>
      </c>
      <c r="E12" s="55">
        <f t="shared" si="1"/>
        <v>3187113484572.1768</v>
      </c>
      <c r="F12" s="55">
        <f t="shared" si="1"/>
        <v>3231898573331.3584</v>
      </c>
      <c r="G12" s="55">
        <f>(F10+G10)/2</f>
        <v>3248051109118.5889</v>
      </c>
      <c r="H12" s="55">
        <f t="shared" si="1"/>
        <v>3262262343664.4297</v>
      </c>
      <c r="I12" s="55">
        <f t="shared" si="1"/>
        <v>3299994374284.21</v>
      </c>
      <c r="J12" s="55">
        <f t="shared" si="1"/>
        <v>3333114866802.5786</v>
      </c>
    </row>
    <row r="13" spans="1:11">
      <c r="C13" s="97"/>
      <c r="D13" s="97"/>
      <c r="E13" s="97"/>
      <c r="F13" s="97"/>
      <c r="G13" s="97"/>
      <c r="H13" s="97"/>
      <c r="I13" s="97"/>
      <c r="J13" s="97"/>
      <c r="K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7"/>
    </row>
    <row r="15" spans="1:11" ht="16.5">
      <c r="A15" s="97"/>
      <c r="B15" s="44">
        <v>45478</v>
      </c>
      <c r="C15" s="44">
        <v>45485</v>
      </c>
      <c r="D15" s="44">
        <v>45492</v>
      </c>
      <c r="E15" s="44">
        <v>45499</v>
      </c>
      <c r="F15" s="44">
        <v>45506</v>
      </c>
      <c r="G15" s="44">
        <v>45513</v>
      </c>
      <c r="H15" s="44">
        <v>45520</v>
      </c>
      <c r="I15" s="44">
        <v>45527</v>
      </c>
      <c r="J15" s="44">
        <v>45534</v>
      </c>
      <c r="K15" s="97"/>
    </row>
    <row r="16" spans="1:11" ht="16.5">
      <c r="A16" s="116" t="s">
        <v>262</v>
      </c>
      <c r="B16" s="118">
        <v>12187736015.745237</v>
      </c>
      <c r="C16" s="118">
        <v>12346932800.925091</v>
      </c>
      <c r="D16" s="118">
        <v>12398936333.326033</v>
      </c>
      <c r="E16" s="118">
        <v>12157713481.032656</v>
      </c>
      <c r="F16" s="118">
        <v>12159294190.102655</v>
      </c>
      <c r="G16" s="118">
        <v>12203531382.445654</v>
      </c>
      <c r="H16" s="118">
        <v>12119077784.973646</v>
      </c>
      <c r="I16" s="118">
        <v>12021932386.157646</v>
      </c>
      <c r="J16" s="118">
        <v>12190662825.377647</v>
      </c>
      <c r="K16" s="97"/>
    </row>
    <row r="17" spans="1:11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7"/>
    </row>
    <row r="18" spans="1:11">
      <c r="A18" s="97"/>
      <c r="B18" s="97"/>
      <c r="C18" s="117"/>
      <c r="D18" s="117"/>
      <c r="E18" s="117"/>
      <c r="F18" s="117"/>
      <c r="G18" s="117"/>
      <c r="H18" s="117"/>
      <c r="I18" s="117"/>
      <c r="J18" s="117"/>
      <c r="K18" s="97"/>
    </row>
    <row r="19" spans="1:11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7"/>
    </row>
    <row r="20" spans="1:11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</row>
    <row r="21" spans="1:11">
      <c r="B21" s="97"/>
      <c r="C21" s="97"/>
      <c r="D21" s="97"/>
      <c r="E21" s="97"/>
      <c r="F21" s="97"/>
      <c r="G21" s="97"/>
      <c r="H21" s="97"/>
      <c r="I21" s="97"/>
      <c r="J21" s="97"/>
      <c r="K21" s="97"/>
    </row>
    <row r="22" spans="1:11">
      <c r="B22" s="97"/>
      <c r="C22" s="97"/>
      <c r="D22" s="97"/>
      <c r="E22" s="97"/>
      <c r="F22" s="97"/>
      <c r="G22" s="97"/>
      <c r="H22" s="97"/>
      <c r="I22" s="97"/>
      <c r="J22" s="97"/>
      <c r="K22" s="95"/>
    </row>
  </sheetData>
  <sheetProtection password="CA3B" sheet="1" objects="1" scenarios="1"/>
  <pageMargins left="0.7" right="0.7" top="0.75" bottom="0.75" header="0.3" footer="0.3"/>
  <pageSetup paperSize="9" orientation="portrait" horizontalDpi="300" verticalDpi="300" r:id="rId1"/>
  <ignoredErrors>
    <ignoredError sqref="B10:J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Weekly Valuation</vt:lpstr>
      <vt:lpstr>NAV Comparison</vt:lpstr>
      <vt:lpstr>Market Share</vt:lpstr>
      <vt:lpstr>8-Week Movement in NAV</vt:lpstr>
      <vt:lpstr>8-Week Movement in ETFs</vt:lpstr>
      <vt:lpstr>NAV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RV</dc:creator>
  <cp:lastModifiedBy>USER</cp:lastModifiedBy>
  <dcterms:created xsi:type="dcterms:W3CDTF">2023-10-09T09:40:10Z</dcterms:created>
  <dcterms:modified xsi:type="dcterms:W3CDTF">2024-09-05T10:02:30Z</dcterms:modified>
</cp:coreProperties>
</file>