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USER\Desktop\Tunde Isaac\Weekly NAV\"/>
    </mc:Choice>
  </mc:AlternateContent>
  <xr:revisionPtr revIDLastSave="0" documentId="13_ncr:1_{FABA7498-C5DA-4E64-B937-7DD8B33BA7F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eekly Valuation" sheetId="1" r:id="rId1"/>
    <sheet name="NAV Comparison" sheetId="2" r:id="rId2"/>
    <sheet name="Market Share" sheetId="3" r:id="rId3"/>
    <sheet name="8-Week Movement in NAV" sheetId="5" r:id="rId4"/>
    <sheet name="8-Week Movement in ETFs" sheetId="6" r:id="rId5"/>
    <sheet name="NAV Trend" sheetId="4" state="hidden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1" i="1" l="1"/>
  <c r="V51" i="1"/>
  <c r="U51" i="1"/>
  <c r="T51" i="1"/>
  <c r="S51" i="1"/>
  <c r="L51" i="1"/>
  <c r="K60" i="1"/>
  <c r="E51" i="1" s="1"/>
  <c r="C14" i="2"/>
  <c r="N125" i="1" l="1"/>
  <c r="M125" i="1"/>
  <c r="N120" i="1"/>
  <c r="M120" i="1"/>
  <c r="K120" i="1"/>
  <c r="N105" i="1"/>
  <c r="M105" i="1"/>
  <c r="K105" i="1"/>
  <c r="N106" i="1"/>
  <c r="M106" i="1"/>
  <c r="K106" i="1"/>
  <c r="N108" i="1"/>
  <c r="M108" i="1"/>
  <c r="K108" i="1"/>
  <c r="N130" i="1"/>
  <c r="M130" i="1"/>
  <c r="K130" i="1"/>
  <c r="N104" i="1"/>
  <c r="M104" i="1"/>
  <c r="K104" i="1"/>
  <c r="N126" i="1"/>
  <c r="M126" i="1"/>
  <c r="N113" i="1"/>
  <c r="M113" i="1"/>
  <c r="K113" i="1"/>
  <c r="N103" i="1"/>
  <c r="M103" i="1"/>
  <c r="K103" i="1"/>
  <c r="N114" i="1"/>
  <c r="M114" i="1"/>
  <c r="K114" i="1"/>
  <c r="N115" i="1"/>
  <c r="M115" i="1"/>
  <c r="K115" i="1"/>
  <c r="N102" i="1"/>
  <c r="M102" i="1"/>
  <c r="N123" i="1"/>
  <c r="M123" i="1"/>
  <c r="N112" i="1"/>
  <c r="M112" i="1"/>
  <c r="K112" i="1"/>
  <c r="N107" i="1" l="1"/>
  <c r="M107" i="1"/>
  <c r="K107" i="1"/>
  <c r="N124" i="1" l="1"/>
  <c r="M124" i="1"/>
  <c r="K124" i="1"/>
  <c r="N129" i="1"/>
  <c r="M129" i="1"/>
  <c r="G130" i="1"/>
  <c r="F130" i="1"/>
  <c r="G129" i="1"/>
  <c r="F129" i="1"/>
  <c r="G126" i="1"/>
  <c r="F126" i="1"/>
  <c r="G125" i="1"/>
  <c r="F125" i="1"/>
  <c r="G124" i="1"/>
  <c r="F124" i="1"/>
  <c r="G123" i="1"/>
  <c r="F123" i="1"/>
  <c r="G120" i="1"/>
  <c r="F120" i="1"/>
  <c r="D130" i="1"/>
  <c r="D124" i="1"/>
  <c r="D120" i="1"/>
  <c r="G115" i="1"/>
  <c r="F115" i="1"/>
  <c r="G114" i="1"/>
  <c r="F114" i="1"/>
  <c r="G113" i="1"/>
  <c r="F113" i="1"/>
  <c r="G112" i="1"/>
  <c r="F112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D115" i="1"/>
  <c r="D114" i="1"/>
  <c r="D113" i="1"/>
  <c r="D112" i="1"/>
  <c r="D108" i="1"/>
  <c r="D107" i="1"/>
  <c r="D106" i="1"/>
  <c r="D105" i="1"/>
  <c r="D104" i="1"/>
  <c r="D103" i="1"/>
  <c r="U163" i="1"/>
  <c r="V163" i="1"/>
  <c r="R163" i="1"/>
  <c r="S163" i="1"/>
  <c r="T163" i="1"/>
  <c r="R53" i="1"/>
  <c r="V53" i="1"/>
  <c r="U53" i="1"/>
  <c r="T53" i="1"/>
  <c r="S53" i="1"/>
  <c r="V174" i="1" l="1"/>
  <c r="R106" i="1" l="1"/>
  <c r="S106" i="1"/>
  <c r="T106" i="1"/>
  <c r="U106" i="1"/>
  <c r="V106" i="1"/>
  <c r="R32" i="1"/>
  <c r="R69" i="1"/>
  <c r="S69" i="1"/>
  <c r="T69" i="1"/>
  <c r="U69" i="1"/>
  <c r="V69" i="1"/>
  <c r="V32" i="1"/>
  <c r="U32" i="1"/>
  <c r="T32" i="1"/>
  <c r="S32" i="1"/>
  <c r="T103" i="1" l="1"/>
  <c r="U103" i="1"/>
  <c r="V103" i="1"/>
  <c r="S103" i="1"/>
  <c r="R103" i="1"/>
  <c r="R88" i="1" l="1"/>
  <c r="O131" i="1" l="1"/>
  <c r="I10" i="4"/>
  <c r="H10" i="4"/>
  <c r="G10" i="4"/>
  <c r="F10" i="4"/>
  <c r="E10" i="4"/>
  <c r="D10" i="4"/>
  <c r="C10" i="4"/>
  <c r="B10" i="4"/>
  <c r="R10" i="1" l="1"/>
  <c r="S10" i="1"/>
  <c r="T10" i="1"/>
  <c r="U10" i="1"/>
  <c r="V10" i="1"/>
  <c r="R105" i="1"/>
  <c r="S105" i="1"/>
  <c r="T105" i="1"/>
  <c r="U105" i="1"/>
  <c r="V105" i="1"/>
  <c r="R156" i="1" l="1"/>
  <c r="S58" i="1" l="1"/>
  <c r="D139" i="1" l="1"/>
  <c r="I4" i="6"/>
  <c r="H4" i="6"/>
  <c r="G4" i="6"/>
  <c r="F4" i="6"/>
  <c r="E4" i="6"/>
  <c r="D4" i="6"/>
  <c r="C4" i="6"/>
  <c r="B4" i="6"/>
  <c r="I3" i="6"/>
  <c r="H3" i="6"/>
  <c r="G3" i="6"/>
  <c r="F3" i="6"/>
  <c r="E3" i="6"/>
  <c r="D3" i="6"/>
  <c r="C3" i="6"/>
  <c r="B3" i="6"/>
  <c r="R108" i="1" l="1"/>
  <c r="S108" i="1"/>
  <c r="T108" i="1"/>
  <c r="U108" i="1"/>
  <c r="V108" i="1"/>
  <c r="R109" i="1"/>
  <c r="S109" i="1"/>
  <c r="T109" i="1"/>
  <c r="U109" i="1"/>
  <c r="V109" i="1"/>
  <c r="R205" i="1" l="1"/>
  <c r="R206" i="1"/>
  <c r="V129" i="1" l="1"/>
  <c r="U129" i="1"/>
  <c r="T129" i="1"/>
  <c r="R129" i="1"/>
  <c r="R96" i="1"/>
  <c r="S96" i="1"/>
  <c r="T96" i="1"/>
  <c r="U96" i="1"/>
  <c r="V96" i="1"/>
  <c r="R58" i="1"/>
  <c r="V58" i="1"/>
  <c r="U58" i="1"/>
  <c r="T58" i="1"/>
  <c r="R185" i="1"/>
  <c r="S129" i="1" l="1"/>
  <c r="R145" i="1" l="1"/>
  <c r="R124" i="1" l="1"/>
  <c r="S124" i="1"/>
  <c r="T124" i="1"/>
  <c r="U124" i="1"/>
  <c r="V124" i="1"/>
  <c r="R82" i="1"/>
  <c r="S82" i="1"/>
  <c r="T82" i="1"/>
  <c r="U82" i="1"/>
  <c r="V82" i="1"/>
  <c r="V199" i="1" l="1"/>
  <c r="T161" i="1"/>
  <c r="S161" i="1"/>
  <c r="R127" i="1" l="1"/>
  <c r="V157" i="1" l="1"/>
  <c r="T149" i="1" l="1"/>
  <c r="R143" i="1"/>
  <c r="S143" i="1"/>
  <c r="T143" i="1"/>
  <c r="U143" i="1"/>
  <c r="V143" i="1"/>
  <c r="R164" i="1"/>
  <c r="S164" i="1"/>
  <c r="T164" i="1"/>
  <c r="U164" i="1"/>
  <c r="V164" i="1"/>
  <c r="R123" i="1" l="1"/>
  <c r="S123" i="1"/>
  <c r="S186" i="1" l="1"/>
  <c r="V123" i="1"/>
  <c r="U123" i="1"/>
  <c r="T123" i="1"/>
  <c r="R71" i="1" l="1"/>
  <c r="V79" i="1" l="1"/>
  <c r="U79" i="1"/>
  <c r="T79" i="1"/>
  <c r="S79" i="1"/>
  <c r="R79" i="1"/>
  <c r="V85" i="1" l="1"/>
  <c r="U85" i="1"/>
  <c r="T85" i="1"/>
  <c r="S85" i="1"/>
  <c r="R85" i="1"/>
  <c r="B4" i="5" l="1"/>
  <c r="B3" i="5" s="1"/>
  <c r="C4" i="5"/>
  <c r="C3" i="5" s="1"/>
  <c r="D4" i="5"/>
  <c r="D3" i="5" s="1"/>
  <c r="E4" i="5"/>
  <c r="E3" i="5" s="1"/>
  <c r="F4" i="5"/>
  <c r="F3" i="5" s="1"/>
  <c r="G4" i="5"/>
  <c r="G3" i="5" s="1"/>
  <c r="H4" i="5"/>
  <c r="H3" i="5" s="1"/>
  <c r="V187" i="1"/>
  <c r="U187" i="1"/>
  <c r="T187" i="1"/>
  <c r="S187" i="1"/>
  <c r="R187" i="1"/>
  <c r="T34" i="1" l="1"/>
  <c r="S22" i="1" l="1"/>
  <c r="T22" i="1"/>
  <c r="V107" i="1" l="1"/>
  <c r="R107" i="1"/>
  <c r="S107" i="1"/>
  <c r="T107" i="1"/>
  <c r="U107" i="1"/>
  <c r="R13" i="1" l="1"/>
  <c r="R50" i="1" l="1"/>
  <c r="V50" i="1"/>
  <c r="U50" i="1"/>
  <c r="T50" i="1"/>
  <c r="S50" i="1"/>
  <c r="V135" i="1" l="1"/>
  <c r="U135" i="1"/>
  <c r="T135" i="1"/>
  <c r="S135" i="1"/>
  <c r="R135" i="1"/>
  <c r="R76" i="1" l="1"/>
  <c r="V192" i="1" l="1"/>
  <c r="U192" i="1"/>
  <c r="T192" i="1"/>
  <c r="S192" i="1"/>
  <c r="R192" i="1"/>
  <c r="S180" i="1" l="1"/>
  <c r="D175" i="1" l="1"/>
  <c r="B19" i="2" s="1"/>
  <c r="B9" i="2" s="1"/>
  <c r="D131" i="1"/>
  <c r="E106" i="1" s="1"/>
  <c r="E105" i="1" l="1"/>
  <c r="E103" i="1"/>
  <c r="E129" i="1"/>
  <c r="B16" i="2"/>
  <c r="B6" i="2" s="1"/>
  <c r="E120" i="1"/>
  <c r="E124" i="1"/>
  <c r="E108" i="1"/>
  <c r="E123" i="1"/>
  <c r="R95" i="1"/>
  <c r="S95" i="1"/>
  <c r="T95" i="1"/>
  <c r="U95" i="1"/>
  <c r="V95" i="1"/>
  <c r="D215" i="1"/>
  <c r="D194" i="1"/>
  <c r="B20" i="2" s="1"/>
  <c r="B10" i="2" s="1"/>
  <c r="D60" i="1"/>
  <c r="B14" i="2" l="1"/>
  <c r="B4" i="2" s="1"/>
  <c r="E135" i="1"/>
  <c r="B17" i="2"/>
  <c r="B7" i="2" s="1"/>
  <c r="E184" i="1"/>
  <c r="E185" i="1"/>
  <c r="E186" i="1"/>
  <c r="E187" i="1"/>
  <c r="E188" i="1"/>
  <c r="E189" i="1"/>
  <c r="E190" i="1"/>
  <c r="E191" i="1"/>
  <c r="E192" i="1"/>
  <c r="E193" i="1"/>
  <c r="R173" i="1"/>
  <c r="R87" i="1" l="1"/>
  <c r="S87" i="1"/>
  <c r="T87" i="1"/>
  <c r="V87" i="1"/>
  <c r="U87" i="1"/>
  <c r="D23" i="1" l="1"/>
  <c r="B13" i="2" s="1"/>
  <c r="B3" i="2" l="1"/>
  <c r="E10" i="1"/>
  <c r="R121" i="1"/>
  <c r="R20" i="1" l="1"/>
  <c r="R204" i="1" l="1"/>
  <c r="S204" i="1"/>
  <c r="T204" i="1"/>
  <c r="U204" i="1"/>
  <c r="V204" i="1"/>
  <c r="S205" i="1"/>
  <c r="T205" i="1"/>
  <c r="U205" i="1"/>
  <c r="V205" i="1"/>
  <c r="S206" i="1"/>
  <c r="T206" i="1"/>
  <c r="U206" i="1"/>
  <c r="V206" i="1"/>
  <c r="R207" i="1"/>
  <c r="S207" i="1"/>
  <c r="T207" i="1"/>
  <c r="U207" i="1"/>
  <c r="V207" i="1"/>
  <c r="R208" i="1"/>
  <c r="S208" i="1"/>
  <c r="T208" i="1"/>
  <c r="U208" i="1"/>
  <c r="V208" i="1"/>
  <c r="R209" i="1"/>
  <c r="S209" i="1"/>
  <c r="T209" i="1"/>
  <c r="U209" i="1"/>
  <c r="V209" i="1"/>
  <c r="R210" i="1"/>
  <c r="S210" i="1"/>
  <c r="T210" i="1"/>
  <c r="U210" i="1"/>
  <c r="V210" i="1"/>
  <c r="R211" i="1"/>
  <c r="S211" i="1"/>
  <c r="T211" i="1"/>
  <c r="U211" i="1"/>
  <c r="V211" i="1"/>
  <c r="R212" i="1"/>
  <c r="S212" i="1"/>
  <c r="T212" i="1"/>
  <c r="U212" i="1"/>
  <c r="V212" i="1"/>
  <c r="R213" i="1"/>
  <c r="S213" i="1"/>
  <c r="T213" i="1"/>
  <c r="U213" i="1"/>
  <c r="V213" i="1"/>
  <c r="R214" i="1"/>
  <c r="S214" i="1"/>
  <c r="T214" i="1"/>
  <c r="U214" i="1"/>
  <c r="V214" i="1"/>
  <c r="S215" i="1"/>
  <c r="U215" i="1"/>
  <c r="V215" i="1"/>
  <c r="V203" i="1"/>
  <c r="U203" i="1"/>
  <c r="T203" i="1"/>
  <c r="S203" i="1"/>
  <c r="R203" i="1"/>
  <c r="U199" i="1"/>
  <c r="T199" i="1"/>
  <c r="S199" i="1"/>
  <c r="R199" i="1"/>
  <c r="V198" i="1"/>
  <c r="U198" i="1"/>
  <c r="T198" i="1"/>
  <c r="S198" i="1"/>
  <c r="R198" i="1"/>
  <c r="R184" i="1"/>
  <c r="S184" i="1"/>
  <c r="T184" i="1"/>
  <c r="U184" i="1"/>
  <c r="V184" i="1"/>
  <c r="S185" i="1"/>
  <c r="T185" i="1"/>
  <c r="U185" i="1"/>
  <c r="V185" i="1"/>
  <c r="R186" i="1"/>
  <c r="T186" i="1"/>
  <c r="U186" i="1"/>
  <c r="V186" i="1"/>
  <c r="R188" i="1"/>
  <c r="S188" i="1"/>
  <c r="T188" i="1"/>
  <c r="U188" i="1"/>
  <c r="V188" i="1"/>
  <c r="R189" i="1"/>
  <c r="S189" i="1"/>
  <c r="T189" i="1"/>
  <c r="U189" i="1"/>
  <c r="V189" i="1"/>
  <c r="R190" i="1"/>
  <c r="S190" i="1"/>
  <c r="T190" i="1"/>
  <c r="U190" i="1"/>
  <c r="V190" i="1"/>
  <c r="R191" i="1"/>
  <c r="S191" i="1"/>
  <c r="T191" i="1"/>
  <c r="U191" i="1"/>
  <c r="V191" i="1"/>
  <c r="R193" i="1"/>
  <c r="S193" i="1"/>
  <c r="T193" i="1"/>
  <c r="U193" i="1"/>
  <c r="V193" i="1"/>
  <c r="S194" i="1"/>
  <c r="U194" i="1"/>
  <c r="V194" i="1"/>
  <c r="V183" i="1"/>
  <c r="U183" i="1"/>
  <c r="T183" i="1"/>
  <c r="S183" i="1"/>
  <c r="R183" i="1"/>
  <c r="V180" i="1"/>
  <c r="U180" i="1"/>
  <c r="T180" i="1"/>
  <c r="R180" i="1"/>
  <c r="V179" i="1"/>
  <c r="U179" i="1"/>
  <c r="T179" i="1"/>
  <c r="S179" i="1"/>
  <c r="R179" i="1"/>
  <c r="S173" i="1"/>
  <c r="T173" i="1"/>
  <c r="U173" i="1"/>
  <c r="V173" i="1"/>
  <c r="R174" i="1"/>
  <c r="S174" i="1"/>
  <c r="T174" i="1"/>
  <c r="U174" i="1"/>
  <c r="S175" i="1"/>
  <c r="U175" i="1"/>
  <c r="V175" i="1"/>
  <c r="V172" i="1"/>
  <c r="U172" i="1"/>
  <c r="T172" i="1"/>
  <c r="S172" i="1"/>
  <c r="R172" i="1"/>
  <c r="R144" i="1"/>
  <c r="S144" i="1"/>
  <c r="T144" i="1"/>
  <c r="U144" i="1"/>
  <c r="V144" i="1"/>
  <c r="S145" i="1"/>
  <c r="T145" i="1"/>
  <c r="U145" i="1"/>
  <c r="V145" i="1"/>
  <c r="R146" i="1"/>
  <c r="S146" i="1"/>
  <c r="T146" i="1"/>
  <c r="U146" i="1"/>
  <c r="R147" i="1"/>
  <c r="S147" i="1"/>
  <c r="T147" i="1"/>
  <c r="U147" i="1"/>
  <c r="V147" i="1"/>
  <c r="R148" i="1"/>
  <c r="S148" i="1"/>
  <c r="T148" i="1"/>
  <c r="U148" i="1"/>
  <c r="V148" i="1"/>
  <c r="R149" i="1"/>
  <c r="S149" i="1"/>
  <c r="U149" i="1"/>
  <c r="V149" i="1"/>
  <c r="R150" i="1"/>
  <c r="S150" i="1"/>
  <c r="T150" i="1"/>
  <c r="U150" i="1"/>
  <c r="V150" i="1"/>
  <c r="R151" i="1"/>
  <c r="S151" i="1"/>
  <c r="T151" i="1"/>
  <c r="U151" i="1"/>
  <c r="V151" i="1"/>
  <c r="R152" i="1"/>
  <c r="S152" i="1"/>
  <c r="T152" i="1"/>
  <c r="U152" i="1"/>
  <c r="V152" i="1"/>
  <c r="R153" i="1"/>
  <c r="S153" i="1"/>
  <c r="T153" i="1"/>
  <c r="U153" i="1"/>
  <c r="V153" i="1"/>
  <c r="R154" i="1"/>
  <c r="S154" i="1"/>
  <c r="T154" i="1"/>
  <c r="U154" i="1"/>
  <c r="V154" i="1"/>
  <c r="R155" i="1"/>
  <c r="S155" i="1"/>
  <c r="T155" i="1"/>
  <c r="U155" i="1"/>
  <c r="V155" i="1"/>
  <c r="S156" i="1"/>
  <c r="T156" i="1"/>
  <c r="U156" i="1"/>
  <c r="V156" i="1"/>
  <c r="R157" i="1"/>
  <c r="S157" i="1"/>
  <c r="T157" i="1"/>
  <c r="U157" i="1"/>
  <c r="R158" i="1"/>
  <c r="S158" i="1"/>
  <c r="T158" i="1"/>
  <c r="U158" i="1"/>
  <c r="V158" i="1"/>
  <c r="R159" i="1"/>
  <c r="S159" i="1"/>
  <c r="T159" i="1"/>
  <c r="U159" i="1"/>
  <c r="V159" i="1"/>
  <c r="R160" i="1"/>
  <c r="S160" i="1"/>
  <c r="T160" i="1"/>
  <c r="U160" i="1"/>
  <c r="V160" i="1"/>
  <c r="R161" i="1"/>
  <c r="U161" i="1"/>
  <c r="V161" i="1"/>
  <c r="R162" i="1"/>
  <c r="S162" i="1"/>
  <c r="T162" i="1"/>
  <c r="U162" i="1"/>
  <c r="V162" i="1"/>
  <c r="R165" i="1"/>
  <c r="S165" i="1"/>
  <c r="T165" i="1"/>
  <c r="U165" i="1"/>
  <c r="V165" i="1"/>
  <c r="R166" i="1"/>
  <c r="S166" i="1"/>
  <c r="T166" i="1"/>
  <c r="U166" i="1"/>
  <c r="V166" i="1"/>
  <c r="R167" i="1"/>
  <c r="S167" i="1"/>
  <c r="T167" i="1"/>
  <c r="U167" i="1"/>
  <c r="V167" i="1"/>
  <c r="R168" i="1"/>
  <c r="S168" i="1"/>
  <c r="T168" i="1"/>
  <c r="U168" i="1"/>
  <c r="V168" i="1"/>
  <c r="S169" i="1"/>
  <c r="U169" i="1"/>
  <c r="V169" i="1"/>
  <c r="V142" i="1"/>
  <c r="U142" i="1"/>
  <c r="T142" i="1"/>
  <c r="S142" i="1"/>
  <c r="R142" i="1"/>
  <c r="R136" i="1"/>
  <c r="S136" i="1"/>
  <c r="T136" i="1"/>
  <c r="U136" i="1"/>
  <c r="V136" i="1"/>
  <c r="R137" i="1"/>
  <c r="S137" i="1"/>
  <c r="T137" i="1"/>
  <c r="U137" i="1"/>
  <c r="V137" i="1"/>
  <c r="R138" i="1"/>
  <c r="S138" i="1"/>
  <c r="T138" i="1"/>
  <c r="U138" i="1"/>
  <c r="V138" i="1"/>
  <c r="S139" i="1"/>
  <c r="U139" i="1"/>
  <c r="V139" i="1"/>
  <c r="V134" i="1"/>
  <c r="U134" i="1"/>
  <c r="T134" i="1"/>
  <c r="S134" i="1"/>
  <c r="R134" i="1"/>
  <c r="R120" i="1"/>
  <c r="S120" i="1"/>
  <c r="T120" i="1"/>
  <c r="U120" i="1"/>
  <c r="V120" i="1"/>
  <c r="S121" i="1"/>
  <c r="T121" i="1"/>
  <c r="U121" i="1"/>
  <c r="V121" i="1"/>
  <c r="R122" i="1"/>
  <c r="S122" i="1"/>
  <c r="T122" i="1"/>
  <c r="U122" i="1"/>
  <c r="V122" i="1"/>
  <c r="R125" i="1"/>
  <c r="S125" i="1"/>
  <c r="T125" i="1"/>
  <c r="U125" i="1"/>
  <c r="V125" i="1"/>
  <c r="R126" i="1"/>
  <c r="S126" i="1"/>
  <c r="T126" i="1"/>
  <c r="U126" i="1"/>
  <c r="V126" i="1"/>
  <c r="S127" i="1"/>
  <c r="T127" i="1"/>
  <c r="U127" i="1"/>
  <c r="V127" i="1"/>
  <c r="R128" i="1"/>
  <c r="S128" i="1"/>
  <c r="T128" i="1"/>
  <c r="U128" i="1"/>
  <c r="V128" i="1"/>
  <c r="R130" i="1"/>
  <c r="S130" i="1"/>
  <c r="T130" i="1"/>
  <c r="U130" i="1"/>
  <c r="V130" i="1"/>
  <c r="S131" i="1"/>
  <c r="U131" i="1"/>
  <c r="V131" i="1"/>
  <c r="V119" i="1"/>
  <c r="U119" i="1"/>
  <c r="T119" i="1"/>
  <c r="S119" i="1"/>
  <c r="R119" i="1"/>
  <c r="R104" i="1"/>
  <c r="S104" i="1"/>
  <c r="T104" i="1"/>
  <c r="U104" i="1"/>
  <c r="V104" i="1"/>
  <c r="R110" i="1"/>
  <c r="S110" i="1"/>
  <c r="T110" i="1"/>
  <c r="U110" i="1"/>
  <c r="V110" i="1"/>
  <c r="R111" i="1"/>
  <c r="S111" i="1"/>
  <c r="T111" i="1"/>
  <c r="U111" i="1"/>
  <c r="V111" i="1"/>
  <c r="R112" i="1"/>
  <c r="S112" i="1"/>
  <c r="T112" i="1"/>
  <c r="U112" i="1"/>
  <c r="V112" i="1"/>
  <c r="R113" i="1"/>
  <c r="S113" i="1"/>
  <c r="T113" i="1"/>
  <c r="U113" i="1"/>
  <c r="V113" i="1"/>
  <c r="R114" i="1"/>
  <c r="S114" i="1"/>
  <c r="T114" i="1"/>
  <c r="U114" i="1"/>
  <c r="V114" i="1"/>
  <c r="R115" i="1"/>
  <c r="S115" i="1"/>
  <c r="T115" i="1"/>
  <c r="U115" i="1"/>
  <c r="V115" i="1"/>
  <c r="R116" i="1"/>
  <c r="S116" i="1"/>
  <c r="T116" i="1"/>
  <c r="U116" i="1"/>
  <c r="V116" i="1"/>
  <c r="V102" i="1"/>
  <c r="U102" i="1"/>
  <c r="T102" i="1"/>
  <c r="S102" i="1"/>
  <c r="R102" i="1"/>
  <c r="R64" i="1"/>
  <c r="S64" i="1"/>
  <c r="T64" i="1"/>
  <c r="U64" i="1"/>
  <c r="V64" i="1"/>
  <c r="R65" i="1"/>
  <c r="S65" i="1"/>
  <c r="T65" i="1"/>
  <c r="U65" i="1"/>
  <c r="V65" i="1"/>
  <c r="R66" i="1"/>
  <c r="S66" i="1"/>
  <c r="T66" i="1"/>
  <c r="U66" i="1"/>
  <c r="V66" i="1"/>
  <c r="R67" i="1"/>
  <c r="S67" i="1"/>
  <c r="T67" i="1"/>
  <c r="U67" i="1"/>
  <c r="R68" i="1"/>
  <c r="S68" i="1"/>
  <c r="T68" i="1"/>
  <c r="U68" i="1"/>
  <c r="R70" i="1"/>
  <c r="S70" i="1"/>
  <c r="T70" i="1"/>
  <c r="U70" i="1"/>
  <c r="V70" i="1"/>
  <c r="S71" i="1"/>
  <c r="T71" i="1"/>
  <c r="U71" i="1"/>
  <c r="V71" i="1"/>
  <c r="R72" i="1"/>
  <c r="S72" i="1"/>
  <c r="T72" i="1"/>
  <c r="U72" i="1"/>
  <c r="V72" i="1"/>
  <c r="R73" i="1"/>
  <c r="S73" i="1"/>
  <c r="T73" i="1"/>
  <c r="U73" i="1"/>
  <c r="V73" i="1"/>
  <c r="R74" i="1"/>
  <c r="S74" i="1"/>
  <c r="T74" i="1"/>
  <c r="U74" i="1"/>
  <c r="V74" i="1"/>
  <c r="R75" i="1"/>
  <c r="S75" i="1"/>
  <c r="T75" i="1"/>
  <c r="U75" i="1"/>
  <c r="V75" i="1"/>
  <c r="S76" i="1"/>
  <c r="T76" i="1"/>
  <c r="U76" i="1"/>
  <c r="V76" i="1"/>
  <c r="R77" i="1"/>
  <c r="S77" i="1"/>
  <c r="T77" i="1"/>
  <c r="U77" i="1"/>
  <c r="V77" i="1"/>
  <c r="R78" i="1"/>
  <c r="S78" i="1"/>
  <c r="T78" i="1"/>
  <c r="U78" i="1"/>
  <c r="V78" i="1"/>
  <c r="R80" i="1"/>
  <c r="S80" i="1"/>
  <c r="T80" i="1"/>
  <c r="U80" i="1"/>
  <c r="V80" i="1"/>
  <c r="R81" i="1"/>
  <c r="S81" i="1"/>
  <c r="T81" i="1"/>
  <c r="U81" i="1"/>
  <c r="V81" i="1"/>
  <c r="R83" i="1"/>
  <c r="S83" i="1"/>
  <c r="T83" i="1"/>
  <c r="U83" i="1"/>
  <c r="V83" i="1"/>
  <c r="R84" i="1"/>
  <c r="S84" i="1"/>
  <c r="T84" i="1"/>
  <c r="U84" i="1"/>
  <c r="V84" i="1"/>
  <c r="R86" i="1"/>
  <c r="S86" i="1"/>
  <c r="T86" i="1"/>
  <c r="U86" i="1"/>
  <c r="V86" i="1"/>
  <c r="S88" i="1"/>
  <c r="T88" i="1"/>
  <c r="U88" i="1"/>
  <c r="V88" i="1"/>
  <c r="R89" i="1"/>
  <c r="S89" i="1"/>
  <c r="T89" i="1"/>
  <c r="U89" i="1"/>
  <c r="V89" i="1"/>
  <c r="R90" i="1"/>
  <c r="S90" i="1"/>
  <c r="T90" i="1"/>
  <c r="U90" i="1"/>
  <c r="V90" i="1"/>
  <c r="R91" i="1"/>
  <c r="S91" i="1"/>
  <c r="T91" i="1"/>
  <c r="U91" i="1"/>
  <c r="V91" i="1"/>
  <c r="R92" i="1"/>
  <c r="S92" i="1"/>
  <c r="T92" i="1"/>
  <c r="U92" i="1"/>
  <c r="V92" i="1"/>
  <c r="R93" i="1"/>
  <c r="S93" i="1"/>
  <c r="T93" i="1"/>
  <c r="U93" i="1"/>
  <c r="V93" i="1"/>
  <c r="R94" i="1"/>
  <c r="S94" i="1"/>
  <c r="T94" i="1"/>
  <c r="U94" i="1"/>
  <c r="V94" i="1"/>
  <c r="R97" i="1"/>
  <c r="S97" i="1"/>
  <c r="T97" i="1"/>
  <c r="U97" i="1"/>
  <c r="V97" i="1"/>
  <c r="S98" i="1"/>
  <c r="U98" i="1"/>
  <c r="V98" i="1"/>
  <c r="V63" i="1"/>
  <c r="U63" i="1"/>
  <c r="T63" i="1"/>
  <c r="S63" i="1"/>
  <c r="R63" i="1"/>
  <c r="R27" i="1"/>
  <c r="S27" i="1"/>
  <c r="T27" i="1"/>
  <c r="U27" i="1"/>
  <c r="V27" i="1"/>
  <c r="R28" i="1"/>
  <c r="S28" i="1"/>
  <c r="T28" i="1"/>
  <c r="U28" i="1"/>
  <c r="V28" i="1"/>
  <c r="R29" i="1"/>
  <c r="S29" i="1"/>
  <c r="T29" i="1"/>
  <c r="U29" i="1"/>
  <c r="V29" i="1"/>
  <c r="R30" i="1"/>
  <c r="S30" i="1"/>
  <c r="T30" i="1"/>
  <c r="U30" i="1"/>
  <c r="V30" i="1"/>
  <c r="R31" i="1"/>
  <c r="S31" i="1"/>
  <c r="T31" i="1"/>
  <c r="U31" i="1"/>
  <c r="V31" i="1"/>
  <c r="R33" i="1"/>
  <c r="S33" i="1"/>
  <c r="T33" i="1"/>
  <c r="U33" i="1"/>
  <c r="V33" i="1"/>
  <c r="R34" i="1"/>
  <c r="S34" i="1"/>
  <c r="U34" i="1"/>
  <c r="V34" i="1"/>
  <c r="R35" i="1"/>
  <c r="S35" i="1"/>
  <c r="T35" i="1"/>
  <c r="U35" i="1"/>
  <c r="V35" i="1"/>
  <c r="R36" i="1"/>
  <c r="S36" i="1"/>
  <c r="T36" i="1"/>
  <c r="U36" i="1"/>
  <c r="V36" i="1"/>
  <c r="R37" i="1"/>
  <c r="S37" i="1"/>
  <c r="T37" i="1"/>
  <c r="U37" i="1"/>
  <c r="V37" i="1"/>
  <c r="R38" i="1"/>
  <c r="S38" i="1"/>
  <c r="T38" i="1"/>
  <c r="U38" i="1"/>
  <c r="V38" i="1"/>
  <c r="R39" i="1"/>
  <c r="S39" i="1"/>
  <c r="T39" i="1"/>
  <c r="U39" i="1"/>
  <c r="V39" i="1"/>
  <c r="R40" i="1"/>
  <c r="S40" i="1"/>
  <c r="T40" i="1"/>
  <c r="U40" i="1"/>
  <c r="V40" i="1"/>
  <c r="R41" i="1"/>
  <c r="S41" i="1"/>
  <c r="T41" i="1"/>
  <c r="U41" i="1"/>
  <c r="V41" i="1"/>
  <c r="R42" i="1"/>
  <c r="S42" i="1"/>
  <c r="T42" i="1"/>
  <c r="U42" i="1"/>
  <c r="V42" i="1"/>
  <c r="R43" i="1"/>
  <c r="S43" i="1"/>
  <c r="T43" i="1"/>
  <c r="U43" i="1"/>
  <c r="V43" i="1"/>
  <c r="R44" i="1"/>
  <c r="S44" i="1"/>
  <c r="T44" i="1"/>
  <c r="U44" i="1"/>
  <c r="V44" i="1"/>
  <c r="R45" i="1"/>
  <c r="S45" i="1"/>
  <c r="T45" i="1"/>
  <c r="U45" i="1"/>
  <c r="V45" i="1"/>
  <c r="R46" i="1"/>
  <c r="S46" i="1"/>
  <c r="T46" i="1"/>
  <c r="U46" i="1"/>
  <c r="V46" i="1"/>
  <c r="R47" i="1"/>
  <c r="S47" i="1"/>
  <c r="T47" i="1"/>
  <c r="U47" i="1"/>
  <c r="V47" i="1"/>
  <c r="R48" i="1"/>
  <c r="S48" i="1"/>
  <c r="T48" i="1"/>
  <c r="U48" i="1"/>
  <c r="V48" i="1"/>
  <c r="R49" i="1"/>
  <c r="S49" i="1"/>
  <c r="T49" i="1"/>
  <c r="U49" i="1"/>
  <c r="V49" i="1"/>
  <c r="R52" i="1"/>
  <c r="S52" i="1"/>
  <c r="T52" i="1"/>
  <c r="U52" i="1"/>
  <c r="V52" i="1"/>
  <c r="R54" i="1"/>
  <c r="S54" i="1"/>
  <c r="T54" i="1"/>
  <c r="U54" i="1"/>
  <c r="V54" i="1"/>
  <c r="R55" i="1"/>
  <c r="S55" i="1"/>
  <c r="T55" i="1"/>
  <c r="U55" i="1"/>
  <c r="V55" i="1"/>
  <c r="R56" i="1"/>
  <c r="S56" i="1"/>
  <c r="T56" i="1"/>
  <c r="U56" i="1"/>
  <c r="V56" i="1"/>
  <c r="R57" i="1"/>
  <c r="S57" i="1"/>
  <c r="T57" i="1"/>
  <c r="U57" i="1"/>
  <c r="V57" i="1"/>
  <c r="R59" i="1"/>
  <c r="S59" i="1"/>
  <c r="T59" i="1"/>
  <c r="U59" i="1"/>
  <c r="V59" i="1"/>
  <c r="S60" i="1"/>
  <c r="U60" i="1"/>
  <c r="V60" i="1"/>
  <c r="V26" i="1"/>
  <c r="U26" i="1"/>
  <c r="T26" i="1"/>
  <c r="S26" i="1"/>
  <c r="R26" i="1"/>
  <c r="R7" i="1"/>
  <c r="S7" i="1"/>
  <c r="T7" i="1"/>
  <c r="U7" i="1"/>
  <c r="V7" i="1"/>
  <c r="R8" i="1"/>
  <c r="S8" i="1"/>
  <c r="T8" i="1"/>
  <c r="U8" i="1"/>
  <c r="V8" i="1"/>
  <c r="R9" i="1"/>
  <c r="S9" i="1"/>
  <c r="T9" i="1"/>
  <c r="U9" i="1"/>
  <c r="V9" i="1"/>
  <c r="R11" i="1"/>
  <c r="S11" i="1"/>
  <c r="T11" i="1"/>
  <c r="U11" i="1"/>
  <c r="V11" i="1"/>
  <c r="R12" i="1"/>
  <c r="S12" i="1"/>
  <c r="T12" i="1"/>
  <c r="U12" i="1"/>
  <c r="V12" i="1"/>
  <c r="S13" i="1"/>
  <c r="T13" i="1"/>
  <c r="U13" i="1"/>
  <c r="V13" i="1"/>
  <c r="R14" i="1"/>
  <c r="S14" i="1"/>
  <c r="T14" i="1"/>
  <c r="U14" i="1"/>
  <c r="V14" i="1"/>
  <c r="R15" i="1"/>
  <c r="S15" i="1"/>
  <c r="T15" i="1"/>
  <c r="U15" i="1"/>
  <c r="V15" i="1"/>
  <c r="R16" i="1"/>
  <c r="S16" i="1"/>
  <c r="T16" i="1"/>
  <c r="U16" i="1"/>
  <c r="V16" i="1"/>
  <c r="R17" i="1"/>
  <c r="S17" i="1"/>
  <c r="T17" i="1"/>
  <c r="U17" i="1"/>
  <c r="V17" i="1"/>
  <c r="R18" i="1"/>
  <c r="S18" i="1"/>
  <c r="T18" i="1"/>
  <c r="U18" i="1"/>
  <c r="V18" i="1"/>
  <c r="R19" i="1"/>
  <c r="S19" i="1"/>
  <c r="T19" i="1"/>
  <c r="U19" i="1"/>
  <c r="V19" i="1"/>
  <c r="S20" i="1"/>
  <c r="T20" i="1"/>
  <c r="U20" i="1"/>
  <c r="V20" i="1"/>
  <c r="R21" i="1"/>
  <c r="S21" i="1"/>
  <c r="T21" i="1"/>
  <c r="U21" i="1"/>
  <c r="V21" i="1"/>
  <c r="R22" i="1"/>
  <c r="U22" i="1"/>
  <c r="V22" i="1"/>
  <c r="S23" i="1"/>
  <c r="U23" i="1"/>
  <c r="V23" i="1"/>
  <c r="V6" i="1"/>
  <c r="U6" i="1"/>
  <c r="T6" i="1"/>
  <c r="V68" i="1" l="1"/>
  <c r="V146" i="1"/>
  <c r="O194" i="1" l="1"/>
  <c r="O215" i="1"/>
  <c r="K215" i="1"/>
  <c r="H215" i="1"/>
  <c r="K200" i="1"/>
  <c r="H200" i="1"/>
  <c r="D200" i="1"/>
  <c r="H194" i="1"/>
  <c r="K194" i="1"/>
  <c r="B5" i="3" s="1"/>
  <c r="H175" i="1"/>
  <c r="O175" i="1"/>
  <c r="K175" i="1"/>
  <c r="O169" i="1"/>
  <c r="K169" i="1"/>
  <c r="L163" i="1" s="1"/>
  <c r="H169" i="1"/>
  <c r="D169" i="1"/>
  <c r="O139" i="1"/>
  <c r="K139" i="1"/>
  <c r="H139" i="1"/>
  <c r="T139" i="1" s="1"/>
  <c r="H131" i="1"/>
  <c r="K131" i="1"/>
  <c r="O98" i="1"/>
  <c r="K98" i="1"/>
  <c r="H98" i="1"/>
  <c r="D98" i="1"/>
  <c r="O60" i="1"/>
  <c r="H60" i="1"/>
  <c r="O23" i="1"/>
  <c r="H23" i="1"/>
  <c r="E69" i="1" l="1"/>
  <c r="B15" i="2"/>
  <c r="L69" i="1"/>
  <c r="C15" i="2"/>
  <c r="B18" i="2"/>
  <c r="B8" i="2" s="1"/>
  <c r="E163" i="1"/>
  <c r="E53" i="1"/>
  <c r="L53" i="1"/>
  <c r="L103" i="1"/>
  <c r="L106" i="1"/>
  <c r="E32" i="1"/>
  <c r="L32" i="1"/>
  <c r="L161" i="1"/>
  <c r="L162" i="1"/>
  <c r="L164" i="1"/>
  <c r="E59" i="1"/>
  <c r="E58" i="1"/>
  <c r="C18" i="2"/>
  <c r="C8" i="2" s="1"/>
  <c r="B4" i="3"/>
  <c r="C16" i="2"/>
  <c r="C6" i="2" s="1"/>
  <c r="L105" i="1"/>
  <c r="L135" i="1"/>
  <c r="C17" i="2"/>
  <c r="C7" i="2" s="1"/>
  <c r="B6" i="3"/>
  <c r="C19" i="2"/>
  <c r="C9" i="2" s="1"/>
  <c r="B2" i="3"/>
  <c r="C20" i="2"/>
  <c r="C10" i="2" s="1"/>
  <c r="B7" i="3"/>
  <c r="C5" i="2"/>
  <c r="B8" i="3"/>
  <c r="C4" i="2"/>
  <c r="E96" i="1"/>
  <c r="B5" i="2"/>
  <c r="L129" i="1"/>
  <c r="B9" i="3"/>
  <c r="L82" i="1"/>
  <c r="L96" i="1"/>
  <c r="L58" i="1"/>
  <c r="L184" i="1"/>
  <c r="L185" i="1"/>
  <c r="L186" i="1"/>
  <c r="L187" i="1"/>
  <c r="L188" i="1"/>
  <c r="L189" i="1"/>
  <c r="L190" i="1"/>
  <c r="L191" i="1"/>
  <c r="L192" i="1"/>
  <c r="L193" i="1"/>
  <c r="L123" i="1"/>
  <c r="L124" i="1"/>
  <c r="E79" i="1"/>
  <c r="E82" i="1"/>
  <c r="E162" i="1"/>
  <c r="E164" i="1"/>
  <c r="L89" i="1"/>
  <c r="L97" i="1"/>
  <c r="L79" i="1"/>
  <c r="L143" i="1"/>
  <c r="E143" i="1"/>
  <c r="L108" i="1"/>
  <c r="L121" i="1"/>
  <c r="L183" i="1"/>
  <c r="E85" i="1"/>
  <c r="L85" i="1"/>
  <c r="L56" i="1"/>
  <c r="L37" i="1"/>
  <c r="L213" i="1"/>
  <c r="L214" i="1"/>
  <c r="E50" i="1"/>
  <c r="L49" i="1"/>
  <c r="L52" i="1"/>
  <c r="L50" i="1"/>
  <c r="L54" i="1"/>
  <c r="L102" i="1"/>
  <c r="L119" i="1"/>
  <c r="L158" i="1"/>
  <c r="L165" i="1"/>
  <c r="L90" i="1"/>
  <c r="L66" i="1"/>
  <c r="L107" i="1"/>
  <c r="L26" i="1"/>
  <c r="L40" i="1"/>
  <c r="T194" i="1"/>
  <c r="L94" i="1"/>
  <c r="L95" i="1"/>
  <c r="E87" i="1"/>
  <c r="E95" i="1"/>
  <c r="T215" i="1"/>
  <c r="L87" i="1"/>
  <c r="T60" i="1"/>
  <c r="T175" i="1"/>
  <c r="R175" i="1"/>
  <c r="T98" i="1"/>
  <c r="T169" i="1"/>
  <c r="T23" i="1"/>
  <c r="R139" i="1"/>
  <c r="R215" i="1"/>
  <c r="T131" i="1"/>
  <c r="O195" i="1"/>
  <c r="O216" i="1" s="1"/>
  <c r="R169" i="1"/>
  <c r="L157" i="1"/>
  <c r="R131" i="1"/>
  <c r="R98" i="1"/>
  <c r="L65" i="1"/>
  <c r="L67" i="1"/>
  <c r="L70" i="1"/>
  <c r="L72" i="1"/>
  <c r="L74" i="1"/>
  <c r="L76" i="1"/>
  <c r="L78" i="1"/>
  <c r="L81" i="1"/>
  <c r="L84" i="1"/>
  <c r="L88" i="1"/>
  <c r="L92" i="1"/>
  <c r="L64" i="1"/>
  <c r="L68" i="1"/>
  <c r="L71" i="1"/>
  <c r="L73" i="1"/>
  <c r="L75" i="1"/>
  <c r="L77" i="1"/>
  <c r="L80" i="1"/>
  <c r="L83" i="1"/>
  <c r="L86" i="1"/>
  <c r="L91" i="1"/>
  <c r="L93" i="1"/>
  <c r="E28" i="1"/>
  <c r="E30" i="1"/>
  <c r="E33" i="1"/>
  <c r="E35" i="1"/>
  <c r="E37" i="1"/>
  <c r="E39" i="1"/>
  <c r="E41" i="1"/>
  <c r="E43" i="1"/>
  <c r="E45" i="1"/>
  <c r="E47" i="1"/>
  <c r="E49" i="1"/>
  <c r="E54" i="1"/>
  <c r="E56" i="1"/>
  <c r="E27" i="1"/>
  <c r="E29" i="1"/>
  <c r="E31" i="1"/>
  <c r="E34" i="1"/>
  <c r="E36" i="1"/>
  <c r="E38" i="1"/>
  <c r="E40" i="1"/>
  <c r="E42" i="1"/>
  <c r="E44" i="1"/>
  <c r="E46" i="1"/>
  <c r="E48" i="1"/>
  <c r="E52" i="1"/>
  <c r="E55" i="1"/>
  <c r="E57" i="1"/>
  <c r="E26" i="1"/>
  <c r="R194" i="1"/>
  <c r="H195" i="1"/>
  <c r="H216" i="1" s="1"/>
  <c r="J10" i="4"/>
  <c r="I12" i="4"/>
  <c r="H12" i="4"/>
  <c r="G12" i="4"/>
  <c r="F12" i="4"/>
  <c r="E12" i="4"/>
  <c r="C12" i="4"/>
  <c r="E211" i="1"/>
  <c r="L212" i="1"/>
  <c r="L211" i="1"/>
  <c r="L209" i="1"/>
  <c r="L208" i="1"/>
  <c r="L207" i="1"/>
  <c r="L205" i="1"/>
  <c r="L204" i="1"/>
  <c r="L203" i="1"/>
  <c r="L198" i="1"/>
  <c r="E198" i="1"/>
  <c r="L180" i="1"/>
  <c r="L172" i="1"/>
  <c r="E174" i="1"/>
  <c r="E168" i="1"/>
  <c r="E165" i="1"/>
  <c r="L156" i="1"/>
  <c r="L154" i="1"/>
  <c r="L151" i="1"/>
  <c r="L148" i="1"/>
  <c r="L146" i="1"/>
  <c r="L142" i="1"/>
  <c r="L137" i="1"/>
  <c r="E138" i="1"/>
  <c r="L138" i="1"/>
  <c r="E94" i="1"/>
  <c r="E93" i="1"/>
  <c r="E91" i="1"/>
  <c r="E89" i="1"/>
  <c r="E86" i="1"/>
  <c r="E83" i="1"/>
  <c r="E80" i="1"/>
  <c r="E77" i="1"/>
  <c r="E75" i="1"/>
  <c r="E73" i="1"/>
  <c r="E71" i="1"/>
  <c r="E68" i="1"/>
  <c r="E66" i="1"/>
  <c r="E64" i="1"/>
  <c r="L55" i="1"/>
  <c r="R60" i="1"/>
  <c r="L34" i="1"/>
  <c r="K23" i="1"/>
  <c r="E15" i="1"/>
  <c r="S6" i="1"/>
  <c r="R6" i="1"/>
  <c r="L10" i="1" l="1"/>
  <c r="C13" i="2"/>
  <c r="C3" i="2"/>
  <c r="B3" i="3"/>
  <c r="J12" i="4"/>
  <c r="I4" i="5"/>
  <c r="I3" i="5" s="1"/>
  <c r="L7" i="1"/>
  <c r="L8" i="1"/>
  <c r="L9" i="1"/>
  <c r="L11" i="1"/>
  <c r="L12" i="1"/>
  <c r="L13" i="1"/>
  <c r="L14" i="1"/>
  <c r="L15" i="1"/>
  <c r="L16" i="1"/>
  <c r="L17" i="1"/>
  <c r="L18" i="1"/>
  <c r="L19" i="1"/>
  <c r="L20" i="1"/>
  <c r="L21" i="1"/>
  <c r="L22" i="1"/>
  <c r="E8" i="1"/>
  <c r="E6" i="1"/>
  <c r="E11" i="1"/>
  <c r="E9" i="1"/>
  <c r="E20" i="1"/>
  <c r="R23" i="1"/>
  <c r="L6" i="1"/>
  <c r="L42" i="1"/>
  <c r="L134" i="1"/>
  <c r="L144" i="1"/>
  <c r="L147" i="1"/>
  <c r="L150" i="1"/>
  <c r="L152" i="1"/>
  <c r="L155" i="1"/>
  <c r="L159" i="1"/>
  <c r="E19" i="1"/>
  <c r="L63" i="1"/>
  <c r="E67" i="1"/>
  <c r="E134" i="1"/>
  <c r="E142" i="1"/>
  <c r="E144" i="1"/>
  <c r="E145" i="1"/>
  <c r="E150" i="1"/>
  <c r="E151" i="1"/>
  <c r="E152" i="1"/>
  <c r="E153" i="1"/>
  <c r="E158" i="1"/>
  <c r="E161" i="1"/>
  <c r="E167" i="1"/>
  <c r="E12" i="1"/>
  <c r="E14" i="1"/>
  <c r="E17" i="1"/>
  <c r="E21" i="1"/>
  <c r="L30" i="1"/>
  <c r="L39" i="1"/>
  <c r="L45" i="1"/>
  <c r="K195" i="1"/>
  <c r="L136" i="1"/>
  <c r="E146" i="1"/>
  <c r="E147" i="1"/>
  <c r="E148" i="1"/>
  <c r="E149" i="1"/>
  <c r="E154" i="1"/>
  <c r="E155" i="1"/>
  <c r="E156" i="1"/>
  <c r="E157" i="1"/>
  <c r="E159" i="1"/>
  <c r="E160" i="1"/>
  <c r="E166" i="1"/>
  <c r="L179" i="1"/>
  <c r="L112" i="1"/>
  <c r="L111" i="1"/>
  <c r="L35" i="1"/>
  <c r="L46" i="1"/>
  <c r="L57" i="1"/>
  <c r="E137" i="1"/>
  <c r="L167" i="1"/>
  <c r="L174" i="1"/>
  <c r="E206" i="1"/>
  <c r="E210" i="1"/>
  <c r="E214" i="1"/>
  <c r="D12" i="4"/>
  <c r="E104" i="1"/>
  <c r="L38" i="1"/>
  <c r="L41" i="1"/>
  <c r="L31" i="1"/>
  <c r="L43" i="1"/>
  <c r="L145" i="1"/>
  <c r="L149" i="1"/>
  <c r="L153" i="1"/>
  <c r="E173" i="1"/>
  <c r="E183" i="1"/>
  <c r="E199" i="1"/>
  <c r="L206" i="1"/>
  <c r="L210" i="1"/>
  <c r="L29" i="1"/>
  <c r="E7" i="1"/>
  <c r="E18" i="1"/>
  <c r="E22" i="1"/>
  <c r="L28" i="1"/>
  <c r="L48" i="1"/>
  <c r="E63" i="1"/>
  <c r="E72" i="1"/>
  <c r="E76" i="1"/>
  <c r="E81" i="1"/>
  <c r="E88" i="1"/>
  <c r="E92" i="1"/>
  <c r="E97" i="1"/>
  <c r="E136" i="1"/>
  <c r="L160" i="1"/>
  <c r="L166" i="1"/>
  <c r="L173" i="1"/>
  <c r="L199" i="1"/>
  <c r="R200" i="1"/>
  <c r="E205" i="1"/>
  <c r="E209" i="1"/>
  <c r="E213" i="1"/>
  <c r="E172" i="1"/>
  <c r="E180" i="1"/>
  <c r="E204" i="1"/>
  <c r="E208" i="1"/>
  <c r="E212" i="1"/>
  <c r="L47" i="1"/>
  <c r="L59" i="1"/>
  <c r="L27" i="1"/>
  <c r="L36" i="1"/>
  <c r="E179" i="1"/>
  <c r="E13" i="1"/>
  <c r="E16" i="1"/>
  <c r="L33" i="1"/>
  <c r="L44" i="1"/>
  <c r="E65" i="1"/>
  <c r="E70" i="1"/>
  <c r="E74" i="1"/>
  <c r="E78" i="1"/>
  <c r="E84" i="1"/>
  <c r="E90" i="1"/>
  <c r="L168" i="1"/>
  <c r="E203" i="1"/>
  <c r="E207" i="1"/>
  <c r="L122" i="1" l="1"/>
  <c r="L104" i="1"/>
  <c r="L109" i="1"/>
  <c r="L115" i="1"/>
  <c r="L126" i="1"/>
  <c r="L110" i="1"/>
  <c r="K216" i="1"/>
  <c r="L23" i="1"/>
  <c r="L169" i="1"/>
  <c r="L60" i="1"/>
  <c r="L139" i="1"/>
  <c r="L98" i="1"/>
  <c r="L131" i="1"/>
  <c r="L194" i="1"/>
  <c r="L175" i="1"/>
  <c r="L114" i="1"/>
  <c r="L113" i="1"/>
  <c r="L130" i="1"/>
  <c r="L125" i="1"/>
  <c r="L127" i="1"/>
  <c r="L116" i="1"/>
  <c r="L128" i="1"/>
  <c r="L120" i="1"/>
  <c r="E128" i="1"/>
  <c r="E125" i="1"/>
  <c r="E116" i="1"/>
  <c r="E113" i="1"/>
  <c r="E110" i="1"/>
  <c r="E115" i="1"/>
  <c r="E111" i="1"/>
  <c r="E121" i="1"/>
  <c r="E112" i="1"/>
  <c r="D195" i="1"/>
  <c r="E130" i="1"/>
  <c r="E102" i="1"/>
  <c r="E114" i="1"/>
  <c r="E109" i="1"/>
  <c r="E127" i="1"/>
  <c r="E126" i="1"/>
  <c r="E122" i="1"/>
  <c r="E119" i="1"/>
  <c r="E131" i="1" l="1"/>
  <c r="R195" i="1"/>
  <c r="E60" i="1"/>
  <c r="E169" i="1"/>
  <c r="D216" i="1"/>
  <c r="E98" i="1"/>
  <c r="E23" i="1"/>
  <c r="E194" i="1"/>
  <c r="E139" i="1"/>
  <c r="E175" i="1"/>
</calcChain>
</file>

<file path=xl/sharedStrings.xml><?xml version="1.0" encoding="utf-8"?>
<sst xmlns="http://schemas.openxmlformats.org/spreadsheetml/2006/main" count="451" uniqueCount="284">
  <si>
    <t>% Change (Current from Previous)</t>
  </si>
  <si>
    <t>Difference</t>
  </si>
  <si>
    <t>S/N</t>
  </si>
  <si>
    <t>FUND</t>
  </si>
  <si>
    <t>FUND MANAGER</t>
  </si>
  <si>
    <t>NAV (N)</t>
  </si>
  <si>
    <t>% on Total</t>
  </si>
  <si>
    <t>Bid Price (N)</t>
  </si>
  <si>
    <t>Offer Price (N)</t>
  </si>
  <si>
    <t>Yield (WTD)</t>
  </si>
  <si>
    <t>Yield  (YTD)</t>
  </si>
  <si>
    <t>NAV (%)</t>
  </si>
  <si>
    <t>Unit Price (%)</t>
  </si>
  <si>
    <t>Yield (%) WYD</t>
  </si>
  <si>
    <t>Yield (%) YTD</t>
  </si>
  <si>
    <t>EQUITY BASED FUNDS</t>
  </si>
  <si>
    <t>Afrinvest Equity Fund</t>
  </si>
  <si>
    <t>Afrinvest Asset Mgt Ltd.</t>
  </si>
  <si>
    <t>Anchoria Equity Fund</t>
  </si>
  <si>
    <t>Anchoria Asset Management Limited</t>
  </si>
  <si>
    <t>ARM Aggressive Growth Fund</t>
  </si>
  <si>
    <t>Asset &amp; Resources Mgt. Co. Ltd</t>
  </si>
  <si>
    <t>AXA Mansard Equity Income Fund</t>
  </si>
  <si>
    <t>AXA Mansard Investments Limited</t>
  </si>
  <si>
    <t>Cowry Equity Fund</t>
  </si>
  <si>
    <t>Cowry Treasurers Limited</t>
  </si>
  <si>
    <t>FBN Nigeria Smart Beta Equity Fund</t>
  </si>
  <si>
    <t>FBNQuest Asset Management Limited</t>
  </si>
  <si>
    <t>Frontier Fund</t>
  </si>
  <si>
    <t>SCM Capital Limited</t>
  </si>
  <si>
    <t>Futureview Equity Fund</t>
  </si>
  <si>
    <t>Futureview Asset Management Limited</t>
  </si>
  <si>
    <t>Guaranty Trust Fund Managers</t>
  </si>
  <si>
    <t>Legacy Equity Fund</t>
  </si>
  <si>
    <t>First City Asset Management Limited</t>
  </si>
  <si>
    <t>Meristem Equity Market Fund</t>
  </si>
  <si>
    <t>Meristem Wealth Management Limited</t>
  </si>
  <si>
    <t>PACAM Equity Fund</t>
  </si>
  <si>
    <t>PAC Asset Management Limited</t>
  </si>
  <si>
    <t>Paramount Equity Fund</t>
  </si>
  <si>
    <t>Chapel Hill Denham Mgt. Limited</t>
  </si>
  <si>
    <t>Stanbic IBTC Aggressive Fund (Sub Fund)</t>
  </si>
  <si>
    <t>Stanbic IBTC Asset Mgt. Limited</t>
  </si>
  <si>
    <t>Stanbic IBTC Nigerian Equity Fund</t>
  </si>
  <si>
    <t>United Capital Equity Fund</t>
  </si>
  <si>
    <t>United Capital Asset Mgt. Ltd</t>
  </si>
  <si>
    <t>Sub-Total</t>
  </si>
  <si>
    <t>MONEY MARKET FUNDS</t>
  </si>
  <si>
    <t>Afrinvest Plutus Fund</t>
  </si>
  <si>
    <t>AIICO Money Market Fund</t>
  </si>
  <si>
    <t>AIICO Capital Ltd</t>
  </si>
  <si>
    <t>Anchoria Money Market Fund</t>
  </si>
  <si>
    <t>ARM Money Market Fund</t>
  </si>
  <si>
    <t>AXA Mansard Money Market Fund</t>
  </si>
  <si>
    <t>Chapel Hill Denham Money Market Fund</t>
  </si>
  <si>
    <t>Coral Money Market Fund</t>
  </si>
  <si>
    <t>FSDH Asset Management Ltd</t>
  </si>
  <si>
    <t>Cordros Money Market Fund</t>
  </si>
  <si>
    <t>Cordros Asset Management Limited</t>
  </si>
  <si>
    <t>Core Investment Money Market Fund</t>
  </si>
  <si>
    <t>Core Asset Management Limited</t>
  </si>
  <si>
    <t>Coronation Money Market Fund</t>
  </si>
  <si>
    <t>Coronation Asset Management Ltd</t>
  </si>
  <si>
    <t>EDC Money Market Fund Class A</t>
  </si>
  <si>
    <t>EDC Fund Management Limited</t>
  </si>
  <si>
    <t>EDC Money Market Fund Class B</t>
  </si>
  <si>
    <t>Emerging Africa Money Market Fund</t>
  </si>
  <si>
    <t>Emerging Africa Asset Management Limited</t>
  </si>
  <si>
    <t>FBN Money Market Fund</t>
  </si>
  <si>
    <t>First Ally Money Market Fund</t>
  </si>
  <si>
    <t>First Ally Asset Management Limited</t>
  </si>
  <si>
    <t>GDL Money Market Fund</t>
  </si>
  <si>
    <t>Growth &amp; Development Asset Management Limited</t>
  </si>
  <si>
    <t>Greenwich Plus Money Market Fund</t>
  </si>
  <si>
    <t>Greenwich Asset Management Limited</t>
  </si>
  <si>
    <t>Legacy Money Market Fund</t>
  </si>
  <si>
    <t>Meristem Money Market Fund</t>
  </si>
  <si>
    <t>Norrenberger Money Market Fund</t>
  </si>
  <si>
    <t>Norrenberger Investment &amp; Capital Mgt. Ltd.</t>
  </si>
  <si>
    <t>Nova Prime Money Market Fund</t>
  </si>
  <si>
    <t xml:space="preserve">Novambl Asset Management </t>
  </si>
  <si>
    <t>PACAM Money Market Fund</t>
  </si>
  <si>
    <t>Stanbic IBTC Money Market Fund</t>
  </si>
  <si>
    <t>Trustbanc Money Market Fund</t>
  </si>
  <si>
    <t>Trustbanc Asset Management Limited</t>
  </si>
  <si>
    <t>United Capital Money Market Fund</t>
  </si>
  <si>
    <t>ValuAlliance Money Market  Fund</t>
  </si>
  <si>
    <t>ValuAlliance Asset Management Limited</t>
  </si>
  <si>
    <t>Vetiva Money Market Fund</t>
  </si>
  <si>
    <t>Vetiva Fund Managers</t>
  </si>
  <si>
    <t>Zenith Money Market Fund</t>
  </si>
  <si>
    <t>Zenith Asset Management Ltd</t>
  </si>
  <si>
    <t>BOND/FIXED INCOME FUNDS</t>
  </si>
  <si>
    <t>Anchoria Fixed Income Fund</t>
  </si>
  <si>
    <t>ARM Fixed Income Fund</t>
  </si>
  <si>
    <t>ARM Short Term Bond Fund</t>
  </si>
  <si>
    <t>AVA GAM Fixed Income Fund</t>
  </si>
  <si>
    <t>AVA Global Asset Managers Limited</t>
  </si>
  <si>
    <t>CardinalStone Fixed Income Alpha Fund</t>
  </si>
  <si>
    <t>CardinalStone Asset Mgt. Limited</t>
  </si>
  <si>
    <t>CEAT Fixed Income Fund</t>
  </si>
  <si>
    <t>Capital Express Asset and Trust Limited</t>
  </si>
  <si>
    <t>Coral Income Fund</t>
  </si>
  <si>
    <t>Cordros Fixed Income Fund</t>
  </si>
  <si>
    <t>Coronation Fixed Income Fund</t>
  </si>
  <si>
    <t xml:space="preserve">Coronation Asset Management </t>
  </si>
  <si>
    <t>Cowry Fixed Income Fund</t>
  </si>
  <si>
    <t>DLM Fixed Income Fund</t>
  </si>
  <si>
    <t>DLM Asset Management Limited</t>
  </si>
  <si>
    <t>EDC Fixed Income Fund</t>
  </si>
  <si>
    <t>Emerging Africa Bond Fund</t>
  </si>
  <si>
    <t>FBN Bond Fund</t>
  </si>
  <si>
    <t>GDL Income Fund</t>
  </si>
  <si>
    <t>Lead Fixed Income Fund</t>
  </si>
  <si>
    <t>Lead Asset Management Limited</t>
  </si>
  <si>
    <t>Legacy Debt Fund</t>
  </si>
  <si>
    <t>Nigeria Bond Fund</t>
  </si>
  <si>
    <t>Nigeria International Debt Fund</t>
  </si>
  <si>
    <t>PACAM Fixed Income Fund</t>
  </si>
  <si>
    <t>SFS Fixed Income Fund</t>
  </si>
  <si>
    <t>SFS Capital Nigeria Ltd</t>
  </si>
  <si>
    <t>Stanbic IBTC Absolute Fund (Sub Fund)</t>
  </si>
  <si>
    <t>Stanbic IBTC Bond Fund</t>
  </si>
  <si>
    <t>Stanbic IBTC Conservative Fund (Sub Fund)</t>
  </si>
  <si>
    <t>Stanbic IBTC Enhanced Short-Term Fixed Income Fund</t>
  </si>
  <si>
    <t>Stanbic IBTC Guaranteed Investment Fund</t>
  </si>
  <si>
    <t>United Capital Fixed Income Fund</t>
  </si>
  <si>
    <t>Zenith Income Fund</t>
  </si>
  <si>
    <t>DOLLAR FUNDS</t>
  </si>
  <si>
    <t>Afrinvest Dollar Fund</t>
  </si>
  <si>
    <t>ARM Eurobond Fund</t>
  </si>
  <si>
    <t>Emerging Africa Eurobond Fund</t>
  </si>
  <si>
    <t>FBN Dollar Fund (Retail)</t>
  </si>
  <si>
    <t>FBN Specialized Dollar Fund</t>
  </si>
  <si>
    <t>Futureview Dollar Fund</t>
  </si>
  <si>
    <t>Legacy USD Bond Fund</t>
  </si>
  <si>
    <t>Norrenberger Dollar Fund</t>
  </si>
  <si>
    <t>PACAM Eurobond Fund</t>
  </si>
  <si>
    <t>United Capital Nigerian Eurobond Fund</t>
  </si>
  <si>
    <t>EDC Dollar Fund</t>
  </si>
  <si>
    <t>AVA GAM Fixed Income Dollar Fund</t>
  </si>
  <si>
    <t>AXA Mansard Dollar Bond Fund</t>
  </si>
  <si>
    <t>Cordros Dollar Fund</t>
  </si>
  <si>
    <t>FSDH Dollar Fund</t>
  </si>
  <si>
    <t>Nigeria Dollar Income Fund</t>
  </si>
  <si>
    <t>Nova Dollar Fixed Income Fund</t>
  </si>
  <si>
    <t>Stanbic IBTC Dollar Fund</t>
  </si>
  <si>
    <t>United Capital Global Fixed Income Fund</t>
  </si>
  <si>
    <t>Vantage Dollar Fund (VDF)</t>
  </si>
  <si>
    <t>REAL ESTATE INVESTMENT TRUSTS</t>
  </si>
  <si>
    <t>Nigeria Real Estate Investment Trust</t>
  </si>
  <si>
    <t>SFS Real Estate Investment Trust Fund</t>
  </si>
  <si>
    <t>Union Homes REITS</t>
  </si>
  <si>
    <t>UPDC Real Estate Investment Trust</t>
  </si>
  <si>
    <t>BALANCED FUNDS</t>
  </si>
  <si>
    <t>AIICO Balanced Fund</t>
  </si>
  <si>
    <t>ARM Discovery Balanced Fund</t>
  </si>
  <si>
    <t>Balanced Strategy Fund</t>
  </si>
  <si>
    <t>Capital Express Balanced Fund</t>
  </si>
  <si>
    <t>Coral Balanced Fund</t>
  </si>
  <si>
    <t>Cordros Milestone Fund</t>
  </si>
  <si>
    <t>Core Value Mixed Fund</t>
  </si>
  <si>
    <t>Coronation Balanced Fund</t>
  </si>
  <si>
    <t>Cowry Balanced Fund</t>
  </si>
  <si>
    <t>EDC Balanced Fund</t>
  </si>
  <si>
    <t>Emerging Africa Balanced-Diversity Fund</t>
  </si>
  <si>
    <t>FBN Balanced Fund</t>
  </si>
  <si>
    <t>GDL Canary Growth Fund</t>
  </si>
  <si>
    <t>Greenwich Balanced Fund</t>
  </si>
  <si>
    <t>Lead Balanced Fund</t>
  </si>
  <si>
    <t>Nigeria Energy Sector Fund</t>
  </si>
  <si>
    <t>Nova Hybrid Balanced Fund</t>
  </si>
  <si>
    <t>PACAM Balanced Fund</t>
  </si>
  <si>
    <t>Stanbic IBTC Balanced Fund</t>
  </si>
  <si>
    <t>United Capital Balanced Fund</t>
  </si>
  <si>
    <t>United Capital Wealth for Women Fund</t>
  </si>
  <si>
    <t>ValuAlliance Value Fund</t>
  </si>
  <si>
    <t>Women's Balanced Fund</t>
  </si>
  <si>
    <t>ETHICAL FUNDS</t>
  </si>
  <si>
    <t>ARM Ethical Fund</t>
  </si>
  <si>
    <t>ESG Impact Fund</t>
  </si>
  <si>
    <t>Zenith Asset Management Ltd.</t>
  </si>
  <si>
    <t>Stanbic IBTC Ethical Fund</t>
  </si>
  <si>
    <t>SHARI'AH COMPLIANT FUNDS</t>
  </si>
  <si>
    <t>Lotus Halal Investment Fund</t>
  </si>
  <si>
    <t>Lotus Capital Limited</t>
  </si>
  <si>
    <t>Stanbic IBTC Imaan Fund</t>
  </si>
  <si>
    <t>CapitalTrust Halal Fixed Income Fund</t>
  </si>
  <si>
    <t>CapitalTrust Investments &amp; Asset Management Ltd.</t>
  </si>
  <si>
    <t>Cordros Halal Fixed Income Fund</t>
  </si>
  <si>
    <t>EDC Halal Fund</t>
  </si>
  <si>
    <t>FBN Halal Fund</t>
  </si>
  <si>
    <t>Lotus Capital Fixed Income Fund</t>
  </si>
  <si>
    <t>Norrenberger Islamic Fund</t>
  </si>
  <si>
    <t>Stanbic IBTC Shariah Fixed Income Fund</t>
  </si>
  <si>
    <t>United Capital Sukuk Fund</t>
  </si>
  <si>
    <t>Marble Halal Commodities Fund</t>
  </si>
  <si>
    <t xml:space="preserve">Marble Capital Limited </t>
  </si>
  <si>
    <t>Mutual Funds Total</t>
  </si>
  <si>
    <t>INFRASTRUCTURE FUNDS</t>
  </si>
  <si>
    <t>Nigeria Infrastructure Debt Fund (NIDF)</t>
  </si>
  <si>
    <t>Chapel Hill Denham Management Limited</t>
  </si>
  <si>
    <t>United Capital Infrastructure Fund</t>
  </si>
  <si>
    <t>Infrastructure Funds Total</t>
  </si>
  <si>
    <t>EXCHANGE TRADED FUNDS</t>
  </si>
  <si>
    <t>Greenwich ALPHA ETF</t>
  </si>
  <si>
    <t>Lotus Capital Halal ETF</t>
  </si>
  <si>
    <t>Meristem Growth ETF</t>
  </si>
  <si>
    <t>Meristem Value ETF</t>
  </si>
  <si>
    <t>New Gold ETF</t>
  </si>
  <si>
    <t>New Gold Managers (Proprietary) Ltd</t>
  </si>
  <si>
    <t>SIAML ETF 40</t>
  </si>
  <si>
    <t>Stanbic IBTC Asset Mgt.Limited</t>
  </si>
  <si>
    <t>Stanbic IBTC ETF 30 Fund</t>
  </si>
  <si>
    <t>VCG ETF</t>
  </si>
  <si>
    <t>Vetiva Fund Managers Limited</t>
  </si>
  <si>
    <t>VETBANK ETF</t>
  </si>
  <si>
    <t>Vetiva S &amp; P Nig. Sovereign Bond ETF</t>
  </si>
  <si>
    <t>VG 30 ETF</t>
  </si>
  <si>
    <t>VI ETF</t>
  </si>
  <si>
    <t>ETF Total</t>
  </si>
  <si>
    <t>Grand Total</t>
  </si>
  <si>
    <t>FUNDS</t>
  </si>
  <si>
    <t>BONDS/FIXED INCOME FUNDS</t>
  </si>
  <si>
    <t>REAL ESTATE INVESTMENT TRUST</t>
  </si>
  <si>
    <t>SHARI'AH COMPLAINT FUNDS</t>
  </si>
  <si>
    <t>TOTAL</t>
  </si>
  <si>
    <t>MOVING AVERAGE:</t>
  </si>
  <si>
    <t>-</t>
  </si>
  <si>
    <t>Unitholders</t>
  </si>
  <si>
    <t>EUROBONDS</t>
  </si>
  <si>
    <t>FIXED INCOME</t>
  </si>
  <si>
    <t>EQUITIES</t>
  </si>
  <si>
    <t>DATE</t>
  </si>
  <si>
    <t>TOTAL NAV</t>
  </si>
  <si>
    <t>Uniholders</t>
  </si>
  <si>
    <t>Radix Horizon Fund</t>
  </si>
  <si>
    <t>Radix Capital Partners Limited</t>
  </si>
  <si>
    <t>Guaranty Trust Equity Income Fund</t>
  </si>
  <si>
    <t>Guaranty Trust Money Market Fund</t>
  </si>
  <si>
    <t>Guaranty Trust Balanced Fund</t>
  </si>
  <si>
    <t>Utica Custodian Assured Fixed Income Fund</t>
  </si>
  <si>
    <t>Utica Capital Limited</t>
  </si>
  <si>
    <t>Cowry Eurobond Fund</t>
  </si>
  <si>
    <t>Marble Halal Fixed Income Fund</t>
  </si>
  <si>
    <t>Housing Solution Fund</t>
  </si>
  <si>
    <t>Fundco Capital Managers Limited</t>
  </si>
  <si>
    <t>Page Money Market Fund</t>
  </si>
  <si>
    <t>Page Asset Management Limited</t>
  </si>
  <si>
    <t>FSDH Halal Fund</t>
  </si>
  <si>
    <t>Note:</t>
  </si>
  <si>
    <t>Guaranty Trust Fixed Income Fund</t>
  </si>
  <si>
    <t>Norrenberger Turbo Fund (NTF)</t>
  </si>
  <si>
    <t>Lead Dollar Fixed Income Fund</t>
  </si>
  <si>
    <t>Alpha Morgan Capital Managers Limited</t>
  </si>
  <si>
    <t>Alpha Morgan Balanced Fund</t>
  </si>
  <si>
    <t>The Nigeria Football Fund</t>
  </si>
  <si>
    <t>GTI Asset Management &amp; Trust Limited</t>
  </si>
  <si>
    <t>Meristem Fixed Income Fund</t>
  </si>
  <si>
    <t>Meristem Dollar Fund</t>
  </si>
  <si>
    <t>Zedcrest Money Market Fund</t>
  </si>
  <si>
    <t>Zedcrest Investment Managers Limited</t>
  </si>
  <si>
    <t>Zedcrest Fixed Income Fund</t>
  </si>
  <si>
    <t>Zedcrest Dollar Fund</t>
  </si>
  <si>
    <t>EXCHANGE TRADED FUNDS (ETFs)</t>
  </si>
  <si>
    <t>ETFs AGGREGATE</t>
  </si>
  <si>
    <t>CardinalStone Equity Fund</t>
  </si>
  <si>
    <t>CardinalStone Dollar Fund</t>
  </si>
  <si>
    <t>AIICO Eurobond Fund</t>
  </si>
  <si>
    <t>Comercio Partners Asset Management Limited</t>
  </si>
  <si>
    <t>Comercio Partners Money Market Fund</t>
  </si>
  <si>
    <t>Comercio Partners Fixed Income Fund</t>
  </si>
  <si>
    <t>Comercio Partners Dollar Fund</t>
  </si>
  <si>
    <t>NAV, Unit Price and Yield as at Week Ended May 31, 2024</t>
  </si>
  <si>
    <t>STL Asset Management Limited</t>
  </si>
  <si>
    <t>STL Money Market Fund</t>
  </si>
  <si>
    <t>STL Balanced Fund</t>
  </si>
  <si>
    <t>Week Ended May 31, 2024</t>
  </si>
  <si>
    <t>NAV, Unit Price and Yield as at Week Ended June 7, 2024</t>
  </si>
  <si>
    <t>WEEKLY VALUATION REPORT OF COLLECTIVE INVESTMENT SCHEMES AS AT WEEK ENDED FRIDAY, JUNE 7, 2024</t>
  </si>
  <si>
    <r>
      <t>US$/NG</t>
    </r>
    <r>
      <rPr>
        <strike/>
        <sz val="6"/>
        <color theme="0"/>
        <rFont val="Times New Roman"/>
        <family val="1"/>
      </rPr>
      <t>N</t>
    </r>
    <r>
      <rPr>
        <sz val="6"/>
        <color theme="0"/>
        <rFont val="Times New Roman"/>
        <family val="1"/>
      </rPr>
      <t xml:space="preserve"> I&amp;E as at 31st May, 2024 = N1448.465</t>
    </r>
  </si>
  <si>
    <t>Week Ended June 7, 2024</t>
  </si>
  <si>
    <t>RT Briscoe Savings &amp; Investment Fund</t>
  </si>
  <si>
    <t>The chart above shows that the Dollar Fund category (Eurobonds and Fixed Income) has the highest share of the Aggregate Net Asset Value (NAV) at 48.84%, followed by Money Market Fund with 35.02%, Bond/Fixed Income Fund at 8.21%, Real Estate Investment Trust at 3.39%.  Next is Shari'ah Compliant Fund at 1.75%, Balanced Fund at 1.67%, Equity Fund at 0.95% and Ethical Fund at 0.17%.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</si>
</sst>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0.0%"/>
    <numFmt numFmtId="166" formatCode="_(* #,##0.000_);_(* \(#,##0.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sz val="10"/>
      <color theme="1"/>
      <name val="Arial Narrow"/>
      <family val="2"/>
    </font>
    <font>
      <i/>
      <sz val="8"/>
      <name val="Arial Narrow"/>
      <family val="2"/>
    </font>
    <font>
      <b/>
      <sz val="12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name val="Arial Narrow"/>
      <family val="2"/>
    </font>
    <font>
      <b/>
      <sz val="12"/>
      <name val="Arial Narrow"/>
      <family val="2"/>
    </font>
    <font>
      <sz val="8"/>
      <color rgb="FF000000"/>
      <name val="Arial Narrow"/>
      <family val="2"/>
    </font>
    <font>
      <b/>
      <sz val="12"/>
      <color rgb="FF000000"/>
      <name val="Times New Roman"/>
      <family val="1"/>
    </font>
    <font>
      <b/>
      <sz val="18"/>
      <color theme="0"/>
      <name val="Ebrima"/>
    </font>
    <font>
      <sz val="10"/>
      <name val="Arial Narrow"/>
      <family val="2"/>
    </font>
    <font>
      <sz val="11"/>
      <color theme="0"/>
      <name val="Calibri"/>
      <family val="2"/>
      <scheme val="minor"/>
    </font>
    <font>
      <b/>
      <sz val="8"/>
      <color rgb="FFFF0000"/>
      <name val="Arial Narrow"/>
      <family val="2"/>
    </font>
    <font>
      <sz val="10"/>
      <color rgb="FF000000"/>
      <name val="Times New Roman"/>
      <family val="1"/>
    </font>
    <font>
      <sz val="11"/>
      <name val="Calibri"/>
      <family val="2"/>
      <scheme val="minor"/>
    </font>
    <font>
      <sz val="10"/>
      <color theme="1"/>
      <name val="Futura Bk BT"/>
      <family val="2"/>
    </font>
    <font>
      <sz val="10"/>
      <color rgb="FFFF0000"/>
      <name val="Arial Narrow"/>
      <family val="2"/>
    </font>
    <font>
      <b/>
      <sz val="6"/>
      <color theme="0"/>
      <name val="Times New Roman"/>
      <family val="1"/>
    </font>
    <font>
      <sz val="6"/>
      <color theme="0"/>
      <name val="Times New Roman"/>
      <family val="1"/>
    </font>
    <font>
      <strike/>
      <sz val="6"/>
      <color theme="0"/>
      <name val="Times New Roman"/>
      <family val="1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Aptos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b/>
      <sz val="11"/>
      <name val="Arial Narrow"/>
      <family val="2"/>
    </font>
    <font>
      <sz val="12"/>
      <color rgb="FF000000"/>
      <name val="Calibri"/>
      <family val="2"/>
      <scheme val="minor"/>
    </font>
    <font>
      <sz val="8"/>
      <color rgb="FFFF0000"/>
      <name val="Arial Narrow"/>
      <family val="2"/>
    </font>
    <font>
      <b/>
      <sz val="12"/>
      <color theme="0"/>
      <name val="Arial Narrow"/>
      <family val="2"/>
    </font>
    <font>
      <b/>
      <sz val="11"/>
      <color theme="0"/>
      <name val="Arial Narrow"/>
      <family val="2"/>
    </font>
    <font>
      <sz val="11"/>
      <color theme="0"/>
      <name val="Arial Narrow"/>
      <family val="2"/>
    </font>
    <font>
      <sz val="6"/>
      <color theme="0"/>
      <name val="Arial Narrow"/>
      <family val="2"/>
    </font>
    <font>
      <sz val="6"/>
      <color theme="0"/>
      <name val="Calibri"/>
      <family val="2"/>
      <scheme val="minor"/>
    </font>
    <font>
      <b/>
      <sz val="8"/>
      <color theme="0"/>
      <name val="Arial Narrow"/>
      <family val="2"/>
    </font>
    <font>
      <sz val="8"/>
      <color theme="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2" fillId="0" borderId="0"/>
    <xf numFmtId="43" fontId="1" fillId="0" borderId="0" applyFont="0" applyFill="0" applyBorder="0" applyAlignment="0" applyProtection="0"/>
    <xf numFmtId="0" fontId="27" fillId="0" borderId="0"/>
    <xf numFmtId="43" fontId="29" fillId="0" borderId="0" applyFont="0" applyFill="0" applyBorder="0" applyAlignment="0" applyProtection="0"/>
    <xf numFmtId="0" fontId="30" fillId="0" borderId="11" applyNumberFormat="0" applyFill="0" applyAlignment="0" applyProtection="0"/>
    <xf numFmtId="0" fontId="31" fillId="0" borderId="12" applyNumberFormat="0" applyFill="0" applyAlignment="0" applyProtection="0"/>
    <xf numFmtId="0" fontId="32" fillId="0" borderId="13" applyNumberFormat="0" applyFill="0" applyAlignment="0" applyProtection="0"/>
    <xf numFmtId="0" fontId="32" fillId="0" borderId="0" applyNumberFormat="0" applyFill="0" applyBorder="0" applyAlignment="0" applyProtection="0"/>
    <xf numFmtId="0" fontId="33" fillId="14" borderId="0" applyNumberFormat="0" applyBorder="0" applyAlignment="0" applyProtection="0"/>
    <xf numFmtId="0" fontId="34" fillId="15" borderId="0" applyNumberFormat="0" applyBorder="0" applyAlignment="0" applyProtection="0"/>
    <xf numFmtId="0" fontId="35" fillId="17" borderId="14" applyNumberFormat="0" applyAlignment="0" applyProtection="0"/>
    <xf numFmtId="0" fontId="36" fillId="18" borderId="15" applyNumberFormat="0" applyAlignment="0" applyProtection="0"/>
    <xf numFmtId="0" fontId="37" fillId="18" borderId="14" applyNumberFormat="0" applyAlignment="0" applyProtection="0"/>
    <xf numFmtId="0" fontId="38" fillId="0" borderId="16" applyNumberFormat="0" applyFill="0" applyAlignment="0" applyProtection="0"/>
    <xf numFmtId="0" fontId="39" fillId="19" borderId="17" applyNumberFormat="0" applyAlignment="0" applyProtection="0"/>
    <xf numFmtId="0" fontId="40" fillId="0" borderId="0" applyNumberFormat="0" applyFill="0" applyBorder="0" applyAlignment="0" applyProtection="0"/>
    <xf numFmtId="0" fontId="1" fillId="20" borderId="18" applyNumberFormat="0" applyFont="0" applyAlignment="0" applyProtection="0"/>
    <xf numFmtId="0" fontId="41" fillId="0" borderId="0" applyNumberFormat="0" applyFill="0" applyBorder="0" applyAlignment="0" applyProtection="0"/>
    <xf numFmtId="0" fontId="42" fillId="0" borderId="19" applyNumberFormat="0" applyFill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8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8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43" fillId="0" borderId="0" applyNumberFormat="0" applyFill="0" applyBorder="0" applyAlignment="0" applyProtection="0"/>
    <xf numFmtId="0" fontId="44" fillId="16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36" borderId="0" applyNumberFormat="0" applyBorder="0" applyAlignment="0" applyProtection="0"/>
    <xf numFmtId="0" fontId="18" fillId="40" borderId="0" applyNumberFormat="0" applyBorder="0" applyAlignment="0" applyProtection="0"/>
    <xf numFmtId="0" fontId="18" fillId="44" borderId="0" applyNumberFormat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43" fontId="29" fillId="0" borderId="0" applyFont="0" applyFill="0" applyBorder="0" applyAlignment="0" applyProtection="0"/>
  </cellStyleXfs>
  <cellXfs count="171">
    <xf numFmtId="0" fontId="0" fillId="0" borderId="0" xfId="0"/>
    <xf numFmtId="0" fontId="2" fillId="2" borderId="5" xfId="0" applyFont="1" applyFill="1" applyBorder="1"/>
    <xf numFmtId="164" fontId="6" fillId="3" borderId="5" xfId="3" applyFont="1" applyFill="1" applyBorder="1"/>
    <xf numFmtId="10" fontId="6" fillId="2" borderId="5" xfId="2" applyNumberFormat="1" applyFont="1" applyFill="1" applyBorder="1" applyAlignment="1">
      <alignment horizontal="center"/>
    </xf>
    <xf numFmtId="4" fontId="6" fillId="3" borderId="5" xfId="0" applyNumberFormat="1" applyFont="1" applyFill="1" applyBorder="1"/>
    <xf numFmtId="10" fontId="6" fillId="5" borderId="5" xfId="2" applyNumberFormat="1" applyFont="1" applyFill="1" applyBorder="1" applyAlignment="1">
      <alignment horizontal="center"/>
    </xf>
    <xf numFmtId="10" fontId="4" fillId="5" borderId="5" xfId="2" applyNumberFormat="1" applyFont="1" applyFill="1" applyBorder="1" applyAlignment="1">
      <alignment horizontal="center"/>
    </xf>
    <xf numFmtId="164" fontId="6" fillId="3" borderId="5" xfId="1" applyFont="1" applyFill="1" applyBorder="1"/>
    <xf numFmtId="4" fontId="6" fillId="3" borderId="5" xfId="0" applyNumberFormat="1" applyFont="1" applyFill="1" applyBorder="1" applyAlignment="1">
      <alignment horizontal="right"/>
    </xf>
    <xf numFmtId="164" fontId="6" fillId="3" borderId="5" xfId="3" applyFont="1" applyFill="1" applyBorder="1" applyAlignment="1">
      <alignment horizontal="right"/>
    </xf>
    <xf numFmtId="10" fontId="6" fillId="2" borderId="5" xfId="2" applyNumberFormat="1" applyFont="1" applyFill="1" applyBorder="1" applyAlignment="1">
      <alignment horizontal="center" vertical="top" wrapText="1"/>
    </xf>
    <xf numFmtId="4" fontId="6" fillId="3" borderId="5" xfId="1" applyNumberFormat="1" applyFont="1" applyFill="1" applyBorder="1" applyAlignment="1">
      <alignment horizontal="right"/>
    </xf>
    <xf numFmtId="10" fontId="6" fillId="5" borderId="5" xfId="2" applyNumberFormat="1" applyFont="1" applyFill="1" applyBorder="1" applyAlignment="1">
      <alignment horizontal="center" wrapText="1"/>
    </xf>
    <xf numFmtId="164" fontId="6" fillId="3" borderId="5" xfId="3" applyFont="1" applyFill="1" applyBorder="1" applyAlignment="1">
      <alignment horizontal="right" wrapText="1"/>
    </xf>
    <xf numFmtId="2" fontId="6" fillId="3" borderId="5" xfId="0" applyNumberFormat="1" applyFont="1" applyFill="1" applyBorder="1"/>
    <xf numFmtId="164" fontId="6" fillId="3" borderId="5" xfId="3" applyFont="1" applyFill="1" applyBorder="1" applyAlignment="1">
      <alignment wrapText="1"/>
    </xf>
    <xf numFmtId="10" fontId="6" fillId="2" borderId="5" xfId="2" applyNumberFormat="1" applyFont="1" applyFill="1" applyBorder="1" applyAlignment="1">
      <alignment horizontal="center" wrapText="1"/>
    </xf>
    <xf numFmtId="4" fontId="6" fillId="3" borderId="5" xfId="3" applyNumberFormat="1" applyFont="1" applyFill="1" applyBorder="1" applyAlignment="1">
      <alignment horizontal="right"/>
    </xf>
    <xf numFmtId="4" fontId="6" fillId="3" borderId="5" xfId="3" applyNumberFormat="1" applyFont="1" applyFill="1" applyBorder="1" applyAlignment="1">
      <alignment horizontal="right" wrapText="1"/>
    </xf>
    <xf numFmtId="0" fontId="7" fillId="3" borderId="5" xfId="0" applyFont="1" applyFill="1" applyBorder="1"/>
    <xf numFmtId="10" fontId="6" fillId="5" borderId="5" xfId="2" quotePrefix="1" applyNumberFormat="1" applyFont="1" applyFill="1" applyBorder="1" applyAlignment="1">
      <alignment horizontal="center"/>
    </xf>
    <xf numFmtId="4" fontId="6" fillId="3" borderId="5" xfId="3" applyNumberFormat="1" applyFont="1" applyFill="1" applyBorder="1" applyAlignment="1">
      <alignment horizontal="right" vertical="top" wrapText="1"/>
    </xf>
    <xf numFmtId="4" fontId="6" fillId="7" borderId="5" xfId="1" applyNumberFormat="1" applyFont="1" applyFill="1" applyBorder="1" applyAlignment="1">
      <alignment horizontal="right" vertical="top" wrapText="1"/>
    </xf>
    <xf numFmtId="4" fontId="6" fillId="7" borderId="5" xfId="1" applyNumberFormat="1" applyFont="1" applyFill="1" applyBorder="1" applyAlignment="1">
      <alignment horizontal="center" vertical="top" wrapText="1"/>
    </xf>
    <xf numFmtId="164" fontId="8" fillId="7" borderId="5" xfId="1" applyFont="1" applyFill="1" applyBorder="1" applyAlignment="1">
      <alignment horizontal="right" vertical="top" wrapText="1"/>
    </xf>
    <xf numFmtId="10" fontId="4" fillId="7" borderId="5" xfId="2" applyNumberFormat="1" applyFont="1" applyFill="1" applyBorder="1" applyAlignment="1">
      <alignment horizontal="center" vertical="top" wrapText="1"/>
    </xf>
    <xf numFmtId="165" fontId="4" fillId="7" borderId="5" xfId="2" applyNumberFormat="1" applyFont="1" applyFill="1" applyBorder="1" applyAlignment="1">
      <alignment horizontal="center" vertical="top" wrapText="1"/>
    </xf>
    <xf numFmtId="164" fontId="6" fillId="3" borderId="5" xfId="3" applyFont="1" applyFill="1" applyBorder="1" applyAlignment="1">
      <alignment horizontal="right" vertical="top" wrapText="1"/>
    </xf>
    <xf numFmtId="10" fontId="6" fillId="5" borderId="5" xfId="2" applyNumberFormat="1" applyFont="1" applyFill="1" applyBorder="1" applyAlignment="1">
      <alignment horizontal="center" vertical="top" wrapText="1"/>
    </xf>
    <xf numFmtId="164" fontId="6" fillId="3" borderId="5" xfId="1" applyFont="1" applyFill="1" applyBorder="1" applyAlignment="1">
      <alignment horizontal="right" vertical="top" wrapText="1"/>
    </xf>
    <xf numFmtId="10" fontId="6" fillId="3" borderId="5" xfId="2" applyNumberFormat="1" applyFont="1" applyFill="1" applyBorder="1" applyAlignment="1">
      <alignment horizontal="center" vertical="top" wrapText="1"/>
    </xf>
    <xf numFmtId="4" fontId="6" fillId="3" borderId="5" xfId="1" applyNumberFormat="1" applyFont="1" applyFill="1" applyBorder="1" applyAlignment="1">
      <alignment vertical="top" wrapText="1"/>
    </xf>
    <xf numFmtId="10" fontId="6" fillId="5" borderId="5" xfId="1" applyNumberFormat="1" applyFont="1" applyFill="1" applyBorder="1" applyAlignment="1">
      <alignment horizontal="center"/>
    </xf>
    <xf numFmtId="4" fontId="6" fillId="5" borderId="5" xfId="1" applyNumberFormat="1" applyFont="1" applyFill="1" applyBorder="1" applyAlignment="1">
      <alignment horizontal="center"/>
    </xf>
    <xf numFmtId="4" fontId="6" fillId="3" borderId="5" xfId="1" applyNumberFormat="1" applyFont="1" applyFill="1" applyBorder="1" applyAlignment="1">
      <alignment horizontal="right" vertical="top" wrapText="1"/>
    </xf>
    <xf numFmtId="4" fontId="6" fillId="5" borderId="5" xfId="1" applyNumberFormat="1" applyFont="1" applyFill="1" applyBorder="1" applyAlignment="1">
      <alignment horizontal="center" vertical="top" wrapText="1"/>
    </xf>
    <xf numFmtId="43" fontId="6" fillId="3" borderId="5" xfId="0" applyNumberFormat="1" applyFont="1" applyFill="1" applyBorder="1"/>
    <xf numFmtId="43" fontId="6" fillId="5" borderId="5" xfId="0" applyNumberFormat="1" applyFont="1" applyFill="1" applyBorder="1" applyAlignment="1">
      <alignment horizontal="center"/>
    </xf>
    <xf numFmtId="0" fontId="6" fillId="7" borderId="5" xfId="0" applyFont="1" applyFill="1" applyBorder="1" applyAlignment="1">
      <alignment horizontal="right" vertical="center"/>
    </xf>
    <xf numFmtId="10" fontId="6" fillId="7" borderId="5" xfId="1" applyNumberFormat="1" applyFont="1" applyFill="1" applyBorder="1" applyAlignment="1">
      <alignment horizontal="right" vertical="center" wrapText="1"/>
    </xf>
    <xf numFmtId="4" fontId="6" fillId="7" borderId="5" xfId="1" applyNumberFormat="1" applyFont="1" applyFill="1" applyBorder="1" applyAlignment="1">
      <alignment horizontal="right" vertical="center" wrapText="1"/>
    </xf>
    <xf numFmtId="9" fontId="6" fillId="7" borderId="5" xfId="2" applyFont="1" applyFill="1" applyBorder="1" applyAlignment="1">
      <alignment horizontal="center" vertical="center" wrapText="1"/>
    </xf>
    <xf numFmtId="4" fontId="6" fillId="7" borderId="5" xfId="1" applyNumberFormat="1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right"/>
    </xf>
    <xf numFmtId="0" fontId="9" fillId="0" borderId="5" xfId="0" applyFont="1" applyBorder="1" applyAlignment="1">
      <alignment horizontal="right"/>
    </xf>
    <xf numFmtId="16" fontId="10" fillId="3" borderId="5" xfId="0" applyNumberFormat="1" applyFont="1" applyFill="1" applyBorder="1"/>
    <xf numFmtId="0" fontId="10" fillId="0" borderId="5" xfId="0" applyFont="1" applyBorder="1" applyAlignment="1">
      <alignment horizontal="right"/>
    </xf>
    <xf numFmtId="4" fontId="11" fillId="3" borderId="5" xfId="0" applyNumberFormat="1" applyFont="1" applyFill="1" applyBorder="1"/>
    <xf numFmtId="164" fontId="12" fillId="3" borderId="5" xfId="1" applyFont="1" applyFill="1" applyBorder="1" applyAlignment="1">
      <alignment horizontal="right" vertical="top" wrapText="1"/>
    </xf>
    <xf numFmtId="0" fontId="13" fillId="4" borderId="5" xfId="0" applyFont="1" applyFill="1" applyBorder="1" applyAlignment="1">
      <alignment horizontal="right"/>
    </xf>
    <xf numFmtId="43" fontId="13" fillId="4" borderId="5" xfId="0" applyNumberFormat="1" applyFont="1" applyFill="1" applyBorder="1"/>
    <xf numFmtId="0" fontId="11" fillId="0" borderId="0" xfId="0" applyFont="1"/>
    <xf numFmtId="164" fontId="11" fillId="0" borderId="0" xfId="1" applyFont="1"/>
    <xf numFmtId="0" fontId="9" fillId="9" borderId="5" xfId="0" applyFont="1" applyFill="1" applyBorder="1" applyAlignment="1">
      <alignment horizontal="right"/>
    </xf>
    <xf numFmtId="43" fontId="9" fillId="9" borderId="5" xfId="0" quotePrefix="1" applyNumberFormat="1" applyFont="1" applyFill="1" applyBorder="1" applyAlignment="1">
      <alignment horizontal="center"/>
    </xf>
    <xf numFmtId="43" fontId="9" fillId="9" borderId="5" xfId="0" applyNumberFormat="1" applyFont="1" applyFill="1" applyBorder="1"/>
    <xf numFmtId="164" fontId="9" fillId="9" borderId="5" xfId="1" applyFont="1" applyFill="1" applyBorder="1"/>
    <xf numFmtId="164" fontId="3" fillId="3" borderId="5" xfId="1" applyFont="1" applyFill="1" applyBorder="1" applyAlignment="1">
      <alignment horizontal="right" vertical="top" wrapText="1"/>
    </xf>
    <xf numFmtId="164" fontId="3" fillId="3" borderId="5" xfId="1" applyFont="1" applyFill="1" applyBorder="1" applyAlignment="1">
      <alignment horizontal="right"/>
    </xf>
    <xf numFmtId="164" fontId="6" fillId="5" borderId="5" xfId="1" applyFont="1" applyFill="1" applyBorder="1" applyAlignment="1">
      <alignment horizontal="center"/>
    </xf>
    <xf numFmtId="164" fontId="6" fillId="5" borderId="5" xfId="1" applyFont="1" applyFill="1" applyBorder="1" applyAlignment="1">
      <alignment horizontal="center" wrapText="1"/>
    </xf>
    <xf numFmtId="164" fontId="4" fillId="5" borderId="5" xfId="1" applyFont="1" applyFill="1" applyBorder="1" applyAlignment="1">
      <alignment horizontal="center"/>
    </xf>
    <xf numFmtId="164" fontId="6" fillId="5" borderId="5" xfId="1" applyFont="1" applyFill="1" applyBorder="1" applyAlignment="1">
      <alignment horizontal="center" vertical="top" wrapText="1"/>
    </xf>
    <xf numFmtId="164" fontId="6" fillId="5" borderId="5" xfId="1" quotePrefix="1" applyFont="1" applyFill="1" applyBorder="1" applyAlignment="1">
      <alignment horizontal="center"/>
    </xf>
    <xf numFmtId="164" fontId="3" fillId="5" borderId="5" xfId="1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7" borderId="5" xfId="0" applyFont="1" applyFill="1" applyBorder="1" applyAlignment="1">
      <alignment horizontal="right" vertical="center"/>
    </xf>
    <xf numFmtId="164" fontId="3" fillId="5" borderId="5" xfId="1" applyFont="1" applyFill="1" applyBorder="1" applyAlignment="1">
      <alignment horizontal="center" wrapText="1"/>
    </xf>
    <xf numFmtId="164" fontId="3" fillId="7" borderId="5" xfId="1" applyFont="1" applyFill="1" applyBorder="1" applyAlignment="1">
      <alignment horizontal="right" vertical="center" wrapText="1"/>
    </xf>
    <xf numFmtId="164" fontId="0" fillId="0" borderId="0" xfId="1" applyFont="1"/>
    <xf numFmtId="0" fontId="3" fillId="3" borderId="5" xfId="0" applyFont="1" applyFill="1" applyBorder="1" applyAlignment="1">
      <alignment horizontal="right"/>
    </xf>
    <xf numFmtId="164" fontId="3" fillId="3" borderId="5" xfId="1" applyFont="1" applyFill="1" applyBorder="1"/>
    <xf numFmtId="164" fontId="3" fillId="7" borderId="5" xfId="1" applyFont="1" applyFill="1" applyBorder="1" applyAlignment="1">
      <alignment horizontal="right" vertical="top" wrapText="1"/>
    </xf>
    <xf numFmtId="0" fontId="3" fillId="7" borderId="5" xfId="0" applyFont="1" applyFill="1" applyBorder="1" applyAlignment="1">
      <alignment horizontal="right"/>
    </xf>
    <xf numFmtId="0" fontId="6" fillId="3" borderId="5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vertical="top" wrapText="1"/>
    </xf>
    <xf numFmtId="0" fontId="2" fillId="4" borderId="5" xfId="0" applyFont="1" applyFill="1" applyBorder="1" applyAlignment="1">
      <alignment horizontal="center" vertical="top"/>
    </xf>
    <xf numFmtId="0" fontId="2" fillId="4" borderId="5" xfId="0" applyFont="1" applyFill="1" applyBorder="1" applyAlignment="1">
      <alignment horizontal="center" vertical="top" wrapText="1"/>
    </xf>
    <xf numFmtId="164" fontId="2" fillId="4" borderId="5" xfId="1" applyFont="1" applyFill="1" applyBorder="1" applyAlignment="1">
      <alignment horizontal="center" vertical="top"/>
    </xf>
    <xf numFmtId="10" fontId="6" fillId="4" borderId="5" xfId="2" applyNumberFormat="1" applyFont="1" applyFill="1" applyBorder="1" applyAlignment="1">
      <alignment horizontal="center" vertical="top" wrapText="1"/>
    </xf>
    <xf numFmtId="10" fontId="4" fillId="4" borderId="5" xfId="2" applyNumberFormat="1" applyFont="1" applyFill="1" applyBorder="1" applyAlignment="1">
      <alignment horizontal="center" vertical="top" wrapText="1"/>
    </xf>
    <xf numFmtId="0" fontId="3" fillId="4" borderId="5" xfId="0" applyFont="1" applyFill="1" applyBorder="1" applyAlignment="1">
      <alignment vertical="top" wrapText="1"/>
    </xf>
    <xf numFmtId="10" fontId="4" fillId="4" borderId="5" xfId="1" applyNumberFormat="1" applyFont="1" applyFill="1" applyBorder="1" applyAlignment="1">
      <alignment horizontal="center" vertical="top" wrapText="1"/>
    </xf>
    <xf numFmtId="0" fontId="4" fillId="3" borderId="5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 wrapText="1"/>
    </xf>
    <xf numFmtId="10" fontId="4" fillId="7" borderId="5" xfId="1" applyNumberFormat="1" applyFont="1" applyFill="1" applyBorder="1" applyAlignment="1">
      <alignment horizontal="center" vertical="top" wrapText="1"/>
    </xf>
    <xf numFmtId="0" fontId="6" fillId="8" borderId="5" xfId="0" applyFont="1" applyFill="1" applyBorder="1" applyAlignment="1">
      <alignment horizontal="right" vertical="top" wrapText="1"/>
    </xf>
    <xf numFmtId="0" fontId="5" fillId="8" borderId="5" xfId="0" applyFont="1" applyFill="1" applyBorder="1" applyAlignment="1">
      <alignment horizontal="right" vertical="top" wrapText="1"/>
    </xf>
    <xf numFmtId="164" fontId="5" fillId="8" borderId="5" xfId="1" applyFont="1" applyFill="1" applyBorder="1" applyAlignment="1">
      <alignment horizontal="right" vertical="top" wrapText="1"/>
    </xf>
    <xf numFmtId="164" fontId="17" fillId="8" borderId="5" xfId="1" applyFont="1" applyFill="1" applyBorder="1" applyAlignment="1">
      <alignment horizontal="right" vertical="top" wrapText="1"/>
    </xf>
    <xf numFmtId="4" fontId="17" fillId="8" borderId="5" xfId="0" applyNumberFormat="1" applyFont="1" applyFill="1" applyBorder="1" applyAlignment="1">
      <alignment horizontal="right"/>
    </xf>
    <xf numFmtId="9" fontId="17" fillId="8" borderId="5" xfId="2" applyFont="1" applyFill="1" applyBorder="1" applyAlignment="1">
      <alignment horizontal="center"/>
    </xf>
    <xf numFmtId="4" fontId="17" fillId="8" borderId="5" xfId="0" applyNumberFormat="1" applyFont="1" applyFill="1" applyBorder="1" applyAlignment="1">
      <alignment horizontal="center"/>
    </xf>
    <xf numFmtId="10" fontId="17" fillId="8" borderId="5" xfId="2" applyNumberFormat="1" applyFont="1" applyFill="1" applyBorder="1" applyAlignment="1">
      <alignment horizontal="center" vertical="top" wrapText="1"/>
    </xf>
    <xf numFmtId="165" fontId="17" fillId="8" borderId="5" xfId="2" applyNumberFormat="1" applyFont="1" applyFill="1" applyBorder="1" applyAlignment="1">
      <alignment horizontal="center" vertical="top" wrapText="1"/>
    </xf>
    <xf numFmtId="165" fontId="6" fillId="8" borderId="5" xfId="2" applyNumberFormat="1" applyFont="1" applyFill="1" applyBorder="1" applyAlignment="1">
      <alignment horizontal="center" vertical="top" wrapText="1"/>
    </xf>
    <xf numFmtId="4" fontId="6" fillId="3" borderId="9" xfId="0" applyNumberFormat="1" applyFont="1" applyFill="1" applyBorder="1" applyAlignment="1">
      <alignment horizontal="right" wrapText="1"/>
    </xf>
    <xf numFmtId="0" fontId="18" fillId="0" borderId="0" xfId="0" applyFont="1"/>
    <xf numFmtId="10" fontId="19" fillId="2" borderId="5" xfId="2" applyNumberFormat="1" applyFont="1" applyFill="1" applyBorder="1" applyAlignment="1">
      <alignment horizontal="center" vertical="top" wrapText="1"/>
    </xf>
    <xf numFmtId="0" fontId="21" fillId="0" borderId="0" xfId="0" applyFont="1"/>
    <xf numFmtId="10" fontId="20" fillId="10" borderId="0" xfId="0" applyNumberFormat="1" applyFont="1" applyFill="1" applyAlignment="1">
      <alignment horizontal="right" vertical="center" wrapText="1"/>
    </xf>
    <xf numFmtId="2" fontId="0" fillId="0" borderId="0" xfId="0" applyNumberFormat="1"/>
    <xf numFmtId="4" fontId="15" fillId="10" borderId="0" xfId="0" applyNumberFormat="1" applyFont="1" applyFill="1" applyAlignment="1">
      <alignment horizontal="right" vertical="center" wrapText="1"/>
    </xf>
    <xf numFmtId="0" fontId="0" fillId="0" borderId="0" xfId="0" quotePrefix="1"/>
    <xf numFmtId="4" fontId="12" fillId="3" borderId="0" xfId="0" applyNumberFormat="1" applyFont="1" applyFill="1"/>
    <xf numFmtId="0" fontId="11" fillId="3" borderId="0" xfId="0" applyFont="1" applyFill="1" applyAlignment="1">
      <alignment wrapText="1"/>
    </xf>
    <xf numFmtId="164" fontId="14" fillId="0" borderId="0" xfId="1" applyFont="1"/>
    <xf numFmtId="0" fontId="24" fillId="12" borderId="0" xfId="0" applyFont="1" applyFill="1" applyAlignment="1">
      <alignment horizontal="right" vertical="center"/>
    </xf>
    <xf numFmtId="0" fontId="25" fillId="12" borderId="0" xfId="0" applyFont="1" applyFill="1" applyAlignment="1">
      <alignment horizontal="left"/>
    </xf>
    <xf numFmtId="0" fontId="18" fillId="12" borderId="0" xfId="0" applyFont="1" applyFill="1"/>
    <xf numFmtId="43" fontId="0" fillId="0" borderId="0" xfId="0" applyNumberFormat="1"/>
    <xf numFmtId="0" fontId="28" fillId="0" borderId="0" xfId="0" applyFont="1"/>
    <xf numFmtId="4" fontId="0" fillId="0" borderId="0" xfId="0" applyNumberFormat="1"/>
    <xf numFmtId="0" fontId="45" fillId="0" borderId="0" xfId="0" applyFont="1" applyAlignment="1">
      <alignment horizontal="right"/>
    </xf>
    <xf numFmtId="166" fontId="0" fillId="0" borderId="0" xfId="0" applyNumberFormat="1"/>
    <xf numFmtId="4" fontId="46" fillId="0" borderId="0" xfId="0" applyNumberFormat="1" applyFont="1"/>
    <xf numFmtId="4" fontId="12" fillId="3" borderId="0" xfId="0" applyNumberFormat="1" applyFont="1" applyFill="1" applyAlignment="1">
      <alignment horizontal="right"/>
    </xf>
    <xf numFmtId="0" fontId="47" fillId="3" borderId="5" xfId="0" applyFont="1" applyFill="1" applyBorder="1" applyAlignment="1">
      <alignment horizontal="center" wrapText="1"/>
    </xf>
    <xf numFmtId="0" fontId="23" fillId="3" borderId="5" xfId="0" applyFont="1" applyFill="1" applyBorder="1"/>
    <xf numFmtId="165" fontId="6" fillId="5" borderId="5" xfId="2" applyNumberFormat="1" applyFont="1" applyFill="1" applyBorder="1" applyAlignment="1">
      <alignment horizontal="center"/>
    </xf>
    <xf numFmtId="0" fontId="45" fillId="0" borderId="5" xfId="0" applyFont="1" applyBorder="1" applyAlignment="1">
      <alignment horizontal="right"/>
    </xf>
    <xf numFmtId="164" fontId="12" fillId="3" borderId="0" xfId="1" applyFont="1" applyFill="1" applyBorder="1" applyAlignment="1">
      <alignment horizontal="right" vertical="top" wrapText="1"/>
    </xf>
    <xf numFmtId="164" fontId="21" fillId="0" borderId="0" xfId="1" applyFont="1"/>
    <xf numFmtId="164" fontId="12" fillId="0" borderId="0" xfId="1" applyFont="1"/>
    <xf numFmtId="4" fontId="12" fillId="3" borderId="5" xfId="0" applyNumberFormat="1" applyFont="1" applyFill="1" applyBorder="1"/>
    <xf numFmtId="4" fontId="12" fillId="3" borderId="5" xfId="0" applyNumberFormat="1" applyFont="1" applyFill="1" applyBorder="1" applyAlignment="1">
      <alignment horizontal="right"/>
    </xf>
    <xf numFmtId="0" fontId="48" fillId="0" borderId="5" xfId="0" applyFont="1" applyBorder="1" applyAlignment="1">
      <alignment horizontal="right"/>
    </xf>
    <xf numFmtId="4" fontId="50" fillId="3" borderId="5" xfId="0" applyNumberFormat="1" applyFont="1" applyFill="1" applyBorder="1"/>
    <xf numFmtId="0" fontId="49" fillId="0" borderId="5" xfId="0" applyFont="1" applyBorder="1" applyAlignment="1">
      <alignment horizontal="right"/>
    </xf>
    <xf numFmtId="4" fontId="50" fillId="3" borderId="5" xfId="0" applyNumberFormat="1" applyFont="1" applyFill="1" applyBorder="1" applyAlignment="1">
      <alignment horizontal="right"/>
    </xf>
    <xf numFmtId="164" fontId="50" fillId="3" borderId="5" xfId="1" applyFont="1" applyFill="1" applyBorder="1" applyAlignment="1">
      <alignment horizontal="right" vertical="top" wrapText="1"/>
    </xf>
    <xf numFmtId="0" fontId="49" fillId="0" borderId="0" xfId="0" applyFont="1" applyAlignment="1">
      <alignment horizontal="right"/>
    </xf>
    <xf numFmtId="16" fontId="49" fillId="3" borderId="5" xfId="0" applyNumberFormat="1" applyFont="1" applyFill="1" applyBorder="1"/>
    <xf numFmtId="4" fontId="50" fillId="3" borderId="0" xfId="0" applyNumberFormat="1" applyFont="1" applyFill="1"/>
    <xf numFmtId="4" fontId="6" fillId="3" borderId="5" xfId="0" applyNumberFormat="1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16" fontId="49" fillId="3" borderId="5" xfId="0" applyNumberFormat="1" applyFont="1" applyFill="1" applyBorder="1" applyAlignment="1">
      <alignment horizontal="center" wrapText="1"/>
    </xf>
    <xf numFmtId="0" fontId="49" fillId="0" borderId="5" xfId="0" applyFont="1" applyBorder="1" applyAlignment="1">
      <alignment horizontal="right" wrapText="1"/>
    </xf>
    <xf numFmtId="4" fontId="50" fillId="3" borderId="0" xfId="0" applyNumberFormat="1" applyFont="1" applyFill="1" applyAlignment="1">
      <alignment horizontal="right"/>
    </xf>
    <xf numFmtId="0" fontId="39" fillId="0" borderId="0" xfId="0" applyFont="1"/>
    <xf numFmtId="16" fontId="51" fillId="3" borderId="0" xfId="0" applyNumberFormat="1" applyFont="1" applyFill="1"/>
    <xf numFmtId="164" fontId="52" fillId="0" borderId="0" xfId="1" applyFont="1"/>
    <xf numFmtId="43" fontId="52" fillId="0" borderId="0" xfId="0" applyNumberFormat="1" applyFont="1"/>
    <xf numFmtId="4" fontId="52" fillId="0" borderId="0" xfId="0" applyNumberFormat="1" applyFont="1"/>
    <xf numFmtId="49" fontId="6" fillId="0" borderId="5" xfId="0" applyNumberFormat="1" applyFont="1" applyBorder="1" applyAlignment="1">
      <alignment wrapText="1"/>
    </xf>
    <xf numFmtId="4" fontId="6" fillId="0" borderId="5" xfId="0" applyNumberFormat="1" applyFont="1" applyBorder="1" applyAlignment="1">
      <alignment wrapText="1"/>
    </xf>
    <xf numFmtId="0" fontId="6" fillId="3" borderId="5" xfId="0" applyFont="1" applyFill="1" applyBorder="1" applyAlignment="1">
      <alignment horizontal="left" wrapText="1"/>
    </xf>
    <xf numFmtId="0" fontId="6" fillId="3" borderId="5" xfId="0" applyFont="1" applyFill="1" applyBorder="1" applyAlignment="1">
      <alignment horizontal="center" wrapText="1"/>
    </xf>
    <xf numFmtId="0" fontId="16" fillId="12" borderId="1" xfId="0" applyFont="1" applyFill="1" applyBorder="1" applyAlignment="1">
      <alignment horizontal="center"/>
    </xf>
    <xf numFmtId="0" fontId="16" fillId="12" borderId="2" xfId="0" applyFont="1" applyFill="1" applyBorder="1" applyAlignment="1">
      <alignment horizontal="center"/>
    </xf>
    <xf numFmtId="0" fontId="16" fillId="12" borderId="3" xfId="0" applyFont="1" applyFill="1" applyBorder="1" applyAlignment="1">
      <alignment horizontal="center"/>
    </xf>
    <xf numFmtId="0" fontId="16" fillId="1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top" wrapText="1"/>
    </xf>
    <xf numFmtId="0" fontId="4" fillId="3" borderId="5" xfId="0" applyFont="1" applyFill="1" applyBorder="1" applyAlignment="1">
      <alignment horizontal="center" vertical="top" wrapText="1"/>
    </xf>
    <xf numFmtId="0" fontId="13" fillId="11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5" fillId="6" borderId="5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/>
    </xf>
    <xf numFmtId="0" fontId="23" fillId="13" borderId="0" xfId="0" applyFont="1" applyFill="1" applyAlignment="1">
      <alignment horizontal="center" wrapText="1"/>
    </xf>
    <xf numFmtId="0" fontId="45" fillId="0" borderId="10" xfId="0" applyFont="1" applyBorder="1" applyAlignment="1">
      <alignment horizontal="right"/>
    </xf>
    <xf numFmtId="0" fontId="49" fillId="0" borderId="0" xfId="0" applyFont="1" applyBorder="1" applyAlignment="1">
      <alignment horizontal="right"/>
    </xf>
    <xf numFmtId="4" fontId="50" fillId="3" borderId="0" xfId="0" applyNumberFormat="1" applyFont="1" applyFill="1" applyBorder="1"/>
    <xf numFmtId="0" fontId="53" fillId="0" borderId="5" xfId="0" applyFont="1" applyBorder="1" applyAlignment="1">
      <alignment horizontal="right" wrapText="1"/>
    </xf>
    <xf numFmtId="164" fontId="54" fillId="0" borderId="0" xfId="1" applyFont="1"/>
    <xf numFmtId="4" fontId="54" fillId="3" borderId="5" xfId="0" applyNumberFormat="1" applyFont="1" applyFill="1" applyBorder="1"/>
    <xf numFmtId="0" fontId="53" fillId="0" borderId="5" xfId="0" applyFont="1" applyBorder="1" applyAlignment="1">
      <alignment horizontal="right"/>
    </xf>
    <xf numFmtId="4" fontId="54" fillId="3" borderId="5" xfId="0" applyNumberFormat="1" applyFont="1" applyFill="1" applyBorder="1" applyAlignment="1">
      <alignment horizontal="right"/>
    </xf>
    <xf numFmtId="164" fontId="54" fillId="3" borderId="5" xfId="1" applyFont="1" applyFill="1" applyBorder="1" applyAlignment="1">
      <alignment horizontal="right" vertical="top" wrapText="1"/>
    </xf>
  </cellXfs>
  <cellStyles count="60">
    <cellStyle name="20% - Accent1" xfId="26" builtinId="30" customBuiltin="1"/>
    <cellStyle name="20% - Accent2" xfId="29" builtinId="34" customBuiltin="1"/>
    <cellStyle name="20% - Accent3" xfId="32" builtinId="38" customBuiltin="1"/>
    <cellStyle name="20% - Accent4" xfId="35" builtinId="42" customBuiltin="1"/>
    <cellStyle name="20% - Accent5" xfId="38" builtinId="46" customBuiltin="1"/>
    <cellStyle name="20% - Accent6" xfId="41" builtinId="50" customBuiltin="1"/>
    <cellStyle name="40% - Accent1" xfId="27" builtinId="31" customBuiltin="1"/>
    <cellStyle name="40% - Accent2" xfId="30" builtinId="35" customBuiltin="1"/>
    <cellStyle name="40% - Accent3" xfId="33" builtinId="39" customBuiltin="1"/>
    <cellStyle name="40% - Accent4" xfId="36" builtinId="43" customBuiltin="1"/>
    <cellStyle name="40% - Accent5" xfId="39" builtinId="47" customBuiltin="1"/>
    <cellStyle name="40% - Accent6" xfId="42" builtinId="51" customBuiltin="1"/>
    <cellStyle name="60% - Accent1 2" xfId="48" xr:uid="{3E2F10A3-2931-47B9-9037-A926F090663B}"/>
    <cellStyle name="60% - Accent2 2" xfId="49" xr:uid="{7FDA209E-90DD-4F22-BA51-BAAF09033C88}"/>
    <cellStyle name="60% - Accent3 2" xfId="50" xr:uid="{6559FD3E-55FB-4384-B79B-375CB83EE83A}"/>
    <cellStyle name="60% - Accent4 2" xfId="51" xr:uid="{C278CF58-7B61-4265-BD37-E951024486D1}"/>
    <cellStyle name="60% - Accent5 2" xfId="52" xr:uid="{7400C4F0-C71C-4F86-9EB1-93161B660D96}"/>
    <cellStyle name="60% - Accent6 2" xfId="53" xr:uid="{9482E2F4-C0F8-4C05-9696-FE40E0AE3EE9}"/>
    <cellStyle name="Accent1" xfId="25" builtinId="29" customBuiltin="1"/>
    <cellStyle name="Accent2" xfId="28" builtinId="33" customBuiltin="1"/>
    <cellStyle name="Accent3" xfId="31" builtinId="37" customBuiltin="1"/>
    <cellStyle name="Accent4" xfId="34" builtinId="41" customBuiltin="1"/>
    <cellStyle name="Accent5" xfId="37" builtinId="45" customBuiltin="1"/>
    <cellStyle name="Accent6" xfId="40" builtinId="49" customBuiltin="1"/>
    <cellStyle name="Bad" xfId="15" builtinId="27" customBuiltin="1"/>
    <cellStyle name="Calculation" xfId="18" builtinId="22" customBuiltin="1"/>
    <cellStyle name="Check Cell" xfId="20" builtinId="23" customBuiltin="1"/>
    <cellStyle name="Comma" xfId="1" builtinId="3"/>
    <cellStyle name="Comma 10 13" xfId="3" xr:uid="{00000000-0005-0000-0000-000001000000}"/>
    <cellStyle name="Comma 2" xfId="7" xr:uid="{00000000-0005-0000-0000-000002000000}"/>
    <cellStyle name="Comma 2 2" xfId="43" xr:uid="{7FDEEF4F-409F-4574-BF1F-11F6886F052E}"/>
    <cellStyle name="Comma 3" xfId="54" xr:uid="{9D6EB6E4-FDCC-4865-9F62-1335F0BDF101}"/>
    <cellStyle name="Comma 3 2" xfId="4" xr:uid="{00000000-0005-0000-0000-000003000000}"/>
    <cellStyle name="Comma 3 2 2" xfId="44" xr:uid="{0B2E002E-CCC3-4E39-B06E-0A234DE2B917}"/>
    <cellStyle name="Comma 4" xfId="9" xr:uid="{7E9A854F-1E87-4896-8102-790EF57093D9}"/>
    <cellStyle name="Comma 5" xfId="55" xr:uid="{D2975A73-C7C2-43F9-B839-6A818D0DA01D}"/>
    <cellStyle name="Comma 6" xfId="57" xr:uid="{C3684CE0-A1E3-46A2-BB48-FBDC7D9C1F4E}"/>
    <cellStyle name="Comma 8" xfId="59" xr:uid="{9F382DD6-A311-454E-98B2-DDC2BEC7740F}"/>
    <cellStyle name="Explanatory Text" xfId="23" builtinId="53" customBuiltin="1"/>
    <cellStyle name="Good" xfId="14" builtinId="26" customBuiltin="1"/>
    <cellStyle name="Heading 1" xfId="10" builtinId="16" customBuiltin="1"/>
    <cellStyle name="Heading 2" xfId="11" builtinId="17" customBuiltin="1"/>
    <cellStyle name="Heading 3" xfId="12" builtinId="18" customBuiltin="1"/>
    <cellStyle name="Heading 4" xfId="13" builtinId="19" customBuiltin="1"/>
    <cellStyle name="Input" xfId="16" builtinId="20" customBuiltin="1"/>
    <cellStyle name="Linked Cell" xfId="19" builtinId="24" customBuiltin="1"/>
    <cellStyle name="Neutral 2" xfId="47" xr:uid="{4FFB5546-03D1-4007-AD06-C80F9706DDB8}"/>
    <cellStyle name="Normal" xfId="0" builtinId="0"/>
    <cellStyle name="Normal 2" xfId="8" xr:uid="{6E835889-8A32-48B2-8C41-226AFE52856D}"/>
    <cellStyle name="Normal 2 2" xfId="45" xr:uid="{AB75C98A-BA03-437B-BC9F-4D0C9A93CC4B}"/>
    <cellStyle name="Normal 27 2" xfId="6" xr:uid="{00000000-0005-0000-0000-000005000000}"/>
    <cellStyle name="Note" xfId="22" builtinId="10" customBuiltin="1"/>
    <cellStyle name="Output" xfId="17" builtinId="21" customBuiltin="1"/>
    <cellStyle name="Percent" xfId="2" builtinId="5"/>
    <cellStyle name="Percent 2 2" xfId="5" xr:uid="{00000000-0005-0000-0000-000007000000}"/>
    <cellStyle name="Percent 5" xfId="56" xr:uid="{D11B0100-E898-4AB2-A152-5E22447C24BA}"/>
    <cellStyle name="Percent 6" xfId="58" xr:uid="{80D5C716-5C3E-47A5-972E-C7B1C79EA500}"/>
    <cellStyle name="Title 2" xfId="46" xr:uid="{75225FE6-AD44-4FD3-AD7C-4F10A4B75329}"/>
    <cellStyle name="Total" xfId="24" builtinId="25" customBuiltin="1"/>
    <cellStyle name="Warning Text" xfId="2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dk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GB" sz="1800">
                <a:solidFill>
                  <a:schemeClr val="dk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NAV BY CLASS OF FUNDS (N'Bn)</a:t>
            </a:r>
            <a:endParaRPr lang="en-GB" sz="18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c:rich>
      </c:tx>
      <c:overlay val="0"/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dk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352501734696957E-2"/>
          <c:y val="0.12704985666184501"/>
          <c:w val="0.94540908679518509"/>
          <c:h val="0.733271950705027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'NAV Comparison'!$B$2</c:f>
              <c:strCache>
                <c:ptCount val="1"/>
                <c:pt idx="0">
                  <c:v>Week Ended May 31, 2024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'NAV Comparison'!$A$3:$A$10</c:f>
              <c:strCache>
                <c:ptCount val="8"/>
                <c:pt idx="0">
                  <c:v>EQUITY BASED FUNDS</c:v>
                </c:pt>
                <c:pt idx="1">
                  <c:v>MONEY MARKET FUNDS</c:v>
                </c:pt>
                <c:pt idx="2">
                  <c:v>BONDS/FIXED INCOME FUNDS</c:v>
                </c:pt>
                <c:pt idx="3">
                  <c:v>DOLLAR FUNDS</c:v>
                </c:pt>
                <c:pt idx="4">
                  <c:v>REAL ESTATE INVESTMENT TRUST</c:v>
                </c:pt>
                <c:pt idx="5">
                  <c:v>BALANCED FUNDS</c:v>
                </c:pt>
                <c:pt idx="6">
                  <c:v>ETHICAL FUNDS</c:v>
                </c:pt>
                <c:pt idx="7">
                  <c:v>SHARI'AH COMPLAINT FUNDS</c:v>
                </c:pt>
              </c:strCache>
            </c:strRef>
          </c:cat>
          <c:val>
            <c:numRef>
              <c:f>'NAV Comparison'!$B$3:$B$10</c:f>
              <c:numCache>
                <c:formatCode>#,##0.00</c:formatCode>
                <c:ptCount val="8"/>
                <c:pt idx="0">
                  <c:v>27.6542160115843</c:v>
                </c:pt>
                <c:pt idx="1">
                  <c:v>1007.9987964966132</c:v>
                </c:pt>
                <c:pt idx="2">
                  <c:v>239.13905996020239</c:v>
                </c:pt>
                <c:pt idx="3">
                  <c:v>1423.9851130769678</c:v>
                </c:pt>
                <c:pt idx="4">
                  <c:v>98.591493716940278</c:v>
                </c:pt>
                <c:pt idx="5" formatCode="_-* #,##0.00_-;\-* #,##0.00_-;_-* &quot;-&quot;??_-;_-@_-">
                  <c:v>48.452798568384054</c:v>
                </c:pt>
                <c:pt idx="6">
                  <c:v>4.90875028525</c:v>
                </c:pt>
                <c:pt idx="7">
                  <c:v>51.193488214241377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0-45B9-A30A-C545D9245C39}"/>
            </c:ext>
          </c:extLst>
        </c:ser>
        <c:ser>
          <c:idx val="1"/>
          <c:order val="1"/>
          <c:tx>
            <c:strRef>
              <c:f>'NAV Comparison'!$C$2</c:f>
              <c:strCache>
                <c:ptCount val="1"/>
                <c:pt idx="0">
                  <c:v>Week Ended June 7, 2024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'NAV Comparison'!$A$3:$A$10</c:f>
              <c:strCache>
                <c:ptCount val="8"/>
                <c:pt idx="0">
                  <c:v>EQUITY BASED FUNDS</c:v>
                </c:pt>
                <c:pt idx="1">
                  <c:v>MONEY MARKET FUNDS</c:v>
                </c:pt>
                <c:pt idx="2">
                  <c:v>BONDS/FIXED INCOME FUNDS</c:v>
                </c:pt>
                <c:pt idx="3">
                  <c:v>DOLLAR FUNDS</c:v>
                </c:pt>
                <c:pt idx="4">
                  <c:v>REAL ESTATE INVESTMENT TRUST</c:v>
                </c:pt>
                <c:pt idx="5">
                  <c:v>BALANCED FUNDS</c:v>
                </c:pt>
                <c:pt idx="6">
                  <c:v>ETHICAL FUNDS</c:v>
                </c:pt>
                <c:pt idx="7">
                  <c:v>SHARI'AH COMPLAINT FUNDS</c:v>
                </c:pt>
              </c:strCache>
            </c:strRef>
          </c:cat>
          <c:val>
            <c:numRef>
              <c:f>'NAV Comparison'!$C$3:$C$10</c:f>
              <c:numCache>
                <c:formatCode>#,##0.00</c:formatCode>
                <c:ptCount val="8"/>
                <c:pt idx="0">
                  <c:v>27.684716686990001</c:v>
                </c:pt>
                <c:pt idx="1">
                  <c:v>1019.3315248849599</c:v>
                </c:pt>
                <c:pt idx="2">
                  <c:v>238.98492803717988</c:v>
                </c:pt>
                <c:pt idx="3">
                  <c:v>1421.5929798616796</c:v>
                </c:pt>
                <c:pt idx="4">
                  <c:v>98.650430272592402</c:v>
                </c:pt>
                <c:pt idx="5" formatCode="_-* #,##0.00_-;\-* #,##0.00_-;_-* &quot;-&quot;??_-;_-@_-">
                  <c:v>48.611257159725824</c:v>
                </c:pt>
                <c:pt idx="6">
                  <c:v>4.9675573161199997</c:v>
                </c:pt>
                <c:pt idx="7">
                  <c:v>51.054739828693478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60-45B9-A30A-C545D9245C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944175"/>
        <c:axId val="10939183"/>
      </c:barChart>
      <c:catAx>
        <c:axId val="1094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10939183"/>
        <c:crosses val="autoZero"/>
        <c:auto val="1"/>
        <c:lblAlgn val="ctr"/>
        <c:lblOffset val="100"/>
        <c:noMultiLvlLbl val="0"/>
      </c:catAx>
      <c:valAx>
        <c:axId val="1093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1094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pattFill prst="pct40">
      <a:fgClr>
        <a:schemeClr val="accent1"/>
      </a:fgClr>
      <a:bgClr>
        <a:schemeClr val="bg1"/>
      </a:bgClr>
    </a:pattFill>
    <a:ln>
      <a:noFill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lt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 sz="2000">
                <a:solidFill>
                  <a:schemeClr val="lt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PERCENTAGE MARKET</a:t>
            </a:r>
            <a:r>
              <a:rPr lang="en-US" sz="2000" baseline="0">
                <a:solidFill>
                  <a:schemeClr val="lt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SHARE OF FUNDS BY CLASS</a:t>
            </a:r>
          </a:p>
          <a:p>
            <a:pPr>
              <a:defRPr sz="2000">
                <a:solidFill>
                  <a:schemeClr val="lt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 sz="1600" baseline="0">
                <a:solidFill>
                  <a:schemeClr val="lt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AS AT 7TH JUNE, 2024</a:t>
            </a:r>
            <a:endParaRPr lang="en-US" sz="16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c:rich>
      </c:tx>
      <c:layout>
        <c:manualLayout>
          <c:xMode val="edge"/>
          <c:yMode val="edge"/>
          <c:x val="0.23184383560194938"/>
          <c:y val="3.171953365985819E-2"/>
        </c:manualLayout>
      </c:layout>
      <c:overlay val="0"/>
      <c:spPr>
        <a:solidFill>
          <a:schemeClr val="dk1"/>
        </a:solidFill>
        <a:ln w="12700" cap="flat" cmpd="sng" algn="ctr">
          <a:solidFill>
            <a:schemeClr val="dk1">
              <a:shade val="15000"/>
            </a:schemeClr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view3D>
      <c:rotX val="30"/>
      <c:rotY val="235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552536576715378"/>
          <c:y val="0.14742728847951844"/>
          <c:w val="0.84316500743410161"/>
          <c:h val="0.81423920364184155"/>
        </c:manualLayout>
      </c:layout>
      <c:pie3DChart>
        <c:varyColors val="1"/>
        <c:ser>
          <c:idx val="0"/>
          <c:order val="0"/>
          <c:tx>
            <c:strRef>
              <c:f>'Market Share'!$B$1</c:f>
              <c:strCache>
                <c:ptCount val="1"/>
                <c:pt idx="0">
                  <c:v>7-Jun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4ED-4F83-A203-9FCC25B0DF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4ED-4F83-A203-9FCC25B0DFAD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4ED-4F83-A203-9FCC25B0DFAD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4ED-4F83-A203-9FCC25B0DFAD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4ED-4F83-A203-9FCC25B0DFAD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34ED-4F83-A203-9FCC25B0DFAD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34ED-4F83-A203-9FCC25B0DFAD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34ED-4F83-A203-9FCC25B0DFAD}"/>
              </c:ext>
            </c:extLst>
          </c:dPt>
          <c:dLbls>
            <c:dLbl>
              <c:idx val="0"/>
              <c:layout>
                <c:manualLayout>
                  <c:x val="-4.3124205825803251E-2"/>
                  <c:y val="0.1159985586080866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ED-4F83-A203-9FCC25B0DFAD}"/>
                </c:ext>
              </c:extLst>
            </c:dLbl>
            <c:dLbl>
              <c:idx val="1"/>
              <c:layout>
                <c:manualLayout>
                  <c:x val="-8.3929154372232542E-2"/>
                  <c:y val="5.523740886099375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ED-4F83-A203-9FCC25B0DFAD}"/>
                </c:ext>
              </c:extLst>
            </c:dLbl>
            <c:dLbl>
              <c:idx val="2"/>
              <c:layout>
                <c:manualLayout>
                  <c:x val="-2.6526971099187786E-2"/>
                  <c:y val="-9.75631175571893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4ED-4F83-A203-9FCC25B0DFAD}"/>
                </c:ext>
              </c:extLst>
            </c:dLbl>
            <c:dLbl>
              <c:idx val="3"/>
              <c:layout>
                <c:manualLayout>
                  <c:x val="-1.8232066883237173E-2"/>
                  <c:y val="3.176145796708884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4ED-4F83-A203-9FCC25B0DFAD}"/>
                </c:ext>
              </c:extLst>
            </c:dLbl>
            <c:dLbl>
              <c:idx val="4"/>
              <c:layout>
                <c:manualLayout>
                  <c:x val="-2.2105334402515702E-2"/>
                  <c:y val="-0.1021892063928384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4ED-4F83-A203-9FCC25B0DFAD}"/>
                </c:ext>
              </c:extLst>
            </c:dLbl>
            <c:dLbl>
              <c:idx val="5"/>
              <c:layout>
                <c:manualLayout>
                  <c:x val="0.17345977414073466"/>
                  <c:y val="7.180870146235146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4ED-4F83-A203-9FCC25B0DFAD}"/>
                </c:ext>
              </c:extLst>
            </c:dLbl>
            <c:dLbl>
              <c:idx val="6"/>
              <c:layout>
                <c:manualLayout>
                  <c:x val="-0.11676596925004035"/>
                  <c:y val="0.1159985586080868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4ED-4F83-A203-9FCC25B0DFAD}"/>
                </c:ext>
              </c:extLst>
            </c:dLbl>
            <c:dLbl>
              <c:idx val="7"/>
              <c:layout>
                <c:manualLayout>
                  <c:x val="-0.23297582723395927"/>
                  <c:y val="-0.3286625827229128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4ED-4F83-A203-9FCC25B0DFAD}"/>
                </c:ext>
              </c:extLst>
            </c:dLbl>
            <c:spPr>
              <a:gradFill rotWithShape="1">
                <a:gsLst>
                  <a:gs pos="0">
                    <a:schemeClr val="dk1"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25400" cap="flat" cmpd="sng" algn="ctr">
                  <a:solidFill>
                    <a:schemeClr val="tx1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'Market Share'!$A$2:$A$9</c:f>
              <c:strCache>
                <c:ptCount val="8"/>
                <c:pt idx="0">
                  <c:v>ETHICAL FUNDS</c:v>
                </c:pt>
                <c:pt idx="1">
                  <c:v>EQUITY BASED FUNDS</c:v>
                </c:pt>
                <c:pt idx="2">
                  <c:v>BALANCED FUNDS</c:v>
                </c:pt>
                <c:pt idx="3">
                  <c:v>SHARI'AH COMPLAINT FUNDS</c:v>
                </c:pt>
                <c:pt idx="4">
                  <c:v>REAL ESTATE INVESTMENT TRUST</c:v>
                </c:pt>
                <c:pt idx="5">
                  <c:v>BONDS/FIXED INCOME FUNDS</c:v>
                </c:pt>
                <c:pt idx="6">
                  <c:v>MONEY MARKET FUNDS</c:v>
                </c:pt>
                <c:pt idx="7">
                  <c:v>DOLLAR FUNDS</c:v>
                </c:pt>
              </c:strCache>
            </c:strRef>
          </c:cat>
          <c:val>
            <c:numRef>
              <c:f>'Market Share'!$B$2:$B$9</c:f>
              <c:numCache>
                <c:formatCode>#,##0.00</c:formatCode>
                <c:ptCount val="8"/>
                <c:pt idx="0">
                  <c:v>4967557316.1199999</c:v>
                </c:pt>
                <c:pt idx="1">
                  <c:v>27684716686.990002</c:v>
                </c:pt>
                <c:pt idx="2" formatCode="_-* #,##0.00_-;\-* #,##0.00_-;_-* &quot;-&quot;??_-;_-@_-">
                  <c:v>48611257159.725822</c:v>
                </c:pt>
                <c:pt idx="3">
                  <c:v>51054739828.693481</c:v>
                </c:pt>
                <c:pt idx="4">
                  <c:v>98650430272.592407</c:v>
                </c:pt>
                <c:pt idx="5">
                  <c:v>238984928037.17987</c:v>
                </c:pt>
                <c:pt idx="6">
                  <c:v>1019331524884.9598</c:v>
                </c:pt>
                <c:pt idx="7">
                  <c:v>1421592979861.6797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3-4F76-8609-5E1FC182E85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pct40">
      <a:fgClr>
        <a:schemeClr val="accent1"/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chemeClr val="accent3">
          <a:lumMod val="20000"/>
          <a:lumOff val="8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8-WEEK MOVEMENT IN TOTAL NAV (N'Bn)</a:t>
            </a:r>
          </a:p>
        </c:rich>
      </c:tx>
      <c:layout>
        <c:manualLayout>
          <c:xMode val="edge"/>
          <c:yMode val="edge"/>
          <c:x val="0.25982501751573839"/>
          <c:y val="1.5686278384753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'8-Week Movement in NAV'!$A$3</c:f>
              <c:strCache>
                <c:ptCount val="1"/>
                <c:pt idx="0">
                  <c:v>TOTAL NAV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'8-Week Movement in NAV'!$B$2:$I$2</c:f>
              <c:numCache>
                <c:formatCode>d\-mmm</c:formatCode>
                <c:ptCount val="8"/>
                <c:pt idx="0">
                  <c:v>45401</c:v>
                </c:pt>
                <c:pt idx="1">
                  <c:v>45408</c:v>
                </c:pt>
                <c:pt idx="2">
                  <c:v>45415</c:v>
                </c:pt>
                <c:pt idx="3">
                  <c:v>45422</c:v>
                </c:pt>
                <c:pt idx="4">
                  <c:v>45429</c:v>
                </c:pt>
                <c:pt idx="5">
                  <c:v>45436</c:v>
                </c:pt>
                <c:pt idx="6">
                  <c:v>45443</c:v>
                </c:pt>
                <c:pt idx="7">
                  <c:v>45450</c:v>
                </c:pt>
              </c:numCache>
            </c:numRef>
          </c:cat>
          <c:val>
            <c:numRef>
              <c:f>'8-Week Movement in NAV'!$B$3:$I$3</c:f>
              <c:numCache>
                <c:formatCode>_-* #,##0.00_-;\-* #,##0.00_-;_-* "-"??_-;_-@_-</c:formatCode>
                <c:ptCount val="8"/>
                <c:pt idx="0">
                  <c:v>2510.7979153396032</c:v>
                </c:pt>
                <c:pt idx="1">
                  <c:v>2662.1939749035823</c:v>
                </c:pt>
                <c:pt idx="2">
                  <c:v>2732.0956989192559</c:v>
                </c:pt>
                <c:pt idx="3">
                  <c:v>2805.3798287181139</c:v>
                </c:pt>
                <c:pt idx="4">
                  <c:v>2882.6977794869722</c:v>
                </c:pt>
                <c:pt idx="5">
                  <c:v>2856.7177691570346</c:v>
                </c:pt>
                <c:pt idx="6">
                  <c:v>2902.1598706044138</c:v>
                </c:pt>
                <c:pt idx="7">
                  <c:v>2910.8781340479409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0-4FE7-8062-E0C712B572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7563183"/>
        <c:axId val="917583983"/>
      </c:lineChart>
      <c:dateAx>
        <c:axId val="91756318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583983"/>
        <c:crosses val="autoZero"/>
        <c:auto val="1"/>
        <c:lblOffset val="100"/>
        <c:baseTimeUnit val="days"/>
      </c:dateAx>
      <c:valAx>
        <c:axId val="917583983"/>
        <c:scaling>
          <c:orientation val="minMax"/>
        </c:scaling>
        <c:delete val="0"/>
        <c:axPos val="l"/>
        <c:numFmt formatCode="_-* #,##0.00_-;\-* #,##0.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56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all" spc="120" normalizeH="0" baseline="0">
                <a:solidFill>
                  <a:schemeClr val="bg1"/>
                </a:solidFill>
              </a:rPr>
              <a:t>8-WEEK MOVEMENT IN </a:t>
            </a:r>
            <a:r>
              <a:rPr lang="en-US"/>
              <a:t>AGGREGATE </a:t>
            </a:r>
            <a:r>
              <a:rPr lang="en-US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ETFs </a:t>
            </a:r>
            <a:r>
              <a:rPr lang="en-US" sz="1600" b="1" i="0" u="none" strike="noStrike" kern="1200" cap="all" spc="120" normalizeH="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(N'Bn)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'8-Week Movement in ETFs'!$A$3</c:f>
              <c:strCache>
                <c:ptCount val="1"/>
                <c:pt idx="0">
                  <c:v>ETFs AGGREGATE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'8-Week Movement in ETFs'!$B$2:$I$2</c:f>
              <c:numCache>
                <c:formatCode>d\-mmm</c:formatCode>
                <c:ptCount val="8"/>
                <c:pt idx="0">
                  <c:v>45401</c:v>
                </c:pt>
                <c:pt idx="1">
                  <c:v>45408</c:v>
                </c:pt>
                <c:pt idx="2">
                  <c:v>45415</c:v>
                </c:pt>
                <c:pt idx="3">
                  <c:v>45422</c:v>
                </c:pt>
                <c:pt idx="4">
                  <c:v>45429</c:v>
                </c:pt>
                <c:pt idx="5">
                  <c:v>45436</c:v>
                </c:pt>
                <c:pt idx="6">
                  <c:v>45443</c:v>
                </c:pt>
                <c:pt idx="7">
                  <c:v>45450</c:v>
                </c:pt>
              </c:numCache>
            </c:numRef>
          </c:cat>
          <c:val>
            <c:numRef>
              <c:f>'8-Week Movement in ETFs'!$B$3:$I$3</c:f>
              <c:numCache>
                <c:formatCode>_-* #,##0.00_-;\-* #,##0.00_-;_-* "-"??_-;_-@_-</c:formatCode>
                <c:ptCount val="8"/>
                <c:pt idx="0">
                  <c:v>12.730402807627465</c:v>
                </c:pt>
                <c:pt idx="1">
                  <c:v>12.735357486958618</c:v>
                </c:pt>
                <c:pt idx="2">
                  <c:v>13.067918239830002</c:v>
                </c:pt>
                <c:pt idx="3">
                  <c:v>13.03449671834</c:v>
                </c:pt>
                <c:pt idx="4">
                  <c:v>13.029745632197505</c:v>
                </c:pt>
                <c:pt idx="5">
                  <c:v>12.86344406107283</c:v>
                </c:pt>
                <c:pt idx="6">
                  <c:v>13.116887577834783</c:v>
                </c:pt>
                <c:pt idx="7">
                  <c:v>13.08808103006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9-4B11-8A27-E544860A68A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2158223"/>
        <c:axId val="602149103"/>
      </c:lineChart>
      <c:dateAx>
        <c:axId val="60215822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49103"/>
        <c:crosses val="autoZero"/>
        <c:auto val="1"/>
        <c:lblOffset val="100"/>
        <c:baseTimeUnit val="days"/>
      </c:dateAx>
      <c:valAx>
        <c:axId val="60214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.00_-;\-* #,##0.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5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310515</xdr:colOff>
      <xdr:row>23</xdr:row>
      <xdr:rowOff>127635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560295</xdr:colOff>
      <xdr:row>30</xdr:row>
      <xdr:rowOff>156883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588819</xdr:colOff>
      <xdr:row>18</xdr:row>
      <xdr:rowOff>181841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38099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45486-119B-33F4-4827-DA39EBDC8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B220"/>
  <sheetViews>
    <sheetView tabSelected="1" zoomScaleNormal="100" workbookViewId="0">
      <pane ySplit="3" topLeftCell="A4" activePane="bottomLeft" state="frozen"/>
      <selection activeCell="H6" sqref="H6"/>
      <selection pane="bottomLeft" activeCell="A4" sqref="A4:V4"/>
    </sheetView>
  </sheetViews>
  <sheetFormatPr defaultRowHeight="15"/>
  <cols>
    <col min="1" max="1" width="7.140625" customWidth="1"/>
    <col min="2" max="2" width="39.140625" customWidth="1"/>
    <col min="3" max="3" width="36.140625" customWidth="1"/>
    <col min="4" max="4" width="21" customWidth="1"/>
    <col min="8" max="8" width="9.85546875" customWidth="1"/>
    <col min="11" max="11" width="20.5703125" customWidth="1"/>
    <col min="13" max="13" width="10" customWidth="1"/>
    <col min="14" max="14" width="10.140625" customWidth="1"/>
    <col min="15" max="15" width="9.85546875" customWidth="1"/>
    <col min="17" max="17" width="9.140625" customWidth="1"/>
    <col min="20" max="20" width="8.28515625" customWidth="1"/>
    <col min="24" max="24" width="18.85546875" customWidth="1"/>
    <col min="25" max="25" width="11.28515625" customWidth="1"/>
    <col min="26" max="26" width="15.85546875" customWidth="1"/>
    <col min="27" max="27" width="17.28515625" customWidth="1"/>
  </cols>
  <sheetData>
    <row r="1" spans="1:25" ht="26.25">
      <c r="A1" s="149" t="s">
        <v>279</v>
      </c>
      <c r="B1" s="150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2"/>
    </row>
    <row r="2" spans="1:25" ht="15" customHeight="1">
      <c r="A2" s="1"/>
      <c r="B2" s="1"/>
      <c r="C2" s="1"/>
      <c r="D2" s="156" t="s">
        <v>273</v>
      </c>
      <c r="E2" s="157"/>
      <c r="F2" s="157"/>
      <c r="G2" s="157"/>
      <c r="H2" s="157"/>
      <c r="I2" s="157"/>
      <c r="J2" s="158"/>
      <c r="K2" s="156" t="s">
        <v>278</v>
      </c>
      <c r="L2" s="157"/>
      <c r="M2" s="157"/>
      <c r="N2" s="157"/>
      <c r="O2" s="157"/>
      <c r="P2" s="157"/>
      <c r="Q2" s="158"/>
      <c r="R2" s="156" t="s">
        <v>0</v>
      </c>
      <c r="S2" s="157"/>
      <c r="T2" s="158"/>
      <c r="U2" s="153" t="s">
        <v>1</v>
      </c>
      <c r="V2" s="153"/>
    </row>
    <row r="3" spans="1:25" ht="25.5">
      <c r="A3" s="81" t="s">
        <v>2</v>
      </c>
      <c r="B3" s="81" t="s">
        <v>3</v>
      </c>
      <c r="C3" s="75" t="s">
        <v>4</v>
      </c>
      <c r="D3" s="76" t="s">
        <v>5</v>
      </c>
      <c r="E3" s="77" t="s">
        <v>6</v>
      </c>
      <c r="F3" s="77" t="s">
        <v>7</v>
      </c>
      <c r="G3" s="77" t="s">
        <v>8</v>
      </c>
      <c r="H3" s="77" t="s">
        <v>229</v>
      </c>
      <c r="I3" s="77" t="s">
        <v>9</v>
      </c>
      <c r="J3" s="77" t="s">
        <v>10</v>
      </c>
      <c r="K3" s="78" t="s">
        <v>5</v>
      </c>
      <c r="L3" s="77" t="s">
        <v>6</v>
      </c>
      <c r="M3" s="77" t="s">
        <v>7</v>
      </c>
      <c r="N3" s="77" t="s">
        <v>8</v>
      </c>
      <c r="O3" s="77" t="s">
        <v>229</v>
      </c>
      <c r="P3" s="77" t="s">
        <v>9</v>
      </c>
      <c r="Q3" s="77" t="s">
        <v>10</v>
      </c>
      <c r="R3" s="76" t="s">
        <v>11</v>
      </c>
      <c r="S3" s="77" t="s">
        <v>12</v>
      </c>
      <c r="T3" s="77" t="s">
        <v>235</v>
      </c>
      <c r="U3" s="77" t="s">
        <v>13</v>
      </c>
      <c r="V3" s="77" t="s">
        <v>14</v>
      </c>
    </row>
    <row r="4" spans="1:25" ht="7.5" customHeight="1">
      <c r="A4" s="154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</row>
    <row r="5" spans="1:25" ht="15" customHeight="1">
      <c r="A5" s="155" t="s">
        <v>15</v>
      </c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</row>
    <row r="6" spans="1:25">
      <c r="A6" s="74">
        <v>1</v>
      </c>
      <c r="B6" s="135" t="s">
        <v>16</v>
      </c>
      <c r="C6" s="136" t="s">
        <v>17</v>
      </c>
      <c r="D6" s="2">
        <v>1091528878.0799999</v>
      </c>
      <c r="E6" s="3">
        <f t="shared" ref="E6:E22" si="0">(D6/$D$23)</f>
        <v>3.9470613725688712E-2</v>
      </c>
      <c r="F6" s="8">
        <v>329.51190000000003</v>
      </c>
      <c r="G6" s="8">
        <v>329.51190000000003</v>
      </c>
      <c r="H6" s="59">
        <v>1739</v>
      </c>
      <c r="I6" s="5">
        <v>5.1999999999999998E-2</v>
      </c>
      <c r="J6" s="5">
        <v>9.9199999999999997E-2</v>
      </c>
      <c r="K6" s="2">
        <v>1093672177.4300001</v>
      </c>
      <c r="L6" s="3">
        <f>(K6/$K$23)</f>
        <v>3.9504546490228457E-2</v>
      </c>
      <c r="M6" s="8">
        <v>329.62430000000001</v>
      </c>
      <c r="N6" s="8">
        <v>329.62430000000001</v>
      </c>
      <c r="O6" s="59">
        <v>1741</v>
      </c>
      <c r="P6" s="5">
        <v>2.9999999999999997E-4</v>
      </c>
      <c r="Q6" s="5">
        <v>9.9599999999999994E-2</v>
      </c>
      <c r="R6" s="79">
        <f>((K6-D6)/D6)</f>
        <v>1.9635754885113147E-3</v>
      </c>
      <c r="S6" s="79">
        <f>((N6-G6)/G6)</f>
        <v>3.4111059418485225E-4</v>
      </c>
      <c r="T6" s="79">
        <f>((O6-H6)/H6)</f>
        <v>1.1500862564692352E-3</v>
      </c>
      <c r="U6" s="80">
        <f>P6-I6</f>
        <v>-5.1699999999999996E-2</v>
      </c>
      <c r="V6" s="82">
        <f>Q6-J6</f>
        <v>3.9999999999999758E-4</v>
      </c>
    </row>
    <row r="7" spans="1:25">
      <c r="A7" s="74">
        <v>2</v>
      </c>
      <c r="B7" s="135" t="s">
        <v>18</v>
      </c>
      <c r="C7" s="136" t="s">
        <v>19</v>
      </c>
      <c r="D7" s="4">
        <v>600357653.52999997</v>
      </c>
      <c r="E7" s="3">
        <f t="shared" si="0"/>
        <v>2.1709443987799591E-2</v>
      </c>
      <c r="F7" s="4">
        <v>221.7773</v>
      </c>
      <c r="G7" s="4">
        <v>224.3596</v>
      </c>
      <c r="H7" s="59">
        <v>397</v>
      </c>
      <c r="I7" s="5">
        <v>8.6119999999999999E-3</v>
      </c>
      <c r="J7" s="5">
        <v>0.1464</v>
      </c>
      <c r="K7" s="4">
        <v>598630035.5</v>
      </c>
      <c r="L7" s="3">
        <f t="shared" ref="L7:L22" si="1">(K7/$K$23)</f>
        <v>2.1623123049018478E-2</v>
      </c>
      <c r="M7" s="4">
        <v>221.17089999999999</v>
      </c>
      <c r="N7" s="4">
        <v>223.81610000000001</v>
      </c>
      <c r="O7" s="59">
        <v>402</v>
      </c>
      <c r="P7" s="5">
        <v>3.4600000000000001E-4</v>
      </c>
      <c r="Q7" s="5">
        <v>0.14330000000000001</v>
      </c>
      <c r="R7" s="79">
        <f t="shared" ref="R7:R23" si="2">((K7-D7)/D7)</f>
        <v>-2.8776480483622951E-3</v>
      </c>
      <c r="S7" s="79">
        <f t="shared" ref="S7:S23" si="3">((N7-G7)/G7)</f>
        <v>-2.4224503876811802E-3</v>
      </c>
      <c r="T7" s="79">
        <f t="shared" ref="T7:T23" si="4">((O7-H7)/H7)</f>
        <v>1.2594458438287154E-2</v>
      </c>
      <c r="U7" s="80">
        <f t="shared" ref="U7:U23" si="5">P7-I7</f>
        <v>-8.265999999999999E-3</v>
      </c>
      <c r="V7" s="82">
        <f t="shared" ref="V7:V23" si="6">Q7-J7</f>
        <v>-3.0999999999999917E-3</v>
      </c>
    </row>
    <row r="8" spans="1:25">
      <c r="A8" s="74">
        <v>3</v>
      </c>
      <c r="B8" s="135" t="s">
        <v>20</v>
      </c>
      <c r="C8" s="136" t="s">
        <v>21</v>
      </c>
      <c r="D8" s="4">
        <v>3888961497.1100001</v>
      </c>
      <c r="E8" s="3">
        <f t="shared" si="0"/>
        <v>0.14062815939099199</v>
      </c>
      <c r="F8" s="4">
        <v>36.084000000000003</v>
      </c>
      <c r="G8" s="4">
        <v>37.171900000000001</v>
      </c>
      <c r="H8" s="61">
        <v>6482</v>
      </c>
      <c r="I8" s="6">
        <v>0.8629</v>
      </c>
      <c r="J8" s="6">
        <v>0.43619999999999998</v>
      </c>
      <c r="K8" s="4">
        <v>3865623442.0700002</v>
      </c>
      <c r="L8" s="3">
        <f t="shared" si="1"/>
        <v>0.13963023301902125</v>
      </c>
      <c r="M8" s="4">
        <v>35.842599999999997</v>
      </c>
      <c r="N8" s="4">
        <v>36.923299999999998</v>
      </c>
      <c r="O8" s="61">
        <v>6489</v>
      </c>
      <c r="P8" s="6">
        <v>-0.34970000000000001</v>
      </c>
      <c r="Q8" s="6">
        <v>0.39889999999999998</v>
      </c>
      <c r="R8" s="79">
        <f t="shared" si="2"/>
        <v>-6.0011021084531557E-3</v>
      </c>
      <c r="S8" s="79">
        <f t="shared" si="3"/>
        <v>-6.6878475407499555E-3</v>
      </c>
      <c r="T8" s="79">
        <f t="shared" si="4"/>
        <v>1.0799136069114472E-3</v>
      </c>
      <c r="U8" s="80">
        <f t="shared" si="5"/>
        <v>-1.2126000000000001</v>
      </c>
      <c r="V8" s="82">
        <f t="shared" si="6"/>
        <v>-3.73E-2</v>
      </c>
      <c r="X8" s="101"/>
      <c r="Y8" s="101"/>
    </row>
    <row r="9" spans="1:25">
      <c r="A9" s="74">
        <v>4</v>
      </c>
      <c r="B9" s="135" t="s">
        <v>22</v>
      </c>
      <c r="C9" s="136" t="s">
        <v>23</v>
      </c>
      <c r="D9" s="4">
        <v>616731617.30999994</v>
      </c>
      <c r="E9" s="3">
        <f t="shared" si="0"/>
        <v>2.2301540461376747E-2</v>
      </c>
      <c r="F9" s="4">
        <v>200.09809999999999</v>
      </c>
      <c r="G9" s="4">
        <v>200.09809999999999</v>
      </c>
      <c r="H9" s="59">
        <v>1773</v>
      </c>
      <c r="I9" s="5">
        <v>2.4299999999999999E-2</v>
      </c>
      <c r="J9" s="5">
        <v>0.16059999999999999</v>
      </c>
      <c r="K9" s="4">
        <v>604815131.11000001</v>
      </c>
      <c r="L9" s="3">
        <f t="shared" si="1"/>
        <v>2.1846534965417341E-2</v>
      </c>
      <c r="M9" s="4">
        <v>201.09229999999999</v>
      </c>
      <c r="N9" s="4">
        <v>201.09229999999999</v>
      </c>
      <c r="O9" s="59">
        <v>1792</v>
      </c>
      <c r="P9" s="5">
        <v>5.0000000000000001E-3</v>
      </c>
      <c r="Q9" s="5">
        <v>0.16539999999999999</v>
      </c>
      <c r="R9" s="79">
        <f t="shared" si="2"/>
        <v>-1.9321996579283709E-2</v>
      </c>
      <c r="S9" s="79">
        <f t="shared" si="3"/>
        <v>4.9685629198878275E-3</v>
      </c>
      <c r="T9" s="79">
        <f t="shared" si="4"/>
        <v>1.0716300056401579E-2</v>
      </c>
      <c r="U9" s="80">
        <f t="shared" si="5"/>
        <v>-1.9299999999999998E-2</v>
      </c>
      <c r="V9" s="82">
        <f t="shared" si="6"/>
        <v>4.7999999999999987E-3</v>
      </c>
    </row>
    <row r="10" spans="1:25">
      <c r="A10" s="74">
        <v>5</v>
      </c>
      <c r="B10" s="135" t="s">
        <v>266</v>
      </c>
      <c r="C10" s="136" t="s">
        <v>99</v>
      </c>
      <c r="D10" s="4">
        <v>598630566.21000004</v>
      </c>
      <c r="E10" s="3">
        <f t="shared" si="0"/>
        <v>2.1646991039602596E-2</v>
      </c>
      <c r="F10" s="4">
        <v>0.876</v>
      </c>
      <c r="G10" s="4">
        <v>0.88290000000000002</v>
      </c>
      <c r="H10" s="59">
        <v>543</v>
      </c>
      <c r="I10" s="5">
        <v>8.3000000000000004E-2</v>
      </c>
      <c r="J10" s="5">
        <v>-0.1198</v>
      </c>
      <c r="K10" s="4">
        <v>590355982.32000005</v>
      </c>
      <c r="L10" s="3">
        <f t="shared" si="1"/>
        <v>2.1324255869933775E-2</v>
      </c>
      <c r="M10" s="4">
        <v>0.86399999999999999</v>
      </c>
      <c r="N10" s="4">
        <v>0.87080000000000002</v>
      </c>
      <c r="O10" s="59">
        <v>541</v>
      </c>
      <c r="P10" s="5">
        <v>-1.38E-2</v>
      </c>
      <c r="Q10" s="5">
        <v>-0.13189999999999999</v>
      </c>
      <c r="R10" s="79">
        <f t="shared" ref="R10" si="7">((K10-D10)/D10)</f>
        <v>-1.3822521530077125E-2</v>
      </c>
      <c r="S10" s="79">
        <f t="shared" ref="S10" si="8">((N10-G10)/G10)</f>
        <v>-1.3704836334805752E-2</v>
      </c>
      <c r="T10" s="79">
        <f t="shared" ref="T10" si="9">((O10-H10)/H10)</f>
        <v>-3.6832412523020259E-3</v>
      </c>
      <c r="U10" s="80">
        <f t="shared" ref="U10" si="10">P10-I10</f>
        <v>-9.6799999999999997E-2</v>
      </c>
      <c r="V10" s="82">
        <f t="shared" ref="V10" si="11">Q10-J10</f>
        <v>-1.2099999999999986E-2</v>
      </c>
    </row>
    <row r="11" spans="1:25">
      <c r="A11" s="74">
        <v>6</v>
      </c>
      <c r="B11" s="135" t="s">
        <v>24</v>
      </c>
      <c r="C11" s="136" t="s">
        <v>25</v>
      </c>
      <c r="D11" s="7">
        <v>86381787.459999993</v>
      </c>
      <c r="E11" s="3">
        <f t="shared" si="0"/>
        <v>3.1236389931941959E-3</v>
      </c>
      <c r="F11" s="4">
        <v>153.61490000000001</v>
      </c>
      <c r="G11" s="4">
        <v>154.12440000000001</v>
      </c>
      <c r="H11" s="61">
        <v>91</v>
      </c>
      <c r="I11" s="6">
        <v>2.258E-3</v>
      </c>
      <c r="J11" s="6">
        <v>0.315</v>
      </c>
      <c r="K11" s="7">
        <v>86686200.680000007</v>
      </c>
      <c r="L11" s="3">
        <f t="shared" si="1"/>
        <v>3.1311933461373232E-3</v>
      </c>
      <c r="M11" s="4">
        <v>154.13470000000001</v>
      </c>
      <c r="N11" s="4">
        <v>154.6448</v>
      </c>
      <c r="O11" s="61">
        <v>91</v>
      </c>
      <c r="P11" s="6">
        <v>1.761E-3</v>
      </c>
      <c r="Q11" s="6">
        <v>0.31840000000000002</v>
      </c>
      <c r="R11" s="79">
        <f t="shared" si="2"/>
        <v>3.5240440022264586E-3</v>
      </c>
      <c r="S11" s="79">
        <f t="shared" si="3"/>
        <v>3.3764932742641339E-3</v>
      </c>
      <c r="T11" s="79">
        <f t="shared" si="4"/>
        <v>0</v>
      </c>
      <c r="U11" s="80">
        <f t="shared" si="5"/>
        <v>-4.9700000000000005E-4</v>
      </c>
      <c r="V11" s="82">
        <f t="shared" si="6"/>
        <v>3.4000000000000141E-3</v>
      </c>
    </row>
    <row r="12" spans="1:25">
      <c r="A12" s="74">
        <v>7</v>
      </c>
      <c r="B12" s="135" t="s">
        <v>26</v>
      </c>
      <c r="C12" s="136" t="s">
        <v>27</v>
      </c>
      <c r="D12" s="4">
        <v>1022549001.22</v>
      </c>
      <c r="E12" s="3">
        <f t="shared" si="0"/>
        <v>3.6976242638433722E-2</v>
      </c>
      <c r="F12" s="4">
        <v>274.7</v>
      </c>
      <c r="G12" s="4">
        <v>278.45999999999998</v>
      </c>
      <c r="H12" s="61">
        <v>1618</v>
      </c>
      <c r="I12" s="6">
        <v>1.3599999999999999E-2</v>
      </c>
      <c r="J12" s="6">
        <v>0.1046</v>
      </c>
      <c r="K12" s="4">
        <v>1018015084.5700001</v>
      </c>
      <c r="L12" s="3">
        <f t="shared" si="1"/>
        <v>3.6771735686513284E-2</v>
      </c>
      <c r="M12" s="4">
        <v>275.57</v>
      </c>
      <c r="N12" s="4">
        <v>279.35000000000002</v>
      </c>
      <c r="O12" s="61">
        <v>1617</v>
      </c>
      <c r="P12" s="6">
        <v>3.2000000000000002E-3</v>
      </c>
      <c r="Q12" s="6">
        <v>0.1081</v>
      </c>
      <c r="R12" s="79">
        <f t="shared" si="2"/>
        <v>-4.4339358256578164E-3</v>
      </c>
      <c r="S12" s="79">
        <f t="shared" si="3"/>
        <v>3.1961502549739396E-3</v>
      </c>
      <c r="T12" s="79">
        <f t="shared" si="4"/>
        <v>-6.1804697156983925E-4</v>
      </c>
      <c r="U12" s="80">
        <f t="shared" si="5"/>
        <v>-1.04E-2</v>
      </c>
      <c r="V12" s="82">
        <f t="shared" si="6"/>
        <v>3.5000000000000031E-3</v>
      </c>
    </row>
    <row r="13" spans="1:25">
      <c r="A13" s="74">
        <v>8</v>
      </c>
      <c r="B13" s="135" t="s">
        <v>28</v>
      </c>
      <c r="C13" s="136" t="s">
        <v>29</v>
      </c>
      <c r="D13" s="2">
        <v>324208330.30000001</v>
      </c>
      <c r="E13" s="3">
        <f t="shared" si="0"/>
        <v>1.1723649304112968E-2</v>
      </c>
      <c r="F13" s="4">
        <v>162.86000000000001</v>
      </c>
      <c r="G13" s="4">
        <v>165.43</v>
      </c>
      <c r="H13" s="59">
        <v>2466</v>
      </c>
      <c r="I13" s="5">
        <v>3.5400000000000001E-2</v>
      </c>
      <c r="J13" s="5">
        <v>-2.938E-2</v>
      </c>
      <c r="K13" s="2">
        <v>320891985.99000001</v>
      </c>
      <c r="L13" s="3">
        <f t="shared" si="1"/>
        <v>1.1590943465959258E-2</v>
      </c>
      <c r="M13" s="4">
        <v>161.19999999999999</v>
      </c>
      <c r="N13" s="4">
        <v>163.69</v>
      </c>
      <c r="O13" s="59">
        <v>2466</v>
      </c>
      <c r="P13" s="5">
        <v>-1.0189999999999999E-2</v>
      </c>
      <c r="Q13" s="5">
        <v>-3.9274999999999997E-2</v>
      </c>
      <c r="R13" s="79">
        <f t="shared" si="2"/>
        <v>-1.0229053358781022E-2</v>
      </c>
      <c r="S13" s="79">
        <f t="shared" si="3"/>
        <v>-1.0518043885631439E-2</v>
      </c>
      <c r="T13" s="79">
        <f t="shared" si="4"/>
        <v>0</v>
      </c>
      <c r="U13" s="80">
        <f t="shared" si="5"/>
        <v>-4.5589999999999999E-2</v>
      </c>
      <c r="V13" s="82">
        <f t="shared" si="6"/>
        <v>-9.8949999999999975E-3</v>
      </c>
    </row>
    <row r="14" spans="1:25">
      <c r="A14" s="74">
        <v>9</v>
      </c>
      <c r="B14" s="135" t="s">
        <v>30</v>
      </c>
      <c r="C14" s="136" t="s">
        <v>31</v>
      </c>
      <c r="D14" s="7">
        <v>50158658.369999997</v>
      </c>
      <c r="E14" s="3">
        <f t="shared" si="0"/>
        <v>1.8137797993979879E-3</v>
      </c>
      <c r="F14" s="4">
        <v>179.65</v>
      </c>
      <c r="G14" s="4">
        <v>184.62</v>
      </c>
      <c r="H14" s="59">
        <v>13</v>
      </c>
      <c r="I14" s="5">
        <v>3.5400000000000001E-2</v>
      </c>
      <c r="J14" s="5">
        <v>-4.7999999999999996E-3</v>
      </c>
      <c r="K14" s="7">
        <v>50707913.810000002</v>
      </c>
      <c r="L14" s="3">
        <f t="shared" si="1"/>
        <v>1.8316211931411741E-3</v>
      </c>
      <c r="M14" s="4">
        <v>181.39</v>
      </c>
      <c r="N14" s="4">
        <v>186.31</v>
      </c>
      <c r="O14" s="59">
        <v>13</v>
      </c>
      <c r="P14" s="5">
        <v>9.4000000000000004E-3</v>
      </c>
      <c r="Q14" s="5">
        <v>4.4999999999999997E-3</v>
      </c>
      <c r="R14" s="79">
        <f t="shared" si="2"/>
        <v>1.0950361469965392E-2</v>
      </c>
      <c r="S14" s="79">
        <f t="shared" si="3"/>
        <v>9.1539378182211983E-3</v>
      </c>
      <c r="T14" s="79">
        <f t="shared" si="4"/>
        <v>0</v>
      </c>
      <c r="U14" s="80">
        <f t="shared" si="5"/>
        <v>-2.6000000000000002E-2</v>
      </c>
      <c r="V14" s="82">
        <f t="shared" si="6"/>
        <v>9.2999999999999992E-3</v>
      </c>
    </row>
    <row r="15" spans="1:25" ht="14.25" customHeight="1">
      <c r="A15" s="74">
        <v>10</v>
      </c>
      <c r="B15" s="135" t="s">
        <v>238</v>
      </c>
      <c r="C15" s="136" t="s">
        <v>32</v>
      </c>
      <c r="D15" s="2">
        <v>484385878.26429999</v>
      </c>
      <c r="E15" s="3">
        <f t="shared" si="0"/>
        <v>1.7515805838118556E-2</v>
      </c>
      <c r="F15" s="4">
        <v>1.5794999999999999</v>
      </c>
      <c r="G15" s="4">
        <v>1.6296999999999999</v>
      </c>
      <c r="H15" s="59">
        <v>440</v>
      </c>
      <c r="I15" s="5">
        <v>1.3409470037212934E-2</v>
      </c>
      <c r="J15" s="5">
        <v>-6.7976633032395206E-2</v>
      </c>
      <c r="K15" s="2">
        <v>501116124.69999999</v>
      </c>
      <c r="L15" s="3">
        <f t="shared" si="1"/>
        <v>1.8100821849316294E-2</v>
      </c>
      <c r="M15" s="4">
        <v>1.6620600000000001</v>
      </c>
      <c r="N15" s="4">
        <v>1.6766540000000001</v>
      </c>
      <c r="O15" s="59">
        <v>466</v>
      </c>
      <c r="P15" s="5">
        <v>5.2269705603039007E-2</v>
      </c>
      <c r="Q15" s="5">
        <v>-1.9260046025845301E-2</v>
      </c>
      <c r="R15" s="79">
        <f t="shared" si="2"/>
        <v>3.4539087918189305E-2</v>
      </c>
      <c r="S15" s="79">
        <f t="shared" si="3"/>
        <v>2.8811437687918124E-2</v>
      </c>
      <c r="T15" s="79">
        <f t="shared" si="4"/>
        <v>5.909090909090909E-2</v>
      </c>
      <c r="U15" s="80">
        <f t="shared" si="5"/>
        <v>3.8860235565826073E-2</v>
      </c>
      <c r="V15" s="82">
        <f t="shared" si="6"/>
        <v>4.8716587006549905E-2</v>
      </c>
    </row>
    <row r="16" spans="1:25">
      <c r="A16" s="74">
        <v>11</v>
      </c>
      <c r="B16" s="135" t="s">
        <v>33</v>
      </c>
      <c r="C16" s="136" t="s">
        <v>34</v>
      </c>
      <c r="D16" s="2">
        <v>1584329387.73</v>
      </c>
      <c r="E16" s="3">
        <f t="shared" si="0"/>
        <v>5.7290699800215901E-2</v>
      </c>
      <c r="F16" s="4">
        <v>3.25</v>
      </c>
      <c r="G16" s="4">
        <v>3.31</v>
      </c>
      <c r="H16" s="59">
        <v>3669</v>
      </c>
      <c r="I16" s="5">
        <v>1.5800000000000002E-2</v>
      </c>
      <c r="J16" s="5">
        <v>0.1716</v>
      </c>
      <c r="K16" s="2">
        <v>1605150985.52</v>
      </c>
      <c r="L16" s="3">
        <f t="shared" si="1"/>
        <v>5.7979678956740617E-2</v>
      </c>
      <c r="M16" s="4">
        <v>3.25</v>
      </c>
      <c r="N16" s="4">
        <v>3.31</v>
      </c>
      <c r="O16" s="59">
        <v>3669</v>
      </c>
      <c r="P16" s="5">
        <v>-7.9000000000000008E-3</v>
      </c>
      <c r="Q16" s="5">
        <v>0.17269999999999999</v>
      </c>
      <c r="R16" s="79">
        <f t="shared" si="2"/>
        <v>1.3142215218157879E-2</v>
      </c>
      <c r="S16" s="79">
        <f t="shared" si="3"/>
        <v>0</v>
      </c>
      <c r="T16" s="79">
        <f t="shared" si="4"/>
        <v>0</v>
      </c>
      <c r="U16" s="80">
        <f t="shared" si="5"/>
        <v>-2.3700000000000002E-2</v>
      </c>
      <c r="V16" s="82">
        <f t="shared" si="6"/>
        <v>1.0999999999999899E-3</v>
      </c>
    </row>
    <row r="17" spans="1:22">
      <c r="A17" s="74">
        <v>12</v>
      </c>
      <c r="B17" s="135" t="s">
        <v>35</v>
      </c>
      <c r="C17" s="136" t="s">
        <v>36</v>
      </c>
      <c r="D17" s="4">
        <v>576633552.28000009</v>
      </c>
      <c r="E17" s="3">
        <f t="shared" si="0"/>
        <v>2.0851560284278148E-2</v>
      </c>
      <c r="F17" s="4">
        <v>18.658505999999999</v>
      </c>
      <c r="G17" s="4">
        <v>18.823233999999999</v>
      </c>
      <c r="H17" s="59">
        <v>327</v>
      </c>
      <c r="I17" s="5">
        <v>5.1561958315505141E-2</v>
      </c>
      <c r="J17" s="5">
        <v>1.6276043546067598E-2</v>
      </c>
      <c r="K17" s="4">
        <v>550176934.90999997</v>
      </c>
      <c r="L17" s="3">
        <f t="shared" si="1"/>
        <v>1.9872947992584912E-2</v>
      </c>
      <c r="M17" s="4">
        <v>18.559412999999999</v>
      </c>
      <c r="N17" s="4">
        <v>18.731237</v>
      </c>
      <c r="O17" s="59">
        <v>333</v>
      </c>
      <c r="P17" s="5">
        <v>5.1561958315505141E-2</v>
      </c>
      <c r="Q17" s="5">
        <v>6.5199999999999994E-2</v>
      </c>
      <c r="R17" s="79">
        <f t="shared" si="2"/>
        <v>-4.5881161901507587E-2</v>
      </c>
      <c r="S17" s="79">
        <f t="shared" si="3"/>
        <v>-4.8874173269056326E-3</v>
      </c>
      <c r="T17" s="79">
        <f t="shared" si="4"/>
        <v>1.834862385321101E-2</v>
      </c>
      <c r="U17" s="80">
        <f t="shared" si="5"/>
        <v>0</v>
      </c>
      <c r="V17" s="82">
        <f t="shared" si="6"/>
        <v>4.8923956453932396E-2</v>
      </c>
    </row>
    <row r="18" spans="1:22">
      <c r="A18" s="74">
        <v>13</v>
      </c>
      <c r="B18" s="135" t="s">
        <v>37</v>
      </c>
      <c r="C18" s="136" t="s">
        <v>38</v>
      </c>
      <c r="D18" s="4">
        <v>343641091.33999997</v>
      </c>
      <c r="E18" s="3">
        <f t="shared" si="0"/>
        <v>1.2426354491338656E-2</v>
      </c>
      <c r="F18" s="4">
        <v>2.4710679999999998</v>
      </c>
      <c r="G18" s="4">
        <v>2.5022929999999999</v>
      </c>
      <c r="H18" s="59">
        <v>22</v>
      </c>
      <c r="I18" s="5">
        <v>2.76E-2</v>
      </c>
      <c r="J18" s="5">
        <v>0.14560000000000001</v>
      </c>
      <c r="K18" s="4">
        <v>343589150.85000002</v>
      </c>
      <c r="L18" s="3">
        <f t="shared" si="1"/>
        <v>1.2410788043623519E-2</v>
      </c>
      <c r="M18" s="4">
        <v>2.4706950000000001</v>
      </c>
      <c r="N18" s="4">
        <v>2.5027759999999999</v>
      </c>
      <c r="O18" s="59">
        <v>22</v>
      </c>
      <c r="P18" s="5">
        <v>3.8E-3</v>
      </c>
      <c r="Q18" s="5">
        <v>0.14560000000000001</v>
      </c>
      <c r="R18" s="79">
        <f t="shared" si="2"/>
        <v>-1.5114749460669064E-4</v>
      </c>
      <c r="S18" s="79">
        <f t="shared" si="3"/>
        <v>1.9302295934169628E-4</v>
      </c>
      <c r="T18" s="79">
        <f t="shared" si="4"/>
        <v>0</v>
      </c>
      <c r="U18" s="80">
        <f t="shared" si="5"/>
        <v>-2.3799999999999998E-2</v>
      </c>
      <c r="V18" s="82">
        <f t="shared" si="6"/>
        <v>0</v>
      </c>
    </row>
    <row r="19" spans="1:22">
      <c r="A19" s="74">
        <v>14</v>
      </c>
      <c r="B19" s="135" t="s">
        <v>39</v>
      </c>
      <c r="C19" s="136" t="s">
        <v>40</v>
      </c>
      <c r="D19" s="2">
        <v>1402319291.1900001</v>
      </c>
      <c r="E19" s="3">
        <f t="shared" si="0"/>
        <v>5.0709059718148257E-2</v>
      </c>
      <c r="F19" s="4">
        <v>25.66</v>
      </c>
      <c r="G19" s="4">
        <v>26.14</v>
      </c>
      <c r="H19" s="59">
        <v>8834</v>
      </c>
      <c r="I19" s="5">
        <v>4.8899999999999999E-2</v>
      </c>
      <c r="J19" s="5">
        <v>1.8599999999999998E-2</v>
      </c>
      <c r="K19" s="2">
        <v>1392079703.5999999</v>
      </c>
      <c r="L19" s="3">
        <f t="shared" si="1"/>
        <v>5.0283328499951235E-2</v>
      </c>
      <c r="M19" s="4">
        <v>25.48</v>
      </c>
      <c r="N19" s="4">
        <v>25.93</v>
      </c>
      <c r="O19" s="59">
        <v>8834</v>
      </c>
      <c r="P19" s="5">
        <v>-5.8999999999999999E-3</v>
      </c>
      <c r="Q19" s="5">
        <v>1.09E-2</v>
      </c>
      <c r="R19" s="79">
        <f t="shared" si="2"/>
        <v>-7.3018945502139514E-3</v>
      </c>
      <c r="S19" s="79">
        <f t="shared" si="3"/>
        <v>-8.0336648814078367E-3</v>
      </c>
      <c r="T19" s="79">
        <f t="shared" si="4"/>
        <v>0</v>
      </c>
      <c r="U19" s="80">
        <f t="shared" si="5"/>
        <v>-5.4800000000000001E-2</v>
      </c>
      <c r="V19" s="82">
        <f t="shared" si="6"/>
        <v>-7.6999999999999985E-3</v>
      </c>
    </row>
    <row r="20" spans="1:22" ht="12.75" customHeight="1">
      <c r="A20" s="74">
        <v>15</v>
      </c>
      <c r="B20" s="135" t="s">
        <v>41</v>
      </c>
      <c r="C20" s="136" t="s">
        <v>42</v>
      </c>
      <c r="D20" s="2">
        <v>610051362.63</v>
      </c>
      <c r="E20" s="3">
        <f t="shared" si="0"/>
        <v>2.2059976763559329E-2</v>
      </c>
      <c r="F20" s="4">
        <v>5944.99</v>
      </c>
      <c r="G20" s="4">
        <v>6016.47</v>
      </c>
      <c r="H20" s="59">
        <v>21</v>
      </c>
      <c r="I20" s="5">
        <v>2.93E-2</v>
      </c>
      <c r="J20" s="5">
        <v>0.10440000000000001</v>
      </c>
      <c r="K20" s="4">
        <v>612244099.92999995</v>
      </c>
      <c r="L20" s="3">
        <f t="shared" si="1"/>
        <v>2.2114876841694914E-2</v>
      </c>
      <c r="M20" s="4">
        <v>5966.73</v>
      </c>
      <c r="N20" s="4">
        <v>6037.84</v>
      </c>
      <c r="O20" s="59">
        <v>21</v>
      </c>
      <c r="P20" s="5">
        <v>3.5999999999999999E-3</v>
      </c>
      <c r="Q20" s="5">
        <v>0.10829999999999999</v>
      </c>
      <c r="R20" s="79">
        <f t="shared" si="2"/>
        <v>3.5943486636056598E-3</v>
      </c>
      <c r="S20" s="79">
        <f t="shared" si="3"/>
        <v>3.551916655447445E-3</v>
      </c>
      <c r="T20" s="79">
        <f t="shared" si="4"/>
        <v>0</v>
      </c>
      <c r="U20" s="80">
        <f t="shared" si="5"/>
        <v>-2.5700000000000001E-2</v>
      </c>
      <c r="V20" s="82">
        <f t="shared" si="6"/>
        <v>3.8999999999999868E-3</v>
      </c>
    </row>
    <row r="21" spans="1:22">
      <c r="A21" s="74">
        <v>16</v>
      </c>
      <c r="B21" s="135" t="s">
        <v>43</v>
      </c>
      <c r="C21" s="136" t="s">
        <v>42</v>
      </c>
      <c r="D21" s="4">
        <v>11280080754.559999</v>
      </c>
      <c r="E21" s="3">
        <f t="shared" si="0"/>
        <v>0.4078973256676231</v>
      </c>
      <c r="F21" s="4">
        <v>19071.53</v>
      </c>
      <c r="G21" s="4">
        <v>19323.189999999999</v>
      </c>
      <c r="H21" s="59">
        <v>17372</v>
      </c>
      <c r="I21" s="5">
        <v>4.4499999999999998E-2</v>
      </c>
      <c r="J21" s="5">
        <v>5.2299999999999999E-2</v>
      </c>
      <c r="K21" s="4">
        <v>11358016792.559999</v>
      </c>
      <c r="L21" s="3">
        <f t="shared" si="1"/>
        <v>0.41026306756093772</v>
      </c>
      <c r="M21" s="4">
        <v>19260</v>
      </c>
      <c r="N21" s="4">
        <v>19512.849999999999</v>
      </c>
      <c r="O21" s="59">
        <v>17379</v>
      </c>
      <c r="P21" s="5">
        <v>9.7999999999999997E-3</v>
      </c>
      <c r="Q21" s="5">
        <v>6.2600000000000003E-2</v>
      </c>
      <c r="R21" s="79">
        <f t="shared" si="2"/>
        <v>6.9091737635383656E-3</v>
      </c>
      <c r="S21" s="79">
        <f t="shared" si="3"/>
        <v>9.8151495689893786E-3</v>
      </c>
      <c r="T21" s="79">
        <f t="shared" si="4"/>
        <v>4.0294727147133317E-4</v>
      </c>
      <c r="U21" s="80">
        <f t="shared" si="5"/>
        <v>-3.4699999999999995E-2</v>
      </c>
      <c r="V21" s="82">
        <f t="shared" si="6"/>
        <v>1.0300000000000004E-2</v>
      </c>
    </row>
    <row r="22" spans="1:22">
      <c r="A22" s="74">
        <v>17</v>
      </c>
      <c r="B22" s="136" t="s">
        <v>44</v>
      </c>
      <c r="C22" s="136" t="s">
        <v>45</v>
      </c>
      <c r="D22" s="4">
        <v>3093266704</v>
      </c>
      <c r="E22" s="3">
        <f t="shared" si="0"/>
        <v>0.11185515809611946</v>
      </c>
      <c r="F22" s="4">
        <v>1.5274000000000001</v>
      </c>
      <c r="G22" s="8">
        <v>1.5423</v>
      </c>
      <c r="H22" s="59">
        <v>3182</v>
      </c>
      <c r="I22" s="5">
        <v>4.3200000000000002E-2</v>
      </c>
      <c r="J22" s="5">
        <v>0.12379999999999999</v>
      </c>
      <c r="K22" s="4">
        <v>3092944941.4400001</v>
      </c>
      <c r="L22" s="3">
        <f t="shared" si="1"/>
        <v>0.11172030316978035</v>
      </c>
      <c r="M22" s="4">
        <v>1.5284</v>
      </c>
      <c r="N22" s="8">
        <v>1.5432999999999999</v>
      </c>
      <c r="O22" s="59">
        <v>3815</v>
      </c>
      <c r="P22" s="5">
        <v>6.9999999999999999E-4</v>
      </c>
      <c r="Q22" s="5">
        <v>0.1245</v>
      </c>
      <c r="R22" s="79">
        <f t="shared" si="2"/>
        <v>-1.0402030952709689E-4</v>
      </c>
      <c r="S22" s="79">
        <f t="shared" si="3"/>
        <v>6.4838228619586971E-4</v>
      </c>
      <c r="T22" s="79">
        <f t="shared" si="4"/>
        <v>0.19893148962916404</v>
      </c>
      <c r="U22" s="80">
        <f t="shared" si="5"/>
        <v>-4.2500000000000003E-2</v>
      </c>
      <c r="V22" s="82">
        <f t="shared" si="6"/>
        <v>7.0000000000000617E-4</v>
      </c>
    </row>
    <row r="23" spans="1:22">
      <c r="A23" s="74"/>
      <c r="B23" s="19"/>
      <c r="C23" s="70" t="s">
        <v>46</v>
      </c>
      <c r="D23" s="57">
        <f>SUM(D6:D22)</f>
        <v>27654216011.584301</v>
      </c>
      <c r="E23" s="99">
        <f>(D23/$D$195)</f>
        <v>9.529615081183539E-3</v>
      </c>
      <c r="F23" s="30"/>
      <c r="G23" s="31"/>
      <c r="H23" s="64">
        <f>SUM(H6:H22)</f>
        <v>48989</v>
      </c>
      <c r="I23" s="28"/>
      <c r="J23" s="59">
        <v>0</v>
      </c>
      <c r="K23" s="57">
        <f>SUM(K6:K22)</f>
        <v>27684716686.990002</v>
      </c>
      <c r="L23" s="99">
        <f>(K23/$K$195)</f>
        <v>9.5107783328912277E-3</v>
      </c>
      <c r="M23" s="30"/>
      <c r="N23" s="31"/>
      <c r="O23" s="64">
        <f>SUM(O6:O22)</f>
        <v>49691</v>
      </c>
      <c r="P23" s="28"/>
      <c r="Q23" s="64"/>
      <c r="R23" s="79">
        <f t="shared" si="2"/>
        <v>1.1029303956013074E-3</v>
      </c>
      <c r="S23" s="79" t="e">
        <f t="shared" si="3"/>
        <v>#DIV/0!</v>
      </c>
      <c r="T23" s="79">
        <f t="shared" si="4"/>
        <v>1.4329747494335464E-2</v>
      </c>
      <c r="U23" s="80">
        <f t="shared" si="5"/>
        <v>0</v>
      </c>
      <c r="V23" s="82">
        <f t="shared" si="6"/>
        <v>0</v>
      </c>
    </row>
    <row r="24" spans="1:22" ht="9" customHeight="1">
      <c r="A24" s="148"/>
      <c r="B24" s="148"/>
      <c r="C24" s="148"/>
      <c r="D24" s="148"/>
      <c r="E24" s="148"/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spans="1:22" ht="15" customHeight="1">
      <c r="A25" s="155" t="s">
        <v>47</v>
      </c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5"/>
      <c r="T25" s="155"/>
      <c r="U25" s="155"/>
      <c r="V25" s="155"/>
    </row>
    <row r="26" spans="1:22">
      <c r="A26" s="74">
        <v>18</v>
      </c>
      <c r="B26" s="135" t="s">
        <v>48</v>
      </c>
      <c r="C26" s="136" t="s">
        <v>17</v>
      </c>
      <c r="D26" s="9">
        <v>954763666.74000001</v>
      </c>
      <c r="E26" s="3">
        <f>(D26/$K$60)</f>
        <v>9.3665666510976708E-4</v>
      </c>
      <c r="F26" s="8">
        <v>100</v>
      </c>
      <c r="G26" s="8">
        <v>100</v>
      </c>
      <c r="H26" s="59">
        <v>773</v>
      </c>
      <c r="I26" s="5">
        <v>0.17030000000000001</v>
      </c>
      <c r="J26" s="5">
        <v>0.17030000000000001</v>
      </c>
      <c r="K26" s="9">
        <v>950523340.99000001</v>
      </c>
      <c r="L26" s="3">
        <f t="shared" ref="L26:L59" si="12">(K26/$K$60)</f>
        <v>9.3249675673208931E-4</v>
      </c>
      <c r="M26" s="8">
        <v>100</v>
      </c>
      <c r="N26" s="8">
        <v>100</v>
      </c>
      <c r="O26" s="59">
        <v>801</v>
      </c>
      <c r="P26" s="5">
        <v>0.17249999999999999</v>
      </c>
      <c r="Q26" s="5">
        <v>0.17249999999999999</v>
      </c>
      <c r="R26" s="79">
        <f>((K26-D26)/D26)</f>
        <v>-4.4412307440210956E-3</v>
      </c>
      <c r="S26" s="79">
        <f>((N26-G26)/G26)</f>
        <v>0</v>
      </c>
      <c r="T26" s="79">
        <f>((O26-H26)/H26)</f>
        <v>3.6222509702457953E-2</v>
      </c>
      <c r="U26" s="80">
        <f>P26-I26</f>
        <v>2.1999999999999797E-3</v>
      </c>
      <c r="V26" s="82">
        <f>Q26-J26</f>
        <v>2.1999999999999797E-3</v>
      </c>
    </row>
    <row r="27" spans="1:22">
      <c r="A27" s="74">
        <v>19</v>
      </c>
      <c r="B27" s="135" t="s">
        <v>49</v>
      </c>
      <c r="C27" s="136" t="s">
        <v>50</v>
      </c>
      <c r="D27" s="9">
        <v>5387142889.1700001</v>
      </c>
      <c r="E27" s="3">
        <f t="shared" ref="E27:E59" si="13">(D27/$K$60)</f>
        <v>5.2849762394800697E-3</v>
      </c>
      <c r="F27" s="8">
        <v>100</v>
      </c>
      <c r="G27" s="8">
        <v>100</v>
      </c>
      <c r="H27" s="59">
        <v>1443</v>
      </c>
      <c r="I27" s="5">
        <v>0.19122600000000001</v>
      </c>
      <c r="J27" s="5">
        <v>0.19122600000000001</v>
      </c>
      <c r="K27" s="9">
        <v>5423416699.3699999</v>
      </c>
      <c r="L27" s="3">
        <f t="shared" si="12"/>
        <v>5.3205621203386974E-3</v>
      </c>
      <c r="M27" s="8">
        <v>100</v>
      </c>
      <c r="N27" s="8">
        <v>100</v>
      </c>
      <c r="O27" s="59">
        <v>1450</v>
      </c>
      <c r="P27" s="5">
        <v>0.18146599999999999</v>
      </c>
      <c r="Q27" s="5">
        <v>0.18146599999999999</v>
      </c>
      <c r="R27" s="79">
        <f t="shared" ref="R27:R60" si="14">((K27-D27)/D27)</f>
        <v>6.7334041339283156E-3</v>
      </c>
      <c r="S27" s="79">
        <f t="shared" ref="S27:S60" si="15">((N27-G27)/G27)</f>
        <v>0</v>
      </c>
      <c r="T27" s="79">
        <f t="shared" ref="T27:T60" si="16">((O27-H27)/H27)</f>
        <v>4.8510048510048507E-3</v>
      </c>
      <c r="U27" s="80">
        <f t="shared" ref="U27:U60" si="17">P27-I27</f>
        <v>-9.7600000000000187E-3</v>
      </c>
      <c r="V27" s="82">
        <f t="shared" ref="V27:V60" si="18">Q27-J27</f>
        <v>-9.7600000000000187E-3</v>
      </c>
    </row>
    <row r="28" spans="1:22">
      <c r="A28" s="74">
        <v>20</v>
      </c>
      <c r="B28" s="135" t="s">
        <v>51</v>
      </c>
      <c r="C28" s="136" t="s">
        <v>19</v>
      </c>
      <c r="D28" s="9">
        <v>427510376.63</v>
      </c>
      <c r="E28" s="3">
        <f t="shared" si="13"/>
        <v>4.1940268322246594E-4</v>
      </c>
      <c r="F28" s="8">
        <v>100</v>
      </c>
      <c r="G28" s="8">
        <v>100</v>
      </c>
      <c r="H28" s="59">
        <v>1476</v>
      </c>
      <c r="I28" s="5">
        <v>0.16650000000000001</v>
      </c>
      <c r="J28" s="5">
        <v>0.16650000000000001</v>
      </c>
      <c r="K28" s="9">
        <v>430128404.68000001</v>
      </c>
      <c r="L28" s="3">
        <f t="shared" si="12"/>
        <v>4.2197106062087468E-4</v>
      </c>
      <c r="M28" s="8">
        <v>100</v>
      </c>
      <c r="N28" s="8">
        <v>100</v>
      </c>
      <c r="O28" s="59">
        <v>1506</v>
      </c>
      <c r="P28" s="5">
        <v>0.16589999999999999</v>
      </c>
      <c r="Q28" s="5">
        <v>0.16589999999999999</v>
      </c>
      <c r="R28" s="79">
        <f t="shared" si="14"/>
        <v>6.1238935780636092E-3</v>
      </c>
      <c r="S28" s="79">
        <f t="shared" si="15"/>
        <v>0</v>
      </c>
      <c r="T28" s="79">
        <f t="shared" si="16"/>
        <v>2.032520325203252E-2</v>
      </c>
      <c r="U28" s="80">
        <f t="shared" si="17"/>
        <v>-6.0000000000001719E-4</v>
      </c>
      <c r="V28" s="82">
        <f t="shared" si="18"/>
        <v>-6.0000000000001719E-4</v>
      </c>
    </row>
    <row r="29" spans="1:22">
      <c r="A29" s="74">
        <v>21</v>
      </c>
      <c r="B29" s="135" t="s">
        <v>52</v>
      </c>
      <c r="C29" s="136" t="s">
        <v>21</v>
      </c>
      <c r="D29" s="9">
        <v>87547101551.949997</v>
      </c>
      <c r="E29" s="3">
        <f t="shared" si="13"/>
        <v>8.5886779143645564E-2</v>
      </c>
      <c r="F29" s="8">
        <v>1</v>
      </c>
      <c r="G29" s="8">
        <v>1</v>
      </c>
      <c r="H29" s="59">
        <v>58024</v>
      </c>
      <c r="I29" s="5">
        <v>0.18720000000000001</v>
      </c>
      <c r="J29" s="5">
        <v>0.18720000000000001</v>
      </c>
      <c r="K29" s="9">
        <v>87368019071.059998</v>
      </c>
      <c r="L29" s="3">
        <f t="shared" si="12"/>
        <v>8.5711092944878969E-2</v>
      </c>
      <c r="M29" s="8">
        <v>1</v>
      </c>
      <c r="N29" s="8">
        <v>1</v>
      </c>
      <c r="O29" s="59">
        <v>58175</v>
      </c>
      <c r="P29" s="5">
        <v>0.18770000000000001</v>
      </c>
      <c r="Q29" s="5">
        <v>0.18770000000000001</v>
      </c>
      <c r="R29" s="79">
        <f t="shared" si="14"/>
        <v>-2.0455557947139207E-3</v>
      </c>
      <c r="S29" s="79">
        <f t="shared" si="15"/>
        <v>0</v>
      </c>
      <c r="T29" s="79">
        <f t="shared" si="16"/>
        <v>2.6023714325106853E-3</v>
      </c>
      <c r="U29" s="80">
        <f t="shared" si="17"/>
        <v>5.0000000000000044E-4</v>
      </c>
      <c r="V29" s="82">
        <f t="shared" si="18"/>
        <v>5.0000000000000044E-4</v>
      </c>
    </row>
    <row r="30" spans="1:22">
      <c r="A30" s="74">
        <v>22</v>
      </c>
      <c r="B30" s="135" t="s">
        <v>53</v>
      </c>
      <c r="C30" s="136" t="s">
        <v>23</v>
      </c>
      <c r="D30" s="9">
        <v>55563810330.300003</v>
      </c>
      <c r="E30" s="3">
        <f t="shared" si="13"/>
        <v>5.4510047981269731E-2</v>
      </c>
      <c r="F30" s="8">
        <v>1</v>
      </c>
      <c r="G30" s="8">
        <v>1</v>
      </c>
      <c r="H30" s="59">
        <v>27675</v>
      </c>
      <c r="I30" s="5">
        <v>0.18820000000000001</v>
      </c>
      <c r="J30" s="5">
        <v>0.18820000000000001</v>
      </c>
      <c r="K30" s="9">
        <v>58077225615.889999</v>
      </c>
      <c r="L30" s="3">
        <f t="shared" si="12"/>
        <v>5.6975796586340742E-2</v>
      </c>
      <c r="M30" s="8">
        <v>1</v>
      </c>
      <c r="N30" s="8">
        <v>1</v>
      </c>
      <c r="O30" s="59">
        <v>27768</v>
      </c>
      <c r="P30" s="5">
        <v>0.1908</v>
      </c>
      <c r="Q30" s="5">
        <v>0.1908</v>
      </c>
      <c r="R30" s="79">
        <f t="shared" si="14"/>
        <v>4.5234753891947962E-2</v>
      </c>
      <c r="S30" s="79">
        <f t="shared" si="15"/>
        <v>0</v>
      </c>
      <c r="T30" s="79">
        <f t="shared" si="16"/>
        <v>3.3604336043360434E-3</v>
      </c>
      <c r="U30" s="80">
        <f t="shared" si="17"/>
        <v>2.5999999999999912E-3</v>
      </c>
      <c r="V30" s="82">
        <f t="shared" si="18"/>
        <v>2.5999999999999912E-3</v>
      </c>
    </row>
    <row r="31" spans="1:22" ht="15" customHeight="1">
      <c r="A31" s="74">
        <v>23</v>
      </c>
      <c r="B31" s="135" t="s">
        <v>54</v>
      </c>
      <c r="C31" s="136" t="s">
        <v>40</v>
      </c>
      <c r="D31" s="9">
        <v>9355085862.6200008</v>
      </c>
      <c r="E31" s="3">
        <f t="shared" si="13"/>
        <v>9.1776675539155927E-3</v>
      </c>
      <c r="F31" s="8">
        <v>100</v>
      </c>
      <c r="G31" s="8">
        <v>100</v>
      </c>
      <c r="H31" s="59">
        <v>2891</v>
      </c>
      <c r="I31" s="5">
        <v>0.18160000000000001</v>
      </c>
      <c r="J31" s="5">
        <v>0.15090000000000001</v>
      </c>
      <c r="K31" s="9">
        <v>9261809742.0200005</v>
      </c>
      <c r="L31" s="3">
        <f t="shared" si="12"/>
        <v>9.0861604060222447E-3</v>
      </c>
      <c r="M31" s="8">
        <v>100</v>
      </c>
      <c r="N31" s="8">
        <v>100</v>
      </c>
      <c r="O31" s="59">
        <v>2891</v>
      </c>
      <c r="P31" s="5">
        <v>0.1857</v>
      </c>
      <c r="Q31" s="5">
        <v>0.1527</v>
      </c>
      <c r="R31" s="79">
        <f t="shared" si="14"/>
        <v>-9.9706322282623414E-3</v>
      </c>
      <c r="S31" s="79">
        <f t="shared" si="15"/>
        <v>0</v>
      </c>
      <c r="T31" s="79">
        <f t="shared" si="16"/>
        <v>0</v>
      </c>
      <c r="U31" s="80">
        <f t="shared" si="17"/>
        <v>4.0999999999999925E-3</v>
      </c>
      <c r="V31" s="82">
        <f t="shared" si="18"/>
        <v>1.799999999999996E-3</v>
      </c>
    </row>
    <row r="32" spans="1:22" ht="15" customHeight="1">
      <c r="A32" s="74">
        <v>24</v>
      </c>
      <c r="B32" s="135" t="s">
        <v>270</v>
      </c>
      <c r="C32" s="136" t="s">
        <v>269</v>
      </c>
      <c r="D32" s="9">
        <v>238483244.46000001</v>
      </c>
      <c r="E32" s="3">
        <f t="shared" si="13"/>
        <v>2.3396043253632801E-4</v>
      </c>
      <c r="F32" s="8">
        <v>1</v>
      </c>
      <c r="G32" s="8">
        <v>1</v>
      </c>
      <c r="H32" s="59">
        <v>73</v>
      </c>
      <c r="I32" s="5">
        <v>0.16500000000000001</v>
      </c>
      <c r="J32" s="5">
        <v>0.16500000000000001</v>
      </c>
      <c r="K32" s="9">
        <v>240705439.21000001</v>
      </c>
      <c r="L32" s="3">
        <f t="shared" si="12"/>
        <v>2.3614048357541541E-4</v>
      </c>
      <c r="M32" s="8">
        <v>1</v>
      </c>
      <c r="N32" s="8">
        <v>1</v>
      </c>
      <c r="O32" s="59">
        <v>79</v>
      </c>
      <c r="P32" s="5">
        <v>0.16800000000000001</v>
      </c>
      <c r="Q32" s="5">
        <v>0.16800000000000001</v>
      </c>
      <c r="R32" s="79">
        <f t="shared" si="14"/>
        <v>9.3180330342776813E-3</v>
      </c>
      <c r="S32" s="79">
        <f t="shared" si="15"/>
        <v>0</v>
      </c>
      <c r="T32" s="79">
        <f t="shared" si="16"/>
        <v>8.2191780821917804E-2</v>
      </c>
      <c r="U32" s="80">
        <f t="shared" si="17"/>
        <v>3.0000000000000027E-3</v>
      </c>
      <c r="V32" s="82">
        <f t="shared" si="18"/>
        <v>3.0000000000000027E-3</v>
      </c>
    </row>
    <row r="33" spans="1:22">
      <c r="A33" s="74">
        <v>25</v>
      </c>
      <c r="B33" s="135" t="s">
        <v>55</v>
      </c>
      <c r="C33" s="136" t="s">
        <v>56</v>
      </c>
      <c r="D33" s="9">
        <v>19949781398.290001</v>
      </c>
      <c r="E33" s="3">
        <f t="shared" si="13"/>
        <v>1.957143570198273E-2</v>
      </c>
      <c r="F33" s="8">
        <v>100</v>
      </c>
      <c r="G33" s="8">
        <v>100</v>
      </c>
      <c r="H33" s="59">
        <v>2370</v>
      </c>
      <c r="I33" s="5">
        <v>0.20208558215679701</v>
      </c>
      <c r="J33" s="5">
        <v>0.20208558215679701</v>
      </c>
      <c r="K33" s="9">
        <v>19089442440.84</v>
      </c>
      <c r="L33" s="3">
        <f t="shared" si="12"/>
        <v>1.872741299058165E-2</v>
      </c>
      <c r="M33" s="8">
        <v>100</v>
      </c>
      <c r="N33" s="8">
        <v>100</v>
      </c>
      <c r="O33" s="59">
        <v>2427</v>
      </c>
      <c r="P33" s="5">
        <v>0.205790452055088</v>
      </c>
      <c r="Q33" s="5">
        <v>0.205790452055088</v>
      </c>
      <c r="R33" s="79">
        <f t="shared" si="14"/>
        <v>-4.3125232315765871E-2</v>
      </c>
      <c r="S33" s="79">
        <f t="shared" si="15"/>
        <v>0</v>
      </c>
      <c r="T33" s="79">
        <f t="shared" si="16"/>
        <v>2.4050632911392405E-2</v>
      </c>
      <c r="U33" s="80">
        <f t="shared" si="17"/>
        <v>3.7048698982909967E-3</v>
      </c>
      <c r="V33" s="82">
        <f t="shared" si="18"/>
        <v>3.7048698982909967E-3</v>
      </c>
    </row>
    <row r="34" spans="1:22">
      <c r="A34" s="74">
        <v>26</v>
      </c>
      <c r="B34" s="135" t="s">
        <v>57</v>
      </c>
      <c r="C34" s="136" t="s">
        <v>58</v>
      </c>
      <c r="D34" s="9">
        <v>6938659282.4899998</v>
      </c>
      <c r="E34" s="3">
        <f t="shared" si="13"/>
        <v>6.8070682727811114E-3</v>
      </c>
      <c r="F34" s="8">
        <v>100</v>
      </c>
      <c r="G34" s="8">
        <v>100</v>
      </c>
      <c r="H34" s="59">
        <v>5987</v>
      </c>
      <c r="I34" s="5">
        <v>0.18529999999999999</v>
      </c>
      <c r="J34" s="5">
        <v>0.18529999999999999</v>
      </c>
      <c r="K34" s="9">
        <v>7389085590.6099997</v>
      </c>
      <c r="L34" s="3">
        <f t="shared" si="12"/>
        <v>7.2489522890444502E-3</v>
      </c>
      <c r="M34" s="8">
        <v>100</v>
      </c>
      <c r="N34" s="8">
        <v>100</v>
      </c>
      <c r="O34" s="59">
        <v>6000</v>
      </c>
      <c r="P34" s="5">
        <v>0.1817</v>
      </c>
      <c r="Q34" s="5">
        <v>0.1817</v>
      </c>
      <c r="R34" s="79">
        <f t="shared" si="14"/>
        <v>6.4915467063885054E-2</v>
      </c>
      <c r="S34" s="79">
        <f t="shared" si="15"/>
        <v>0</v>
      </c>
      <c r="T34" s="79">
        <f t="shared" si="16"/>
        <v>2.1713713044930684E-3</v>
      </c>
      <c r="U34" s="80">
        <f t="shared" si="17"/>
        <v>-3.5999999999999921E-3</v>
      </c>
      <c r="V34" s="82">
        <f t="shared" si="18"/>
        <v>-3.5999999999999921E-3</v>
      </c>
    </row>
    <row r="35" spans="1:22">
      <c r="A35" s="74">
        <v>27</v>
      </c>
      <c r="B35" s="135" t="s">
        <v>59</v>
      </c>
      <c r="C35" s="136" t="s">
        <v>60</v>
      </c>
      <c r="D35" s="9">
        <v>44514190.369999997</v>
      </c>
      <c r="E35" s="3">
        <f t="shared" si="13"/>
        <v>4.3669983006778683E-5</v>
      </c>
      <c r="F35" s="8">
        <v>100</v>
      </c>
      <c r="G35" s="8">
        <v>100</v>
      </c>
      <c r="H35" s="59">
        <v>0</v>
      </c>
      <c r="I35" s="5">
        <v>0</v>
      </c>
      <c r="J35" s="5">
        <v>0</v>
      </c>
      <c r="K35" s="9">
        <v>44514190.369999997</v>
      </c>
      <c r="L35" s="3">
        <f t="shared" si="12"/>
        <v>4.3669983006778683E-5</v>
      </c>
      <c r="M35" s="8">
        <v>100</v>
      </c>
      <c r="N35" s="8">
        <v>100</v>
      </c>
      <c r="O35" s="59">
        <v>0</v>
      </c>
      <c r="P35" s="5">
        <v>0</v>
      </c>
      <c r="Q35" s="5">
        <v>0</v>
      </c>
      <c r="R35" s="79">
        <f t="shared" si="14"/>
        <v>0</v>
      </c>
      <c r="S35" s="79">
        <f t="shared" si="15"/>
        <v>0</v>
      </c>
      <c r="T35" s="79" t="e">
        <f t="shared" si="16"/>
        <v>#DIV/0!</v>
      </c>
      <c r="U35" s="80">
        <f t="shared" si="17"/>
        <v>0</v>
      </c>
      <c r="V35" s="82">
        <f t="shared" si="18"/>
        <v>0</v>
      </c>
    </row>
    <row r="36" spans="1:22">
      <c r="A36" s="74">
        <v>28</v>
      </c>
      <c r="B36" s="135" t="s">
        <v>61</v>
      </c>
      <c r="C36" s="136" t="s">
        <v>62</v>
      </c>
      <c r="D36" s="9">
        <v>5352265771.3900003</v>
      </c>
      <c r="E36" s="3">
        <f t="shared" si="13"/>
        <v>5.2507605629032702E-3</v>
      </c>
      <c r="F36" s="8">
        <v>1</v>
      </c>
      <c r="G36" s="8">
        <v>1</v>
      </c>
      <c r="H36" s="59">
        <v>2329</v>
      </c>
      <c r="I36" s="5">
        <v>0.13619999999999999</v>
      </c>
      <c r="J36" s="5">
        <v>0.13619999999999999</v>
      </c>
      <c r="K36" s="9">
        <v>5409136671.5799999</v>
      </c>
      <c r="L36" s="3">
        <f t="shared" si="12"/>
        <v>5.3065529119100544E-3</v>
      </c>
      <c r="M36" s="8">
        <v>1</v>
      </c>
      <c r="N36" s="8">
        <v>1</v>
      </c>
      <c r="O36" s="59">
        <v>2335</v>
      </c>
      <c r="P36" s="5">
        <v>0.1741</v>
      </c>
      <c r="Q36" s="5">
        <v>0.1741</v>
      </c>
      <c r="R36" s="79">
        <f t="shared" si="14"/>
        <v>1.0625574778815594E-2</v>
      </c>
      <c r="S36" s="79">
        <f t="shared" si="15"/>
        <v>0</v>
      </c>
      <c r="T36" s="79">
        <f t="shared" si="16"/>
        <v>2.5762129669386004E-3</v>
      </c>
      <c r="U36" s="80">
        <f t="shared" si="17"/>
        <v>3.7900000000000017E-2</v>
      </c>
      <c r="V36" s="82">
        <f t="shared" si="18"/>
        <v>3.7900000000000017E-2</v>
      </c>
    </row>
    <row r="37" spans="1:22">
      <c r="A37" s="74">
        <v>29</v>
      </c>
      <c r="B37" s="135" t="s">
        <v>63</v>
      </c>
      <c r="C37" s="136" t="s">
        <v>64</v>
      </c>
      <c r="D37" s="9">
        <v>13897295139.030001</v>
      </c>
      <c r="E37" s="3">
        <f t="shared" si="13"/>
        <v>1.3633734265795838E-2</v>
      </c>
      <c r="F37" s="11">
        <v>100</v>
      </c>
      <c r="G37" s="11">
        <v>100</v>
      </c>
      <c r="H37" s="59">
        <v>2693</v>
      </c>
      <c r="I37" s="5">
        <v>0.15959999999999999</v>
      </c>
      <c r="J37" s="5">
        <v>0.15959999999999999</v>
      </c>
      <c r="K37" s="9">
        <v>14226311068.91</v>
      </c>
      <c r="L37" s="3">
        <f t="shared" si="12"/>
        <v>1.3956510440031333E-2</v>
      </c>
      <c r="M37" s="11">
        <v>100</v>
      </c>
      <c r="N37" s="11">
        <v>100</v>
      </c>
      <c r="O37" s="59">
        <v>2758</v>
      </c>
      <c r="P37" s="5">
        <v>0.16439999999999999</v>
      </c>
      <c r="Q37" s="5">
        <v>0.16439999999999999</v>
      </c>
      <c r="R37" s="79">
        <f t="shared" si="14"/>
        <v>2.3674817767665522E-2</v>
      </c>
      <c r="S37" s="79">
        <f t="shared" si="15"/>
        <v>0</v>
      </c>
      <c r="T37" s="79">
        <f t="shared" si="16"/>
        <v>2.4136650575566285E-2</v>
      </c>
      <c r="U37" s="80">
        <f t="shared" si="17"/>
        <v>4.7999999999999987E-3</v>
      </c>
      <c r="V37" s="82">
        <f t="shared" si="18"/>
        <v>4.7999999999999987E-3</v>
      </c>
    </row>
    <row r="38" spans="1:22">
      <c r="A38" s="74">
        <v>30</v>
      </c>
      <c r="B38" s="135" t="s">
        <v>65</v>
      </c>
      <c r="C38" s="136" t="s">
        <v>64</v>
      </c>
      <c r="D38" s="9">
        <v>530423350.06</v>
      </c>
      <c r="E38" s="3">
        <f t="shared" si="13"/>
        <v>5.2036392195352018E-4</v>
      </c>
      <c r="F38" s="11">
        <v>1000000</v>
      </c>
      <c r="G38" s="11">
        <v>1000000</v>
      </c>
      <c r="H38" s="59">
        <v>3</v>
      </c>
      <c r="I38" s="5">
        <v>0.15609999999999999</v>
      </c>
      <c r="J38" s="5">
        <v>0.15609999999999999</v>
      </c>
      <c r="K38" s="9">
        <v>531953731.32999998</v>
      </c>
      <c r="L38" s="3">
        <f t="shared" si="12"/>
        <v>5.2186527968909376E-4</v>
      </c>
      <c r="M38" s="11">
        <v>1000000</v>
      </c>
      <c r="N38" s="11">
        <v>1000000</v>
      </c>
      <c r="O38" s="59">
        <v>3</v>
      </c>
      <c r="P38" s="5">
        <v>0.15609999999999999</v>
      </c>
      <c r="Q38" s="5">
        <v>0.15609999999999999</v>
      </c>
      <c r="R38" s="79">
        <f t="shared" si="14"/>
        <v>2.8852072025616301E-3</v>
      </c>
      <c r="S38" s="79">
        <f t="shared" si="15"/>
        <v>0</v>
      </c>
      <c r="T38" s="79">
        <f t="shared" si="16"/>
        <v>0</v>
      </c>
      <c r="U38" s="80">
        <f t="shared" si="17"/>
        <v>0</v>
      </c>
      <c r="V38" s="82">
        <f t="shared" si="18"/>
        <v>0</v>
      </c>
    </row>
    <row r="39" spans="1:22">
      <c r="A39" s="74">
        <v>31</v>
      </c>
      <c r="B39" s="135" t="s">
        <v>66</v>
      </c>
      <c r="C39" s="136" t="s">
        <v>67</v>
      </c>
      <c r="D39" s="9">
        <v>3312828955.5500002</v>
      </c>
      <c r="E39" s="3">
        <f t="shared" si="13"/>
        <v>3.2500014712327089E-3</v>
      </c>
      <c r="F39" s="8">
        <v>1</v>
      </c>
      <c r="G39" s="8">
        <v>1</v>
      </c>
      <c r="H39" s="59">
        <v>532</v>
      </c>
      <c r="I39" s="5">
        <v>0.20960000000000001</v>
      </c>
      <c r="J39" s="5">
        <v>0.20960000000000001</v>
      </c>
      <c r="K39" s="9">
        <v>3309118051.46</v>
      </c>
      <c r="L39" s="3">
        <f t="shared" si="12"/>
        <v>3.2463609440838807E-3</v>
      </c>
      <c r="M39" s="8">
        <v>1</v>
      </c>
      <c r="N39" s="8">
        <v>1</v>
      </c>
      <c r="O39" s="59">
        <v>542</v>
      </c>
      <c r="P39" s="5">
        <v>0.192</v>
      </c>
      <c r="Q39" s="5">
        <v>0.192</v>
      </c>
      <c r="R39" s="79">
        <f t="shared" si="14"/>
        <v>-1.1201616925568267E-3</v>
      </c>
      <c r="S39" s="79">
        <f t="shared" si="15"/>
        <v>0</v>
      </c>
      <c r="T39" s="79">
        <f t="shared" si="16"/>
        <v>1.8796992481203006E-2</v>
      </c>
      <c r="U39" s="80">
        <f t="shared" si="17"/>
        <v>-1.7600000000000005E-2</v>
      </c>
      <c r="V39" s="82">
        <f t="shared" si="18"/>
        <v>-1.7600000000000005E-2</v>
      </c>
    </row>
    <row r="40" spans="1:22">
      <c r="A40" s="74">
        <v>32</v>
      </c>
      <c r="B40" s="135" t="s">
        <v>68</v>
      </c>
      <c r="C40" s="136" t="s">
        <v>27</v>
      </c>
      <c r="D40" s="9">
        <v>220548939522.42999</v>
      </c>
      <c r="E40" s="3">
        <f t="shared" si="13"/>
        <v>0.21636624997673923</v>
      </c>
      <c r="F40" s="8">
        <v>100</v>
      </c>
      <c r="G40" s="8">
        <v>100</v>
      </c>
      <c r="H40" s="59">
        <v>15194</v>
      </c>
      <c r="I40" s="5">
        <v>0.2006</v>
      </c>
      <c r="J40" s="5">
        <v>0.2006</v>
      </c>
      <c r="K40" s="9">
        <v>222902693503.06</v>
      </c>
      <c r="L40" s="3">
        <f t="shared" si="12"/>
        <v>0.21867536523822947</v>
      </c>
      <c r="M40" s="8">
        <v>100</v>
      </c>
      <c r="N40" s="8">
        <v>100</v>
      </c>
      <c r="O40" s="59">
        <v>15296</v>
      </c>
      <c r="P40" s="5">
        <v>0.20610000000000001</v>
      </c>
      <c r="Q40" s="5">
        <v>0.20610000000000001</v>
      </c>
      <c r="R40" s="79">
        <f t="shared" si="14"/>
        <v>1.0672252542799583E-2</v>
      </c>
      <c r="S40" s="79">
        <f t="shared" si="15"/>
        <v>0</v>
      </c>
      <c r="T40" s="79">
        <f t="shared" si="16"/>
        <v>6.7131762537843889E-3</v>
      </c>
      <c r="U40" s="80">
        <f t="shared" si="17"/>
        <v>5.5000000000000049E-3</v>
      </c>
      <c r="V40" s="82">
        <f t="shared" si="18"/>
        <v>5.5000000000000049E-3</v>
      </c>
    </row>
    <row r="41" spans="1:22">
      <c r="A41" s="74">
        <v>33</v>
      </c>
      <c r="B41" s="135" t="s">
        <v>69</v>
      </c>
      <c r="C41" s="136" t="s">
        <v>70</v>
      </c>
      <c r="D41" s="9">
        <v>573620900.01999998</v>
      </c>
      <c r="E41" s="3">
        <f t="shared" si="13"/>
        <v>5.6274223450975675E-4</v>
      </c>
      <c r="F41" s="8">
        <v>1</v>
      </c>
      <c r="G41" s="8">
        <v>1</v>
      </c>
      <c r="H41" s="60">
        <v>536</v>
      </c>
      <c r="I41" s="12">
        <v>0.15040000000000001</v>
      </c>
      <c r="J41" s="12">
        <v>0.15040000000000001</v>
      </c>
      <c r="K41" s="9">
        <v>582152058.65999997</v>
      </c>
      <c r="L41" s="3">
        <f t="shared" si="12"/>
        <v>5.7111160054203246E-4</v>
      </c>
      <c r="M41" s="8">
        <v>1</v>
      </c>
      <c r="N41" s="8">
        <v>1</v>
      </c>
      <c r="O41" s="60">
        <v>539</v>
      </c>
      <c r="P41" s="12">
        <v>0.16089999999999999</v>
      </c>
      <c r="Q41" s="12">
        <v>0.16089999999999999</v>
      </c>
      <c r="R41" s="79">
        <f t="shared" si="14"/>
        <v>1.4872468279490054E-2</v>
      </c>
      <c r="S41" s="79">
        <f t="shared" si="15"/>
        <v>0</v>
      </c>
      <c r="T41" s="79">
        <f t="shared" si="16"/>
        <v>5.597014925373134E-3</v>
      </c>
      <c r="U41" s="80">
        <f t="shared" si="17"/>
        <v>1.0499999999999982E-2</v>
      </c>
      <c r="V41" s="82">
        <f t="shared" si="18"/>
        <v>1.0499999999999982E-2</v>
      </c>
    </row>
    <row r="42" spans="1:22">
      <c r="A42" s="74">
        <v>34</v>
      </c>
      <c r="B42" s="135" t="s">
        <v>71</v>
      </c>
      <c r="C42" s="136" t="s">
        <v>72</v>
      </c>
      <c r="D42" s="9">
        <v>639335895</v>
      </c>
      <c r="E42" s="3">
        <f t="shared" si="13"/>
        <v>6.2721095089466055E-4</v>
      </c>
      <c r="F42" s="8">
        <v>10</v>
      </c>
      <c r="G42" s="8">
        <v>10</v>
      </c>
      <c r="H42" s="59">
        <v>357</v>
      </c>
      <c r="I42" s="5">
        <v>3.0000000000000001E-3</v>
      </c>
      <c r="J42" s="5">
        <v>5.2900000000000003E-2</v>
      </c>
      <c r="K42" s="9">
        <v>658302310.47000003</v>
      </c>
      <c r="L42" s="3">
        <f t="shared" si="12"/>
        <v>6.4581767010913845E-4</v>
      </c>
      <c r="M42" s="8">
        <v>10</v>
      </c>
      <c r="N42" s="8">
        <v>10</v>
      </c>
      <c r="O42" s="59">
        <v>357</v>
      </c>
      <c r="P42" s="5">
        <v>0.11650000000000001</v>
      </c>
      <c r="Q42" s="5">
        <v>0.11650000000000001</v>
      </c>
      <c r="R42" s="79">
        <f t="shared" si="14"/>
        <v>2.9665807314009841E-2</v>
      </c>
      <c r="S42" s="79">
        <f t="shared" si="15"/>
        <v>0</v>
      </c>
      <c r="T42" s="79">
        <f t="shared" si="16"/>
        <v>0</v>
      </c>
      <c r="U42" s="80">
        <f t="shared" si="17"/>
        <v>0.1135</v>
      </c>
      <c r="V42" s="82">
        <f t="shared" si="18"/>
        <v>6.3600000000000004E-2</v>
      </c>
    </row>
    <row r="43" spans="1:22">
      <c r="A43" s="74">
        <v>35</v>
      </c>
      <c r="B43" s="135" t="s">
        <v>73</v>
      </c>
      <c r="C43" s="136" t="s">
        <v>74</v>
      </c>
      <c r="D43" s="9">
        <v>3122835954.4000001</v>
      </c>
      <c r="E43" s="3">
        <f t="shared" si="13"/>
        <v>3.063611669179405E-3</v>
      </c>
      <c r="F43" s="8">
        <v>100</v>
      </c>
      <c r="G43" s="8">
        <v>100</v>
      </c>
      <c r="H43" s="59">
        <v>679</v>
      </c>
      <c r="I43" s="5">
        <v>0.17169999999999999</v>
      </c>
      <c r="J43" s="5">
        <v>0.17169999999999999</v>
      </c>
      <c r="K43" s="9">
        <v>3214856426.4200001</v>
      </c>
      <c r="L43" s="3">
        <f t="shared" si="12"/>
        <v>3.1538869817479879E-3</v>
      </c>
      <c r="M43" s="8">
        <v>100</v>
      </c>
      <c r="N43" s="8">
        <v>100</v>
      </c>
      <c r="O43" s="59">
        <v>679</v>
      </c>
      <c r="P43" s="5">
        <v>0.17369999999999999</v>
      </c>
      <c r="Q43" s="5">
        <v>0.17369999999999999</v>
      </c>
      <c r="R43" s="79">
        <f t="shared" si="14"/>
        <v>2.9466956754595246E-2</v>
      </c>
      <c r="S43" s="79">
        <f t="shared" si="15"/>
        <v>0</v>
      </c>
      <c r="T43" s="79">
        <f t="shared" si="16"/>
        <v>0</v>
      </c>
      <c r="U43" s="80">
        <f t="shared" si="17"/>
        <v>2.0000000000000018E-3</v>
      </c>
      <c r="V43" s="82">
        <f t="shared" si="18"/>
        <v>2.0000000000000018E-3</v>
      </c>
    </row>
    <row r="44" spans="1:22" ht="15.75" customHeight="1">
      <c r="A44" s="74">
        <v>36</v>
      </c>
      <c r="B44" s="135" t="s">
        <v>239</v>
      </c>
      <c r="C44" s="136" t="s">
        <v>32</v>
      </c>
      <c r="D44" s="9">
        <v>23441948249.313</v>
      </c>
      <c r="E44" s="3">
        <f t="shared" si="13"/>
        <v>2.2997373942651899E-2</v>
      </c>
      <c r="F44" s="8">
        <v>1</v>
      </c>
      <c r="G44" s="8">
        <v>1</v>
      </c>
      <c r="H44" s="59">
        <v>12081</v>
      </c>
      <c r="I44" s="5">
        <v>0.18143936491410209</v>
      </c>
      <c r="J44" s="5">
        <v>0.18143936491410209</v>
      </c>
      <c r="K44" s="9">
        <v>24228967553.650002</v>
      </c>
      <c r="L44" s="3">
        <f t="shared" si="12"/>
        <v>2.3769467501149291E-2</v>
      </c>
      <c r="M44" s="8">
        <v>1</v>
      </c>
      <c r="N44" s="8">
        <v>1</v>
      </c>
      <c r="O44" s="59">
        <v>11332</v>
      </c>
      <c r="P44" s="5">
        <v>0.19397723</v>
      </c>
      <c r="Q44" s="5">
        <v>0.19397723</v>
      </c>
      <c r="R44" s="79">
        <f t="shared" si="14"/>
        <v>3.3573118410073557E-2</v>
      </c>
      <c r="S44" s="79">
        <f t="shared" si="15"/>
        <v>0</v>
      </c>
      <c r="T44" s="79">
        <f t="shared" si="16"/>
        <v>-6.1998178958695471E-2</v>
      </c>
      <c r="U44" s="80">
        <f t="shared" si="17"/>
        <v>1.2537865085897909E-2</v>
      </c>
      <c r="V44" s="82">
        <f t="shared" si="18"/>
        <v>1.2537865085897909E-2</v>
      </c>
    </row>
    <row r="45" spans="1:22">
      <c r="A45" s="74">
        <v>37</v>
      </c>
      <c r="B45" s="135" t="s">
        <v>75</v>
      </c>
      <c r="C45" s="136" t="s">
        <v>34</v>
      </c>
      <c r="D45" s="9">
        <v>3513513281.3299999</v>
      </c>
      <c r="E45" s="3">
        <f t="shared" si="13"/>
        <v>3.4468798379668768E-3</v>
      </c>
      <c r="F45" s="8">
        <v>1</v>
      </c>
      <c r="G45" s="8">
        <v>1</v>
      </c>
      <c r="H45" s="59">
        <v>918</v>
      </c>
      <c r="I45" s="5">
        <v>0.14779999999999999</v>
      </c>
      <c r="J45" s="5">
        <v>0.14779999999999999</v>
      </c>
      <c r="K45" s="9">
        <v>3626373692.3200002</v>
      </c>
      <c r="L45" s="3">
        <f t="shared" si="12"/>
        <v>3.557599862055936E-3</v>
      </c>
      <c r="M45" s="8">
        <v>1</v>
      </c>
      <c r="N45" s="8">
        <v>1</v>
      </c>
      <c r="O45" s="59">
        <v>921</v>
      </c>
      <c r="P45" s="5">
        <v>0.15310000000000001</v>
      </c>
      <c r="Q45" s="5">
        <v>0.15310000000000001</v>
      </c>
      <c r="R45" s="79">
        <f t="shared" si="14"/>
        <v>3.2121811404474968E-2</v>
      </c>
      <c r="S45" s="79">
        <f t="shared" si="15"/>
        <v>0</v>
      </c>
      <c r="T45" s="79">
        <f t="shared" si="16"/>
        <v>3.2679738562091504E-3</v>
      </c>
      <c r="U45" s="80">
        <f t="shared" si="17"/>
        <v>5.3000000000000269E-3</v>
      </c>
      <c r="V45" s="82">
        <f t="shared" si="18"/>
        <v>5.3000000000000269E-3</v>
      </c>
    </row>
    <row r="46" spans="1:22">
      <c r="A46" s="74">
        <v>38</v>
      </c>
      <c r="B46" s="135" t="s">
        <v>76</v>
      </c>
      <c r="C46" s="136" t="s">
        <v>36</v>
      </c>
      <c r="D46" s="13">
        <v>4524033136.7700005</v>
      </c>
      <c r="E46" s="3">
        <f t="shared" si="13"/>
        <v>4.4382352809902307E-3</v>
      </c>
      <c r="F46" s="8">
        <v>10</v>
      </c>
      <c r="G46" s="8">
        <v>10</v>
      </c>
      <c r="H46" s="59">
        <v>2085</v>
      </c>
      <c r="I46" s="5">
        <v>0.20330000000000001</v>
      </c>
      <c r="J46" s="5">
        <v>0.20330000000000001</v>
      </c>
      <c r="K46" s="13">
        <v>4677054368.4000006</v>
      </c>
      <c r="L46" s="3">
        <f t="shared" si="12"/>
        <v>4.5883544795966603E-3</v>
      </c>
      <c r="M46" s="8">
        <v>10</v>
      </c>
      <c r="N46" s="8">
        <v>10</v>
      </c>
      <c r="O46" s="59">
        <v>2122</v>
      </c>
      <c r="P46" s="5">
        <v>0.20330000000000001</v>
      </c>
      <c r="Q46" s="5">
        <v>0.20330000000000001</v>
      </c>
      <c r="R46" s="79">
        <f t="shared" si="14"/>
        <v>3.3824074007391521E-2</v>
      </c>
      <c r="S46" s="79">
        <f t="shared" si="15"/>
        <v>0</v>
      </c>
      <c r="T46" s="79">
        <f t="shared" si="16"/>
        <v>1.7745803357314148E-2</v>
      </c>
      <c r="U46" s="80">
        <f t="shared" si="17"/>
        <v>0</v>
      </c>
      <c r="V46" s="82">
        <f t="shared" si="18"/>
        <v>0</v>
      </c>
    </row>
    <row r="47" spans="1:22">
      <c r="A47" s="74">
        <v>39</v>
      </c>
      <c r="B47" s="135" t="s">
        <v>77</v>
      </c>
      <c r="C47" s="136" t="s">
        <v>78</v>
      </c>
      <c r="D47" s="9">
        <v>4930200616.8000002</v>
      </c>
      <c r="E47" s="3">
        <f t="shared" si="13"/>
        <v>4.8366998336055733E-3</v>
      </c>
      <c r="F47" s="8">
        <v>100</v>
      </c>
      <c r="G47" s="8">
        <v>100</v>
      </c>
      <c r="H47" s="59">
        <v>2291</v>
      </c>
      <c r="I47" s="5">
        <v>0.2001</v>
      </c>
      <c r="J47" s="5">
        <v>0.2001</v>
      </c>
      <c r="K47" s="9">
        <v>5143089779.3699999</v>
      </c>
      <c r="L47" s="3">
        <f t="shared" si="12"/>
        <v>5.0455515735672368E-3</v>
      </c>
      <c r="M47" s="8">
        <v>100</v>
      </c>
      <c r="N47" s="8">
        <v>100</v>
      </c>
      <c r="O47" s="59">
        <v>2316</v>
      </c>
      <c r="P47" s="5">
        <v>0.1958</v>
      </c>
      <c r="Q47" s="5">
        <v>0.1958</v>
      </c>
      <c r="R47" s="79">
        <f t="shared" si="14"/>
        <v>4.3180628764794102E-2</v>
      </c>
      <c r="S47" s="79">
        <f t="shared" si="15"/>
        <v>0</v>
      </c>
      <c r="T47" s="79">
        <f t="shared" si="16"/>
        <v>1.0912265386294195E-2</v>
      </c>
      <c r="U47" s="80">
        <f t="shared" si="17"/>
        <v>-4.2999999999999983E-3</v>
      </c>
      <c r="V47" s="82">
        <f t="shared" si="18"/>
        <v>-4.2999999999999983E-3</v>
      </c>
    </row>
    <row r="48" spans="1:22">
      <c r="A48" s="74">
        <v>40</v>
      </c>
      <c r="B48" s="135" t="s">
        <v>79</v>
      </c>
      <c r="C48" s="136" t="s">
        <v>80</v>
      </c>
      <c r="D48" s="9">
        <v>156435683.66</v>
      </c>
      <c r="E48" s="3">
        <f t="shared" si="13"/>
        <v>1.5346889588022412E-4</v>
      </c>
      <c r="F48" s="8">
        <v>1</v>
      </c>
      <c r="G48" s="8">
        <v>1</v>
      </c>
      <c r="H48" s="59">
        <v>72</v>
      </c>
      <c r="I48" s="5">
        <v>0.16569999999999999</v>
      </c>
      <c r="J48" s="5">
        <v>0.16569999999999999</v>
      </c>
      <c r="K48" s="9">
        <v>156656683.71000001</v>
      </c>
      <c r="L48" s="3">
        <f t="shared" si="12"/>
        <v>1.536857046854114E-4</v>
      </c>
      <c r="M48" s="8">
        <v>1</v>
      </c>
      <c r="N48" s="8">
        <v>1</v>
      </c>
      <c r="O48" s="59">
        <v>72</v>
      </c>
      <c r="P48" s="5">
        <v>0.16550000000000001</v>
      </c>
      <c r="Q48" s="5">
        <v>0.16550000000000001</v>
      </c>
      <c r="R48" s="79">
        <f t="shared" si="14"/>
        <v>1.4127214765164273E-3</v>
      </c>
      <c r="S48" s="79">
        <f t="shared" si="15"/>
        <v>0</v>
      </c>
      <c r="T48" s="79">
        <f t="shared" si="16"/>
        <v>0</v>
      </c>
      <c r="U48" s="80">
        <f t="shared" si="17"/>
        <v>-1.9999999999997797E-4</v>
      </c>
      <c r="V48" s="82">
        <f t="shared" si="18"/>
        <v>-1.9999999999997797E-4</v>
      </c>
    </row>
    <row r="49" spans="1:22">
      <c r="A49" s="74">
        <v>41</v>
      </c>
      <c r="B49" s="135" t="s">
        <v>81</v>
      </c>
      <c r="C49" s="136" t="s">
        <v>38</v>
      </c>
      <c r="D49" s="13">
        <v>873745089.62</v>
      </c>
      <c r="E49" s="3">
        <f t="shared" si="13"/>
        <v>8.5717459755657957E-4</v>
      </c>
      <c r="F49" s="8">
        <v>10</v>
      </c>
      <c r="G49" s="8">
        <v>10</v>
      </c>
      <c r="H49" s="59">
        <v>684</v>
      </c>
      <c r="I49" s="5">
        <v>0.11068608100000001</v>
      </c>
      <c r="J49" s="5">
        <v>0.11068608100000001</v>
      </c>
      <c r="K49" s="13">
        <v>600520625.65999997</v>
      </c>
      <c r="L49" s="3">
        <f t="shared" si="12"/>
        <v>5.8913180942556814E-4</v>
      </c>
      <c r="M49" s="8">
        <v>10</v>
      </c>
      <c r="N49" s="8">
        <v>10</v>
      </c>
      <c r="O49" s="59">
        <v>696</v>
      </c>
      <c r="P49" s="5">
        <v>0.1547</v>
      </c>
      <c r="Q49" s="5">
        <v>0.1547</v>
      </c>
      <c r="R49" s="79">
        <f t="shared" si="14"/>
        <v>-0.31270500653551936</v>
      </c>
      <c r="S49" s="79">
        <f t="shared" si="15"/>
        <v>0</v>
      </c>
      <c r="T49" s="79">
        <f t="shared" si="16"/>
        <v>1.7543859649122806E-2</v>
      </c>
      <c r="U49" s="80">
        <f t="shared" si="17"/>
        <v>4.4013918999999999E-2</v>
      </c>
      <c r="V49" s="82">
        <f t="shared" si="18"/>
        <v>4.4013918999999999E-2</v>
      </c>
    </row>
    <row r="50" spans="1:22">
      <c r="A50" s="74">
        <v>42</v>
      </c>
      <c r="B50" s="135" t="s">
        <v>247</v>
      </c>
      <c r="C50" s="136" t="s">
        <v>248</v>
      </c>
      <c r="D50" s="13">
        <v>595784952.99000001</v>
      </c>
      <c r="E50" s="3">
        <f t="shared" si="13"/>
        <v>5.8448594833485545E-4</v>
      </c>
      <c r="F50" s="8">
        <v>1</v>
      </c>
      <c r="G50" s="8">
        <v>1</v>
      </c>
      <c r="H50" s="59">
        <v>44</v>
      </c>
      <c r="I50" s="5">
        <v>0.19220000000000001</v>
      </c>
      <c r="J50" s="5">
        <v>0.19220000000000001</v>
      </c>
      <c r="K50" s="13">
        <v>595511816.77999997</v>
      </c>
      <c r="L50" s="3">
        <f t="shared" si="12"/>
        <v>5.8421799212695648E-4</v>
      </c>
      <c r="M50" s="8">
        <v>1</v>
      </c>
      <c r="N50" s="8">
        <v>1</v>
      </c>
      <c r="O50" s="59">
        <v>44</v>
      </c>
      <c r="P50" s="5">
        <v>0.19450000000000001</v>
      </c>
      <c r="Q50" s="5">
        <v>0.19450000000000001</v>
      </c>
      <c r="R50" s="79">
        <f t="shared" si="14"/>
        <v>-4.5844764730844525E-4</v>
      </c>
      <c r="S50" s="79">
        <f t="shared" si="15"/>
        <v>0</v>
      </c>
      <c r="T50" s="79">
        <f t="shared" si="16"/>
        <v>0</v>
      </c>
      <c r="U50" s="80">
        <f t="shared" si="17"/>
        <v>2.2999999999999965E-3</v>
      </c>
      <c r="V50" s="82">
        <f t="shared" si="18"/>
        <v>2.2999999999999965E-3</v>
      </c>
    </row>
    <row r="51" spans="1:22">
      <c r="A51" s="74">
        <v>43</v>
      </c>
      <c r="B51" s="135" t="s">
        <v>282</v>
      </c>
      <c r="C51" s="136" t="s">
        <v>108</v>
      </c>
      <c r="D51" s="13">
        <v>0</v>
      </c>
      <c r="E51" s="3">
        <f t="shared" si="13"/>
        <v>0</v>
      </c>
      <c r="F51" s="8">
        <v>0</v>
      </c>
      <c r="G51" s="8">
        <v>0</v>
      </c>
      <c r="H51" s="59">
        <v>0</v>
      </c>
      <c r="I51" s="5">
        <v>0</v>
      </c>
      <c r="J51" s="5">
        <v>0</v>
      </c>
      <c r="K51" s="13">
        <v>49415970.780000001</v>
      </c>
      <c r="L51" s="3">
        <f t="shared" si="12"/>
        <v>4.8478801620088233E-5</v>
      </c>
      <c r="M51" s="8">
        <v>1000</v>
      </c>
      <c r="N51" s="8">
        <v>1000</v>
      </c>
      <c r="O51" s="59">
        <v>1</v>
      </c>
      <c r="P51" s="5">
        <v>0</v>
      </c>
      <c r="Q51" s="5">
        <v>0.24099999999999999</v>
      </c>
      <c r="R51" s="79" t="e">
        <f t="shared" si="14"/>
        <v>#DIV/0!</v>
      </c>
      <c r="S51" s="79" t="e">
        <f t="shared" si="15"/>
        <v>#DIV/0!</v>
      </c>
      <c r="T51" s="79" t="e">
        <f t="shared" si="16"/>
        <v>#DIV/0!</v>
      </c>
      <c r="U51" s="80">
        <f t="shared" si="17"/>
        <v>0</v>
      </c>
      <c r="V51" s="82">
        <f t="shared" si="18"/>
        <v>0.24099999999999999</v>
      </c>
    </row>
    <row r="52" spans="1:22">
      <c r="A52" s="74">
        <v>44</v>
      </c>
      <c r="B52" s="135" t="s">
        <v>82</v>
      </c>
      <c r="C52" s="136" t="s">
        <v>42</v>
      </c>
      <c r="D52" s="9">
        <v>461335416566</v>
      </c>
      <c r="E52" s="3">
        <f t="shared" si="13"/>
        <v>0.45258623451096108</v>
      </c>
      <c r="F52" s="8">
        <v>100</v>
      </c>
      <c r="G52" s="8">
        <v>100</v>
      </c>
      <c r="H52" s="59">
        <v>122128</v>
      </c>
      <c r="I52" s="5">
        <v>0.19189999999999999</v>
      </c>
      <c r="J52" s="5">
        <v>0.19189999999999999</v>
      </c>
      <c r="K52" s="9">
        <v>469676988249</v>
      </c>
      <c r="L52" s="3">
        <f t="shared" si="12"/>
        <v>0.46076960908474501</v>
      </c>
      <c r="M52" s="8">
        <v>100</v>
      </c>
      <c r="N52" s="8">
        <v>100</v>
      </c>
      <c r="O52" s="59">
        <v>122896</v>
      </c>
      <c r="P52" s="5">
        <v>0.1971</v>
      </c>
      <c r="Q52" s="5">
        <v>0.1971</v>
      </c>
      <c r="R52" s="79">
        <f t="shared" si="14"/>
        <v>1.8081359859798734E-2</v>
      </c>
      <c r="S52" s="79">
        <f t="shared" si="15"/>
        <v>0</v>
      </c>
      <c r="T52" s="79">
        <f t="shared" si="16"/>
        <v>6.2884842132844227E-3</v>
      </c>
      <c r="U52" s="80">
        <f t="shared" si="17"/>
        <v>5.2000000000000102E-3</v>
      </c>
      <c r="V52" s="82">
        <f t="shared" si="18"/>
        <v>5.2000000000000102E-3</v>
      </c>
    </row>
    <row r="53" spans="1:22">
      <c r="A53" s="74">
        <v>45</v>
      </c>
      <c r="B53" s="135" t="s">
        <v>275</v>
      </c>
      <c r="C53" s="135" t="s">
        <v>274</v>
      </c>
      <c r="D53" s="9">
        <v>0</v>
      </c>
      <c r="E53" s="3">
        <f t="shared" si="13"/>
        <v>0</v>
      </c>
      <c r="F53" s="8">
        <v>0</v>
      </c>
      <c r="G53" s="8">
        <v>0</v>
      </c>
      <c r="H53" s="59">
        <v>0</v>
      </c>
      <c r="I53" s="5">
        <v>0</v>
      </c>
      <c r="J53" s="5">
        <v>0</v>
      </c>
      <c r="K53" s="9">
        <v>158732131.41</v>
      </c>
      <c r="L53" s="3">
        <f t="shared" si="12"/>
        <v>1.5572179171826776E-4</v>
      </c>
      <c r="M53" s="8">
        <v>100</v>
      </c>
      <c r="N53" s="8">
        <v>100</v>
      </c>
      <c r="O53" s="59">
        <v>36</v>
      </c>
      <c r="P53" s="5">
        <v>0.1812</v>
      </c>
      <c r="Q53" s="5">
        <v>0.1812</v>
      </c>
      <c r="R53" s="79" t="e">
        <f t="shared" si="14"/>
        <v>#DIV/0!</v>
      </c>
      <c r="S53" s="79" t="e">
        <f t="shared" si="15"/>
        <v>#DIV/0!</v>
      </c>
      <c r="T53" s="79" t="e">
        <f t="shared" si="16"/>
        <v>#DIV/0!</v>
      </c>
      <c r="U53" s="80">
        <f t="shared" si="17"/>
        <v>0.1812</v>
      </c>
      <c r="V53" s="82">
        <f t="shared" si="18"/>
        <v>0.1812</v>
      </c>
    </row>
    <row r="54" spans="1:22">
      <c r="A54" s="74">
        <v>46</v>
      </c>
      <c r="B54" s="135" t="s">
        <v>83</v>
      </c>
      <c r="C54" s="136" t="s">
        <v>84</v>
      </c>
      <c r="D54" s="9">
        <v>3280995937.3000002</v>
      </c>
      <c r="E54" s="3">
        <f t="shared" si="13"/>
        <v>3.2187721631294474E-3</v>
      </c>
      <c r="F54" s="8">
        <v>1</v>
      </c>
      <c r="G54" s="8">
        <v>1</v>
      </c>
      <c r="H54" s="59">
        <v>346</v>
      </c>
      <c r="I54" s="5">
        <v>0.19649800000000001</v>
      </c>
      <c r="J54" s="5">
        <v>0.19649800000000001</v>
      </c>
      <c r="K54" s="9">
        <v>3350847713.4400001</v>
      </c>
      <c r="L54" s="3">
        <f t="shared" si="12"/>
        <v>3.2872992070152756E-3</v>
      </c>
      <c r="M54" s="8">
        <v>1</v>
      </c>
      <c r="N54" s="8">
        <v>1</v>
      </c>
      <c r="O54" s="59">
        <v>353</v>
      </c>
      <c r="P54" s="5">
        <v>0.190052</v>
      </c>
      <c r="Q54" s="5">
        <v>0.190052</v>
      </c>
      <c r="R54" s="79">
        <f t="shared" si="14"/>
        <v>2.1289808788206653E-2</v>
      </c>
      <c r="S54" s="79">
        <f t="shared" si="15"/>
        <v>0</v>
      </c>
      <c r="T54" s="79">
        <f t="shared" si="16"/>
        <v>2.023121387283237E-2</v>
      </c>
      <c r="U54" s="80">
        <f t="shared" si="17"/>
        <v>-6.4460000000000073E-3</v>
      </c>
      <c r="V54" s="82">
        <f t="shared" si="18"/>
        <v>-6.4460000000000073E-3</v>
      </c>
    </row>
    <row r="55" spans="1:22">
      <c r="A55" s="74">
        <v>47</v>
      </c>
      <c r="B55" s="135" t="s">
        <v>85</v>
      </c>
      <c r="C55" s="136" t="s">
        <v>45</v>
      </c>
      <c r="D55" s="9">
        <v>38135208770.110001</v>
      </c>
      <c r="E55" s="3">
        <f t="shared" si="13"/>
        <v>3.741197818287223E-2</v>
      </c>
      <c r="F55" s="8">
        <v>1</v>
      </c>
      <c r="G55" s="8">
        <v>1</v>
      </c>
      <c r="H55" s="59">
        <v>23290</v>
      </c>
      <c r="I55" s="5">
        <v>0.17660000000000001</v>
      </c>
      <c r="J55" s="5">
        <v>0.17660000000000001</v>
      </c>
      <c r="K55" s="9">
        <v>33099618732.400002</v>
      </c>
      <c r="L55" s="3">
        <f t="shared" si="12"/>
        <v>3.2471887628645224E-2</v>
      </c>
      <c r="M55" s="8">
        <v>1</v>
      </c>
      <c r="N55" s="8">
        <v>1</v>
      </c>
      <c r="O55" s="59">
        <v>23466</v>
      </c>
      <c r="P55" s="5">
        <v>0.1774</v>
      </c>
      <c r="Q55" s="5">
        <v>0.1774</v>
      </c>
      <c r="R55" s="79">
        <f t="shared" si="14"/>
        <v>-0.13204569215986159</v>
      </c>
      <c r="S55" s="79">
        <f t="shared" si="15"/>
        <v>0</v>
      </c>
      <c r="T55" s="79">
        <f t="shared" si="16"/>
        <v>7.5568913696865605E-3</v>
      </c>
      <c r="U55" s="80">
        <f t="shared" si="17"/>
        <v>7.9999999999999516E-4</v>
      </c>
      <c r="V55" s="82">
        <f t="shared" si="18"/>
        <v>7.9999999999999516E-4</v>
      </c>
    </row>
    <row r="56" spans="1:22">
      <c r="A56" s="74">
        <v>48</v>
      </c>
      <c r="B56" s="135" t="s">
        <v>86</v>
      </c>
      <c r="C56" s="136" t="s">
        <v>87</v>
      </c>
      <c r="D56" s="9">
        <v>1326103415.6300001</v>
      </c>
      <c r="E56" s="3">
        <f t="shared" si="13"/>
        <v>1.3009539911754049E-3</v>
      </c>
      <c r="F56" s="8">
        <v>1</v>
      </c>
      <c r="G56" s="8">
        <v>1</v>
      </c>
      <c r="H56" s="59">
        <v>88</v>
      </c>
      <c r="I56" s="5">
        <v>0.16270000000000001</v>
      </c>
      <c r="J56" s="5">
        <v>0.16270000000000001</v>
      </c>
      <c r="K56" s="9">
        <v>1311118077.73</v>
      </c>
      <c r="L56" s="3">
        <f t="shared" si="12"/>
        <v>1.2862528487755452E-3</v>
      </c>
      <c r="M56" s="8">
        <v>1</v>
      </c>
      <c r="N56" s="8">
        <v>1</v>
      </c>
      <c r="O56" s="59">
        <v>88</v>
      </c>
      <c r="P56" s="5">
        <v>0.16889999999999999</v>
      </c>
      <c r="Q56" s="5">
        <v>0.16889999999999999</v>
      </c>
      <c r="R56" s="79">
        <f t="shared" si="14"/>
        <v>-1.1300278487617738E-2</v>
      </c>
      <c r="S56" s="79">
        <f t="shared" si="15"/>
        <v>0</v>
      </c>
      <c r="T56" s="79">
        <f t="shared" si="16"/>
        <v>0</v>
      </c>
      <c r="U56" s="80">
        <f t="shared" si="17"/>
        <v>6.1999999999999833E-3</v>
      </c>
      <c r="V56" s="82">
        <f t="shared" si="18"/>
        <v>6.1999999999999833E-3</v>
      </c>
    </row>
    <row r="57" spans="1:22">
      <c r="A57" s="74">
        <v>49</v>
      </c>
      <c r="B57" s="135" t="s">
        <v>88</v>
      </c>
      <c r="C57" s="136" t="s">
        <v>89</v>
      </c>
      <c r="D57" s="9">
        <v>1615206625.97</v>
      </c>
      <c r="E57" s="3">
        <f t="shared" si="13"/>
        <v>1.5845743867798946E-3</v>
      </c>
      <c r="F57" s="8">
        <v>1</v>
      </c>
      <c r="G57" s="8">
        <v>1</v>
      </c>
      <c r="H57" s="59">
        <v>239</v>
      </c>
      <c r="I57" s="5">
        <v>0.18110000000000001</v>
      </c>
      <c r="J57" s="5">
        <v>0.1295</v>
      </c>
      <c r="K57" s="9">
        <v>1800702140.21</v>
      </c>
      <c r="L57" s="3">
        <f t="shared" si="12"/>
        <v>1.7665519963323262E-3</v>
      </c>
      <c r="M57" s="8">
        <v>1</v>
      </c>
      <c r="N57" s="8">
        <v>1</v>
      </c>
      <c r="O57" s="59">
        <v>252</v>
      </c>
      <c r="P57" s="5">
        <v>0.18629999999999999</v>
      </c>
      <c r="Q57" s="5">
        <v>0.18629999999999999</v>
      </c>
      <c r="R57" s="79">
        <f t="shared" si="14"/>
        <v>0.11484321030976584</v>
      </c>
      <c r="S57" s="79">
        <f t="shared" si="15"/>
        <v>0</v>
      </c>
      <c r="T57" s="79">
        <f t="shared" si="16"/>
        <v>5.4393305439330547E-2</v>
      </c>
      <c r="U57" s="80">
        <f t="shared" si="17"/>
        <v>5.1999999999999824E-3</v>
      </c>
      <c r="V57" s="82">
        <f t="shared" si="18"/>
        <v>5.6799999999999989E-2</v>
      </c>
    </row>
    <row r="58" spans="1:22">
      <c r="A58" s="74">
        <v>50</v>
      </c>
      <c r="B58" s="135" t="s">
        <v>260</v>
      </c>
      <c r="C58" s="136" t="s">
        <v>261</v>
      </c>
      <c r="D58" s="9">
        <v>695809605.17999995</v>
      </c>
      <c r="E58" s="3">
        <f t="shared" si="13"/>
        <v>6.8261364256199959E-4</v>
      </c>
      <c r="F58" s="8">
        <v>1</v>
      </c>
      <c r="G58" s="8">
        <v>1</v>
      </c>
      <c r="H58" s="59">
        <v>763</v>
      </c>
      <c r="I58" s="5">
        <v>0.18379999999999999</v>
      </c>
      <c r="J58" s="5">
        <v>0.18379999999999999</v>
      </c>
      <c r="K58" s="9">
        <v>751569620.52999997</v>
      </c>
      <c r="L58" s="3">
        <f t="shared" si="12"/>
        <v>7.3731617455353494E-4</v>
      </c>
      <c r="M58" s="8">
        <v>1</v>
      </c>
      <c r="N58" s="8">
        <v>1</v>
      </c>
      <c r="O58" s="59">
        <v>802</v>
      </c>
      <c r="P58" s="5">
        <v>0.16420000000000001</v>
      </c>
      <c r="Q58" s="5">
        <v>0.16420000000000001</v>
      </c>
      <c r="R58" s="79">
        <f t="shared" si="14"/>
        <v>8.0136886491492726E-2</v>
      </c>
      <c r="S58" s="79">
        <f t="shared" si="15"/>
        <v>0</v>
      </c>
      <c r="T58" s="79">
        <f t="shared" si="16"/>
        <v>5.1114023591087812E-2</v>
      </c>
      <c r="U58" s="80">
        <f t="shared" si="17"/>
        <v>-1.9599999999999979E-2</v>
      </c>
      <c r="V58" s="82">
        <f t="shared" si="18"/>
        <v>-1.9599999999999979E-2</v>
      </c>
    </row>
    <row r="59" spans="1:22">
      <c r="A59" s="74">
        <v>51</v>
      </c>
      <c r="B59" s="135" t="s">
        <v>90</v>
      </c>
      <c r="C59" s="136" t="s">
        <v>91</v>
      </c>
      <c r="D59" s="9">
        <v>29189996285.040001</v>
      </c>
      <c r="E59" s="3">
        <f t="shared" si="13"/>
        <v>2.8636410797099932E-2</v>
      </c>
      <c r="F59" s="8">
        <v>1</v>
      </c>
      <c r="G59" s="8">
        <v>1</v>
      </c>
      <c r="H59" s="59">
        <v>3484</v>
      </c>
      <c r="I59" s="5">
        <v>0.1855</v>
      </c>
      <c r="J59" s="5">
        <v>0.1855</v>
      </c>
      <c r="K59" s="9">
        <v>30994963372.639999</v>
      </c>
      <c r="L59" s="3">
        <f t="shared" si="12"/>
        <v>3.0407146856502885E-2</v>
      </c>
      <c r="M59" s="8">
        <v>1</v>
      </c>
      <c r="N59" s="8">
        <v>1</v>
      </c>
      <c r="O59" s="59">
        <v>3511</v>
      </c>
      <c r="P59" s="5">
        <v>0.19350000000000001</v>
      </c>
      <c r="Q59" s="5">
        <v>0.19350000000000001</v>
      </c>
      <c r="R59" s="79">
        <f t="shared" si="14"/>
        <v>6.1835125636006058E-2</v>
      </c>
      <c r="S59" s="79">
        <f t="shared" si="15"/>
        <v>0</v>
      </c>
      <c r="T59" s="79">
        <f t="shared" si="16"/>
        <v>7.749712973593571E-3</v>
      </c>
      <c r="U59" s="80">
        <f t="shared" si="17"/>
        <v>8.0000000000000071E-3</v>
      </c>
      <c r="V59" s="82">
        <f t="shared" si="18"/>
        <v>8.0000000000000071E-3</v>
      </c>
    </row>
    <row r="60" spans="1:22">
      <c r="A60" s="74"/>
      <c r="B60" s="19"/>
      <c r="C60" s="70" t="s">
        <v>46</v>
      </c>
      <c r="D60" s="58">
        <f>SUM(D26:D59)</f>
        <v>1007998796496.6132</v>
      </c>
      <c r="E60" s="99">
        <f>(D60/$D$195)</f>
        <v>0.34735537354901375</v>
      </c>
      <c r="F60" s="30"/>
      <c r="G60" s="11"/>
      <c r="H60" s="64">
        <f>SUM(H26:H59)</f>
        <v>291548</v>
      </c>
      <c r="I60" s="32"/>
      <c r="J60" s="32"/>
      <c r="K60" s="58">
        <f>SUM(K26:K59)</f>
        <v>1019331524884.9598</v>
      </c>
      <c r="L60" s="99">
        <f>(K60/$K$195)</f>
        <v>0.35018007554560576</v>
      </c>
      <c r="M60" s="30"/>
      <c r="N60" s="11"/>
      <c r="O60" s="64">
        <f>SUM(O26:O59)</f>
        <v>292514</v>
      </c>
      <c r="P60" s="32"/>
      <c r="Q60" s="32"/>
      <c r="R60" s="79">
        <f t="shared" si="14"/>
        <v>1.1242799522910697E-2</v>
      </c>
      <c r="S60" s="79" t="e">
        <f t="shared" si="15"/>
        <v>#DIV/0!</v>
      </c>
      <c r="T60" s="79">
        <f t="shared" si="16"/>
        <v>3.3133480593247082E-3</v>
      </c>
      <c r="U60" s="80">
        <f t="shared" si="17"/>
        <v>0</v>
      </c>
      <c r="V60" s="82">
        <f t="shared" si="18"/>
        <v>0</v>
      </c>
    </row>
    <row r="61" spans="1:22" ht="9" customHeight="1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</row>
    <row r="62" spans="1:22" ht="15" customHeight="1">
      <c r="A62" s="155" t="s">
        <v>92</v>
      </c>
      <c r="B62" s="155"/>
      <c r="C62" s="155"/>
      <c r="D62" s="155"/>
      <c r="E62" s="155"/>
      <c r="F62" s="155"/>
      <c r="G62" s="155"/>
      <c r="H62" s="155"/>
      <c r="I62" s="155"/>
      <c r="J62" s="155"/>
      <c r="K62" s="155"/>
      <c r="L62" s="155"/>
      <c r="M62" s="155"/>
      <c r="N62" s="155"/>
      <c r="O62" s="155"/>
      <c r="P62" s="155"/>
      <c r="Q62" s="155"/>
      <c r="R62" s="155"/>
      <c r="S62" s="155"/>
      <c r="T62" s="155"/>
      <c r="U62" s="155"/>
      <c r="V62" s="155"/>
    </row>
    <row r="63" spans="1:22">
      <c r="A63" s="74">
        <v>52</v>
      </c>
      <c r="B63" s="135" t="s">
        <v>93</v>
      </c>
      <c r="C63" s="136" t="s">
        <v>19</v>
      </c>
      <c r="D63" s="2">
        <v>461605390.31999999</v>
      </c>
      <c r="E63" s="3">
        <f>(D63/$D$98)</f>
        <v>1.9302801909350171E-3</v>
      </c>
      <c r="F63" s="14">
        <v>1.2413000000000001</v>
      </c>
      <c r="G63" s="14">
        <v>1.2413000000000001</v>
      </c>
      <c r="H63" s="59">
        <v>415</v>
      </c>
      <c r="I63" s="5">
        <v>4.0299999999999998E-4</v>
      </c>
      <c r="J63" s="5">
        <v>-3.0300000000000001E-2</v>
      </c>
      <c r="K63" s="2">
        <v>462726157.80000001</v>
      </c>
      <c r="L63" s="3">
        <f t="shared" ref="L63:L84" si="19">(K63/$K$98)</f>
        <v>1.9362148132120356E-3</v>
      </c>
      <c r="M63" s="14">
        <v>1.2444999999999999</v>
      </c>
      <c r="N63" s="14">
        <v>1.2444999999999999</v>
      </c>
      <c r="O63" s="59">
        <v>425</v>
      </c>
      <c r="P63" s="5">
        <v>3.2200000000000002E-4</v>
      </c>
      <c r="Q63" s="5">
        <v>-2.7799999999999998E-2</v>
      </c>
      <c r="R63" s="79">
        <f>((K63-D63)/D63)</f>
        <v>2.4279774532595176E-3</v>
      </c>
      <c r="S63" s="79">
        <f>((N63-G63)/G63)</f>
        <v>2.5779424796583176E-3</v>
      </c>
      <c r="T63" s="79">
        <f>((O63-H63)/H63)</f>
        <v>2.4096385542168676E-2</v>
      </c>
      <c r="U63" s="80">
        <f>P63-I63</f>
        <v>-8.0999999999999963E-5</v>
      </c>
      <c r="V63" s="82">
        <f>Q63-J63</f>
        <v>2.5000000000000022E-3</v>
      </c>
    </row>
    <row r="64" spans="1:22">
      <c r="A64" s="74">
        <v>53</v>
      </c>
      <c r="B64" s="135" t="s">
        <v>94</v>
      </c>
      <c r="C64" s="136" t="s">
        <v>21</v>
      </c>
      <c r="D64" s="2">
        <v>1417322051.0799999</v>
      </c>
      <c r="E64" s="3">
        <f>(D64/$D$98)</f>
        <v>5.926769350502052E-3</v>
      </c>
      <c r="F64" s="14">
        <v>1.1417999999999999</v>
      </c>
      <c r="G64" s="14">
        <v>1.1417999999999999</v>
      </c>
      <c r="H64" s="59">
        <v>660</v>
      </c>
      <c r="I64" s="5">
        <v>-3.8199999999999998E-2</v>
      </c>
      <c r="J64" s="5">
        <v>-4.9000000000000002E-2</v>
      </c>
      <c r="K64" s="2">
        <v>1422923598.1300001</v>
      </c>
      <c r="L64" s="3">
        <f t="shared" si="19"/>
        <v>5.9540306989929927E-3</v>
      </c>
      <c r="M64" s="14">
        <v>1.1454</v>
      </c>
      <c r="N64" s="14">
        <v>1.1454</v>
      </c>
      <c r="O64" s="59">
        <v>664</v>
      </c>
      <c r="P64" s="5">
        <v>0.16489999999999999</v>
      </c>
      <c r="Q64" s="5">
        <v>-2.9399999999999999E-2</v>
      </c>
      <c r="R64" s="79">
        <f t="shared" ref="R64:R98" si="20">((K64-D64)/D64)</f>
        <v>3.9522048258063928E-3</v>
      </c>
      <c r="S64" s="79">
        <f t="shared" ref="S64:S98" si="21">((N64-G64)/G64)</f>
        <v>3.1529164477141773E-3</v>
      </c>
      <c r="T64" s="79">
        <f t="shared" ref="T64:T98" si="22">((O64-H64)/H64)</f>
        <v>6.0606060606060606E-3</v>
      </c>
      <c r="U64" s="80">
        <f t="shared" ref="U64:U98" si="23">P64-I64</f>
        <v>0.2031</v>
      </c>
      <c r="V64" s="82">
        <f t="shared" ref="V64:V98" si="24">Q64-J64</f>
        <v>1.9600000000000003E-2</v>
      </c>
    </row>
    <row r="65" spans="1:22">
      <c r="A65" s="74">
        <v>54</v>
      </c>
      <c r="B65" s="135" t="s">
        <v>95</v>
      </c>
      <c r="C65" s="136" t="s">
        <v>21</v>
      </c>
      <c r="D65" s="2">
        <v>862179326.88</v>
      </c>
      <c r="E65" s="3">
        <f>(D65/$D$98)</f>
        <v>3.6053471441406695E-3</v>
      </c>
      <c r="F65" s="14">
        <v>1.0459000000000001</v>
      </c>
      <c r="G65" s="14">
        <v>1.0459000000000001</v>
      </c>
      <c r="H65" s="59">
        <v>167</v>
      </c>
      <c r="I65" s="5">
        <v>-5.4699999999999999E-2</v>
      </c>
      <c r="J65" s="5">
        <v>-6.3E-2</v>
      </c>
      <c r="K65" s="2">
        <v>863821001.88999999</v>
      </c>
      <c r="L65" s="3">
        <f t="shared" si="19"/>
        <v>3.6145417578618672E-3</v>
      </c>
      <c r="M65" s="14">
        <v>1.0482</v>
      </c>
      <c r="N65" s="14">
        <v>1.0482</v>
      </c>
      <c r="O65" s="59">
        <v>169</v>
      </c>
      <c r="P65" s="5">
        <v>0.115</v>
      </c>
      <c r="Q65" s="5">
        <v>-4.7300000000000002E-2</v>
      </c>
      <c r="R65" s="79">
        <f t="shared" si="20"/>
        <v>1.9040992503737942E-3</v>
      </c>
      <c r="S65" s="79">
        <f t="shared" si="21"/>
        <v>2.1990630079357192E-3</v>
      </c>
      <c r="T65" s="79">
        <f t="shared" si="22"/>
        <v>1.1976047904191617E-2</v>
      </c>
      <c r="U65" s="80">
        <f t="shared" si="23"/>
        <v>0.16970000000000002</v>
      </c>
      <c r="V65" s="82">
        <f t="shared" si="24"/>
        <v>1.5699999999999999E-2</v>
      </c>
    </row>
    <row r="66" spans="1:22">
      <c r="A66" s="74">
        <v>55</v>
      </c>
      <c r="B66" s="135" t="s">
        <v>96</v>
      </c>
      <c r="C66" s="136" t="s">
        <v>97</v>
      </c>
      <c r="D66" s="2">
        <v>258722255.19999999</v>
      </c>
      <c r="E66" s="3">
        <f>(D66/$D$98)</f>
        <v>1.0818904082129312E-3</v>
      </c>
      <c r="F66" s="7">
        <v>1040.0899999999999</v>
      </c>
      <c r="G66" s="7">
        <v>1040.0899999999999</v>
      </c>
      <c r="H66" s="59">
        <v>112</v>
      </c>
      <c r="I66" s="5">
        <v>5.3359999999999996E-3</v>
      </c>
      <c r="J66" s="5">
        <v>8.5000000000000006E-3</v>
      </c>
      <c r="K66" s="2">
        <v>259151944.68000001</v>
      </c>
      <c r="L66" s="3">
        <f t="shared" si="19"/>
        <v>1.0843861443834762E-3</v>
      </c>
      <c r="M66" s="7">
        <v>1042.07</v>
      </c>
      <c r="N66" s="7">
        <v>1042.07</v>
      </c>
      <c r="O66" s="59">
        <v>112</v>
      </c>
      <c r="P66" s="5">
        <v>1.519E-3</v>
      </c>
      <c r="Q66" s="5">
        <v>1.03E-2</v>
      </c>
      <c r="R66" s="79">
        <f t="shared" si="20"/>
        <v>1.6608137543786341E-3</v>
      </c>
      <c r="S66" s="79">
        <f t="shared" si="21"/>
        <v>1.9036814121855016E-3</v>
      </c>
      <c r="T66" s="79">
        <f t="shared" si="22"/>
        <v>0</v>
      </c>
      <c r="U66" s="80">
        <f t="shared" si="23"/>
        <v>-3.8169999999999996E-3</v>
      </c>
      <c r="V66" s="82">
        <f t="shared" si="24"/>
        <v>1.7999999999999995E-3</v>
      </c>
    </row>
    <row r="67" spans="1:22" ht="15" customHeight="1">
      <c r="A67" s="74">
        <v>56</v>
      </c>
      <c r="B67" s="135" t="s">
        <v>98</v>
      </c>
      <c r="C67" s="136" t="s">
        <v>99</v>
      </c>
      <c r="D67" s="2">
        <v>1707545347.6500001</v>
      </c>
      <c r="E67" s="3">
        <f>(D67/$K$98)</f>
        <v>7.1449917853579044E-3</v>
      </c>
      <c r="F67" s="7">
        <v>1.06</v>
      </c>
      <c r="G67" s="7">
        <v>1.06</v>
      </c>
      <c r="H67" s="59">
        <v>853</v>
      </c>
      <c r="I67" s="5">
        <v>8.9999999999999993E-3</v>
      </c>
      <c r="J67" s="5">
        <v>4.1500000000000002E-2</v>
      </c>
      <c r="K67" s="2">
        <v>1703204276.5</v>
      </c>
      <c r="L67" s="3">
        <f t="shared" si="19"/>
        <v>7.1268271622343714E-3</v>
      </c>
      <c r="M67" s="7">
        <v>1.0621</v>
      </c>
      <c r="N67" s="7">
        <v>1.0621</v>
      </c>
      <c r="O67" s="59">
        <v>855</v>
      </c>
      <c r="P67" s="5">
        <v>2E-3</v>
      </c>
      <c r="Q67" s="5">
        <v>4.3499999999999997E-2</v>
      </c>
      <c r="R67" s="79">
        <f t="shared" si="20"/>
        <v>-2.5422874748096563E-3</v>
      </c>
      <c r="S67" s="79">
        <f t="shared" si="21"/>
        <v>1.9811320754716893E-3</v>
      </c>
      <c r="T67" s="79">
        <f t="shared" si="22"/>
        <v>2.3446658851113715E-3</v>
      </c>
      <c r="U67" s="80">
        <f t="shared" si="23"/>
        <v>-6.9999999999999993E-3</v>
      </c>
      <c r="V67" s="82">
        <v>7.87</v>
      </c>
    </row>
    <row r="68" spans="1:22">
      <c r="A68" s="74">
        <v>57</v>
      </c>
      <c r="B68" s="135" t="s">
        <v>100</v>
      </c>
      <c r="C68" s="136" t="s">
        <v>101</v>
      </c>
      <c r="D68" s="2">
        <v>411135667.69</v>
      </c>
      <c r="E68" s="3">
        <f t="shared" ref="E68:E84" si="25">(D68/$D$98)</f>
        <v>1.7192325994692015E-3</v>
      </c>
      <c r="F68" s="7">
        <v>2.3391000000000002</v>
      </c>
      <c r="G68" s="7">
        <v>2.3391000000000002</v>
      </c>
      <c r="H68" s="59">
        <v>1394</v>
      </c>
      <c r="I68" s="5">
        <v>0.13450000000000001</v>
      </c>
      <c r="J68" s="5">
        <v>0.10979999999999999</v>
      </c>
      <c r="K68" s="2">
        <v>412184873.89490616</v>
      </c>
      <c r="L68" s="3">
        <f t="shared" si="19"/>
        <v>1.7247316693995902E-3</v>
      </c>
      <c r="M68" s="7">
        <v>2.3450000000000002</v>
      </c>
      <c r="N68" s="7">
        <v>2.3450000000000002</v>
      </c>
      <c r="O68" s="59">
        <v>1394</v>
      </c>
      <c r="P68" s="5">
        <v>0.13189999999999999</v>
      </c>
      <c r="Q68" s="5">
        <v>0.111</v>
      </c>
      <c r="R68" s="79">
        <f t="shared" si="20"/>
        <v>2.5519707662466215E-3</v>
      </c>
      <c r="S68" s="79">
        <f t="shared" si="21"/>
        <v>2.522337651233387E-3</v>
      </c>
      <c r="T68" s="79">
        <f t="shared" si="22"/>
        <v>0</v>
      </c>
      <c r="U68" s="80">
        <f t="shared" si="23"/>
        <v>-2.600000000000019E-3</v>
      </c>
      <c r="V68" s="82">
        <f t="shared" si="24"/>
        <v>1.2000000000000066E-3</v>
      </c>
    </row>
    <row r="69" spans="1:22">
      <c r="A69" s="74">
        <v>58</v>
      </c>
      <c r="B69" s="135" t="s">
        <v>271</v>
      </c>
      <c r="C69" s="136" t="s">
        <v>269</v>
      </c>
      <c r="D69" s="2">
        <v>132183172.36</v>
      </c>
      <c r="E69" s="3">
        <f t="shared" si="25"/>
        <v>5.527460565496827E-4</v>
      </c>
      <c r="F69" s="7">
        <v>10.673999999999999</v>
      </c>
      <c r="G69" s="7">
        <v>10.6966</v>
      </c>
      <c r="H69" s="59">
        <v>29</v>
      </c>
      <c r="I69" s="5">
        <v>8.3792000000000005E-2</v>
      </c>
      <c r="J69" s="5">
        <v>3.1857999999999997E-2</v>
      </c>
      <c r="K69" s="2">
        <v>132526352.18000001</v>
      </c>
      <c r="L69" s="3">
        <f t="shared" si="19"/>
        <v>5.5453853625188592E-4</v>
      </c>
      <c r="M69" s="7">
        <v>10.700799999999999</v>
      </c>
      <c r="N69" s="7">
        <v>10.7151</v>
      </c>
      <c r="O69" s="59">
        <v>29</v>
      </c>
      <c r="P69" s="5">
        <v>0.16769999999999999</v>
      </c>
      <c r="Q69" s="5">
        <v>3.6450000000000003E-2</v>
      </c>
      <c r="R69" s="79">
        <f t="shared" ref="R69" si="26">((K69-D69)/D69)</f>
        <v>2.5962443923297569E-3</v>
      </c>
      <c r="S69" s="79">
        <f t="shared" ref="S69" si="27">((N69-G69)/G69)</f>
        <v>1.7295215302058147E-3</v>
      </c>
      <c r="T69" s="79">
        <f t="shared" ref="T69" si="28">((O69-H69)/H69)</f>
        <v>0</v>
      </c>
      <c r="U69" s="80">
        <f t="shared" ref="U69" si="29">P69-I69</f>
        <v>8.3907999999999983E-2</v>
      </c>
      <c r="V69" s="82">
        <f t="shared" ref="V69" si="30">Q69-J69</f>
        <v>4.5920000000000058E-3</v>
      </c>
    </row>
    <row r="70" spans="1:22">
      <c r="A70" s="74">
        <v>59</v>
      </c>
      <c r="B70" s="135" t="s">
        <v>102</v>
      </c>
      <c r="C70" s="136" t="s">
        <v>56</v>
      </c>
      <c r="D70" s="2">
        <v>2667377587.2170901</v>
      </c>
      <c r="E70" s="3">
        <f t="shared" si="25"/>
        <v>1.1154085776121208E-2</v>
      </c>
      <c r="F70" s="2">
        <v>4149.7816213400301</v>
      </c>
      <c r="G70" s="2">
        <v>4149.7816213400301</v>
      </c>
      <c r="H70" s="59">
        <v>1040</v>
      </c>
      <c r="I70" s="5">
        <v>9.8409579795020977E-2</v>
      </c>
      <c r="J70" s="5">
        <v>9.0986790652273483E-2</v>
      </c>
      <c r="K70" s="2">
        <v>2669559666.5566802</v>
      </c>
      <c r="L70" s="3">
        <f t="shared" si="19"/>
        <v>1.1170410152984065E-2</v>
      </c>
      <c r="M70" s="2">
        <v>4157.5864457507396</v>
      </c>
      <c r="N70" s="2">
        <v>4157.5864457507396</v>
      </c>
      <c r="O70" s="59">
        <v>1039</v>
      </c>
      <c r="P70" s="5">
        <v>9.8337902189837775E-2</v>
      </c>
      <c r="Q70" s="5">
        <v>9.1474016735488842E-2</v>
      </c>
      <c r="R70" s="79">
        <f t="shared" si="20"/>
        <v>8.1806166102890016E-4</v>
      </c>
      <c r="S70" s="79">
        <f t="shared" si="21"/>
        <v>1.8807795500788646E-3</v>
      </c>
      <c r="T70" s="79">
        <f t="shared" si="22"/>
        <v>-9.6153846153846159E-4</v>
      </c>
      <c r="U70" s="80">
        <f t="shared" si="23"/>
        <v>-7.1677605183201321E-5</v>
      </c>
      <c r="V70" s="82">
        <f t="shared" si="24"/>
        <v>4.8722608321535854E-4</v>
      </c>
    </row>
    <row r="71" spans="1:22">
      <c r="A71" s="74">
        <v>60</v>
      </c>
      <c r="B71" s="135" t="s">
        <v>103</v>
      </c>
      <c r="C71" s="136" t="s">
        <v>58</v>
      </c>
      <c r="D71" s="2">
        <v>342743489.18000001</v>
      </c>
      <c r="E71" s="3">
        <f t="shared" si="25"/>
        <v>1.4332392593541159E-3</v>
      </c>
      <c r="F71" s="14">
        <v>107.51</v>
      </c>
      <c r="G71" s="14">
        <v>107.51</v>
      </c>
      <c r="H71" s="59">
        <v>128</v>
      </c>
      <c r="I71" s="5">
        <v>2.0999999999999999E-3</v>
      </c>
      <c r="J71" s="5">
        <v>0.10970000000000001</v>
      </c>
      <c r="K71" s="2">
        <v>343686076.95999998</v>
      </c>
      <c r="L71" s="3">
        <f t="shared" si="19"/>
        <v>1.4381077492323336E-3</v>
      </c>
      <c r="M71" s="14">
        <v>107.73</v>
      </c>
      <c r="N71" s="14">
        <v>107.73</v>
      </c>
      <c r="O71" s="59">
        <v>128</v>
      </c>
      <c r="P71" s="5">
        <v>2E-3</v>
      </c>
      <c r="Q71" s="5">
        <v>0.11</v>
      </c>
      <c r="R71" s="79">
        <f t="shared" si="20"/>
        <v>2.7501259973021653E-3</v>
      </c>
      <c r="S71" s="79">
        <f t="shared" si="21"/>
        <v>2.0463212724397624E-3</v>
      </c>
      <c r="T71" s="79">
        <f t="shared" si="22"/>
        <v>0</v>
      </c>
      <c r="U71" s="80">
        <f t="shared" si="23"/>
        <v>-9.9999999999999829E-5</v>
      </c>
      <c r="V71" s="82">
        <f t="shared" si="24"/>
        <v>2.9999999999999472E-4</v>
      </c>
    </row>
    <row r="72" spans="1:22" ht="13.5" customHeight="1">
      <c r="A72" s="74">
        <v>61</v>
      </c>
      <c r="B72" s="135" t="s">
        <v>104</v>
      </c>
      <c r="C72" s="136" t="s">
        <v>105</v>
      </c>
      <c r="D72" s="2">
        <v>325703277.64999998</v>
      </c>
      <c r="E72" s="3">
        <f t="shared" si="25"/>
        <v>1.3619827631011162E-3</v>
      </c>
      <c r="F72" s="14">
        <v>1.3542000000000001</v>
      </c>
      <c r="G72" s="14">
        <v>1.3542000000000001</v>
      </c>
      <c r="H72" s="59">
        <v>329</v>
      </c>
      <c r="I72" s="5">
        <v>4.8999999999999998E-3</v>
      </c>
      <c r="J72" s="5">
        <v>1.44E-2</v>
      </c>
      <c r="K72" s="2">
        <v>326849127.05000001</v>
      </c>
      <c r="L72" s="3">
        <f t="shared" si="19"/>
        <v>1.3676558171867254E-3</v>
      </c>
      <c r="M72" s="14">
        <v>1.3951</v>
      </c>
      <c r="N72" s="14">
        <v>1.3542000000000001</v>
      </c>
      <c r="O72" s="59">
        <v>330</v>
      </c>
      <c r="P72" s="5">
        <v>3.1014621178555579E-3</v>
      </c>
      <c r="Q72" s="5">
        <v>1.7413944531630476E-2</v>
      </c>
      <c r="R72" s="79">
        <f t="shared" si="20"/>
        <v>3.5180775835831871E-3</v>
      </c>
      <c r="S72" s="79">
        <f t="shared" si="21"/>
        <v>0</v>
      </c>
      <c r="T72" s="79">
        <f t="shared" si="22"/>
        <v>3.0395136778115501E-3</v>
      </c>
      <c r="U72" s="80">
        <f t="shared" si="23"/>
        <v>-1.7985378821444419E-3</v>
      </c>
      <c r="V72" s="82">
        <f t="shared" si="24"/>
        <v>3.0139445316304768E-3</v>
      </c>
    </row>
    <row r="73" spans="1:22">
      <c r="A73" s="74">
        <v>62</v>
      </c>
      <c r="B73" s="135" t="s">
        <v>106</v>
      </c>
      <c r="C73" s="136" t="s">
        <v>25</v>
      </c>
      <c r="D73" s="2">
        <v>100162247.39</v>
      </c>
      <c r="E73" s="3">
        <f t="shared" si="25"/>
        <v>4.1884519997138498E-4</v>
      </c>
      <c r="F73" s="14">
        <v>118.2371</v>
      </c>
      <c r="G73" s="14">
        <v>118.2371</v>
      </c>
      <c r="H73" s="59">
        <v>115</v>
      </c>
      <c r="I73" s="5">
        <v>3.86E-4</v>
      </c>
      <c r="J73" s="5">
        <v>0.15620000000000001</v>
      </c>
      <c r="K73" s="2">
        <v>100626380.20999999</v>
      </c>
      <c r="L73" s="3">
        <f t="shared" si="19"/>
        <v>4.2105743251869481E-4</v>
      </c>
      <c r="M73" s="14">
        <v>118.5595</v>
      </c>
      <c r="N73" s="14">
        <v>118.5595</v>
      </c>
      <c r="O73" s="59">
        <v>117</v>
      </c>
      <c r="P73" s="5">
        <v>1.941E-3</v>
      </c>
      <c r="Q73" s="5">
        <v>0.15620000000000001</v>
      </c>
      <c r="R73" s="79">
        <f t="shared" si="20"/>
        <v>4.6338099642753315E-3</v>
      </c>
      <c r="S73" s="79">
        <f t="shared" si="21"/>
        <v>2.7267245221677611E-3</v>
      </c>
      <c r="T73" s="79">
        <f t="shared" si="22"/>
        <v>1.7391304347826087E-2</v>
      </c>
      <c r="U73" s="80">
        <f t="shared" si="23"/>
        <v>1.555E-3</v>
      </c>
      <c r="V73" s="82">
        <f t="shared" si="24"/>
        <v>0</v>
      </c>
    </row>
    <row r="74" spans="1:22">
      <c r="A74" s="74">
        <v>63</v>
      </c>
      <c r="B74" s="135" t="s">
        <v>107</v>
      </c>
      <c r="C74" s="136" t="s">
        <v>108</v>
      </c>
      <c r="D74" s="2">
        <v>1533056630.71</v>
      </c>
      <c r="E74" s="3">
        <f t="shared" si="25"/>
        <v>6.4107328638204559E-3</v>
      </c>
      <c r="F74" s="7">
        <v>1000</v>
      </c>
      <c r="G74" s="7">
        <v>1000</v>
      </c>
      <c r="H74" s="59">
        <v>326</v>
      </c>
      <c r="I74" s="5">
        <v>4.3933980357142601E-5</v>
      </c>
      <c r="J74" s="5">
        <v>0.14940000000000001</v>
      </c>
      <c r="K74" s="2">
        <v>1513702885.8900001</v>
      </c>
      <c r="L74" s="3">
        <f t="shared" si="19"/>
        <v>6.3338843094511259E-3</v>
      </c>
      <c r="M74" s="7">
        <v>1000</v>
      </c>
      <c r="N74" s="7">
        <v>1000</v>
      </c>
      <c r="O74" s="59">
        <v>326</v>
      </c>
      <c r="P74" s="5">
        <v>1.2785695925142201E-4</v>
      </c>
      <c r="Q74" s="5">
        <v>0.1497</v>
      </c>
      <c r="R74" s="79">
        <f t="shared" si="20"/>
        <v>-1.2624285647580214E-2</v>
      </c>
      <c r="S74" s="79">
        <f t="shared" si="21"/>
        <v>0</v>
      </c>
      <c r="T74" s="79">
        <f t="shared" si="22"/>
        <v>0</v>
      </c>
      <c r="U74" s="80">
        <f t="shared" si="23"/>
        <v>8.3922978894279411E-5</v>
      </c>
      <c r="V74" s="82">
        <f t="shared" si="24"/>
        <v>2.9999999999999472E-4</v>
      </c>
    </row>
    <row r="75" spans="1:22">
      <c r="A75" s="74">
        <v>64</v>
      </c>
      <c r="B75" s="135" t="s">
        <v>109</v>
      </c>
      <c r="C75" s="136" t="s">
        <v>64</v>
      </c>
      <c r="D75" s="2">
        <v>218195128.43000001</v>
      </c>
      <c r="E75" s="3">
        <f t="shared" si="25"/>
        <v>9.1241944526465949E-4</v>
      </c>
      <c r="F75" s="7">
        <v>1070.23</v>
      </c>
      <c r="G75" s="7">
        <v>1079.67</v>
      </c>
      <c r="H75" s="59">
        <v>78</v>
      </c>
      <c r="I75" s="5">
        <v>2.2000000000000001E-3</v>
      </c>
      <c r="J75" s="5">
        <v>1.55E-2</v>
      </c>
      <c r="K75" s="2">
        <v>218679626.58000001</v>
      </c>
      <c r="L75" s="3">
        <f t="shared" si="19"/>
        <v>9.1503522157673105E-4</v>
      </c>
      <c r="M75" s="7">
        <v>1072.6099999999999</v>
      </c>
      <c r="N75" s="7">
        <v>1082.67</v>
      </c>
      <c r="O75" s="59">
        <v>77</v>
      </c>
      <c r="P75" s="5">
        <v>2.5999999999999999E-3</v>
      </c>
      <c r="Q75" s="5">
        <v>1.8100000000000002E-2</v>
      </c>
      <c r="R75" s="79">
        <f t="shared" si="20"/>
        <v>2.2204810597109166E-3</v>
      </c>
      <c r="S75" s="79">
        <f t="shared" si="21"/>
        <v>2.7786268026341382E-3</v>
      </c>
      <c r="T75" s="79">
        <f t="shared" si="22"/>
        <v>-1.282051282051282E-2</v>
      </c>
      <c r="U75" s="80">
        <f t="shared" si="23"/>
        <v>3.9999999999999975E-4</v>
      </c>
      <c r="V75" s="82">
        <f t="shared" si="24"/>
        <v>2.6000000000000016E-3</v>
      </c>
    </row>
    <row r="76" spans="1:22">
      <c r="A76" s="74">
        <v>65</v>
      </c>
      <c r="B76" s="135" t="s">
        <v>110</v>
      </c>
      <c r="C76" s="136" t="s">
        <v>67</v>
      </c>
      <c r="D76" s="2">
        <v>893698871.76999998</v>
      </c>
      <c r="E76" s="3">
        <f t="shared" si="25"/>
        <v>3.7371513960066985E-3</v>
      </c>
      <c r="F76" s="15">
        <v>1.1592</v>
      </c>
      <c r="G76" s="15">
        <v>1.1592</v>
      </c>
      <c r="H76" s="59">
        <v>40</v>
      </c>
      <c r="I76" s="5">
        <v>2.6800000000000001E-3</v>
      </c>
      <c r="J76" s="5">
        <v>0.19489999999999999</v>
      </c>
      <c r="K76" s="2">
        <v>896160208.36000001</v>
      </c>
      <c r="L76" s="3">
        <f t="shared" si="19"/>
        <v>3.7498607787541339E-3</v>
      </c>
      <c r="M76" s="15">
        <v>1.1620999999999999</v>
      </c>
      <c r="N76" s="15">
        <v>1.1620999999999999</v>
      </c>
      <c r="O76" s="59">
        <v>40</v>
      </c>
      <c r="P76" s="5">
        <v>2.5017253278122003E-3</v>
      </c>
      <c r="Q76" s="5">
        <v>5.1293649357698548E-2</v>
      </c>
      <c r="R76" s="79">
        <f t="shared" si="20"/>
        <v>2.7541005899730806E-3</v>
      </c>
      <c r="S76" s="79">
        <f t="shared" si="21"/>
        <v>2.5017253278122003E-3</v>
      </c>
      <c r="T76" s="79">
        <f t="shared" si="22"/>
        <v>0</v>
      </c>
      <c r="U76" s="80">
        <f t="shared" si="23"/>
        <v>-1.7827467218779975E-4</v>
      </c>
      <c r="V76" s="82">
        <f t="shared" si="24"/>
        <v>-0.14360635064230143</v>
      </c>
    </row>
    <row r="77" spans="1:22">
      <c r="A77" s="74">
        <v>66</v>
      </c>
      <c r="B77" s="135" t="s">
        <v>111</v>
      </c>
      <c r="C77" s="136" t="s">
        <v>27</v>
      </c>
      <c r="D77" s="2">
        <v>45587337856.790001</v>
      </c>
      <c r="E77" s="3">
        <f t="shared" si="25"/>
        <v>0.1906310824520957</v>
      </c>
      <c r="F77" s="15">
        <v>1624.89</v>
      </c>
      <c r="G77" s="15">
        <v>1624.89</v>
      </c>
      <c r="H77" s="59">
        <v>2382</v>
      </c>
      <c r="I77" s="5">
        <v>2.3999999999999998E-3</v>
      </c>
      <c r="J77" s="5">
        <v>5.0099999999999999E-2</v>
      </c>
      <c r="K77" s="2">
        <v>44546217755.360001</v>
      </c>
      <c r="L77" s="3">
        <f t="shared" si="19"/>
        <v>0.18639760306737738</v>
      </c>
      <c r="M77" s="15">
        <v>1628.63</v>
      </c>
      <c r="N77" s="15">
        <v>1628.63</v>
      </c>
      <c r="O77" s="59">
        <v>2375</v>
      </c>
      <c r="P77" s="5">
        <v>2.3E-3</v>
      </c>
      <c r="Q77" s="5">
        <v>5.2499999999999998E-2</v>
      </c>
      <c r="R77" s="79">
        <f t="shared" si="20"/>
        <v>-2.283792277365744E-2</v>
      </c>
      <c r="S77" s="79">
        <f t="shared" si="21"/>
        <v>2.3016942685351064E-3</v>
      </c>
      <c r="T77" s="79">
        <f t="shared" si="22"/>
        <v>-2.9387069689336691E-3</v>
      </c>
      <c r="U77" s="80">
        <f t="shared" si="23"/>
        <v>-9.9999999999999829E-5</v>
      </c>
      <c r="V77" s="82">
        <f t="shared" si="24"/>
        <v>2.3999999999999994E-3</v>
      </c>
    </row>
    <row r="78" spans="1:22">
      <c r="A78" s="74">
        <v>67</v>
      </c>
      <c r="B78" s="135" t="s">
        <v>112</v>
      </c>
      <c r="C78" s="136" t="s">
        <v>72</v>
      </c>
      <c r="D78" s="2">
        <v>23955901.109999999</v>
      </c>
      <c r="E78" s="3">
        <f t="shared" si="25"/>
        <v>1.0017560959713879E-4</v>
      </c>
      <c r="F78" s="14">
        <v>0.73070000000000002</v>
      </c>
      <c r="G78" s="14">
        <v>0.73070000000000002</v>
      </c>
      <c r="H78" s="59">
        <v>746</v>
      </c>
      <c r="I78" s="5">
        <v>2.0999999999999999E-3</v>
      </c>
      <c r="J78" s="5">
        <v>-4.41E-2</v>
      </c>
      <c r="K78" s="2">
        <v>24008040.27</v>
      </c>
      <c r="L78" s="3">
        <f t="shared" si="19"/>
        <v>1.0045838650655395E-4</v>
      </c>
      <c r="M78" s="14">
        <v>0.73219999999999996</v>
      </c>
      <c r="N78" s="14">
        <v>0.73219999999999996</v>
      </c>
      <c r="O78" s="59">
        <v>746</v>
      </c>
      <c r="P78" s="5">
        <v>2.0999999999999999E-3</v>
      </c>
      <c r="Q78" s="5">
        <v>-4.2099999999999999E-2</v>
      </c>
      <c r="R78" s="79">
        <f t="shared" si="20"/>
        <v>2.1764641522182401E-3</v>
      </c>
      <c r="S78" s="79">
        <f t="shared" si="21"/>
        <v>2.0528260572053453E-3</v>
      </c>
      <c r="T78" s="79">
        <f t="shared" si="22"/>
        <v>0</v>
      </c>
      <c r="U78" s="80">
        <f t="shared" si="23"/>
        <v>0</v>
      </c>
      <c r="V78" s="82">
        <f t="shared" si="24"/>
        <v>2.0000000000000018E-3</v>
      </c>
    </row>
    <row r="79" spans="1:22">
      <c r="A79" s="74">
        <v>68</v>
      </c>
      <c r="B79" s="135" t="s">
        <v>251</v>
      </c>
      <c r="C79" s="136" t="s">
        <v>32</v>
      </c>
      <c r="D79" s="2">
        <v>8269327426.6934004</v>
      </c>
      <c r="E79" s="3">
        <f t="shared" si="25"/>
        <v>3.4579576536219493E-2</v>
      </c>
      <c r="F79" s="14">
        <v>1</v>
      </c>
      <c r="G79" s="14">
        <v>1</v>
      </c>
      <c r="H79" s="59">
        <v>5544</v>
      </c>
      <c r="I79" s="5">
        <v>0.06</v>
      </c>
      <c r="J79" s="5">
        <v>0.06</v>
      </c>
      <c r="K79" s="2">
        <v>10312324303.48</v>
      </c>
      <c r="L79" s="3">
        <f t="shared" si="19"/>
        <v>4.315052161731165E-2</v>
      </c>
      <c r="M79" s="14">
        <v>1</v>
      </c>
      <c r="N79" s="14">
        <v>1</v>
      </c>
      <c r="O79" s="59">
        <v>5242</v>
      </c>
      <c r="P79" s="5">
        <v>0.06</v>
      </c>
      <c r="Q79" s="5">
        <v>0.06</v>
      </c>
      <c r="R79" s="79">
        <f>((K79-D79)/D79)</f>
        <v>0.24705719962083039</v>
      </c>
      <c r="S79" s="79">
        <f>((N79-G79)/G79)</f>
        <v>0</v>
      </c>
      <c r="T79" s="79">
        <f>((O79-H79)/H79)</f>
        <v>-5.4473304473304472E-2</v>
      </c>
      <c r="U79" s="80">
        <f>P79-I79</f>
        <v>0</v>
      </c>
      <c r="V79" s="82">
        <f>Q79-J79</f>
        <v>0</v>
      </c>
    </row>
    <row r="80" spans="1:22">
      <c r="A80" s="74">
        <v>69</v>
      </c>
      <c r="B80" s="135" t="s">
        <v>113</v>
      </c>
      <c r="C80" s="136" t="s">
        <v>114</v>
      </c>
      <c r="D80" s="2">
        <v>1198031750.71</v>
      </c>
      <c r="E80" s="3">
        <f t="shared" si="25"/>
        <v>5.0097702604893438E-3</v>
      </c>
      <c r="F80" s="2">
        <v>223.142123</v>
      </c>
      <c r="G80" s="2">
        <v>224.44966700000001</v>
      </c>
      <c r="H80" s="59">
        <v>488</v>
      </c>
      <c r="I80" s="5">
        <v>1.8E-3</v>
      </c>
      <c r="J80" s="5">
        <v>8.6499999999999994E-2</v>
      </c>
      <c r="K80" s="2">
        <v>1208210799.78</v>
      </c>
      <c r="L80" s="3">
        <f t="shared" si="19"/>
        <v>5.0555941318275672E-3</v>
      </c>
      <c r="M80" s="2">
        <v>223.65</v>
      </c>
      <c r="N80" s="2">
        <v>224.45</v>
      </c>
      <c r="O80" s="59">
        <v>488</v>
      </c>
      <c r="P80" s="5">
        <v>2.3999999999999998E-3</v>
      </c>
      <c r="Q80" s="5">
        <v>8.6499999999999994E-2</v>
      </c>
      <c r="R80" s="79">
        <f t="shared" si="20"/>
        <v>8.4964768788201427E-3</v>
      </c>
      <c r="S80" s="79">
        <f t="shared" si="21"/>
        <v>1.4836288439825815E-6</v>
      </c>
      <c r="T80" s="79">
        <f t="shared" si="22"/>
        <v>0</v>
      </c>
      <c r="U80" s="80">
        <f t="shared" si="23"/>
        <v>5.9999999999999984E-4</v>
      </c>
      <c r="V80" s="82">
        <f t="shared" si="24"/>
        <v>0</v>
      </c>
    </row>
    <row r="81" spans="1:22">
      <c r="A81" s="74">
        <v>70</v>
      </c>
      <c r="B81" s="135" t="s">
        <v>115</v>
      </c>
      <c r="C81" s="136" t="s">
        <v>34</v>
      </c>
      <c r="D81" s="2">
        <v>1109556401.8299999</v>
      </c>
      <c r="E81" s="3">
        <f t="shared" si="25"/>
        <v>4.6397957824817603E-3</v>
      </c>
      <c r="F81" s="14">
        <v>3.44</v>
      </c>
      <c r="G81" s="14">
        <v>3.44</v>
      </c>
      <c r="H81" s="60">
        <v>772</v>
      </c>
      <c r="I81" s="12">
        <v>1.6000000000000001E-3</v>
      </c>
      <c r="J81" s="12">
        <v>-9.4700000000000006E-2</v>
      </c>
      <c r="K81" s="2">
        <v>1111382020.9300001</v>
      </c>
      <c r="L81" s="3">
        <f t="shared" si="19"/>
        <v>4.6504272468475411E-3</v>
      </c>
      <c r="M81" s="14">
        <v>3.45</v>
      </c>
      <c r="N81" s="14">
        <v>3.45</v>
      </c>
      <c r="O81" s="60">
        <v>772</v>
      </c>
      <c r="P81" s="12">
        <v>1.6000000000000001E-3</v>
      </c>
      <c r="Q81" s="12">
        <v>-8.6800000000000002E-2</v>
      </c>
      <c r="R81" s="79">
        <f t="shared" si="20"/>
        <v>1.6453594400330938E-3</v>
      </c>
      <c r="S81" s="79">
        <f t="shared" si="21"/>
        <v>2.9069767441861137E-3</v>
      </c>
      <c r="T81" s="79">
        <f t="shared" si="22"/>
        <v>0</v>
      </c>
      <c r="U81" s="80">
        <f t="shared" si="23"/>
        <v>0</v>
      </c>
      <c r="V81" s="82">
        <f t="shared" si="24"/>
        <v>7.9000000000000042E-3</v>
      </c>
    </row>
    <row r="82" spans="1:22">
      <c r="A82" s="74">
        <v>71</v>
      </c>
      <c r="B82" s="135" t="s">
        <v>258</v>
      </c>
      <c r="C82" s="136" t="s">
        <v>36</v>
      </c>
      <c r="D82" s="2">
        <v>535150225.20999998</v>
      </c>
      <c r="E82" s="3">
        <f t="shared" si="25"/>
        <v>2.2378202260185344E-3</v>
      </c>
      <c r="F82" s="14">
        <v>102.44387999999999</v>
      </c>
      <c r="G82" s="14">
        <v>102.44387999999999</v>
      </c>
      <c r="H82" s="60">
        <v>66</v>
      </c>
      <c r="I82" s="12">
        <v>0.13869999999999999</v>
      </c>
      <c r="J82" s="12">
        <v>0.18659999999999999</v>
      </c>
      <c r="K82" s="2">
        <v>537226789.92999995</v>
      </c>
      <c r="L82" s="3">
        <f t="shared" si="19"/>
        <v>2.2479525982760777E-3</v>
      </c>
      <c r="M82" s="14">
        <v>102.81</v>
      </c>
      <c r="N82" s="14">
        <v>102.81</v>
      </c>
      <c r="O82" s="60">
        <v>64</v>
      </c>
      <c r="P82" s="12">
        <v>0.13869999999999999</v>
      </c>
      <c r="Q82" s="12">
        <v>0.16189999999999999</v>
      </c>
      <c r="R82" s="79">
        <f t="shared" ref="R82" si="31">((K82-D82)/D82)</f>
        <v>3.8803398039963409E-3</v>
      </c>
      <c r="S82" s="79">
        <f t="shared" ref="S82" si="32">((N82-G82)/G82)</f>
        <v>3.5738591705039807E-3</v>
      </c>
      <c r="T82" s="79">
        <f t="shared" ref="T82" si="33">((O82-H82)/H82)</f>
        <v>-3.0303030303030304E-2</v>
      </c>
      <c r="U82" s="80">
        <f t="shared" ref="U82" si="34">P82-I82</f>
        <v>0</v>
      </c>
      <c r="V82" s="82">
        <f t="shared" ref="V82" si="35">Q82-J82</f>
        <v>-2.47E-2</v>
      </c>
    </row>
    <row r="83" spans="1:22">
      <c r="A83" s="74">
        <v>72</v>
      </c>
      <c r="B83" s="136" t="s">
        <v>116</v>
      </c>
      <c r="C83" s="147" t="s">
        <v>40</v>
      </c>
      <c r="D83" s="2">
        <v>2610433626.4200001</v>
      </c>
      <c r="E83" s="3">
        <f t="shared" si="25"/>
        <v>1.0915965074272808E-2</v>
      </c>
      <c r="F83" s="14">
        <v>103.36</v>
      </c>
      <c r="G83" s="14">
        <v>103.36</v>
      </c>
      <c r="H83" s="59">
        <v>139</v>
      </c>
      <c r="I83" s="5">
        <v>6.1000000000000004E-3</v>
      </c>
      <c r="J83" s="5">
        <v>0.11310000000000001</v>
      </c>
      <c r="K83" s="2">
        <v>2473229684.3000002</v>
      </c>
      <c r="L83" s="3">
        <f t="shared" si="19"/>
        <v>1.0348893985127085E-2</v>
      </c>
      <c r="M83" s="14">
        <v>103.57</v>
      </c>
      <c r="N83" s="14">
        <v>103.57</v>
      </c>
      <c r="O83" s="59">
        <v>139</v>
      </c>
      <c r="P83" s="5">
        <v>2E-3</v>
      </c>
      <c r="Q83" s="5">
        <v>0.1128</v>
      </c>
      <c r="R83" s="79">
        <f t="shared" si="20"/>
        <v>-5.2559827888887592E-2</v>
      </c>
      <c r="S83" s="79">
        <f t="shared" si="21"/>
        <v>2.0317337461299703E-3</v>
      </c>
      <c r="T83" s="79">
        <f t="shared" si="22"/>
        <v>0</v>
      </c>
      <c r="U83" s="80">
        <f t="shared" si="23"/>
        <v>-4.1000000000000003E-3</v>
      </c>
      <c r="V83" s="82">
        <f t="shared" si="24"/>
        <v>-3.0000000000000859E-4</v>
      </c>
    </row>
    <row r="84" spans="1:22">
      <c r="A84" s="74">
        <v>73</v>
      </c>
      <c r="B84" s="135" t="s">
        <v>117</v>
      </c>
      <c r="C84" s="136" t="s">
        <v>17</v>
      </c>
      <c r="D84" s="2">
        <v>1251612838.1800001</v>
      </c>
      <c r="E84" s="3">
        <f t="shared" si="25"/>
        <v>5.2338285447316463E-3</v>
      </c>
      <c r="F84" s="14">
        <v>340.64429999999999</v>
      </c>
      <c r="G84" s="14">
        <v>340.64429999999999</v>
      </c>
      <c r="H84" s="59">
        <v>104</v>
      </c>
      <c r="I84" s="5">
        <v>2.3E-3</v>
      </c>
      <c r="J84" s="5">
        <v>4.1300000000000003E-2</v>
      </c>
      <c r="K84" s="2">
        <v>1255023494.4200001</v>
      </c>
      <c r="L84" s="3">
        <f t="shared" si="19"/>
        <v>5.2514754998472159E-3</v>
      </c>
      <c r="M84" s="14">
        <v>341.43090000000001</v>
      </c>
      <c r="N84" s="14">
        <v>341.43090000000001</v>
      </c>
      <c r="O84" s="59">
        <v>105</v>
      </c>
      <c r="P84" s="5">
        <v>2.3E-3</v>
      </c>
      <c r="Q84" s="5">
        <v>4.36E-2</v>
      </c>
      <c r="R84" s="79">
        <f t="shared" si="20"/>
        <v>2.725008993163993E-3</v>
      </c>
      <c r="S84" s="79">
        <f t="shared" si="21"/>
        <v>2.3091535657576577E-3</v>
      </c>
      <c r="T84" s="79">
        <f t="shared" si="22"/>
        <v>9.6153846153846159E-3</v>
      </c>
      <c r="U84" s="80">
        <f t="shared" si="23"/>
        <v>0</v>
      </c>
      <c r="V84" s="82">
        <f t="shared" si="24"/>
        <v>2.2999999999999965E-3</v>
      </c>
    </row>
    <row r="85" spans="1:22">
      <c r="A85" s="74">
        <v>74</v>
      </c>
      <c r="B85" s="135" t="s">
        <v>252</v>
      </c>
      <c r="C85" s="136" t="s">
        <v>78</v>
      </c>
      <c r="D85" s="9">
        <v>1673242702.5699999</v>
      </c>
      <c r="E85" s="3">
        <f>(D85/$K$60)</f>
        <v>1.6415098147374962E-3</v>
      </c>
      <c r="F85" s="14">
        <v>103.38</v>
      </c>
      <c r="G85" s="14">
        <v>103.38</v>
      </c>
      <c r="H85" s="59">
        <v>370</v>
      </c>
      <c r="I85" s="5">
        <v>2.7000000000000001E-3</v>
      </c>
      <c r="J85" s="5">
        <v>5.62E-2</v>
      </c>
      <c r="K85" s="9">
        <v>1703801367.6400001</v>
      </c>
      <c r="L85" s="3">
        <f>(K85/$K$60)</f>
        <v>1.6714889376469432E-3</v>
      </c>
      <c r="M85" s="14">
        <v>103.63</v>
      </c>
      <c r="N85" s="14">
        <v>103.64</v>
      </c>
      <c r="O85" s="59">
        <v>370</v>
      </c>
      <c r="P85" s="5">
        <v>2.5000000000000001E-3</v>
      </c>
      <c r="Q85" s="5">
        <v>5.8799999999999998E-2</v>
      </c>
      <c r="R85" s="79">
        <f t="shared" si="20"/>
        <v>1.8263139604950258E-2</v>
      </c>
      <c r="S85" s="79">
        <f t="shared" si="21"/>
        <v>2.5149932288644336E-3</v>
      </c>
      <c r="T85" s="79">
        <f t="shared" si="22"/>
        <v>0</v>
      </c>
      <c r="U85" s="80">
        <f t="shared" si="23"/>
        <v>-2.0000000000000009E-4</v>
      </c>
      <c r="V85" s="82">
        <f t="shared" si="24"/>
        <v>2.5999999999999981E-3</v>
      </c>
    </row>
    <row r="86" spans="1:22">
      <c r="A86" s="74">
        <v>75</v>
      </c>
      <c r="B86" s="135" t="s">
        <v>118</v>
      </c>
      <c r="C86" s="136" t="s">
        <v>38</v>
      </c>
      <c r="D86" s="2">
        <v>56969619.530000001</v>
      </c>
      <c r="E86" s="3">
        <f t="shared" ref="E86:E97" si="36">(D86/$D$98)</f>
        <v>2.3822799813414381E-4</v>
      </c>
      <c r="F86" s="2">
        <v>12.439973999999999</v>
      </c>
      <c r="G86" s="2">
        <v>12.573615999999999</v>
      </c>
      <c r="H86" s="59">
        <v>56</v>
      </c>
      <c r="I86" s="5">
        <v>-1.8E-3</v>
      </c>
      <c r="J86" s="5">
        <v>9.0399999999999994E-2</v>
      </c>
      <c r="K86" s="2">
        <v>57090790.590000004</v>
      </c>
      <c r="L86" s="3">
        <f t="shared" ref="L86:L97" si="37">(K86/$K$98)</f>
        <v>2.3888866573677046E-4</v>
      </c>
      <c r="M86" s="2">
        <v>12.466433</v>
      </c>
      <c r="N86" s="2">
        <v>12.607846</v>
      </c>
      <c r="O86" s="59">
        <v>56</v>
      </c>
      <c r="P86" s="5">
        <v>-1.1000000000000001E-3</v>
      </c>
      <c r="Q86" s="5">
        <v>9.1499999999999998E-2</v>
      </c>
      <c r="R86" s="79">
        <f t="shared" si="20"/>
        <v>2.1269417103302601E-3</v>
      </c>
      <c r="S86" s="79">
        <f t="shared" si="21"/>
        <v>2.7223672171951866E-3</v>
      </c>
      <c r="T86" s="79">
        <f t="shared" si="22"/>
        <v>0</v>
      </c>
      <c r="U86" s="80">
        <f t="shared" si="23"/>
        <v>6.9999999999999988E-4</v>
      </c>
      <c r="V86" s="82">
        <f t="shared" si="24"/>
        <v>1.1000000000000038E-3</v>
      </c>
    </row>
    <row r="87" spans="1:22">
      <c r="A87" s="74">
        <v>76</v>
      </c>
      <c r="B87" s="135" t="s">
        <v>236</v>
      </c>
      <c r="C87" s="136" t="s">
        <v>237</v>
      </c>
      <c r="D87" s="2">
        <v>290114490.79000002</v>
      </c>
      <c r="E87" s="3">
        <f t="shared" si="36"/>
        <v>1.2131622949353442E-3</v>
      </c>
      <c r="F87" s="2">
        <v>119.83</v>
      </c>
      <c r="G87" s="2">
        <v>119.83</v>
      </c>
      <c r="H87" s="59">
        <v>83</v>
      </c>
      <c r="I87" s="5">
        <v>0.14940000000000001</v>
      </c>
      <c r="J87" s="5">
        <v>0.1807</v>
      </c>
      <c r="K87" s="2">
        <v>287373085.57999998</v>
      </c>
      <c r="L87" s="3">
        <f t="shared" si="37"/>
        <v>1.2024736787388205E-3</v>
      </c>
      <c r="M87" s="2">
        <v>120.16</v>
      </c>
      <c r="N87" s="2">
        <v>120.16</v>
      </c>
      <c r="O87" s="59">
        <v>83</v>
      </c>
      <c r="P87" s="5">
        <v>0.15429999999999999</v>
      </c>
      <c r="Q87" s="5">
        <v>0.1794</v>
      </c>
      <c r="R87" s="79">
        <f>((K87-D87)/D87)</f>
        <v>-9.4493908337188511E-3</v>
      </c>
      <c r="S87" s="79">
        <f>((N87-G87)/G87)</f>
        <v>2.7539013602603545E-3</v>
      </c>
      <c r="T87" s="79">
        <f>((O87-H87)/H87)</f>
        <v>0</v>
      </c>
      <c r="U87" s="80">
        <f t="shared" si="23"/>
        <v>4.8999999999999877E-3</v>
      </c>
      <c r="V87" s="82">
        <f t="shared" si="24"/>
        <v>-1.2999999999999956E-3</v>
      </c>
    </row>
    <row r="88" spans="1:22">
      <c r="A88" s="74">
        <v>77</v>
      </c>
      <c r="B88" s="135" t="s">
        <v>119</v>
      </c>
      <c r="C88" s="136" t="s">
        <v>120</v>
      </c>
      <c r="D88" s="2">
        <v>7684669409.7819185</v>
      </c>
      <c r="E88" s="3">
        <f t="shared" si="36"/>
        <v>3.2134731193895316E-2</v>
      </c>
      <c r="F88" s="14">
        <v>1.05</v>
      </c>
      <c r="G88" s="14">
        <v>1.05</v>
      </c>
      <c r="H88" s="59">
        <v>4357</v>
      </c>
      <c r="I88" s="5">
        <v>0.1502</v>
      </c>
      <c r="J88" s="5">
        <v>0.1502</v>
      </c>
      <c r="K88" s="2">
        <v>7667820201.7082701</v>
      </c>
      <c r="L88" s="3">
        <f t="shared" si="37"/>
        <v>3.2084953075012981E-2</v>
      </c>
      <c r="M88" s="14">
        <v>1.06</v>
      </c>
      <c r="N88" s="14">
        <v>1.06</v>
      </c>
      <c r="O88" s="59">
        <v>4379</v>
      </c>
      <c r="P88" s="5">
        <v>0.15049999999999999</v>
      </c>
      <c r="Q88" s="5">
        <v>0.15049999999999999</v>
      </c>
      <c r="R88" s="79">
        <f t="shared" si="20"/>
        <v>-2.1925742247546616E-3</v>
      </c>
      <c r="S88" s="79">
        <f t="shared" si="21"/>
        <v>9.5238095238095316E-3</v>
      </c>
      <c r="T88" s="79">
        <f t="shared" si="22"/>
        <v>5.049345880192793E-3</v>
      </c>
      <c r="U88" s="80">
        <f t="shared" si="23"/>
        <v>2.9999999999999472E-4</v>
      </c>
      <c r="V88" s="82">
        <f t="shared" si="24"/>
        <v>2.9999999999999472E-4</v>
      </c>
    </row>
    <row r="89" spans="1:22" ht="14.25" customHeight="1">
      <c r="A89" s="74">
        <v>78</v>
      </c>
      <c r="B89" s="135" t="s">
        <v>121</v>
      </c>
      <c r="C89" s="136" t="s">
        <v>42</v>
      </c>
      <c r="D89" s="2">
        <v>14833268417.68</v>
      </c>
      <c r="E89" s="3">
        <f t="shared" si="36"/>
        <v>6.2027794289015593E-2</v>
      </c>
      <c r="F89" s="2">
        <v>5158.07</v>
      </c>
      <c r="G89" s="2">
        <v>5158.07</v>
      </c>
      <c r="H89" s="59">
        <v>375</v>
      </c>
      <c r="I89" s="5">
        <v>6.9999999999999999E-4</v>
      </c>
      <c r="J89" s="5">
        <v>2.92E-2</v>
      </c>
      <c r="K89" s="2">
        <v>14162852475.41</v>
      </c>
      <c r="L89" s="3">
        <f t="shared" si="37"/>
        <v>5.9262534218085194E-2</v>
      </c>
      <c r="M89" s="2">
        <v>5160.66</v>
      </c>
      <c r="N89" s="2">
        <v>5160.66</v>
      </c>
      <c r="O89" s="59">
        <v>371</v>
      </c>
      <c r="P89" s="5">
        <v>5.0000000000000001E-4</v>
      </c>
      <c r="Q89" s="5">
        <v>2.9700000000000001E-2</v>
      </c>
      <c r="R89" s="79">
        <f t="shared" si="20"/>
        <v>-4.5196778174048373E-2</v>
      </c>
      <c r="S89" s="79">
        <f t="shared" si="21"/>
        <v>5.0212579511331673E-4</v>
      </c>
      <c r="T89" s="79">
        <f t="shared" si="22"/>
        <v>-1.0666666666666666E-2</v>
      </c>
      <c r="U89" s="80">
        <f t="shared" si="23"/>
        <v>-1.9999999999999998E-4</v>
      </c>
      <c r="V89" s="82">
        <f t="shared" si="24"/>
        <v>5.0000000000000044E-4</v>
      </c>
    </row>
    <row r="90" spans="1:22">
      <c r="A90" s="74">
        <v>79</v>
      </c>
      <c r="B90" s="135" t="s">
        <v>122</v>
      </c>
      <c r="C90" s="136" t="s">
        <v>42</v>
      </c>
      <c r="D90" s="2">
        <v>28437015493.130001</v>
      </c>
      <c r="E90" s="3">
        <f t="shared" si="36"/>
        <v>0.11891413932070528</v>
      </c>
      <c r="F90" s="14">
        <v>258.27999999999997</v>
      </c>
      <c r="G90" s="14">
        <v>258.27999999999997</v>
      </c>
      <c r="H90" s="59">
        <v>6561</v>
      </c>
      <c r="I90" s="5">
        <v>1E-4</v>
      </c>
      <c r="J90" s="5">
        <v>9.7000000000000003E-3</v>
      </c>
      <c r="K90" s="2">
        <v>28361447214.43</v>
      </c>
      <c r="L90" s="3">
        <f t="shared" si="37"/>
        <v>0.11867462708785423</v>
      </c>
      <c r="M90" s="14">
        <v>258.33</v>
      </c>
      <c r="N90" s="14">
        <v>258.33</v>
      </c>
      <c r="O90" s="59">
        <v>6583</v>
      </c>
      <c r="P90" s="5">
        <v>2.0000000000000001E-4</v>
      </c>
      <c r="Q90" s="5">
        <v>9.9000000000000008E-3</v>
      </c>
      <c r="R90" s="79">
        <f t="shared" si="20"/>
        <v>-2.6573913397577547E-3</v>
      </c>
      <c r="S90" s="79">
        <f t="shared" si="21"/>
        <v>1.9358835372468397E-4</v>
      </c>
      <c r="T90" s="79">
        <f t="shared" si="22"/>
        <v>3.3531473860691969E-3</v>
      </c>
      <c r="U90" s="80">
        <f t="shared" si="23"/>
        <v>1E-4</v>
      </c>
      <c r="V90" s="82">
        <f t="shared" si="24"/>
        <v>2.0000000000000052E-4</v>
      </c>
    </row>
    <row r="91" spans="1:22" ht="12.75" customHeight="1">
      <c r="A91" s="74">
        <v>80</v>
      </c>
      <c r="B91" s="135" t="s">
        <v>123</v>
      </c>
      <c r="C91" s="136" t="s">
        <v>42</v>
      </c>
      <c r="D91" s="2">
        <v>331327337.93000001</v>
      </c>
      <c r="E91" s="3">
        <f t="shared" si="36"/>
        <v>1.3855007123685257E-3</v>
      </c>
      <c r="F91" s="2">
        <v>5746.12</v>
      </c>
      <c r="G91" s="7">
        <v>5771.63</v>
      </c>
      <c r="H91" s="59">
        <v>15</v>
      </c>
      <c r="I91" s="5">
        <v>1.4800000000000001E-2</v>
      </c>
      <c r="J91" s="5">
        <v>8.7099999999999997E-2</v>
      </c>
      <c r="K91" s="2">
        <v>332613111.94999999</v>
      </c>
      <c r="L91" s="3">
        <f t="shared" si="37"/>
        <v>1.3917744298010877E-3</v>
      </c>
      <c r="M91" s="2">
        <v>5768.59</v>
      </c>
      <c r="N91" s="7">
        <v>5793.91</v>
      </c>
      <c r="O91" s="59">
        <v>15</v>
      </c>
      <c r="P91" s="5">
        <v>3.8999999999999998E-3</v>
      </c>
      <c r="Q91" s="5">
        <v>9.1300000000000006E-2</v>
      </c>
      <c r="R91" s="79">
        <f t="shared" si="20"/>
        <v>3.8806759141366966E-3</v>
      </c>
      <c r="S91" s="79">
        <f t="shared" si="21"/>
        <v>3.8602613126620636E-3</v>
      </c>
      <c r="T91" s="79">
        <f t="shared" si="22"/>
        <v>0</v>
      </c>
      <c r="U91" s="80">
        <f t="shared" si="23"/>
        <v>-1.09E-2</v>
      </c>
      <c r="V91" s="82">
        <f t="shared" si="24"/>
        <v>4.2000000000000093E-3</v>
      </c>
    </row>
    <row r="92" spans="1:22" ht="12.75" customHeight="1">
      <c r="A92" s="74">
        <v>81</v>
      </c>
      <c r="B92" s="135" t="s">
        <v>124</v>
      </c>
      <c r="C92" s="136" t="s">
        <v>42</v>
      </c>
      <c r="D92" s="2">
        <v>13223478063.75</v>
      </c>
      <c r="E92" s="3">
        <f t="shared" si="36"/>
        <v>5.5296186519887866E-2</v>
      </c>
      <c r="F92" s="14">
        <v>130.57</v>
      </c>
      <c r="G92" s="14">
        <v>130.57</v>
      </c>
      <c r="H92" s="59">
        <v>4405</v>
      </c>
      <c r="I92" s="5">
        <v>1.1999999999999999E-3</v>
      </c>
      <c r="J92" s="5">
        <v>3.6900000000000002E-2</v>
      </c>
      <c r="K92" s="2">
        <v>12930531311.700001</v>
      </c>
      <c r="L92" s="3">
        <f t="shared" si="37"/>
        <v>5.4106053540281605E-2</v>
      </c>
      <c r="M92" s="14">
        <v>130.72</v>
      </c>
      <c r="N92" s="14">
        <v>130.72</v>
      </c>
      <c r="O92" s="59">
        <v>4402</v>
      </c>
      <c r="P92" s="5">
        <v>1.1000000000000001E-3</v>
      </c>
      <c r="Q92" s="5">
        <v>3.8100000000000002E-2</v>
      </c>
      <c r="R92" s="79">
        <f t="shared" si="20"/>
        <v>-2.2153532575749854E-2</v>
      </c>
      <c r="S92" s="79">
        <f t="shared" si="21"/>
        <v>1.1488090679329531E-3</v>
      </c>
      <c r="T92" s="79">
        <f t="shared" si="22"/>
        <v>-6.8104426787741199E-4</v>
      </c>
      <c r="U92" s="80">
        <f t="shared" si="23"/>
        <v>-9.9999999999999829E-5</v>
      </c>
      <c r="V92" s="82">
        <f t="shared" si="24"/>
        <v>1.1999999999999997E-3</v>
      </c>
    </row>
    <row r="93" spans="1:22" ht="12.75" customHeight="1">
      <c r="A93" s="74">
        <v>82</v>
      </c>
      <c r="B93" s="135" t="s">
        <v>125</v>
      </c>
      <c r="C93" s="136" t="s">
        <v>42</v>
      </c>
      <c r="D93" s="2">
        <v>10540834340.719999</v>
      </c>
      <c r="E93" s="3">
        <f t="shared" si="36"/>
        <v>4.4078262842022584E-2</v>
      </c>
      <c r="F93" s="14">
        <v>357.04</v>
      </c>
      <c r="G93" s="14">
        <v>357.45</v>
      </c>
      <c r="H93" s="59">
        <v>10224</v>
      </c>
      <c r="I93" s="5">
        <v>8.2000000000000007E-3</v>
      </c>
      <c r="J93" s="5">
        <v>1.1599999999999999E-2</v>
      </c>
      <c r="K93" s="2">
        <v>10500476224.469999</v>
      </c>
      <c r="L93" s="3">
        <f t="shared" si="37"/>
        <v>4.3937817797599338E-2</v>
      </c>
      <c r="M93" s="14">
        <v>356.4</v>
      </c>
      <c r="N93" s="14">
        <v>356.81</v>
      </c>
      <c r="O93" s="59">
        <v>10219</v>
      </c>
      <c r="P93" s="5">
        <v>-1.8E-3</v>
      </c>
      <c r="Q93" s="5">
        <v>9.7999999999999997E-3</v>
      </c>
      <c r="R93" s="79">
        <f t="shared" si="20"/>
        <v>-3.8287402064648432E-3</v>
      </c>
      <c r="S93" s="79">
        <f t="shared" si="21"/>
        <v>-1.7904602042243289E-3</v>
      </c>
      <c r="T93" s="79">
        <f t="shared" si="22"/>
        <v>-4.8904538341158061E-4</v>
      </c>
      <c r="U93" s="80">
        <f t="shared" si="23"/>
        <v>-0.01</v>
      </c>
      <c r="V93" s="82">
        <f t="shared" si="24"/>
        <v>-1.7999999999999995E-3</v>
      </c>
    </row>
    <row r="94" spans="1:22">
      <c r="A94" s="74">
        <v>83</v>
      </c>
      <c r="B94" s="135" t="s">
        <v>126</v>
      </c>
      <c r="C94" s="136" t="s">
        <v>45</v>
      </c>
      <c r="D94" s="2">
        <v>87265036510.630005</v>
      </c>
      <c r="E94" s="3">
        <f t="shared" si="36"/>
        <v>0.36491335428496158</v>
      </c>
      <c r="F94" s="2">
        <v>1.9938</v>
      </c>
      <c r="G94" s="2">
        <v>1.9938</v>
      </c>
      <c r="H94" s="59">
        <v>6207</v>
      </c>
      <c r="I94" s="5">
        <v>3.4599999999999999E-2</v>
      </c>
      <c r="J94" s="5">
        <v>5.3999999999999999E-2</v>
      </c>
      <c r="K94" s="2">
        <v>87296063548.050003</v>
      </c>
      <c r="L94" s="3">
        <f t="shared" si="37"/>
        <v>0.36527853143303246</v>
      </c>
      <c r="M94" s="2">
        <v>1.9951000000000001</v>
      </c>
      <c r="N94" s="2">
        <v>1.9951000000000001</v>
      </c>
      <c r="O94" s="59">
        <v>6210</v>
      </c>
      <c r="P94" s="5">
        <v>3.4599999999999999E-2</v>
      </c>
      <c r="Q94" s="5">
        <v>5.3199999999999997E-2</v>
      </c>
      <c r="R94" s="79">
        <f t="shared" si="20"/>
        <v>3.5554946930227524E-4</v>
      </c>
      <c r="S94" s="79">
        <f t="shared" si="21"/>
        <v>6.5202126592440513E-4</v>
      </c>
      <c r="T94" s="79">
        <f t="shared" si="22"/>
        <v>4.833252779120348E-4</v>
      </c>
      <c r="U94" s="80">
        <f t="shared" si="23"/>
        <v>0</v>
      </c>
      <c r="V94" s="82">
        <f t="shared" si="24"/>
        <v>-8.000000000000021E-4</v>
      </c>
    </row>
    <row r="95" spans="1:22">
      <c r="A95" s="74">
        <v>84</v>
      </c>
      <c r="B95" s="135" t="s">
        <v>241</v>
      </c>
      <c r="C95" s="135" t="s">
        <v>242</v>
      </c>
      <c r="D95" s="2">
        <v>85975679.930000007</v>
      </c>
      <c r="E95" s="3">
        <f t="shared" si="36"/>
        <v>3.5952169396462504E-4</v>
      </c>
      <c r="F95" s="2">
        <v>105.59992162023723</v>
      </c>
      <c r="G95" s="2">
        <v>105.59992162023723</v>
      </c>
      <c r="H95" s="59">
        <v>59</v>
      </c>
      <c r="I95" s="5">
        <v>1.4683863482982628E-3</v>
      </c>
      <c r="J95" s="5">
        <v>3.9379537399356401E-2</v>
      </c>
      <c r="K95" s="2">
        <v>86087133.489999995</v>
      </c>
      <c r="L95" s="3">
        <f t="shared" si="37"/>
        <v>3.6021992766258071E-4</v>
      </c>
      <c r="M95" s="2">
        <v>105.89995631742751</v>
      </c>
      <c r="N95" s="2">
        <v>105.89995631742751</v>
      </c>
      <c r="O95" s="59">
        <v>58</v>
      </c>
      <c r="P95" s="5">
        <v>2.841239771647572E-3</v>
      </c>
      <c r="Q95" s="5">
        <v>4.233266387885215E-2</v>
      </c>
      <c r="R95" s="79">
        <f>((K95-D95)/D95)</f>
        <v>1.2963382213520282E-3</v>
      </c>
      <c r="S95" s="79">
        <f>((N95-G95)/G95)</f>
        <v>2.841239771647572E-3</v>
      </c>
      <c r="T95" s="79">
        <f>((O95-H95)/H95)</f>
        <v>-1.6949152542372881E-2</v>
      </c>
      <c r="U95" s="80">
        <f>P95-I95</f>
        <v>1.3728534233493092E-3</v>
      </c>
      <c r="V95" s="82">
        <f>Q95-J95</f>
        <v>2.953126479495749E-3</v>
      </c>
    </row>
    <row r="96" spans="1:22">
      <c r="A96" s="74">
        <v>85</v>
      </c>
      <c r="B96" s="135" t="s">
        <v>262</v>
      </c>
      <c r="C96" s="136" t="s">
        <v>261</v>
      </c>
      <c r="D96" s="2">
        <v>241287709.58000001</v>
      </c>
      <c r="E96" s="3">
        <f t="shared" si="36"/>
        <v>1.0089849379693774E-3</v>
      </c>
      <c r="F96" s="2">
        <v>1.01</v>
      </c>
      <c r="G96" s="2">
        <v>1.01</v>
      </c>
      <c r="H96" s="59">
        <v>245</v>
      </c>
      <c r="I96" s="5">
        <v>2.48E-3</v>
      </c>
      <c r="J96" s="5">
        <v>-3.2885999999999999E-2</v>
      </c>
      <c r="K96" s="2">
        <v>242173413.28999999</v>
      </c>
      <c r="L96" s="3">
        <f t="shared" si="37"/>
        <v>1.0133417838480764E-3</v>
      </c>
      <c r="M96" s="2">
        <v>1.01</v>
      </c>
      <c r="N96" s="2">
        <v>1.01</v>
      </c>
      <c r="O96" s="59">
        <v>252</v>
      </c>
      <c r="P96" s="5">
        <v>3.6180000000000001E-3</v>
      </c>
      <c r="Q96" s="5">
        <v>-2.9387E-2</v>
      </c>
      <c r="R96" s="79">
        <f>((K96-D96)/D96)</f>
        <v>3.6707369452911131E-3</v>
      </c>
      <c r="S96" s="79">
        <f>((N96-G96)/G96)</f>
        <v>0</v>
      </c>
      <c r="T96" s="79">
        <f>((O96-H96)/H96)</f>
        <v>2.8571428571428571E-2</v>
      </c>
      <c r="U96" s="80">
        <f>P96-I96</f>
        <v>1.1380000000000001E-3</v>
      </c>
      <c r="V96" s="82">
        <f>Q96-J96</f>
        <v>3.4989999999999986E-3</v>
      </c>
    </row>
    <row r="97" spans="1:28">
      <c r="A97" s="74">
        <v>86</v>
      </c>
      <c r="B97" s="135" t="s">
        <v>127</v>
      </c>
      <c r="C97" s="136" t="s">
        <v>91</v>
      </c>
      <c r="D97" s="2">
        <v>2558803713.71</v>
      </c>
      <c r="E97" s="3">
        <f t="shared" si="36"/>
        <v>1.0700065953825515E-2</v>
      </c>
      <c r="F97" s="14">
        <v>26.331299999999999</v>
      </c>
      <c r="G97" s="14">
        <v>26.331299999999999</v>
      </c>
      <c r="H97" s="59">
        <v>1316</v>
      </c>
      <c r="I97" s="5">
        <v>0</v>
      </c>
      <c r="J97" s="5">
        <v>0.1196</v>
      </c>
      <c r="K97" s="2">
        <v>2563173093.7199998</v>
      </c>
      <c r="L97" s="3">
        <f t="shared" si="37"/>
        <v>1.0725249976104084E-2</v>
      </c>
      <c r="M97" s="14">
        <v>26.381</v>
      </c>
      <c r="N97" s="14">
        <v>26.381</v>
      </c>
      <c r="O97" s="59">
        <v>1317</v>
      </c>
      <c r="P97" s="5">
        <v>0</v>
      </c>
      <c r="Q97" s="5">
        <v>0.1203</v>
      </c>
      <c r="R97" s="79">
        <f t="shared" si="20"/>
        <v>1.7075870206803023E-3</v>
      </c>
      <c r="S97" s="79">
        <f t="shared" si="21"/>
        <v>1.887487514858796E-3</v>
      </c>
      <c r="T97" s="79">
        <f t="shared" si="22"/>
        <v>7.5987841945288754E-4</v>
      </c>
      <c r="U97" s="80">
        <f t="shared" si="23"/>
        <v>0</v>
      </c>
      <c r="V97" s="82">
        <f t="shared" si="24"/>
        <v>7.0000000000000617E-4</v>
      </c>
    </row>
    <row r="98" spans="1:28">
      <c r="A98" s="74"/>
      <c r="B98" s="19"/>
      <c r="C98" s="70" t="s">
        <v>46</v>
      </c>
      <c r="D98" s="58">
        <f>SUM(D63:D97)</f>
        <v>239139059960.20239</v>
      </c>
      <c r="E98" s="99">
        <f>(D98/$D$195)</f>
        <v>8.2407080039519867E-2</v>
      </c>
      <c r="F98" s="30"/>
      <c r="G98" s="11"/>
      <c r="H98" s="64">
        <f>SUM(H63:H97)</f>
        <v>50200</v>
      </c>
      <c r="I98" s="12"/>
      <c r="J98" s="12"/>
      <c r="K98" s="58">
        <f>SUM(K63:K97)</f>
        <v>238984928037.17987</v>
      </c>
      <c r="L98" s="99">
        <f>(K98/$K$195)</f>
        <v>8.2100629786531584E-2</v>
      </c>
      <c r="M98" s="30"/>
      <c r="N98" s="11"/>
      <c r="O98" s="64">
        <f>SUM(O63:O97)</f>
        <v>49951</v>
      </c>
      <c r="P98" s="12"/>
      <c r="Q98" s="12"/>
      <c r="R98" s="79">
        <f t="shared" si="20"/>
        <v>-6.4452843064689077E-4</v>
      </c>
      <c r="S98" s="79" t="e">
        <f t="shared" si="21"/>
        <v>#DIV/0!</v>
      </c>
      <c r="T98" s="79">
        <f t="shared" si="22"/>
        <v>-4.9601593625498005E-3</v>
      </c>
      <c r="U98" s="80">
        <f t="shared" si="23"/>
        <v>0</v>
      </c>
      <c r="V98" s="82">
        <f t="shared" si="24"/>
        <v>0</v>
      </c>
    </row>
    <row r="99" spans="1:28" ht="8.25" customHeight="1">
      <c r="A99" s="148"/>
      <c r="B99" s="148"/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8"/>
      <c r="O99" s="148"/>
      <c r="P99" s="148"/>
      <c r="Q99" s="148"/>
      <c r="R99" s="148"/>
      <c r="S99" s="148"/>
      <c r="T99" s="148"/>
      <c r="U99" s="148"/>
      <c r="V99" s="148"/>
    </row>
    <row r="100" spans="1:28" ht="15" customHeight="1">
      <c r="A100" s="155" t="s">
        <v>128</v>
      </c>
      <c r="B100" s="155"/>
      <c r="C100" s="155"/>
      <c r="D100" s="155"/>
      <c r="E100" s="155"/>
      <c r="F100" s="155"/>
      <c r="G100" s="155"/>
      <c r="H100" s="155"/>
      <c r="I100" s="155"/>
      <c r="J100" s="155"/>
      <c r="K100" s="155"/>
      <c r="L100" s="155"/>
      <c r="M100" s="155"/>
      <c r="N100" s="155"/>
      <c r="O100" s="155"/>
      <c r="P100" s="155"/>
      <c r="Q100" s="155"/>
      <c r="R100" s="155"/>
      <c r="S100" s="155"/>
      <c r="T100" s="155"/>
      <c r="U100" s="155"/>
      <c r="V100" s="155"/>
    </row>
    <row r="101" spans="1:28">
      <c r="A101" s="159" t="s">
        <v>230</v>
      </c>
      <c r="B101" s="159"/>
      <c r="C101" s="159"/>
      <c r="D101" s="159"/>
      <c r="E101" s="159"/>
      <c r="F101" s="159"/>
      <c r="G101" s="159"/>
      <c r="H101" s="159"/>
      <c r="I101" s="159"/>
      <c r="J101" s="159"/>
      <c r="K101" s="159"/>
      <c r="L101" s="159"/>
      <c r="M101" s="159"/>
      <c r="N101" s="159"/>
      <c r="O101" s="159"/>
      <c r="P101" s="159"/>
      <c r="Q101" s="159"/>
      <c r="R101" s="159"/>
      <c r="S101" s="159"/>
      <c r="T101" s="159"/>
      <c r="U101" s="159"/>
      <c r="V101" s="159"/>
      <c r="Z101" s="113"/>
      <c r="AB101" s="102"/>
    </row>
    <row r="102" spans="1:28" ht="16.5" customHeight="1">
      <c r="A102" s="74">
        <v>87</v>
      </c>
      <c r="B102" s="135" t="s">
        <v>129</v>
      </c>
      <c r="C102" s="136" t="s">
        <v>17</v>
      </c>
      <c r="D102" s="2">
        <v>2582883856.5300002</v>
      </c>
      <c r="E102" s="3">
        <f>(D102/$D$131)</f>
        <v>1.8138418954035743E-3</v>
      </c>
      <c r="F102" s="2">
        <f>110.3548*1483.482</f>
        <v>163709.3594136</v>
      </c>
      <c r="G102" s="2">
        <f>110.3548*1483.482</f>
        <v>163709.3594136</v>
      </c>
      <c r="H102" s="59">
        <v>238</v>
      </c>
      <c r="I102" s="5">
        <v>8.0000000000000004E-4</v>
      </c>
      <c r="J102" s="5">
        <v>2.3800000000000002E-2</v>
      </c>
      <c r="K102" s="2">
        <v>2523485282.52</v>
      </c>
      <c r="L102" s="3">
        <f t="shared" ref="L102:L116" si="38">(K102/$K$131)</f>
        <v>1.7751109623272998E-3</v>
      </c>
      <c r="M102" s="2">
        <f>110.4921*1448.465</f>
        <v>160043.93962649998</v>
      </c>
      <c r="N102" s="2">
        <f>110.4921*1448.465</f>
        <v>160043.93962649998</v>
      </c>
      <c r="O102" s="59">
        <v>241</v>
      </c>
      <c r="P102" s="5">
        <v>1.1999999999999999E-3</v>
      </c>
      <c r="Q102" s="5">
        <v>2.5100000000000001E-2</v>
      </c>
      <c r="R102" s="80">
        <f>((K102-D102)/D102)</f>
        <v>-2.2996997662062826E-2</v>
      </c>
      <c r="S102" s="80">
        <f>((N102-G102)/G102)</f>
        <v>-2.2389799827141222E-2</v>
      </c>
      <c r="T102" s="80">
        <f>((O102-H102)/H102)</f>
        <v>1.2605042016806723E-2</v>
      </c>
      <c r="U102" s="80">
        <f>P102-I102</f>
        <v>3.9999999999999986E-4</v>
      </c>
      <c r="V102" s="82">
        <f>Q102-J102</f>
        <v>1.2999999999999991E-3</v>
      </c>
      <c r="X102" s="113"/>
      <c r="Y102" s="115"/>
      <c r="Z102" s="113"/>
      <c r="AA102" s="103"/>
    </row>
    <row r="103" spans="1:28" ht="16.5" customHeight="1">
      <c r="A103" s="74">
        <v>88</v>
      </c>
      <c r="B103" s="135" t="s">
        <v>268</v>
      </c>
      <c r="C103" s="136" t="s">
        <v>50</v>
      </c>
      <c r="D103" s="2">
        <f>1343974.44*1483.482</f>
        <v>1993761890.2000799</v>
      </c>
      <c r="E103" s="3">
        <f>(D103/$D$131)</f>
        <v>1.4001283242996341E-3</v>
      </c>
      <c r="F103" s="2">
        <f>100*1483.482</f>
        <v>148348.20000000001</v>
      </c>
      <c r="G103" s="2">
        <f>100*1483.482</f>
        <v>148348.20000000001</v>
      </c>
      <c r="H103" s="59">
        <v>13</v>
      </c>
      <c r="I103" s="5">
        <v>7.2999999999999999E-5</v>
      </c>
      <c r="J103" s="5">
        <v>-5.8820000000000001E-3</v>
      </c>
      <c r="K103" s="2">
        <f>1346949.05*1448.465</f>
        <v>1951008555.70825</v>
      </c>
      <c r="L103" s="3">
        <f t="shared" si="38"/>
        <v>1.3724100944125951E-3</v>
      </c>
      <c r="M103" s="2">
        <f>100*1448.465</f>
        <v>144846.5</v>
      </c>
      <c r="N103" s="2">
        <f>100*1448.465</f>
        <v>144846.5</v>
      </c>
      <c r="O103" s="59">
        <v>13</v>
      </c>
      <c r="P103" s="5">
        <v>6.2000000000000003E-5</v>
      </c>
      <c r="Q103" s="5">
        <v>6.2694E-2</v>
      </c>
      <c r="R103" s="80">
        <f>((K103-D103)/D103)</f>
        <v>-2.1443550858292033E-2</v>
      </c>
      <c r="S103" s="80">
        <f>((N103-G103)/G103)</f>
        <v>-2.3604600527677527E-2</v>
      </c>
      <c r="T103" s="80">
        <f>((O103-H103)/H103)</f>
        <v>0</v>
      </c>
      <c r="U103" s="80">
        <f>P103-I103</f>
        <v>-1.0999999999999996E-5</v>
      </c>
      <c r="V103" s="82">
        <f>Q103-J103</f>
        <v>6.8575999999999998E-2</v>
      </c>
      <c r="X103" s="113"/>
      <c r="Y103" s="115"/>
      <c r="Z103" s="113"/>
      <c r="AA103" s="103"/>
    </row>
    <row r="104" spans="1:28">
      <c r="A104" s="74">
        <v>89</v>
      </c>
      <c r="B104" s="135" t="s">
        <v>130</v>
      </c>
      <c r="C104" s="136" t="s">
        <v>21</v>
      </c>
      <c r="D104" s="2">
        <f>10975541.94*1482.982</f>
        <v>16276531137.265079</v>
      </c>
      <c r="E104" s="3">
        <f>(D104/$D$131)</f>
        <v>1.143026776599828E-2</v>
      </c>
      <c r="F104" s="2">
        <f>1.1255*1482.982</f>
        <v>1669.096241</v>
      </c>
      <c r="G104" s="2">
        <f>1.1255*1482.982</f>
        <v>1669.096241</v>
      </c>
      <c r="H104" s="59">
        <v>301</v>
      </c>
      <c r="I104" s="5">
        <v>5.5800000000000002E-2</v>
      </c>
      <c r="J104" s="5">
        <v>-0.1032</v>
      </c>
      <c r="K104" s="2">
        <f>10951087.09*1447.965</f>
        <v>15856790818.271849</v>
      </c>
      <c r="L104" s="3">
        <f t="shared" si="38"/>
        <v>1.115424108229256E-2</v>
      </c>
      <c r="M104" s="2">
        <f>1.1267*1447.965</f>
        <v>1631.4221654999999</v>
      </c>
      <c r="N104" s="2">
        <f>1.1267*1447.965</f>
        <v>1631.4221654999999</v>
      </c>
      <c r="O104" s="59">
        <v>301</v>
      </c>
      <c r="P104" s="5">
        <v>5.57E-2</v>
      </c>
      <c r="Q104" s="5">
        <v>-9.6299999999999997E-2</v>
      </c>
      <c r="R104" s="80">
        <f t="shared" ref="R104:R116" si="39">((K104-D104)/D104)</f>
        <v>-2.5788069672427704E-2</v>
      </c>
      <c r="S104" s="80">
        <f t="shared" ref="S104:S116" si="40">((N104-G104)/G104)</f>
        <v>-2.2571541756890263E-2</v>
      </c>
      <c r="T104" s="80">
        <f t="shared" ref="T104:T116" si="41">((O104-H104)/H104)</f>
        <v>0</v>
      </c>
      <c r="U104" s="80">
        <f t="shared" ref="U104:U116" si="42">P104-I104</f>
        <v>-1.0000000000000286E-4</v>
      </c>
      <c r="V104" s="82">
        <f t="shared" ref="V104:V116" si="43">Q104-J104</f>
        <v>6.9000000000000034E-3</v>
      </c>
    </row>
    <row r="105" spans="1:28">
      <c r="A105" s="74">
        <v>90</v>
      </c>
      <c r="B105" s="135" t="s">
        <v>267</v>
      </c>
      <c r="C105" s="136" t="s">
        <v>99</v>
      </c>
      <c r="D105" s="2">
        <f>1524512.17*1483.482</f>
        <v>2261586362.9759398</v>
      </c>
      <c r="E105" s="3">
        <f>(D105/$D$131)</f>
        <v>1.5882092742451998E-3</v>
      </c>
      <c r="F105" s="2">
        <f>1.0205*1483.482</f>
        <v>1513.8933809999999</v>
      </c>
      <c r="G105" s="2">
        <f>1.0205*1483.482</f>
        <v>1513.8933809999999</v>
      </c>
      <c r="H105" s="59">
        <v>209</v>
      </c>
      <c r="I105" s="5">
        <v>1.1000000000000001E-3</v>
      </c>
      <c r="J105" s="5">
        <v>2.0500000000000001E-2</v>
      </c>
      <c r="K105" s="2">
        <f>1646006.13*1448.465</f>
        <v>2384182269.0904498</v>
      </c>
      <c r="L105" s="3">
        <f t="shared" si="38"/>
        <v>1.6771201763548591E-3</v>
      </c>
      <c r="M105" s="2">
        <f>1.0218*1448.465</f>
        <v>1480.0415370000001</v>
      </c>
      <c r="N105" s="2">
        <f>1.0218*1448.465</f>
        <v>1480.0415370000001</v>
      </c>
      <c r="O105" s="59">
        <v>211</v>
      </c>
      <c r="P105" s="5">
        <v>1.2999999999999999E-3</v>
      </c>
      <c r="Q105" s="5">
        <v>2.18E-2</v>
      </c>
      <c r="R105" s="80">
        <f t="shared" ref="R105" si="44">((K105-D105)/D105)</f>
        <v>5.4207925959188462E-2</v>
      </c>
      <c r="S105" s="80">
        <f t="shared" ref="S105" si="45">((N105-G105)/G105)</f>
        <v>-2.2360784732171179E-2</v>
      </c>
      <c r="T105" s="80">
        <f t="shared" ref="T105" si="46">((O105-H105)/H105)</f>
        <v>9.5693779904306216E-3</v>
      </c>
      <c r="U105" s="80">
        <f t="shared" ref="U105" si="47">P105-I105</f>
        <v>1.9999999999999987E-4</v>
      </c>
      <c r="V105" s="82">
        <f t="shared" ref="V105" si="48">Q105-J105</f>
        <v>1.2999999999999991E-3</v>
      </c>
    </row>
    <row r="106" spans="1:28">
      <c r="A106" s="74">
        <v>91</v>
      </c>
      <c r="B106" s="135" t="s">
        <v>272</v>
      </c>
      <c r="C106" s="136" t="s">
        <v>269</v>
      </c>
      <c r="D106" s="2">
        <f>362198.86*1483.482</f>
        <v>537315489.23052001</v>
      </c>
      <c r="E106" s="3">
        <f>(D106/$D$131)</f>
        <v>3.7733223774332928E-4</v>
      </c>
      <c r="F106" s="2">
        <f>1.062*1483.482</f>
        <v>1575.4578840000001</v>
      </c>
      <c r="G106" s="2">
        <f>1.068*1483.482</f>
        <v>1584.358776</v>
      </c>
      <c r="H106" s="59">
        <v>13</v>
      </c>
      <c r="I106" s="5">
        <v>0.12753800000000001</v>
      </c>
      <c r="J106" s="5">
        <v>7.1261000000000005E-2</v>
      </c>
      <c r="K106" s="2">
        <f>363807.11*1448.465</f>
        <v>526961865.58614993</v>
      </c>
      <c r="L106" s="3">
        <f t="shared" si="38"/>
        <v>3.7068406572844995E-4</v>
      </c>
      <c r="M106" s="2">
        <f>1.0641*1448.465</f>
        <v>1541.3116064999999</v>
      </c>
      <c r="N106" s="2">
        <f>1.0705*1448.465</f>
        <v>1550.5817824999999</v>
      </c>
      <c r="O106" s="59">
        <v>13</v>
      </c>
      <c r="P106" s="5">
        <v>6.0199999999999997E-2</v>
      </c>
      <c r="Q106" s="5">
        <v>7.3200000000000001E-2</v>
      </c>
      <c r="R106" s="80">
        <f t="shared" ref="R106" si="49">((K106-D106)/D106)</f>
        <v>-1.9269170258235661E-2</v>
      </c>
      <c r="S106" s="80">
        <f t="shared" ref="S106" si="50">((N106-G106)/G106)</f>
        <v>-2.1319030772358416E-2</v>
      </c>
      <c r="T106" s="80">
        <f t="shared" ref="T106" si="51">((O106-H106)/H106)</f>
        <v>0</v>
      </c>
      <c r="U106" s="80">
        <f t="shared" ref="U106" si="52">P106-I106</f>
        <v>-6.7338000000000009E-2</v>
      </c>
      <c r="V106" s="82">
        <f t="shared" ref="V106" si="53">Q106-J106</f>
        <v>1.9389999999999963E-3</v>
      </c>
    </row>
    <row r="107" spans="1:28">
      <c r="A107" s="74">
        <v>92</v>
      </c>
      <c r="B107" s="135" t="s">
        <v>243</v>
      </c>
      <c r="C107" s="136" t="s">
        <v>25</v>
      </c>
      <c r="D107" s="2">
        <f>471922.7*1483.482</f>
        <v>700088830.84140003</v>
      </c>
      <c r="E107" s="3">
        <v>0</v>
      </c>
      <c r="F107" s="2">
        <f>1.1426*1483.482</f>
        <v>1695.0265332000001</v>
      </c>
      <c r="G107" s="2">
        <f>1.1426*1483.482</f>
        <v>1695.0265332000001</v>
      </c>
      <c r="H107" s="59">
        <v>33</v>
      </c>
      <c r="I107" s="5">
        <v>1.75E-4</v>
      </c>
      <c r="J107" s="5">
        <v>0.1115</v>
      </c>
      <c r="K107" s="2">
        <f>472496.98*1448.465</f>
        <v>684395338.13569999</v>
      </c>
      <c r="L107" s="3">
        <f t="shared" si="38"/>
        <v>4.8142847343146791E-4</v>
      </c>
      <c r="M107" s="2">
        <f>1.144*1448.465</f>
        <v>1657.0439599999997</v>
      </c>
      <c r="N107" s="2">
        <f>1.144*1448.465</f>
        <v>1657.0439599999997</v>
      </c>
      <c r="O107" s="59">
        <v>33</v>
      </c>
      <c r="P107" s="5">
        <v>1.76E-4</v>
      </c>
      <c r="Q107" s="5">
        <v>0.1134</v>
      </c>
      <c r="R107" s="80">
        <f>((K107-D107)/D107)</f>
        <v>-2.2416430621866733E-2</v>
      </c>
      <c r="S107" s="80">
        <f>((N107-G107)/G107)</f>
        <v>-2.2408246983776706E-2</v>
      </c>
      <c r="T107" s="80">
        <f>((O107-H107)/H107)</f>
        <v>0</v>
      </c>
      <c r="U107" s="80">
        <f>P107-I107</f>
        <v>9.999999999999972E-7</v>
      </c>
      <c r="V107" s="82">
        <f t="shared" si="43"/>
        <v>1.8999999999999989E-3</v>
      </c>
    </row>
    <row r="108" spans="1:28">
      <c r="A108" s="74">
        <v>93</v>
      </c>
      <c r="B108" s="135" t="s">
        <v>139</v>
      </c>
      <c r="C108" s="136" t="s">
        <v>64</v>
      </c>
      <c r="D108" s="2">
        <f>417028.67*1483.482</f>
        <v>618654525.42893994</v>
      </c>
      <c r="E108" s="3">
        <f t="shared" ref="E108:E116" si="54">(D108/$D$131)</f>
        <v>4.3445294459022976E-4</v>
      </c>
      <c r="F108" s="2">
        <f>105.44*1483.482</f>
        <v>156418.34208</v>
      </c>
      <c r="G108" s="2">
        <f>107.2*1483.482</f>
        <v>159029.27040000001</v>
      </c>
      <c r="H108" s="59">
        <v>43</v>
      </c>
      <c r="I108" s="5">
        <v>1.1000000000000001E-3</v>
      </c>
      <c r="J108" s="5">
        <v>3.2399999999999998E-2</v>
      </c>
      <c r="K108" s="2">
        <f>417276.07*1448.465</f>
        <v>604409782.73255002</v>
      </c>
      <c r="L108" s="3">
        <f t="shared" si="38"/>
        <v>4.2516373624140914E-4</v>
      </c>
      <c r="M108" s="2">
        <f>105.5*1448.465</f>
        <v>152813.0575</v>
      </c>
      <c r="N108" s="2">
        <f>107.34*1448.465</f>
        <v>155478.23309999998</v>
      </c>
      <c r="O108" s="59">
        <v>43</v>
      </c>
      <c r="P108" s="5">
        <v>8.9999999999999998E-4</v>
      </c>
      <c r="Q108" s="5">
        <v>3.3300000000000003E-2</v>
      </c>
      <c r="R108" s="80">
        <f>((K108-D108)/D108)</f>
        <v>-2.3025359244747166E-2</v>
      </c>
      <c r="S108" s="80">
        <f>((N108-G108)/G108)</f>
        <v>-2.2329457282098085E-2</v>
      </c>
      <c r="T108" s="80">
        <f>((O108-H108)/H108)</f>
        <v>0</v>
      </c>
      <c r="U108" s="80">
        <f>P108-I108</f>
        <v>-2.0000000000000009E-4</v>
      </c>
      <c r="V108" s="82">
        <f>Q108-J108</f>
        <v>9.0000000000000496E-4</v>
      </c>
    </row>
    <row r="109" spans="1:28">
      <c r="A109" s="74">
        <v>94</v>
      </c>
      <c r="B109" s="135" t="s">
        <v>131</v>
      </c>
      <c r="C109" s="136" t="s">
        <v>67</v>
      </c>
      <c r="D109" s="2">
        <v>4197714042.88236</v>
      </c>
      <c r="E109" s="3">
        <f t="shared" si="54"/>
        <v>2.9478637131338252E-3</v>
      </c>
      <c r="F109" s="2">
        <v>158509.7550036</v>
      </c>
      <c r="G109" s="2">
        <v>158509.7550036</v>
      </c>
      <c r="H109" s="59">
        <v>52</v>
      </c>
      <c r="I109" s="5">
        <v>3.1780000000000003E-2</v>
      </c>
      <c r="J109" s="5">
        <v>9.6199999999999994E-2</v>
      </c>
      <c r="K109" s="2">
        <v>4101294594.0878501</v>
      </c>
      <c r="L109" s="3">
        <f t="shared" si="38"/>
        <v>2.8849991890695071E-3</v>
      </c>
      <c r="M109" s="2">
        <v>154810.490735</v>
      </c>
      <c r="N109" s="2">
        <v>154810.490735</v>
      </c>
      <c r="O109" s="59">
        <v>54</v>
      </c>
      <c r="P109" s="5">
        <v>3.0970577389943677E-2</v>
      </c>
      <c r="Q109" s="5">
        <v>2.5369181865991623E-2</v>
      </c>
      <c r="R109" s="80">
        <f t="shared" si="39"/>
        <v>-2.296951336120635E-2</v>
      </c>
      <c r="S109" s="80">
        <f t="shared" si="40"/>
        <v>-2.3337770401045586E-2</v>
      </c>
      <c r="T109" s="80">
        <f t="shared" si="41"/>
        <v>3.8461538461538464E-2</v>
      </c>
      <c r="U109" s="80">
        <f t="shared" si="42"/>
        <v>-8.0942261005632551E-4</v>
      </c>
      <c r="V109" s="82">
        <f t="shared" si="43"/>
        <v>-7.0830818134008378E-2</v>
      </c>
      <c r="X109" s="107"/>
    </row>
    <row r="110" spans="1:28">
      <c r="A110" s="74">
        <v>95</v>
      </c>
      <c r="B110" s="135" t="s">
        <v>132</v>
      </c>
      <c r="C110" s="136" t="s">
        <v>27</v>
      </c>
      <c r="D110" s="2">
        <v>42385828229.160004</v>
      </c>
      <c r="E110" s="3">
        <f t="shared" si="54"/>
        <v>2.9765639991539018E-2</v>
      </c>
      <c r="F110" s="2">
        <v>190013.54</v>
      </c>
      <c r="G110" s="2">
        <v>190013.54</v>
      </c>
      <c r="H110" s="59">
        <v>2108</v>
      </c>
      <c r="I110" s="5">
        <v>1.4E-3</v>
      </c>
      <c r="J110" s="5">
        <v>3.1899999999999998E-2</v>
      </c>
      <c r="K110" s="2">
        <v>42328780970.120003</v>
      </c>
      <c r="L110" s="3">
        <f t="shared" si="38"/>
        <v>2.9775597917090568E-2</v>
      </c>
      <c r="M110" s="2">
        <v>189980.4</v>
      </c>
      <c r="N110" s="2">
        <v>189980.4</v>
      </c>
      <c r="O110" s="59">
        <v>2115</v>
      </c>
      <c r="P110" s="5">
        <v>1.1999999999999999E-3</v>
      </c>
      <c r="Q110" s="5">
        <v>3.3099999999999997E-2</v>
      </c>
      <c r="R110" s="80">
        <f t="shared" si="39"/>
        <v>-1.345904077456586E-3</v>
      </c>
      <c r="S110" s="80">
        <f t="shared" si="40"/>
        <v>-1.7440862372236193E-4</v>
      </c>
      <c r="T110" s="80">
        <f t="shared" si="41"/>
        <v>3.3206831119544592E-3</v>
      </c>
      <c r="U110" s="80">
        <f t="shared" si="42"/>
        <v>-2.0000000000000009E-4</v>
      </c>
      <c r="V110" s="82">
        <f t="shared" si="43"/>
        <v>1.1999999999999997E-3</v>
      </c>
    </row>
    <row r="111" spans="1:28">
      <c r="A111" s="74">
        <v>96</v>
      </c>
      <c r="B111" s="145" t="s">
        <v>133</v>
      </c>
      <c r="C111" s="145" t="s">
        <v>27</v>
      </c>
      <c r="D111" s="2">
        <v>75771653169.970001</v>
      </c>
      <c r="E111" s="3">
        <f t="shared" si="54"/>
        <v>5.3210986880502922E-2</v>
      </c>
      <c r="F111" s="2">
        <v>172790.92</v>
      </c>
      <c r="G111" s="2">
        <v>172790.92</v>
      </c>
      <c r="H111" s="59">
        <v>399</v>
      </c>
      <c r="I111" s="5">
        <v>1.6999999999999999E-3</v>
      </c>
      <c r="J111" s="5">
        <v>3.9300000000000002E-2</v>
      </c>
      <c r="K111" s="2">
        <v>75050611614.880005</v>
      </c>
      <c r="L111" s="3">
        <f t="shared" si="38"/>
        <v>5.2793318958414097E-2</v>
      </c>
      <c r="M111" s="2">
        <v>172825.48</v>
      </c>
      <c r="N111" s="2">
        <v>172825.48</v>
      </c>
      <c r="O111" s="59">
        <v>403</v>
      </c>
      <c r="P111" s="5">
        <v>1.5E-3</v>
      </c>
      <c r="Q111" s="5">
        <v>4.0899999999999999E-2</v>
      </c>
      <c r="R111" s="80">
        <f t="shared" si="39"/>
        <v>-9.5159802501941608E-3</v>
      </c>
      <c r="S111" s="80">
        <f t="shared" si="40"/>
        <v>2.0001050981149744E-4</v>
      </c>
      <c r="T111" s="80">
        <f t="shared" si="41"/>
        <v>1.0025062656641603E-2</v>
      </c>
      <c r="U111" s="80">
        <f t="shared" si="42"/>
        <v>-1.9999999999999987E-4</v>
      </c>
      <c r="V111" s="82">
        <f t="shared" si="43"/>
        <v>1.5999999999999973E-3</v>
      </c>
    </row>
    <row r="112" spans="1:28">
      <c r="A112" s="74">
        <v>97</v>
      </c>
      <c r="B112" s="135" t="s">
        <v>134</v>
      </c>
      <c r="C112" s="136" t="s">
        <v>31</v>
      </c>
      <c r="D112" s="2">
        <f>96122.37*1483.482</f>
        <v>142595805.69233999</v>
      </c>
      <c r="E112" s="3">
        <f t="shared" si="54"/>
        <v>1.0013855087587039E-4</v>
      </c>
      <c r="F112" s="2">
        <f>111.202*1483.482</f>
        <v>164966.16536399999</v>
      </c>
      <c r="G112" s="2">
        <f>111.202*1483.482</f>
        <v>164966.16536399999</v>
      </c>
      <c r="H112" s="59">
        <v>4</v>
      </c>
      <c r="I112" s="5">
        <v>2E-3</v>
      </c>
      <c r="J112" s="5">
        <v>-2.9600000000000001E-2</v>
      </c>
      <c r="K112" s="2">
        <f>96332.17*1448.465</f>
        <v>139533776.61905</v>
      </c>
      <c r="L112" s="3">
        <f t="shared" si="38"/>
        <v>9.8153113159454795E-5</v>
      </c>
      <c r="M112" s="2">
        <f>111.445*1448.465</f>
        <v>161424.18192499998</v>
      </c>
      <c r="N112" s="2">
        <f>111.445*1448.465</f>
        <v>161424.18192499998</v>
      </c>
      <c r="O112" s="59">
        <v>4</v>
      </c>
      <c r="P112" s="5">
        <v>2.2000000000000001E-3</v>
      </c>
      <c r="Q112" s="5">
        <v>-2.75E-2</v>
      </c>
      <c r="R112" s="80">
        <f t="shared" si="39"/>
        <v>-2.1473486253140738E-2</v>
      </c>
      <c r="S112" s="80">
        <f t="shared" si="40"/>
        <v>-2.147096909953972E-2</v>
      </c>
      <c r="T112" s="80">
        <f t="shared" si="41"/>
        <v>0</v>
      </c>
      <c r="U112" s="80">
        <f t="shared" si="42"/>
        <v>2.0000000000000009E-4</v>
      </c>
      <c r="V112" s="82">
        <f t="shared" si="43"/>
        <v>2.1000000000000012E-3</v>
      </c>
    </row>
    <row r="113" spans="1:24">
      <c r="A113" s="74">
        <v>98</v>
      </c>
      <c r="B113" s="135" t="s">
        <v>135</v>
      </c>
      <c r="C113" s="136" t="s">
        <v>34</v>
      </c>
      <c r="D113" s="2">
        <f>10891628.55*1483.482</f>
        <v>16157534904.611101</v>
      </c>
      <c r="E113" s="3">
        <f t="shared" si="54"/>
        <v>1.1346702122255805E-2</v>
      </c>
      <c r="F113" s="2">
        <f>1.35*1483.482</f>
        <v>2002.7007000000001</v>
      </c>
      <c r="G113" s="2">
        <f>1.35*1483.482</f>
        <v>2002.7007000000001</v>
      </c>
      <c r="H113" s="60">
        <v>112</v>
      </c>
      <c r="I113" s="12">
        <v>1.2999999999999999E-3</v>
      </c>
      <c r="J113" s="12">
        <v>4.7399999999999998E-2</v>
      </c>
      <c r="K113" s="2">
        <f>10798374.47*1448.465</f>
        <v>15641067476.688551</v>
      </c>
      <c r="L113" s="3">
        <f t="shared" si="38"/>
        <v>1.1002493469129553E-2</v>
      </c>
      <c r="M113" s="2">
        <f>1.35*1448.465</f>
        <v>1955.4277500000001</v>
      </c>
      <c r="N113" s="2">
        <f>1.35*1448.465</f>
        <v>1955.4277500000001</v>
      </c>
      <c r="O113" s="60">
        <v>111</v>
      </c>
      <c r="P113" s="12">
        <v>8.9999999999999998E-4</v>
      </c>
      <c r="Q113" s="12">
        <v>4.7500000000000001E-2</v>
      </c>
      <c r="R113" s="80">
        <f t="shared" si="39"/>
        <v>-3.1964494025332954E-2</v>
      </c>
      <c r="S113" s="80">
        <f t="shared" si="40"/>
        <v>-2.3604600527677468E-2</v>
      </c>
      <c r="T113" s="80">
        <f t="shared" si="41"/>
        <v>-8.9285714285714281E-3</v>
      </c>
      <c r="U113" s="80">
        <f t="shared" si="42"/>
        <v>-3.9999999999999996E-4</v>
      </c>
      <c r="V113" s="82">
        <f t="shared" si="43"/>
        <v>1.0000000000000286E-4</v>
      </c>
    </row>
    <row r="114" spans="1:24">
      <c r="A114" s="74">
        <v>99</v>
      </c>
      <c r="B114" s="135" t="s">
        <v>136</v>
      </c>
      <c r="C114" s="136" t="s">
        <v>78</v>
      </c>
      <c r="D114" s="2">
        <f>11082394.71*1483.482</f>
        <v>16440533069.180222</v>
      </c>
      <c r="E114" s="3">
        <f t="shared" si="54"/>
        <v>1.1545438866039322E-2</v>
      </c>
      <c r="F114" s="2">
        <f>104.33*1483.482</f>
        <v>154771.67705999999</v>
      </c>
      <c r="G114" s="2">
        <f>104.33*1483.482</f>
        <v>154771.67705999999</v>
      </c>
      <c r="H114" s="59">
        <v>336</v>
      </c>
      <c r="I114" s="5">
        <v>1.6000000000000001E-3</v>
      </c>
      <c r="J114" s="5">
        <v>4.1599999999999998E-2</v>
      </c>
      <c r="K114" s="2">
        <f>11358394.99*1448.465</f>
        <v>16452237599.19035</v>
      </c>
      <c r="L114" s="3">
        <f t="shared" si="38"/>
        <v>1.1573099918368438E-2</v>
      </c>
      <c r="M114" s="2">
        <f>104.72*1448.465</f>
        <v>151683.2548</v>
      </c>
      <c r="N114" s="2">
        <f>104.72*1448.465</f>
        <v>151683.2548</v>
      </c>
      <c r="O114" s="59">
        <v>337</v>
      </c>
      <c r="P114" s="5">
        <v>3.8E-3</v>
      </c>
      <c r="Q114" s="5">
        <v>4.555E-2</v>
      </c>
      <c r="R114" s="80">
        <f t="shared" si="39"/>
        <v>7.119312957114259E-4</v>
      </c>
      <c r="S114" s="80">
        <f t="shared" si="40"/>
        <v>-1.9954699197338995E-2</v>
      </c>
      <c r="T114" s="80">
        <f t="shared" si="41"/>
        <v>2.976190476190476E-3</v>
      </c>
      <c r="U114" s="80">
        <f t="shared" si="42"/>
        <v>2.1999999999999997E-3</v>
      </c>
      <c r="V114" s="82">
        <f t="shared" si="43"/>
        <v>3.9500000000000021E-3</v>
      </c>
    </row>
    <row r="115" spans="1:24">
      <c r="A115" s="74">
        <v>100</v>
      </c>
      <c r="B115" s="135" t="s">
        <v>137</v>
      </c>
      <c r="C115" s="136" t="s">
        <v>38</v>
      </c>
      <c r="D115" s="2">
        <f>1908959.31*1483.482</f>
        <v>2831906775.1174202</v>
      </c>
      <c r="E115" s="3">
        <f t="shared" si="54"/>
        <v>1.9887193687005583E-3</v>
      </c>
      <c r="F115" s="2">
        <f>134.82*1483.482</f>
        <v>200003.04324</v>
      </c>
      <c r="G115" s="2">
        <f>138.25*1483.482</f>
        <v>205091.38649999999</v>
      </c>
      <c r="H115" s="59">
        <v>48</v>
      </c>
      <c r="I115" s="5">
        <v>6.8999999999999999E-3</v>
      </c>
      <c r="J115" s="5">
        <v>2.2499999999999999E-2</v>
      </c>
      <c r="K115" s="2">
        <f>1912073.87*1448.465</f>
        <v>2769572078.10955</v>
      </c>
      <c r="L115" s="3">
        <f t="shared" si="38"/>
        <v>1.948217328970651E-3</v>
      </c>
      <c r="M115" s="2">
        <f>134.96*1448.465</f>
        <v>195484.8364</v>
      </c>
      <c r="N115" s="2">
        <f>138.43*1448.465</f>
        <v>200511.00995000001</v>
      </c>
      <c r="O115" s="59">
        <v>48</v>
      </c>
      <c r="P115" s="5">
        <v>6.9999999999999999E-4</v>
      </c>
      <c r="Q115" s="5">
        <v>2.3800000000000002E-2</v>
      </c>
      <c r="R115" s="80">
        <f t="shared" si="39"/>
        <v>-2.2011563924199305E-2</v>
      </c>
      <c r="S115" s="80">
        <f t="shared" si="40"/>
        <v>-2.2333344311366223E-2</v>
      </c>
      <c r="T115" s="80">
        <f t="shared" si="41"/>
        <v>0</v>
      </c>
      <c r="U115" s="80">
        <f t="shared" si="42"/>
        <v>-6.1999999999999998E-3</v>
      </c>
      <c r="V115" s="82">
        <f t="shared" si="43"/>
        <v>1.3000000000000025E-3</v>
      </c>
    </row>
    <row r="116" spans="1:24" ht="16.5" customHeight="1">
      <c r="A116" s="74">
        <v>101</v>
      </c>
      <c r="B116" s="135" t="s">
        <v>138</v>
      </c>
      <c r="C116" s="136" t="s">
        <v>45</v>
      </c>
      <c r="D116" s="4">
        <v>221521020897.95001</v>
      </c>
      <c r="E116" s="3">
        <f t="shared" si="54"/>
        <v>0.15556414098970753</v>
      </c>
      <c r="F116" s="2">
        <v>188813.31</v>
      </c>
      <c r="G116" s="2">
        <v>188813.31</v>
      </c>
      <c r="H116" s="59">
        <v>3176</v>
      </c>
      <c r="I116" s="5">
        <v>5.3100000000000001E-2</v>
      </c>
      <c r="J116" s="5">
        <v>5.3699999999999998E-2</v>
      </c>
      <c r="K116" s="4">
        <v>221361298368.03</v>
      </c>
      <c r="L116" s="3">
        <f t="shared" si="38"/>
        <v>0.15571355620338556</v>
      </c>
      <c r="M116" s="2">
        <v>188746.17</v>
      </c>
      <c r="N116" s="2">
        <v>188746.17</v>
      </c>
      <c r="O116" s="59">
        <v>3178</v>
      </c>
      <c r="P116" s="5">
        <v>5.2999999999999999E-2</v>
      </c>
      <c r="Q116" s="5">
        <v>5.3600000000000002E-2</v>
      </c>
      <c r="R116" s="80">
        <f t="shared" si="39"/>
        <v>-7.2102651600542311E-4</v>
      </c>
      <c r="S116" s="80">
        <f t="shared" si="40"/>
        <v>-3.5558933848458494E-4</v>
      </c>
      <c r="T116" s="80">
        <f t="shared" si="41"/>
        <v>6.2972292191435767E-4</v>
      </c>
      <c r="U116" s="80">
        <f t="shared" si="42"/>
        <v>-1.0000000000000286E-4</v>
      </c>
      <c r="V116" s="82">
        <f t="shared" si="43"/>
        <v>-9.9999999999995925E-5</v>
      </c>
    </row>
    <row r="117" spans="1:24" ht="6" customHeight="1">
      <c r="A117" s="148"/>
      <c r="B117" s="148"/>
      <c r="C117" s="148"/>
      <c r="D117" s="148"/>
      <c r="E117" s="148"/>
      <c r="F117" s="148"/>
      <c r="G117" s="148"/>
      <c r="H117" s="148"/>
      <c r="I117" s="148"/>
      <c r="J117" s="148"/>
      <c r="K117" s="148"/>
      <c r="L117" s="148"/>
      <c r="M117" s="148"/>
      <c r="N117" s="148"/>
      <c r="O117" s="148"/>
      <c r="P117" s="148"/>
      <c r="Q117" s="148"/>
      <c r="R117" s="148"/>
      <c r="S117" s="148"/>
      <c r="T117" s="148"/>
      <c r="U117" s="148"/>
      <c r="V117" s="148"/>
    </row>
    <row r="118" spans="1:24">
      <c r="A118" s="159" t="s">
        <v>231</v>
      </c>
      <c r="B118" s="159"/>
      <c r="C118" s="159"/>
      <c r="D118" s="159"/>
      <c r="E118" s="159"/>
      <c r="F118" s="159"/>
      <c r="G118" s="159"/>
      <c r="H118" s="159"/>
      <c r="I118" s="159"/>
      <c r="J118" s="159"/>
      <c r="K118" s="159"/>
      <c r="L118" s="159"/>
      <c r="M118" s="159"/>
      <c r="N118" s="159"/>
      <c r="O118" s="159"/>
      <c r="P118" s="159"/>
      <c r="Q118" s="159"/>
      <c r="R118" s="159"/>
      <c r="S118" s="159"/>
      <c r="T118" s="159"/>
      <c r="U118" s="159"/>
      <c r="V118" s="159"/>
    </row>
    <row r="119" spans="1:24">
      <c r="A119" s="74">
        <v>102</v>
      </c>
      <c r="B119" s="135" t="s">
        <v>140</v>
      </c>
      <c r="C119" s="136" t="s">
        <v>97</v>
      </c>
      <c r="D119" s="4">
        <v>1269768982.25</v>
      </c>
      <c r="E119" s="3">
        <f>(D119/$D$131)</f>
        <v>8.917010231281595E-4</v>
      </c>
      <c r="F119" s="2">
        <v>169708.87</v>
      </c>
      <c r="G119" s="2">
        <v>169708.87</v>
      </c>
      <c r="H119" s="59">
        <v>22</v>
      </c>
      <c r="I119" s="5">
        <v>3.826E-3</v>
      </c>
      <c r="J119" s="5">
        <v>5.3400000000000003E-2</v>
      </c>
      <c r="K119" s="4">
        <v>1607702407.47</v>
      </c>
      <c r="L119" s="3">
        <f t="shared" ref="L119:L130" si="55">(K119/$K$131)</f>
        <v>1.1309161132931514E-3</v>
      </c>
      <c r="M119" s="2">
        <v>169725.04</v>
      </c>
      <c r="N119" s="2">
        <v>169725.04</v>
      </c>
      <c r="O119" s="59">
        <v>22</v>
      </c>
      <c r="P119" s="5">
        <v>9.5000000000000005E-5</v>
      </c>
      <c r="Q119" s="5">
        <v>5.3499999999999999E-2</v>
      </c>
      <c r="R119" s="80">
        <f>((K119-D119)/D119)</f>
        <v>0.26613772264399638</v>
      </c>
      <c r="S119" s="80">
        <f>((N119-G119)/G119)</f>
        <v>9.5280818262550486E-5</v>
      </c>
      <c r="T119" s="80">
        <f>((O119-H119)/H119)</f>
        <v>0</v>
      </c>
      <c r="U119" s="80">
        <f>P119-I119</f>
        <v>-3.7309999999999999E-3</v>
      </c>
      <c r="V119" s="82">
        <f>Q119-J119</f>
        <v>9.9999999999995925E-5</v>
      </c>
    </row>
    <row r="120" spans="1:24">
      <c r="A120" s="74">
        <v>103</v>
      </c>
      <c r="B120" s="136" t="s">
        <v>141</v>
      </c>
      <c r="C120" s="136" t="s">
        <v>23</v>
      </c>
      <c r="D120" s="2">
        <f>8255612.08*1483.482</f>
        <v>12247051919.66256</v>
      </c>
      <c r="E120" s="3">
        <f>(D120/$D$131)</f>
        <v>8.6005477214568284E-3</v>
      </c>
      <c r="F120" s="4">
        <f>129.23*1483.482</f>
        <v>191710.37885999997</v>
      </c>
      <c r="G120" s="4">
        <f>129.23*1483.482</f>
        <v>191710.37885999997</v>
      </c>
      <c r="H120" s="59">
        <v>428</v>
      </c>
      <c r="I120" s="5">
        <v>5.0000000000000001E-4</v>
      </c>
      <c r="J120" s="5">
        <v>2.3699999999999999E-2</v>
      </c>
      <c r="K120" s="2">
        <f>8345665.86*1448.465</f>
        <v>12088404899.9049</v>
      </c>
      <c r="L120" s="3">
        <f t="shared" si="55"/>
        <v>8.503421915519796E-3</v>
      </c>
      <c r="M120" s="4">
        <f>129.42*1448.465</f>
        <v>187460.34029999998</v>
      </c>
      <c r="N120" s="4">
        <f>129.42*1448.465</f>
        <v>187460.34029999998</v>
      </c>
      <c r="O120" s="59">
        <v>433</v>
      </c>
      <c r="P120" s="5">
        <v>5.0000000000000001E-4</v>
      </c>
      <c r="Q120" s="5">
        <v>2.5100000000000001E-2</v>
      </c>
      <c r="R120" s="80">
        <f t="shared" ref="R120:R131" si="56">((K120-D120)/D120)</f>
        <v>-1.2953894602418824E-2</v>
      </c>
      <c r="S120" s="80">
        <f t="shared" ref="S120:S131" si="57">((N120-G120)/G120)</f>
        <v>-2.2169058270463567E-2</v>
      </c>
      <c r="T120" s="80">
        <f t="shared" ref="T120:T131" si="58">((O120-H120)/H120)</f>
        <v>1.1682242990654205E-2</v>
      </c>
      <c r="U120" s="80">
        <f t="shared" ref="U120:U131" si="59">P120-I120</f>
        <v>0</v>
      </c>
      <c r="V120" s="82">
        <f t="shared" ref="V120:V131" si="60">Q120-J120</f>
        <v>1.4000000000000019E-3</v>
      </c>
    </row>
    <row r="121" spans="1:24">
      <c r="A121" s="74">
        <v>104</v>
      </c>
      <c r="B121" s="135" t="s">
        <v>142</v>
      </c>
      <c r="C121" s="136" t="s">
        <v>58</v>
      </c>
      <c r="D121" s="4">
        <v>15224959708.67</v>
      </c>
      <c r="E121" s="3">
        <f t="shared" ref="E121:E130" si="61">(D121/$D$131)</f>
        <v>1.0691796963924494E-2</v>
      </c>
      <c r="F121" s="4">
        <v>163387.96</v>
      </c>
      <c r="G121" s="4">
        <v>163387.96</v>
      </c>
      <c r="H121" s="59">
        <v>608</v>
      </c>
      <c r="I121" s="5">
        <v>1.2999999999999999E-3</v>
      </c>
      <c r="J121" s="5">
        <v>6.4500000000000002E-2</v>
      </c>
      <c r="K121" s="4">
        <v>15239864796.049999</v>
      </c>
      <c r="L121" s="3">
        <f t="shared" si="55"/>
        <v>1.0720272969786915E-2</v>
      </c>
      <c r="M121" s="4">
        <v>167282.18</v>
      </c>
      <c r="N121" s="4">
        <v>167282.18</v>
      </c>
      <c r="O121" s="59">
        <v>609</v>
      </c>
      <c r="P121" s="5">
        <v>1.5E-3</v>
      </c>
      <c r="Q121" s="5">
        <v>6.4000000000000001E-2</v>
      </c>
      <c r="R121" s="80">
        <f t="shared" si="56"/>
        <v>9.7899026764000662E-4</v>
      </c>
      <c r="S121" s="80">
        <f t="shared" si="57"/>
        <v>2.3834191944131021E-2</v>
      </c>
      <c r="T121" s="80">
        <f t="shared" si="58"/>
        <v>1.6447368421052631E-3</v>
      </c>
      <c r="U121" s="80">
        <f t="shared" si="59"/>
        <v>2.0000000000000009E-4</v>
      </c>
      <c r="V121" s="82">
        <f t="shared" si="60"/>
        <v>-5.0000000000000044E-4</v>
      </c>
    </row>
    <row r="122" spans="1:24">
      <c r="A122" s="74">
        <v>105</v>
      </c>
      <c r="B122" s="135" t="s">
        <v>143</v>
      </c>
      <c r="C122" s="136" t="s">
        <v>56</v>
      </c>
      <c r="D122" s="4">
        <v>6109914513.592</v>
      </c>
      <c r="E122" s="3">
        <f t="shared" si="61"/>
        <v>4.2907151609117653E-3</v>
      </c>
      <c r="F122" s="4">
        <v>1827.8318671607226</v>
      </c>
      <c r="G122" s="4">
        <v>1827.8318671607226</v>
      </c>
      <c r="H122" s="59">
        <v>181</v>
      </c>
      <c r="I122" s="5">
        <v>5.4053619758931373E-2</v>
      </c>
      <c r="J122" s="5">
        <v>5.1055619538275906E-2</v>
      </c>
      <c r="K122" s="4">
        <v>6237968659.1884079</v>
      </c>
      <c r="L122" s="3">
        <f t="shared" si="55"/>
        <v>4.3880131286209356E-3</v>
      </c>
      <c r="M122" s="4">
        <v>1811.8496057597886</v>
      </c>
      <c r="N122" s="4">
        <v>1811.8496057597886</v>
      </c>
      <c r="O122" s="59">
        <v>179</v>
      </c>
      <c r="P122" s="5">
        <v>5.5747501341047737E-2</v>
      </c>
      <c r="Q122" s="5">
        <v>5.1314219783719778E-2</v>
      </c>
      <c r="R122" s="80">
        <f t="shared" si="56"/>
        <v>2.0958418536223555E-2</v>
      </c>
      <c r="S122" s="80">
        <f t="shared" si="57"/>
        <v>-8.7438356273764912E-3</v>
      </c>
      <c r="T122" s="80">
        <f t="shared" si="58"/>
        <v>-1.1049723756906077E-2</v>
      </c>
      <c r="U122" s="80">
        <f t="shared" si="59"/>
        <v>1.6938815821163633E-3</v>
      </c>
      <c r="V122" s="82">
        <f t="shared" si="60"/>
        <v>2.5860024544387128E-4</v>
      </c>
    </row>
    <row r="123" spans="1:24" ht="15.75">
      <c r="A123" s="74">
        <v>106</v>
      </c>
      <c r="B123" s="135" t="s">
        <v>253</v>
      </c>
      <c r="C123" s="136" t="s">
        <v>114</v>
      </c>
      <c r="D123" s="4">
        <v>1357693010.26</v>
      </c>
      <c r="E123" s="3">
        <f t="shared" si="61"/>
        <v>9.5344607032181482E-4</v>
      </c>
      <c r="F123" s="4">
        <f>1.053573*1483.482</f>
        <v>1562.956581186</v>
      </c>
      <c r="G123" s="4">
        <f>1.069555*1483.482</f>
        <v>1586.6655905100001</v>
      </c>
      <c r="H123" s="59">
        <v>36</v>
      </c>
      <c r="I123" s="5">
        <v>4.1999999999999997E-3</v>
      </c>
      <c r="J123" s="5">
        <v>8.1600000000000006E-2</v>
      </c>
      <c r="K123" s="4">
        <v>1368598617.3699999</v>
      </c>
      <c r="L123" s="3">
        <f t="shared" si="55"/>
        <v>9.6272184567425473E-4</v>
      </c>
      <c r="M123" s="4">
        <f>1.06*1448.465</f>
        <v>1535.3729000000001</v>
      </c>
      <c r="N123" s="4">
        <f>1.08*1448.465</f>
        <v>1564.3422</v>
      </c>
      <c r="O123" s="59">
        <v>36</v>
      </c>
      <c r="P123" s="5">
        <v>5.7000000000000002E-3</v>
      </c>
      <c r="Q123" s="5">
        <v>8.1600000000000006E-2</v>
      </c>
      <c r="R123" s="80">
        <f t="shared" si="56"/>
        <v>8.0324543380476399E-3</v>
      </c>
      <c r="S123" s="80">
        <f t="shared" si="57"/>
        <v>-1.406937330935922E-2</v>
      </c>
      <c r="T123" s="80">
        <f t="shared" si="58"/>
        <v>0</v>
      </c>
      <c r="U123" s="80">
        <f t="shared" si="59"/>
        <v>1.5000000000000005E-3</v>
      </c>
      <c r="V123" s="82">
        <f t="shared" si="60"/>
        <v>0</v>
      </c>
      <c r="X123" s="116"/>
    </row>
    <row r="124" spans="1:24" ht="15.75">
      <c r="A124" s="74">
        <v>107</v>
      </c>
      <c r="B124" s="135" t="s">
        <v>259</v>
      </c>
      <c r="C124" s="136" t="s">
        <v>36</v>
      </c>
      <c r="D124" s="2">
        <f>1211154.35*1483.482</f>
        <v>1796725677.4467001</v>
      </c>
      <c r="E124" s="3">
        <f t="shared" si="61"/>
        <v>1.2617587508090651E-3</v>
      </c>
      <c r="F124" s="4">
        <f>10.23*1483.482</f>
        <v>15176.020860000001</v>
      </c>
      <c r="G124" s="4">
        <f>10.23*1483.482</f>
        <v>15176.020860000001</v>
      </c>
      <c r="H124" s="59">
        <v>50</v>
      </c>
      <c r="I124" s="5">
        <v>7.6700000000000004E-2</v>
      </c>
      <c r="J124" s="5">
        <v>9.4E-2</v>
      </c>
      <c r="K124" s="2">
        <f>1291593.1*1448.465</f>
        <v>1870827399.5915</v>
      </c>
      <c r="L124" s="3">
        <f t="shared" si="55"/>
        <v>1.3160077645948496E-3</v>
      </c>
      <c r="M124" s="4">
        <f>10.29*1448.465</f>
        <v>14904.704849999998</v>
      </c>
      <c r="N124" s="4">
        <f>10.29*1448.465</f>
        <v>14904.704849999998</v>
      </c>
      <c r="O124" s="59">
        <v>34</v>
      </c>
      <c r="P124" s="5">
        <v>7.6700000000000004E-2</v>
      </c>
      <c r="Q124" s="5">
        <v>9.2600000000000002E-2</v>
      </c>
      <c r="R124" s="80">
        <f t="shared" ref="R124" si="62">((K124-D124)/D124)</f>
        <v>4.1242646595948243E-2</v>
      </c>
      <c r="S124" s="80">
        <f t="shared" ref="S124" si="63">((N124-G124)/G124)</f>
        <v>-1.7877941293235826E-2</v>
      </c>
      <c r="T124" s="80">
        <f t="shared" ref="T124" si="64">((O124-H124)/H124)</f>
        <v>-0.32</v>
      </c>
      <c r="U124" s="80">
        <f t="shared" ref="U124" si="65">P124-I124</f>
        <v>0</v>
      </c>
      <c r="V124" s="82">
        <f t="shared" ref="V124" si="66">Q124-J124</f>
        <v>-1.3999999999999985E-3</v>
      </c>
      <c r="X124" s="116"/>
    </row>
    <row r="125" spans="1:24" ht="15.75">
      <c r="A125" s="74">
        <v>108</v>
      </c>
      <c r="B125" s="136" t="s">
        <v>144</v>
      </c>
      <c r="C125" s="147" t="s">
        <v>40</v>
      </c>
      <c r="D125" s="4">
        <v>18469187219</v>
      </c>
      <c r="E125" s="3">
        <f t="shared" si="61"/>
        <v>1.2970070437809221E-2</v>
      </c>
      <c r="F125" s="4">
        <f>1.054*1483.482</f>
        <v>1563.5900280000001</v>
      </c>
      <c r="G125" s="4">
        <f>1.054*1483.482</f>
        <v>1563.5900280000001</v>
      </c>
      <c r="H125" s="59">
        <v>371</v>
      </c>
      <c r="I125" s="5">
        <v>1.9E-3</v>
      </c>
      <c r="J125" s="5">
        <v>9.01E-2</v>
      </c>
      <c r="K125" s="4">
        <v>18524431314</v>
      </c>
      <c r="L125" s="3">
        <f t="shared" si="55"/>
        <v>1.3030756043690099E-2</v>
      </c>
      <c r="M125" s="4">
        <f>1.0554*1448.465</f>
        <v>1528.7099609999998</v>
      </c>
      <c r="N125" s="4">
        <f>1.0554*1448.465</f>
        <v>1528.7099609999998</v>
      </c>
      <c r="O125" s="59">
        <v>371</v>
      </c>
      <c r="P125" s="5">
        <v>2E-3</v>
      </c>
      <c r="Q125" s="5">
        <v>8.9099999999999999E-2</v>
      </c>
      <c r="R125" s="80">
        <f t="shared" si="56"/>
        <v>2.9911492230241818E-3</v>
      </c>
      <c r="S125" s="80">
        <f t="shared" si="57"/>
        <v>-2.2307680642230522E-2</v>
      </c>
      <c r="T125" s="80">
        <f t="shared" si="58"/>
        <v>0</v>
      </c>
      <c r="U125" s="80">
        <f t="shared" si="59"/>
        <v>1.0000000000000005E-4</v>
      </c>
      <c r="V125" s="82">
        <f t="shared" si="60"/>
        <v>-1.0000000000000009E-3</v>
      </c>
      <c r="X125" s="116"/>
    </row>
    <row r="126" spans="1:24">
      <c r="A126" s="74">
        <v>109</v>
      </c>
      <c r="B126" s="135" t="s">
        <v>145</v>
      </c>
      <c r="C126" s="136" t="s">
        <v>80</v>
      </c>
      <c r="D126" s="4">
        <v>448180438.75999999</v>
      </c>
      <c r="E126" s="3">
        <f t="shared" si="61"/>
        <v>3.1473674453770458E-4</v>
      </c>
      <c r="F126" s="4">
        <f>1.05*1483.482</f>
        <v>1557.6560999999999</v>
      </c>
      <c r="G126" s="4">
        <f>1.05*1483.482</f>
        <v>1557.6560999999999</v>
      </c>
      <c r="H126" s="59">
        <v>3</v>
      </c>
      <c r="I126" s="5">
        <v>-1.142E-3</v>
      </c>
      <c r="J126" s="5">
        <v>1.6629999999999999E-2</v>
      </c>
      <c r="K126" s="4">
        <v>443339522.57599998</v>
      </c>
      <c r="L126" s="3">
        <f t="shared" si="55"/>
        <v>3.1186108039105306E-4</v>
      </c>
      <c r="M126" s="4">
        <f>1.05*1448.465</f>
        <v>1520.88825</v>
      </c>
      <c r="N126" s="4">
        <f>1.05*1448.465</f>
        <v>1520.88825</v>
      </c>
      <c r="O126" s="59">
        <v>3</v>
      </c>
      <c r="P126" s="5">
        <v>-1.0120000000000001E-3</v>
      </c>
      <c r="Q126" s="5">
        <v>1.5633999999999999E-2</v>
      </c>
      <c r="R126" s="80">
        <f t="shared" si="56"/>
        <v>-1.0801266109234008E-2</v>
      </c>
      <c r="S126" s="80">
        <f t="shared" si="57"/>
        <v>-2.3604600527677422E-2</v>
      </c>
      <c r="T126" s="80">
        <f t="shared" si="58"/>
        <v>0</v>
      </c>
      <c r="U126" s="80">
        <f t="shared" si="59"/>
        <v>1.2999999999999991E-4</v>
      </c>
      <c r="V126" s="82">
        <f t="shared" si="60"/>
        <v>-9.9600000000000036E-4</v>
      </c>
    </row>
    <row r="127" spans="1:24">
      <c r="A127" s="74">
        <v>110</v>
      </c>
      <c r="B127" s="135" t="s">
        <v>146</v>
      </c>
      <c r="C127" s="136" t="s">
        <v>42</v>
      </c>
      <c r="D127" s="2">
        <v>853220287826.59998</v>
      </c>
      <c r="E127" s="3">
        <f t="shared" si="61"/>
        <v>0.59917781442458284</v>
      </c>
      <c r="F127" s="4">
        <v>2258.33</v>
      </c>
      <c r="G127" s="4">
        <v>2258.33</v>
      </c>
      <c r="H127" s="59">
        <v>7488</v>
      </c>
      <c r="I127" s="5">
        <v>1.4E-3</v>
      </c>
      <c r="J127" s="5">
        <v>3.0700000000000002E-2</v>
      </c>
      <c r="K127" s="2">
        <v>847453384296.60999</v>
      </c>
      <c r="L127" s="3">
        <f t="shared" si="55"/>
        <v>0.59612940996590091</v>
      </c>
      <c r="M127" s="4">
        <v>2239.16</v>
      </c>
      <c r="N127" s="4">
        <v>2239.16</v>
      </c>
      <c r="O127" s="59">
        <v>7535</v>
      </c>
      <c r="P127" s="5">
        <v>1.2999999999999999E-3</v>
      </c>
      <c r="Q127" s="5">
        <v>3.2000000000000001E-2</v>
      </c>
      <c r="R127" s="80">
        <f t="shared" si="56"/>
        <v>-6.7589854721808946E-3</v>
      </c>
      <c r="S127" s="80">
        <f t="shared" si="57"/>
        <v>-8.4885734148685416E-3</v>
      </c>
      <c r="T127" s="80">
        <f t="shared" si="58"/>
        <v>6.276709401709402E-3</v>
      </c>
      <c r="U127" s="80">
        <f t="shared" si="59"/>
        <v>-1.0000000000000005E-4</v>
      </c>
      <c r="V127" s="82">
        <f t="shared" si="60"/>
        <v>1.2999999999999991E-3</v>
      </c>
    </row>
    <row r="128" spans="1:24" ht="16.5" customHeight="1">
      <c r="A128" s="74">
        <v>111</v>
      </c>
      <c r="B128" s="135" t="s">
        <v>147</v>
      </c>
      <c r="C128" s="136" t="s">
        <v>45</v>
      </c>
      <c r="D128" s="2">
        <v>52141529234.919998</v>
      </c>
      <c r="E128" s="3">
        <f t="shared" si="61"/>
        <v>3.6616625241433755E-2</v>
      </c>
      <c r="F128" s="4">
        <v>1665.79</v>
      </c>
      <c r="G128" s="4">
        <v>1665.79</v>
      </c>
      <c r="H128" s="59">
        <v>281</v>
      </c>
      <c r="I128" s="5">
        <v>0.1027</v>
      </c>
      <c r="J128" s="5">
        <v>8.0299999999999996E-2</v>
      </c>
      <c r="K128" s="2">
        <v>57748980584.220001</v>
      </c>
      <c r="L128" s="3">
        <f t="shared" si="55"/>
        <v>4.0622724930618997E-2</v>
      </c>
      <c r="M128" s="4">
        <v>1666.52</v>
      </c>
      <c r="N128" s="4">
        <v>1666.52</v>
      </c>
      <c r="O128" s="59">
        <v>283</v>
      </c>
      <c r="P128" s="5">
        <v>9.74E-2</v>
      </c>
      <c r="Q128" s="5">
        <v>8.1100000000000005E-2</v>
      </c>
      <c r="R128" s="80">
        <f t="shared" si="56"/>
        <v>0.10754290162906471</v>
      </c>
      <c r="S128" s="80">
        <f t="shared" si="57"/>
        <v>4.3823050924787532E-4</v>
      </c>
      <c r="T128" s="80">
        <f t="shared" si="58"/>
        <v>7.1174377224199285E-3</v>
      </c>
      <c r="U128" s="80">
        <f t="shared" si="59"/>
        <v>-5.2999999999999992E-3</v>
      </c>
      <c r="V128" s="82">
        <f t="shared" si="60"/>
        <v>8.0000000000000904E-4</v>
      </c>
    </row>
    <row r="129" spans="1:22" ht="16.5" customHeight="1">
      <c r="A129" s="74">
        <v>112</v>
      </c>
      <c r="B129" s="135" t="s">
        <v>148</v>
      </c>
      <c r="C129" s="136" t="s">
        <v>32</v>
      </c>
      <c r="D129" s="4">
        <v>56085181411.814674</v>
      </c>
      <c r="E129" s="3">
        <f t="shared" ref="E129" si="67">(D129/$D$131)</f>
        <v>3.9386072857619275E-2</v>
      </c>
      <c r="F129" s="4">
        <f>1.1135*1483.482</f>
        <v>1651.8572069999998</v>
      </c>
      <c r="G129" s="4">
        <f>1.1135*1483.482</f>
        <v>1651.8572069999998</v>
      </c>
      <c r="H129" s="59">
        <v>1362</v>
      </c>
      <c r="I129" s="5">
        <v>1.4389783253887511E-3</v>
      </c>
      <c r="J129" s="5">
        <v>2.0810414374770714E-2</v>
      </c>
      <c r="K129" s="4">
        <v>55462700405.286903</v>
      </c>
      <c r="L129" s="3">
        <f t="shared" ref="L129" si="68">(K129/$K$131)</f>
        <v>3.9014472631036343E-2</v>
      </c>
      <c r="M129" s="4">
        <f>100*1485.99</f>
        <v>148599</v>
      </c>
      <c r="N129" s="4">
        <f>100*1485.99</f>
        <v>148599</v>
      </c>
      <c r="O129" s="59">
        <v>1439</v>
      </c>
      <c r="P129" s="5">
        <v>6.0198956295714298E-2</v>
      </c>
      <c r="Q129" s="5">
        <v>6.0198956295714298E-2</v>
      </c>
      <c r="R129" s="80">
        <f t="shared" ref="R129" si="69">((K129-D129)/D129)</f>
        <v>-1.109884983623574E-2</v>
      </c>
      <c r="S129" s="80">
        <f t="shared" ref="S129" si="70">((N129-G129)/G129)</f>
        <v>88.958744236662113</v>
      </c>
      <c r="T129" s="80">
        <f t="shared" ref="T129" si="71">((O129-H129)/H129)</f>
        <v>5.6534508076358299E-2</v>
      </c>
      <c r="U129" s="80">
        <f t="shared" ref="U129" si="72">P129-I129</f>
        <v>5.8759977970325547E-2</v>
      </c>
      <c r="V129" s="82">
        <f t="shared" ref="V129" si="73">Q129-J129</f>
        <v>3.9388541920943584E-2</v>
      </c>
    </row>
    <row r="130" spans="1:22">
      <c r="A130" s="74">
        <v>113</v>
      </c>
      <c r="B130" s="135" t="s">
        <v>263</v>
      </c>
      <c r="C130" s="136" t="s">
        <v>261</v>
      </c>
      <c r="D130" s="4">
        <f>805553.52*1483.482</f>
        <v>1195024146.95664</v>
      </c>
      <c r="E130" s="3">
        <f t="shared" si="61"/>
        <v>8.392111237556511E-4</v>
      </c>
      <c r="F130" s="4">
        <f>1.18*1483.482</f>
        <v>1750.5087599999999</v>
      </c>
      <c r="G130" s="4">
        <f>1.18*1483.482</f>
        <v>1750.5087599999999</v>
      </c>
      <c r="H130" s="59">
        <v>33</v>
      </c>
      <c r="I130" s="5">
        <v>9.4300000000000004E-4</v>
      </c>
      <c r="J130" s="5">
        <v>6.7110000000000003E-2</v>
      </c>
      <c r="K130" s="4">
        <f>808543.23*1448.465</f>
        <v>1171146569.6419499</v>
      </c>
      <c r="L130" s="3">
        <f t="shared" si="55"/>
        <v>8.2382692249641091E-4</v>
      </c>
      <c r="M130" s="4">
        <f>1.18*1448.465</f>
        <v>1709.1886999999999</v>
      </c>
      <c r="N130" s="4">
        <f>1.18*1448.465</f>
        <v>1709.1886999999999</v>
      </c>
      <c r="O130" s="59">
        <v>34</v>
      </c>
      <c r="P130" s="5">
        <v>3.565E-3</v>
      </c>
      <c r="Q130" s="5">
        <v>7.0915000000000006E-2</v>
      </c>
      <c r="R130" s="80">
        <f t="shared" si="56"/>
        <v>-1.998083250074819E-2</v>
      </c>
      <c r="S130" s="80">
        <f t="shared" si="57"/>
        <v>-2.3604600527677457E-2</v>
      </c>
      <c r="T130" s="80">
        <f t="shared" si="58"/>
        <v>3.0303030303030304E-2</v>
      </c>
      <c r="U130" s="80">
        <f t="shared" si="59"/>
        <v>2.6220000000000002E-3</v>
      </c>
      <c r="V130" s="82">
        <f t="shared" si="60"/>
        <v>3.8050000000000028E-3</v>
      </c>
    </row>
    <row r="131" spans="1:22">
      <c r="A131" s="74"/>
      <c r="B131" s="19"/>
      <c r="C131" s="65" t="s">
        <v>46</v>
      </c>
      <c r="D131" s="58">
        <f>SUM(D102:D130)</f>
        <v>1423985113076.9678</v>
      </c>
      <c r="E131" s="99">
        <f>(D131/$D$195)</f>
        <v>0.49070384071906642</v>
      </c>
      <c r="F131" s="30"/>
      <c r="G131" s="11"/>
      <c r="H131" s="64">
        <f>SUM(H102:H130)</f>
        <v>17948</v>
      </c>
      <c r="I131" s="33"/>
      <c r="J131" s="33"/>
      <c r="K131" s="58">
        <f>SUM(K102:K130)</f>
        <v>1421592979861.6797</v>
      </c>
      <c r="L131" s="99">
        <f>(K131/$K$195)</f>
        <v>0.48837255096103127</v>
      </c>
      <c r="M131" s="30"/>
      <c r="N131" s="11"/>
      <c r="O131" s="64">
        <f>SUM(O102:O130)</f>
        <v>18083</v>
      </c>
      <c r="P131" s="33"/>
      <c r="Q131" s="33"/>
      <c r="R131" s="80">
        <f t="shared" si="56"/>
        <v>-1.6798863929968549E-3</v>
      </c>
      <c r="S131" s="80" t="e">
        <f t="shared" si="57"/>
        <v>#DIV/0!</v>
      </c>
      <c r="T131" s="80">
        <f t="shared" si="58"/>
        <v>7.5217294406061961E-3</v>
      </c>
      <c r="U131" s="80">
        <f t="shared" si="59"/>
        <v>0</v>
      </c>
      <c r="V131" s="82">
        <f t="shared" si="60"/>
        <v>0</v>
      </c>
    </row>
    <row r="132" spans="1:22" ht="8.25" customHeight="1">
      <c r="A132" s="148"/>
      <c r="B132" s="148"/>
      <c r="C132" s="148"/>
      <c r="D132" s="148"/>
      <c r="E132" s="148"/>
      <c r="F132" s="148"/>
      <c r="G132" s="148"/>
      <c r="H132" s="148"/>
      <c r="I132" s="148"/>
      <c r="J132" s="148"/>
      <c r="K132" s="148"/>
      <c r="L132" s="148"/>
      <c r="M132" s="148"/>
      <c r="N132" s="148"/>
      <c r="O132" s="148"/>
      <c r="P132" s="148"/>
      <c r="Q132" s="148"/>
      <c r="R132" s="148"/>
      <c r="S132" s="148"/>
      <c r="T132" s="148"/>
      <c r="U132" s="148"/>
      <c r="V132" s="148"/>
    </row>
    <row r="133" spans="1:22" ht="15.75">
      <c r="A133" s="155" t="s">
        <v>149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  <c r="N133" s="155"/>
      <c r="O133" s="155"/>
      <c r="P133" s="155"/>
      <c r="Q133" s="155"/>
      <c r="R133" s="155"/>
      <c r="S133" s="155"/>
      <c r="T133" s="155"/>
      <c r="U133" s="155"/>
      <c r="V133" s="155"/>
    </row>
    <row r="134" spans="1:22">
      <c r="A134" s="74">
        <v>114</v>
      </c>
      <c r="B134" s="135" t="s">
        <v>245</v>
      </c>
      <c r="C134" s="136" t="s">
        <v>246</v>
      </c>
      <c r="D134" s="2">
        <v>2286695241.8802738</v>
      </c>
      <c r="E134" s="3">
        <f>(D134/$D$139)</f>
        <v>2.3193636242549057E-2</v>
      </c>
      <c r="F134" s="14">
        <v>107.76</v>
      </c>
      <c r="G134" s="14">
        <v>107.76</v>
      </c>
      <c r="H134" s="59">
        <v>7</v>
      </c>
      <c r="I134" s="5">
        <v>2.5999999999999999E-3</v>
      </c>
      <c r="J134" s="5">
        <v>5.45E-2</v>
      </c>
      <c r="K134" s="2">
        <v>2286695241.8802738</v>
      </c>
      <c r="L134" s="3">
        <f>(K134/$K$139)</f>
        <v>2.317977970863018E-2</v>
      </c>
      <c r="M134" s="14">
        <v>107.96</v>
      </c>
      <c r="N134" s="14">
        <v>107.96</v>
      </c>
      <c r="O134" s="59">
        <v>7</v>
      </c>
      <c r="P134" s="5">
        <v>1.8559762435039762E-3</v>
      </c>
      <c r="Q134" s="5">
        <v>5.6399999999999999E-2</v>
      </c>
      <c r="R134" s="80">
        <f t="shared" ref="R134:R139" si="74">((K134-D134)/D134)</f>
        <v>0</v>
      </c>
      <c r="S134" s="80">
        <f t="shared" ref="S134:T139" si="75">((N134-G134)/G134)</f>
        <v>1.8559762435039775E-3</v>
      </c>
      <c r="T134" s="80">
        <f t="shared" si="75"/>
        <v>0</v>
      </c>
      <c r="U134" s="80">
        <f t="shared" ref="U134:V139" si="76">P134-I134</f>
        <v>-7.4402375649602372E-4</v>
      </c>
      <c r="V134" s="82">
        <f t="shared" si="76"/>
        <v>1.8999999999999989E-3</v>
      </c>
    </row>
    <row r="135" spans="1:22">
      <c r="A135" s="74">
        <v>115</v>
      </c>
      <c r="B135" s="135" t="s">
        <v>150</v>
      </c>
      <c r="C135" s="136" t="s">
        <v>40</v>
      </c>
      <c r="D135" s="2">
        <v>53749983529</v>
      </c>
      <c r="E135" s="3">
        <f>(D135/$D$139)</f>
        <v>0.54517871169817278</v>
      </c>
      <c r="F135" s="14">
        <v>102.5</v>
      </c>
      <c r="G135" s="14">
        <v>102.5</v>
      </c>
      <c r="H135" s="59">
        <v>666</v>
      </c>
      <c r="I135" s="5">
        <v>0</v>
      </c>
      <c r="J135" s="5">
        <v>7.6999999999999999E-2</v>
      </c>
      <c r="K135" s="2">
        <v>53749983529</v>
      </c>
      <c r="L135" s="3">
        <f>(K135/$K$139)</f>
        <v>0.54485300652493063</v>
      </c>
      <c r="M135" s="14">
        <v>102.5</v>
      </c>
      <c r="N135" s="14">
        <v>102.5</v>
      </c>
      <c r="O135" s="59">
        <v>666</v>
      </c>
      <c r="P135" s="5">
        <v>0</v>
      </c>
      <c r="Q135" s="5">
        <v>7.6999999999999999E-2</v>
      </c>
      <c r="R135" s="80">
        <f t="shared" si="74"/>
        <v>0</v>
      </c>
      <c r="S135" s="80">
        <f t="shared" si="75"/>
        <v>0</v>
      </c>
      <c r="T135" s="80">
        <f t="shared" si="75"/>
        <v>0</v>
      </c>
      <c r="U135" s="80">
        <f t="shared" si="76"/>
        <v>0</v>
      </c>
      <c r="V135" s="82">
        <f t="shared" si="76"/>
        <v>0</v>
      </c>
    </row>
    <row r="136" spans="1:22" ht="15.75" customHeight="1">
      <c r="A136" s="74">
        <v>116</v>
      </c>
      <c r="B136" s="135" t="s">
        <v>151</v>
      </c>
      <c r="C136" s="136" t="s">
        <v>120</v>
      </c>
      <c r="D136" s="2">
        <v>2415831635.5599999</v>
      </c>
      <c r="E136" s="3">
        <f>(D136/$D$139)</f>
        <v>2.4503448973964625E-2</v>
      </c>
      <c r="F136" s="14">
        <v>101.35</v>
      </c>
      <c r="G136" s="14">
        <v>101.35</v>
      </c>
      <c r="H136" s="59">
        <v>2760</v>
      </c>
      <c r="I136" s="5">
        <v>0.42011468542333874</v>
      </c>
      <c r="J136" s="5">
        <v>0.13860382434932858</v>
      </c>
      <c r="K136" s="2">
        <v>2419981253.1721339</v>
      </c>
      <c r="L136" s="3">
        <f>(K136/$K$139)</f>
        <v>2.4530873778099132E-2</v>
      </c>
      <c r="M136" s="14">
        <v>101.35</v>
      </c>
      <c r="N136" s="14">
        <v>101.35</v>
      </c>
      <c r="O136" s="59">
        <v>2760</v>
      </c>
      <c r="P136" s="5">
        <v>0.11225828141570912</v>
      </c>
      <c r="Q136" s="5">
        <v>9.8510719063076083E-2</v>
      </c>
      <c r="R136" s="80">
        <f t="shared" si="74"/>
        <v>1.717676658858754E-3</v>
      </c>
      <c r="S136" s="80">
        <f t="shared" si="75"/>
        <v>0</v>
      </c>
      <c r="T136" s="80">
        <f t="shared" si="75"/>
        <v>0</v>
      </c>
      <c r="U136" s="80">
        <f t="shared" si="76"/>
        <v>-0.30785640400762959</v>
      </c>
      <c r="V136" s="82">
        <f t="shared" si="76"/>
        <v>-4.0093105286252498E-2</v>
      </c>
    </row>
    <row r="137" spans="1:22">
      <c r="A137" s="74">
        <v>117</v>
      </c>
      <c r="B137" s="135" t="s">
        <v>152</v>
      </c>
      <c r="C137" s="136" t="s">
        <v>120</v>
      </c>
      <c r="D137" s="2">
        <v>10500137158.59</v>
      </c>
      <c r="E137" s="3">
        <f>(D137/$D$139)</f>
        <v>0.10650145121785325</v>
      </c>
      <c r="F137" s="14">
        <v>36.6</v>
      </c>
      <c r="G137" s="14">
        <v>36.6</v>
      </c>
      <c r="H137" s="59">
        <v>5264</v>
      </c>
      <c r="I137" s="5">
        <v>6.5662002152852797E-2</v>
      </c>
      <c r="J137" s="5">
        <v>0.1705205108359131</v>
      </c>
      <c r="K137" s="2">
        <v>10536241651.110001</v>
      </c>
      <c r="L137" s="3">
        <f>(K137/$K$139)</f>
        <v>0.10680380837666996</v>
      </c>
      <c r="M137" s="14">
        <v>36.6</v>
      </c>
      <c r="N137" s="14">
        <v>36.6</v>
      </c>
      <c r="O137" s="59">
        <v>5264</v>
      </c>
      <c r="P137" s="5">
        <v>0.18737041492819628</v>
      </c>
      <c r="Q137" s="5">
        <v>0.18613577506474258</v>
      </c>
      <c r="R137" s="80">
        <f t="shared" si="74"/>
        <v>3.4384781812553688E-3</v>
      </c>
      <c r="S137" s="80">
        <f t="shared" si="75"/>
        <v>0</v>
      </c>
      <c r="T137" s="80">
        <f t="shared" si="75"/>
        <v>0</v>
      </c>
      <c r="U137" s="80">
        <f t="shared" si="76"/>
        <v>0.12170841277534349</v>
      </c>
      <c r="V137" s="82">
        <f t="shared" si="76"/>
        <v>1.5615264228829473E-2</v>
      </c>
    </row>
    <row r="138" spans="1:22">
      <c r="A138" s="74">
        <v>118</v>
      </c>
      <c r="B138" s="135" t="s">
        <v>153</v>
      </c>
      <c r="C138" s="136" t="s">
        <v>42</v>
      </c>
      <c r="D138" s="2">
        <v>29638846151.91</v>
      </c>
      <c r="E138" s="3">
        <f>(D138/$D$139)</f>
        <v>0.30062275186746024</v>
      </c>
      <c r="F138" s="14">
        <v>4.2</v>
      </c>
      <c r="G138" s="14">
        <v>4.2</v>
      </c>
      <c r="H138" s="59">
        <v>208327</v>
      </c>
      <c r="I138" s="5">
        <v>2.4400000000000002E-2</v>
      </c>
      <c r="J138" s="5">
        <v>-0.3594</v>
      </c>
      <c r="K138" s="2">
        <v>29657528597.43</v>
      </c>
      <c r="L138" s="3">
        <f>(K138/$K$139)</f>
        <v>0.30063253161167014</v>
      </c>
      <c r="M138" s="14">
        <v>4.05</v>
      </c>
      <c r="N138" s="14">
        <v>4.05</v>
      </c>
      <c r="O138" s="59">
        <v>208327</v>
      </c>
      <c r="P138" s="5">
        <v>-3.5700000000000003E-2</v>
      </c>
      <c r="Q138" s="5">
        <v>-0.3594</v>
      </c>
      <c r="R138" s="80">
        <f t="shared" si="74"/>
        <v>6.3033646533492045E-4</v>
      </c>
      <c r="S138" s="80">
        <f t="shared" si="75"/>
        <v>-3.5714285714285796E-2</v>
      </c>
      <c r="T138" s="80">
        <f t="shared" si="75"/>
        <v>0</v>
      </c>
      <c r="U138" s="80">
        <f t="shared" si="76"/>
        <v>-6.0100000000000001E-2</v>
      </c>
      <c r="V138" s="82">
        <f t="shared" si="76"/>
        <v>0</v>
      </c>
    </row>
    <row r="139" spans="1:22">
      <c r="A139" s="118"/>
      <c r="B139" s="119"/>
      <c r="C139" s="70" t="s">
        <v>46</v>
      </c>
      <c r="D139" s="57">
        <f>SUM(D134:D138)</f>
        <v>98591493716.940277</v>
      </c>
      <c r="E139" s="99">
        <f>(D139/$D$195)</f>
        <v>3.3974529779032432E-2</v>
      </c>
      <c r="F139" s="30"/>
      <c r="G139" s="34"/>
      <c r="H139" s="64">
        <f>SUM(H134:H138)</f>
        <v>217024</v>
      </c>
      <c r="I139" s="35"/>
      <c r="J139" s="35"/>
      <c r="K139" s="57">
        <f>SUM(K134:K138)</f>
        <v>98650430272.592407</v>
      </c>
      <c r="L139" s="99">
        <f>(K139/$K$195)</f>
        <v>3.3890264631383456E-2</v>
      </c>
      <c r="M139" s="30"/>
      <c r="N139" s="34"/>
      <c r="O139" s="64">
        <f>SUM(O134:O138)</f>
        <v>217024</v>
      </c>
      <c r="P139" s="35"/>
      <c r="Q139" s="35"/>
      <c r="R139" s="80">
        <f t="shared" si="74"/>
        <v>5.9778540146008033E-4</v>
      </c>
      <c r="S139" s="80" t="e">
        <f t="shared" si="75"/>
        <v>#DIV/0!</v>
      </c>
      <c r="T139" s="80">
        <f t="shared" si="75"/>
        <v>0</v>
      </c>
      <c r="U139" s="80">
        <f t="shared" si="76"/>
        <v>0</v>
      </c>
      <c r="V139" s="82">
        <f t="shared" si="76"/>
        <v>0</v>
      </c>
    </row>
    <row r="140" spans="1:22" ht="7.5" customHeight="1">
      <c r="A140" s="148"/>
      <c r="B140" s="148"/>
      <c r="C140" s="148"/>
      <c r="D140" s="148"/>
      <c r="E140" s="148"/>
      <c r="F140" s="148"/>
      <c r="G140" s="148"/>
      <c r="H140" s="148"/>
      <c r="I140" s="148"/>
      <c r="J140" s="148"/>
      <c r="K140" s="148"/>
      <c r="L140" s="148"/>
      <c r="M140" s="148"/>
      <c r="N140" s="148"/>
      <c r="O140" s="148"/>
      <c r="P140" s="148"/>
      <c r="Q140" s="148"/>
      <c r="R140" s="148"/>
      <c r="S140" s="148"/>
      <c r="T140" s="148"/>
      <c r="U140" s="148"/>
      <c r="V140" s="148"/>
    </row>
    <row r="141" spans="1:22" ht="15" customHeight="1">
      <c r="A141" s="155" t="s">
        <v>154</v>
      </c>
      <c r="B141" s="155"/>
      <c r="C141" s="155"/>
      <c r="D141" s="155"/>
      <c r="E141" s="155"/>
      <c r="F141" s="155"/>
      <c r="G141" s="155"/>
      <c r="H141" s="155"/>
      <c r="I141" s="155"/>
      <c r="J141" s="155"/>
      <c r="K141" s="155"/>
      <c r="L141" s="155"/>
      <c r="M141" s="155"/>
      <c r="N141" s="155"/>
      <c r="O141" s="155"/>
      <c r="P141" s="155"/>
      <c r="Q141" s="155"/>
      <c r="R141" s="155"/>
      <c r="S141" s="155"/>
      <c r="T141" s="155"/>
      <c r="U141" s="155"/>
      <c r="V141" s="155"/>
    </row>
    <row r="142" spans="1:22">
      <c r="A142" s="74">
        <v>119</v>
      </c>
      <c r="B142" s="135" t="s">
        <v>155</v>
      </c>
      <c r="C142" s="136" t="s">
        <v>50</v>
      </c>
      <c r="D142" s="4">
        <v>237529101.19999999</v>
      </c>
      <c r="E142" s="3">
        <f t="shared" ref="E142:E168" si="77">(D142/$D$169)</f>
        <v>4.902278262931754E-3</v>
      </c>
      <c r="F142" s="4">
        <v>5.32</v>
      </c>
      <c r="G142" s="4">
        <v>5.37</v>
      </c>
      <c r="H142" s="61">
        <v>11833</v>
      </c>
      <c r="I142" s="6">
        <v>-0.14547599999999999</v>
      </c>
      <c r="J142" s="6">
        <v>4.5564E-2</v>
      </c>
      <c r="K142" s="4">
        <v>237912314.11000001</v>
      </c>
      <c r="L142" s="16">
        <f t="shared" ref="L142:L168" si="78">(K142/$K$169)</f>
        <v>4.8941814717581335E-3</v>
      </c>
      <c r="M142" s="4">
        <v>5.33</v>
      </c>
      <c r="N142" s="4">
        <v>5.38</v>
      </c>
      <c r="O142" s="61">
        <v>11833</v>
      </c>
      <c r="P142" s="6">
        <v>1.591E-3</v>
      </c>
      <c r="Q142" s="6">
        <v>5.8825000000000002E-2</v>
      </c>
      <c r="R142" s="80">
        <f>((K142-D142)/D142)</f>
        <v>1.613330358528828E-3</v>
      </c>
      <c r="S142" s="80">
        <f>((N142-G142)/G142)</f>
        <v>1.8621973929236102E-3</v>
      </c>
      <c r="T142" s="80">
        <f>((O142-H142)/H142)</f>
        <v>0</v>
      </c>
      <c r="U142" s="80">
        <f>P142-I142</f>
        <v>0.147067</v>
      </c>
      <c r="V142" s="82">
        <f>Q142-J142</f>
        <v>1.3261000000000002E-2</v>
      </c>
    </row>
    <row r="143" spans="1:22">
      <c r="A143" s="74">
        <v>120</v>
      </c>
      <c r="B143" s="135" t="s">
        <v>255</v>
      </c>
      <c r="C143" s="135" t="s">
        <v>254</v>
      </c>
      <c r="D143" s="4">
        <v>595811635.35331762</v>
      </c>
      <c r="E143" s="3">
        <f t="shared" si="77"/>
        <v>1.2296743489695779E-2</v>
      </c>
      <c r="F143" s="4">
        <v>1137.7976752826398</v>
      </c>
      <c r="G143" s="4">
        <v>1148.4108185584155</v>
      </c>
      <c r="H143" s="61">
        <v>176</v>
      </c>
      <c r="I143" s="6">
        <v>4.1972598214917362E-2</v>
      </c>
      <c r="J143" s="6">
        <v>1.5557728466826843E-2</v>
      </c>
      <c r="K143" s="4">
        <v>596190875.18954885</v>
      </c>
      <c r="L143" s="16">
        <f t="shared" si="78"/>
        <v>1.2264461156200871E-2</v>
      </c>
      <c r="M143" s="4">
        <v>1138.5589984509188</v>
      </c>
      <c r="N143" s="4">
        <v>1149.1175196127231</v>
      </c>
      <c r="O143" s="61">
        <v>176</v>
      </c>
      <c r="P143" s="6">
        <v>6.3648272354433443E-4</v>
      </c>
      <c r="Q143" s="6">
        <v>1.6204113415757906E-2</v>
      </c>
      <c r="R143" s="80">
        <f>((K143-D143)/D143)</f>
        <v>6.3650961768536396E-4</v>
      </c>
      <c r="S143" s="80">
        <f>((N143-G143)/G143)</f>
        <v>6.1537303801674297E-4</v>
      </c>
      <c r="T143" s="80">
        <f>((O143-H143)/H143)</f>
        <v>0</v>
      </c>
      <c r="U143" s="80">
        <f>P143-I143</f>
        <v>-4.1336115491373025E-2</v>
      </c>
      <c r="V143" s="82">
        <f>Q143-J143</f>
        <v>6.4638494893106378E-4</v>
      </c>
    </row>
    <row r="144" spans="1:22">
      <c r="A144" s="74">
        <v>121</v>
      </c>
      <c r="B144" s="135" t="s">
        <v>156</v>
      </c>
      <c r="C144" s="136" t="s">
        <v>21</v>
      </c>
      <c r="D144" s="4">
        <v>7275597385.6300001</v>
      </c>
      <c r="E144" s="3">
        <f t="shared" si="77"/>
        <v>0.15015845525128041</v>
      </c>
      <c r="F144" s="4">
        <v>762.61479999999995</v>
      </c>
      <c r="G144" s="4">
        <v>785.60820000000001</v>
      </c>
      <c r="H144" s="61">
        <v>21260</v>
      </c>
      <c r="I144" s="6">
        <v>0.7833</v>
      </c>
      <c r="J144" s="6">
        <v>0.36399999999999999</v>
      </c>
      <c r="K144" s="4">
        <v>7290719877.8999996</v>
      </c>
      <c r="L144" s="16">
        <f t="shared" si="78"/>
        <v>0.1499800725980879</v>
      </c>
      <c r="M144" s="4">
        <v>762.55820000000006</v>
      </c>
      <c r="N144" s="4">
        <v>785.55</v>
      </c>
      <c r="O144" s="61">
        <v>21270</v>
      </c>
      <c r="P144" s="6">
        <v>-3.8999999999999998E-3</v>
      </c>
      <c r="Q144" s="6">
        <v>0.3478</v>
      </c>
      <c r="R144" s="80">
        <f t="shared" ref="R144:R169" si="79">((K144-D144)/D144)</f>
        <v>2.0785224179485071E-3</v>
      </c>
      <c r="S144" s="80">
        <f t="shared" ref="S144:S169" si="80">((N144-G144)/G144)</f>
        <v>-7.4082729788278948E-5</v>
      </c>
      <c r="T144" s="80">
        <f t="shared" ref="T144:T169" si="81">((O144-H144)/H144)</f>
        <v>4.7036688617121356E-4</v>
      </c>
      <c r="U144" s="80">
        <f t="shared" ref="U144:U169" si="82">P144-I144</f>
        <v>-0.78720000000000001</v>
      </c>
      <c r="V144" s="82">
        <f t="shared" ref="V144:V169" si="83">Q144-J144</f>
        <v>-1.6199999999999992E-2</v>
      </c>
    </row>
    <row r="145" spans="1:24">
      <c r="A145" s="74">
        <v>122</v>
      </c>
      <c r="B145" s="135" t="s">
        <v>157</v>
      </c>
      <c r="C145" s="136" t="s">
        <v>91</v>
      </c>
      <c r="D145" s="4">
        <v>3511309996.9099998</v>
      </c>
      <c r="E145" s="3">
        <f t="shared" si="77"/>
        <v>7.2468672618657887E-2</v>
      </c>
      <c r="F145" s="4">
        <v>19.600300000000001</v>
      </c>
      <c r="G145" s="4">
        <v>19.825900000000001</v>
      </c>
      <c r="H145" s="59">
        <v>6249</v>
      </c>
      <c r="I145" s="5">
        <v>3.3000000000000002E-2</v>
      </c>
      <c r="J145" s="5">
        <v>6.2600000000000003E-2</v>
      </c>
      <c r="K145" s="4">
        <v>3527057423.0900002</v>
      </c>
      <c r="L145" s="16">
        <f t="shared" si="78"/>
        <v>7.2556391855920749E-2</v>
      </c>
      <c r="M145" s="4">
        <v>19.797899999999998</v>
      </c>
      <c r="N145" s="4">
        <v>20.027100000000001</v>
      </c>
      <c r="O145" s="59">
        <v>6248</v>
      </c>
      <c r="P145" s="5">
        <v>1.2999999999999999E-2</v>
      </c>
      <c r="Q145" s="5">
        <v>7.3300000000000004E-2</v>
      </c>
      <c r="R145" s="80">
        <f t="shared" si="79"/>
        <v>4.4847724051303509E-3</v>
      </c>
      <c r="S145" s="80">
        <f t="shared" si="80"/>
        <v>1.0148341311113243E-2</v>
      </c>
      <c r="T145" s="80">
        <f t="shared" si="81"/>
        <v>-1.6002560409665546E-4</v>
      </c>
      <c r="U145" s="80">
        <f t="shared" si="82"/>
        <v>-2.0000000000000004E-2</v>
      </c>
      <c r="V145" s="82">
        <f t="shared" si="83"/>
        <v>1.0700000000000001E-2</v>
      </c>
    </row>
    <row r="146" spans="1:24">
      <c r="A146" s="74">
        <v>123</v>
      </c>
      <c r="B146" s="135" t="s">
        <v>158</v>
      </c>
      <c r="C146" s="136" t="s">
        <v>101</v>
      </c>
      <c r="D146" s="2">
        <v>1486680965.97</v>
      </c>
      <c r="E146" s="3">
        <f t="shared" si="77"/>
        <v>3.0683077343236775E-2</v>
      </c>
      <c r="F146" s="4">
        <v>3.4962</v>
      </c>
      <c r="G146" s="4">
        <v>3.5838000000000001</v>
      </c>
      <c r="H146" s="59">
        <v>2752</v>
      </c>
      <c r="I146" s="5">
        <v>1.1009</v>
      </c>
      <c r="J146" s="5">
        <v>0.30420000000000003</v>
      </c>
      <c r="K146" s="2">
        <v>1490385790.8931751</v>
      </c>
      <c r="L146" s="16">
        <f t="shared" si="78"/>
        <v>3.0659272727633798E-2</v>
      </c>
      <c r="M146" s="4">
        <v>3.5049000000000001</v>
      </c>
      <c r="N146" s="4">
        <v>3.5928</v>
      </c>
      <c r="O146" s="59">
        <v>2752</v>
      </c>
      <c r="P146" s="5">
        <v>0.1313</v>
      </c>
      <c r="Q146" s="5">
        <v>0.29730000000000001</v>
      </c>
      <c r="R146" s="80">
        <f t="shared" si="79"/>
        <v>2.4920107326173008E-3</v>
      </c>
      <c r="S146" s="80">
        <f t="shared" si="80"/>
        <v>2.5113008538422614E-3</v>
      </c>
      <c r="T146" s="80">
        <f t="shared" si="81"/>
        <v>0</v>
      </c>
      <c r="U146" s="80">
        <f t="shared" si="82"/>
        <v>-0.96960000000000002</v>
      </c>
      <c r="V146" s="82">
        <f t="shared" si="83"/>
        <v>-6.9000000000000172E-3</v>
      </c>
    </row>
    <row r="147" spans="1:24">
      <c r="A147" s="74">
        <v>124</v>
      </c>
      <c r="B147" s="135" t="s">
        <v>159</v>
      </c>
      <c r="C147" s="136" t="s">
        <v>56</v>
      </c>
      <c r="D147" s="4">
        <v>3297341655.5185499</v>
      </c>
      <c r="E147" s="3">
        <f t="shared" si="77"/>
        <v>6.8052656460386565E-2</v>
      </c>
      <c r="F147" s="4">
        <v>6178.5977923621704</v>
      </c>
      <c r="G147" s="4">
        <v>6221.4631213191196</v>
      </c>
      <c r="H147" s="59">
        <v>870</v>
      </c>
      <c r="I147" s="5">
        <v>1.6820549106694391</v>
      </c>
      <c r="J147" s="5">
        <v>0.16272166644890157</v>
      </c>
      <c r="K147" s="4">
        <v>3264935668.9777198</v>
      </c>
      <c r="L147" s="16">
        <f t="shared" si="78"/>
        <v>6.71641891146708E-2</v>
      </c>
      <c r="M147" s="4">
        <v>6116.3668531948397</v>
      </c>
      <c r="N147" s="4">
        <v>6158.9086127472101</v>
      </c>
      <c r="O147" s="59">
        <v>869</v>
      </c>
      <c r="P147" s="5">
        <v>-0.52662257916464028</v>
      </c>
      <c r="Q147" s="5">
        <v>0.13080639671717414</v>
      </c>
      <c r="R147" s="80">
        <f t="shared" si="79"/>
        <v>-9.8279128844881176E-3</v>
      </c>
      <c r="S147" s="80">
        <f t="shared" si="80"/>
        <v>-1.0054629811684278E-2</v>
      </c>
      <c r="T147" s="80">
        <f t="shared" si="81"/>
        <v>-1.1494252873563218E-3</v>
      </c>
      <c r="U147" s="80">
        <f t="shared" si="82"/>
        <v>-2.2086774898340793</v>
      </c>
      <c r="V147" s="82">
        <f t="shared" si="83"/>
        <v>-3.1915269731727425E-2</v>
      </c>
    </row>
    <row r="148" spans="1:24">
      <c r="A148" s="74">
        <v>125</v>
      </c>
      <c r="B148" s="135" t="s">
        <v>160</v>
      </c>
      <c r="C148" s="136" t="s">
        <v>58</v>
      </c>
      <c r="D148" s="4">
        <v>662015878.38999999</v>
      </c>
      <c r="E148" s="3">
        <f t="shared" si="77"/>
        <v>1.3663109210413535E-2</v>
      </c>
      <c r="F148" s="4">
        <v>162.16999999999999</v>
      </c>
      <c r="G148" s="4">
        <v>163.28</v>
      </c>
      <c r="H148" s="59">
        <v>672</v>
      </c>
      <c r="I148" s="5">
        <v>3.7499999999999999E-2</v>
      </c>
      <c r="J148" s="5">
        <v>6.0499999999999998E-2</v>
      </c>
      <c r="K148" s="4">
        <v>656225615.75</v>
      </c>
      <c r="L148" s="16">
        <f t="shared" si="78"/>
        <v>1.3499457822985075E-2</v>
      </c>
      <c r="M148" s="4">
        <v>162.09</v>
      </c>
      <c r="N148" s="4">
        <v>163.21</v>
      </c>
      <c r="O148" s="59">
        <v>672</v>
      </c>
      <c r="P148" s="5">
        <v>-5.0000000000000001E-4</v>
      </c>
      <c r="Q148" s="5">
        <v>6.0100000000000001E-2</v>
      </c>
      <c r="R148" s="80">
        <f t="shared" si="79"/>
        <v>-8.7464105152307015E-3</v>
      </c>
      <c r="S148" s="80">
        <f t="shared" si="80"/>
        <v>-4.2871141597252067E-4</v>
      </c>
      <c r="T148" s="80">
        <f t="shared" si="81"/>
        <v>0</v>
      </c>
      <c r="U148" s="80">
        <f t="shared" si="82"/>
        <v>-3.7999999999999999E-2</v>
      </c>
      <c r="V148" s="82">
        <f t="shared" si="83"/>
        <v>-3.9999999999999758E-4</v>
      </c>
    </row>
    <row r="149" spans="1:24">
      <c r="A149" s="74">
        <v>126</v>
      </c>
      <c r="B149" s="135" t="s">
        <v>161</v>
      </c>
      <c r="C149" s="136" t="s">
        <v>60</v>
      </c>
      <c r="D149" s="4">
        <v>3734808.11</v>
      </c>
      <c r="E149" s="3">
        <f t="shared" si="77"/>
        <v>7.7081370330526176E-5</v>
      </c>
      <c r="F149" s="4">
        <v>102.747</v>
      </c>
      <c r="G149" s="4">
        <v>102.99</v>
      </c>
      <c r="H149" s="59">
        <v>0</v>
      </c>
      <c r="I149" s="5">
        <v>0</v>
      </c>
      <c r="J149" s="5">
        <v>0</v>
      </c>
      <c r="K149" s="4">
        <v>3734808.11</v>
      </c>
      <c r="L149" s="16">
        <f t="shared" si="78"/>
        <v>7.6830107432281531E-5</v>
      </c>
      <c r="M149" s="4">
        <v>102.747</v>
      </c>
      <c r="N149" s="4">
        <v>102.99</v>
      </c>
      <c r="O149" s="59">
        <v>0</v>
      </c>
      <c r="P149" s="5">
        <v>0</v>
      </c>
      <c r="Q149" s="5">
        <v>0</v>
      </c>
      <c r="R149" s="80">
        <f t="shared" si="79"/>
        <v>0</v>
      </c>
      <c r="S149" s="80">
        <f t="shared" si="80"/>
        <v>0</v>
      </c>
      <c r="T149" s="80" t="e">
        <f t="shared" si="81"/>
        <v>#DIV/0!</v>
      </c>
      <c r="U149" s="80">
        <f t="shared" si="82"/>
        <v>0</v>
      </c>
      <c r="V149" s="82">
        <f t="shared" si="83"/>
        <v>0</v>
      </c>
    </row>
    <row r="150" spans="1:24">
      <c r="A150" s="74">
        <v>127</v>
      </c>
      <c r="B150" s="135" t="s">
        <v>162</v>
      </c>
      <c r="C150" s="136" t="s">
        <v>105</v>
      </c>
      <c r="D150" s="4">
        <v>187732252.13</v>
      </c>
      <c r="E150" s="3">
        <f t="shared" si="77"/>
        <v>3.8745388847879099E-3</v>
      </c>
      <c r="F150" s="4">
        <v>1.4416</v>
      </c>
      <c r="G150" s="4">
        <v>1.4536</v>
      </c>
      <c r="H150" s="59">
        <v>306</v>
      </c>
      <c r="I150" s="5">
        <v>2.7400000000000001E-2</v>
      </c>
      <c r="J150" s="5">
        <v>-2.9399999999999999E-2</v>
      </c>
      <c r="K150" s="4">
        <v>187285392.52000001</v>
      </c>
      <c r="L150" s="16">
        <f t="shared" si="78"/>
        <v>3.8527164994853289E-3</v>
      </c>
      <c r="M150" s="4">
        <v>1.4853000000000001</v>
      </c>
      <c r="N150" s="4">
        <v>1.4416</v>
      </c>
      <c r="O150" s="59">
        <v>307</v>
      </c>
      <c r="P150" s="5">
        <v>-2.0810210876802682E-3</v>
      </c>
      <c r="Q150" s="5">
        <v>-3.1441459637783553E-2</v>
      </c>
      <c r="R150" s="80">
        <f t="shared" si="79"/>
        <v>-2.3803028245276956E-3</v>
      </c>
      <c r="S150" s="80">
        <f t="shared" si="80"/>
        <v>-8.2553659878921368E-3</v>
      </c>
      <c r="T150" s="80">
        <f t="shared" si="81"/>
        <v>3.2679738562091504E-3</v>
      </c>
      <c r="U150" s="80">
        <f t="shared" si="82"/>
        <v>-2.9481021087680269E-2</v>
      </c>
      <c r="V150" s="82">
        <f t="shared" si="83"/>
        <v>-2.0414596377835541E-3</v>
      </c>
    </row>
    <row r="151" spans="1:24">
      <c r="A151" s="74">
        <v>128</v>
      </c>
      <c r="B151" s="135" t="s">
        <v>163</v>
      </c>
      <c r="C151" s="136" t="s">
        <v>25</v>
      </c>
      <c r="D151" s="9">
        <v>137294905.5</v>
      </c>
      <c r="E151" s="3">
        <f t="shared" si="77"/>
        <v>2.8335805063195323E-3</v>
      </c>
      <c r="F151" s="4">
        <v>152.92519999999999</v>
      </c>
      <c r="G151" s="4">
        <v>153.43700000000001</v>
      </c>
      <c r="H151" s="59">
        <v>107</v>
      </c>
      <c r="I151" s="5">
        <v>1.2489999999999999E-3</v>
      </c>
      <c r="J151" s="5">
        <v>0.30109999999999998</v>
      </c>
      <c r="K151" s="9">
        <v>128245958.98999999</v>
      </c>
      <c r="L151" s="16">
        <f t="shared" si="78"/>
        <v>2.6381946586695377E-3</v>
      </c>
      <c r="M151" s="4">
        <v>146.11269999999999</v>
      </c>
      <c r="N151" s="4">
        <v>146.63630000000001</v>
      </c>
      <c r="O151" s="59">
        <v>107</v>
      </c>
      <c r="P151" s="5">
        <v>-1.3799999999999999E-4</v>
      </c>
      <c r="Q151" s="5">
        <v>0.28749999999999998</v>
      </c>
      <c r="R151" s="80">
        <f t="shared" si="79"/>
        <v>-6.5908829443056108E-2</v>
      </c>
      <c r="S151" s="80">
        <f t="shared" si="80"/>
        <v>-4.4322425490592267E-2</v>
      </c>
      <c r="T151" s="80">
        <f t="shared" si="81"/>
        <v>0</v>
      </c>
      <c r="U151" s="80">
        <f t="shared" si="82"/>
        <v>-1.3869999999999998E-3</v>
      </c>
      <c r="V151" s="82">
        <f t="shared" si="83"/>
        <v>-1.3600000000000001E-2</v>
      </c>
    </row>
    <row r="152" spans="1:24">
      <c r="A152" s="74">
        <v>129</v>
      </c>
      <c r="B152" s="135" t="s">
        <v>164</v>
      </c>
      <c r="C152" s="136" t="s">
        <v>64</v>
      </c>
      <c r="D152" s="9">
        <v>203315907.24000001</v>
      </c>
      <c r="E152" s="3">
        <f t="shared" si="77"/>
        <v>4.196164375377601E-3</v>
      </c>
      <c r="F152" s="4">
        <v>113.51</v>
      </c>
      <c r="G152" s="4">
        <v>114.52</v>
      </c>
      <c r="H152" s="59">
        <v>28</v>
      </c>
      <c r="I152" s="5">
        <v>8.9999999999999993E-3</v>
      </c>
      <c r="J152" s="5">
        <v>9.7600000000000006E-2</v>
      </c>
      <c r="K152" s="9">
        <v>202565378.56</v>
      </c>
      <c r="L152" s="16">
        <f t="shared" si="78"/>
        <v>4.1670466964969666E-3</v>
      </c>
      <c r="M152" s="4">
        <v>113.99</v>
      </c>
      <c r="N152" s="4">
        <v>115.09</v>
      </c>
      <c r="O152" s="59">
        <v>27</v>
      </c>
      <c r="P152" s="5">
        <v>5.0000000000000001E-3</v>
      </c>
      <c r="Q152" s="5">
        <v>0.1026</v>
      </c>
      <c r="R152" s="80">
        <f t="shared" si="79"/>
        <v>-3.6914410199791266E-3</v>
      </c>
      <c r="S152" s="80">
        <f t="shared" si="80"/>
        <v>4.9772965420887827E-3</v>
      </c>
      <c r="T152" s="80">
        <f t="shared" si="81"/>
        <v>-3.5714285714285712E-2</v>
      </c>
      <c r="U152" s="80">
        <f t="shared" si="82"/>
        <v>-3.9999999999999992E-3</v>
      </c>
      <c r="V152" s="82">
        <f t="shared" si="83"/>
        <v>4.9999999999999906E-3</v>
      </c>
    </row>
    <row r="153" spans="1:24" ht="15.75" customHeight="1">
      <c r="A153" s="74">
        <v>130</v>
      </c>
      <c r="B153" s="135" t="s">
        <v>165</v>
      </c>
      <c r="C153" s="136" t="s">
        <v>67</v>
      </c>
      <c r="D153" s="2">
        <v>328318252.94</v>
      </c>
      <c r="E153" s="3">
        <f t="shared" si="77"/>
        <v>6.7760431314741638E-3</v>
      </c>
      <c r="F153" s="4">
        <v>1.2639</v>
      </c>
      <c r="G153" s="4">
        <v>1.2639</v>
      </c>
      <c r="H153" s="59">
        <v>108</v>
      </c>
      <c r="I153" s="5">
        <v>9.1800000000000007E-3</v>
      </c>
      <c r="J153" s="5">
        <v>6.93E-2</v>
      </c>
      <c r="K153" s="2">
        <v>329073256.87</v>
      </c>
      <c r="L153" s="16">
        <f t="shared" si="78"/>
        <v>6.7694866600289351E-3</v>
      </c>
      <c r="M153" s="4">
        <v>1.2669999999999999</v>
      </c>
      <c r="N153" s="4">
        <v>1.2822</v>
      </c>
      <c r="O153" s="59">
        <v>107</v>
      </c>
      <c r="P153" s="5">
        <v>2.4527256903235069E-3</v>
      </c>
      <c r="Q153" s="5">
        <v>7.1647744706965097E-2</v>
      </c>
      <c r="R153" s="80">
        <f t="shared" si="79"/>
        <v>2.2996099767197036E-3</v>
      </c>
      <c r="S153" s="80">
        <f t="shared" si="80"/>
        <v>1.4478993591265117E-2</v>
      </c>
      <c r="T153" s="80">
        <f t="shared" si="81"/>
        <v>-9.2592592592592587E-3</v>
      </c>
      <c r="U153" s="80">
        <f t="shared" si="82"/>
        <v>-6.7272743096764938E-3</v>
      </c>
      <c r="V153" s="82">
        <f t="shared" si="83"/>
        <v>2.3477447069650964E-3</v>
      </c>
      <c r="X153" s="104"/>
    </row>
    <row r="154" spans="1:24">
      <c r="A154" s="74">
        <v>131</v>
      </c>
      <c r="B154" s="135" t="s">
        <v>166</v>
      </c>
      <c r="C154" s="136" t="s">
        <v>27</v>
      </c>
      <c r="D154" s="4">
        <v>8264344452.29</v>
      </c>
      <c r="E154" s="3">
        <f t="shared" si="77"/>
        <v>0.17056485273241923</v>
      </c>
      <c r="F154" s="4">
        <v>302.16000000000003</v>
      </c>
      <c r="G154" s="4">
        <v>303.93</v>
      </c>
      <c r="H154" s="59">
        <v>5494</v>
      </c>
      <c r="I154" s="5">
        <v>1.5699999999999999E-2</v>
      </c>
      <c r="J154" s="5">
        <v>0.1174</v>
      </c>
      <c r="K154" s="4">
        <v>8279184823.1899996</v>
      </c>
      <c r="L154" s="16">
        <f t="shared" si="78"/>
        <v>0.17031414752320501</v>
      </c>
      <c r="M154" s="4">
        <v>302.79000000000002</v>
      </c>
      <c r="N154" s="4">
        <v>304.54000000000002</v>
      </c>
      <c r="O154" s="59">
        <v>5495</v>
      </c>
      <c r="P154" s="5">
        <v>2E-3</v>
      </c>
      <c r="Q154" s="5">
        <v>0.1197</v>
      </c>
      <c r="R154" s="80">
        <f t="shared" si="79"/>
        <v>1.7957105957614632E-3</v>
      </c>
      <c r="S154" s="80">
        <f t="shared" si="80"/>
        <v>2.0070410949890225E-3</v>
      </c>
      <c r="T154" s="80">
        <f t="shared" si="81"/>
        <v>1.8201674554058973E-4</v>
      </c>
      <c r="U154" s="80">
        <f t="shared" si="82"/>
        <v>-1.3699999999999999E-2</v>
      </c>
      <c r="V154" s="82">
        <f t="shared" si="83"/>
        <v>2.2999999999999965E-3</v>
      </c>
    </row>
    <row r="155" spans="1:24">
      <c r="A155" s="74">
        <v>132</v>
      </c>
      <c r="B155" s="135" t="s">
        <v>167</v>
      </c>
      <c r="C155" s="136" t="s">
        <v>72</v>
      </c>
      <c r="D155" s="4">
        <v>2648625083.25</v>
      </c>
      <c r="E155" s="3">
        <f t="shared" si="77"/>
        <v>5.4664026877866555E-2</v>
      </c>
      <c r="F155" s="4">
        <v>1.8551</v>
      </c>
      <c r="G155" s="4">
        <v>1.8849</v>
      </c>
      <c r="H155" s="59">
        <v>10312</v>
      </c>
      <c r="I155" s="5">
        <v>4.1599999999999998E-2</v>
      </c>
      <c r="J155" s="5">
        <v>6.2899999999999998E-2</v>
      </c>
      <c r="K155" s="4">
        <v>2667965273.6700001</v>
      </c>
      <c r="L155" s="16">
        <f t="shared" si="78"/>
        <v>5.4883692164217381E-2</v>
      </c>
      <c r="M155" s="4">
        <v>1.8686</v>
      </c>
      <c r="N155" s="4">
        <v>1.8987000000000001</v>
      </c>
      <c r="O155" s="59">
        <v>10312</v>
      </c>
      <c r="P155" s="5">
        <v>7.3000000000000001E-3</v>
      </c>
      <c r="Q155" s="5">
        <v>7.0699999999999999E-2</v>
      </c>
      <c r="R155" s="80">
        <f t="shared" si="79"/>
        <v>7.3019735946427957E-3</v>
      </c>
      <c r="S155" s="80">
        <f t="shared" si="80"/>
        <v>7.3213433073372773E-3</v>
      </c>
      <c r="T155" s="80">
        <f t="shared" si="81"/>
        <v>0</v>
      </c>
      <c r="U155" s="80">
        <f t="shared" si="82"/>
        <v>-3.4299999999999997E-2</v>
      </c>
      <c r="V155" s="82">
        <f t="shared" si="83"/>
        <v>7.8000000000000014E-3</v>
      </c>
    </row>
    <row r="156" spans="1:24">
      <c r="A156" s="74">
        <v>133</v>
      </c>
      <c r="B156" s="135" t="s">
        <v>168</v>
      </c>
      <c r="C156" s="136" t="s">
        <v>74</v>
      </c>
      <c r="D156" s="4">
        <v>186195154.25759649</v>
      </c>
      <c r="E156" s="3">
        <f t="shared" si="77"/>
        <v>3.8428152709241181E-3</v>
      </c>
      <c r="F156" s="4">
        <v>242.26650646508836</v>
      </c>
      <c r="G156" s="4">
        <v>249.05631780496762</v>
      </c>
      <c r="H156" s="59">
        <v>183</v>
      </c>
      <c r="I156" s="5">
        <v>5.5047558749023562E-2</v>
      </c>
      <c r="J156" s="5">
        <v>-7.9989089137320057E-3</v>
      </c>
      <c r="K156" s="4">
        <v>189024929.89537758</v>
      </c>
      <c r="L156" s="16">
        <f t="shared" si="78"/>
        <v>3.8885011608377775E-3</v>
      </c>
      <c r="M156" s="4">
        <v>239.01875854172405</v>
      </c>
      <c r="N156" s="4">
        <v>245.94844899779673</v>
      </c>
      <c r="O156" s="59">
        <v>183</v>
      </c>
      <c r="P156" s="5">
        <v>-1.340568273655407E-2</v>
      </c>
      <c r="Q156" s="5">
        <v>-2.1297360815150101E-2</v>
      </c>
      <c r="R156" s="80">
        <f t="shared" si="79"/>
        <v>1.5197901626731689E-2</v>
      </c>
      <c r="S156" s="80">
        <f t="shared" si="80"/>
        <v>-1.2478578477999562E-2</v>
      </c>
      <c r="T156" s="80">
        <f t="shared" si="81"/>
        <v>0</v>
      </c>
      <c r="U156" s="80">
        <f t="shared" si="82"/>
        <v>-6.8453241485577632E-2</v>
      </c>
      <c r="V156" s="82">
        <f t="shared" si="83"/>
        <v>-1.3298451901418096E-2</v>
      </c>
    </row>
    <row r="157" spans="1:24" ht="13.5" customHeight="1">
      <c r="A157" s="74">
        <v>134</v>
      </c>
      <c r="B157" s="135" t="s">
        <v>240</v>
      </c>
      <c r="C157" s="136" t="s">
        <v>32</v>
      </c>
      <c r="D157" s="2">
        <v>2636092888.8546</v>
      </c>
      <c r="E157" s="3">
        <f t="shared" si="77"/>
        <v>5.4405379394838041E-2</v>
      </c>
      <c r="F157" s="4">
        <v>3.6837</v>
      </c>
      <c r="G157" s="4">
        <v>3.7462</v>
      </c>
      <c r="H157" s="59">
        <v>2312</v>
      </c>
      <c r="I157" s="5">
        <v>1.4402158946962507E-2</v>
      </c>
      <c r="J157" s="5">
        <v>1.2756715145849862E-2</v>
      </c>
      <c r="K157" s="2">
        <v>2642900742.98</v>
      </c>
      <c r="L157" s="16">
        <f t="shared" si="78"/>
        <v>5.4368080510570085E-2</v>
      </c>
      <c r="M157" s="4">
        <v>3.7155939999999998</v>
      </c>
      <c r="N157" s="4">
        <v>3.8431820000000001</v>
      </c>
      <c r="O157" s="59">
        <v>2326</v>
      </c>
      <c r="P157" s="5">
        <v>8.6581426283356411E-3</v>
      </c>
      <c r="Q157" s="5">
        <v>2.1525307233387192E-2</v>
      </c>
      <c r="R157" s="80">
        <f t="shared" si="79"/>
        <v>2.5825547173180703E-3</v>
      </c>
      <c r="S157" s="80">
        <f t="shared" si="80"/>
        <v>2.5888099941273859E-2</v>
      </c>
      <c r="T157" s="80">
        <f t="shared" si="81"/>
        <v>6.0553633217993079E-3</v>
      </c>
      <c r="U157" s="80">
        <f t="shared" si="82"/>
        <v>-5.7440163186268656E-3</v>
      </c>
      <c r="V157" s="82">
        <f>Q157-J157</f>
        <v>8.7685920875373302E-3</v>
      </c>
    </row>
    <row r="158" spans="1:24">
      <c r="A158" s="74">
        <v>135</v>
      </c>
      <c r="B158" s="135" t="s">
        <v>169</v>
      </c>
      <c r="C158" s="136" t="s">
        <v>114</v>
      </c>
      <c r="D158" s="2">
        <v>220147519.38</v>
      </c>
      <c r="E158" s="3">
        <f t="shared" si="77"/>
        <v>4.5435460052796308E-3</v>
      </c>
      <c r="F158" s="4">
        <v>186.89475899999999</v>
      </c>
      <c r="G158" s="4">
        <v>190.365545</v>
      </c>
      <c r="H158" s="59">
        <v>139</v>
      </c>
      <c r="I158" s="5">
        <v>1.44E-2</v>
      </c>
      <c r="J158" s="5">
        <v>2.8000000000000001E-2</v>
      </c>
      <c r="K158" s="2">
        <v>219559332.05000001</v>
      </c>
      <c r="L158" s="16">
        <f t="shared" si="78"/>
        <v>4.5166355465479256E-3</v>
      </c>
      <c r="M158" s="4">
        <v>186.4</v>
      </c>
      <c r="N158" s="4">
        <v>189.91</v>
      </c>
      <c r="O158" s="59">
        <v>139</v>
      </c>
      <c r="P158" s="5">
        <v>2.5999999999999999E-3</v>
      </c>
      <c r="Q158" s="5">
        <v>2.5999999999999999E-3</v>
      </c>
      <c r="R158" s="80">
        <f t="shared" si="79"/>
        <v>-2.671787225477223E-3</v>
      </c>
      <c r="S158" s="80">
        <f t="shared" si="80"/>
        <v>-2.3930013175441005E-3</v>
      </c>
      <c r="T158" s="80">
        <f t="shared" si="81"/>
        <v>0</v>
      </c>
      <c r="U158" s="80">
        <f t="shared" si="82"/>
        <v>-1.18E-2</v>
      </c>
      <c r="V158" s="82">
        <f t="shared" si="83"/>
        <v>-2.5399999999999999E-2</v>
      </c>
    </row>
    <row r="159" spans="1:24">
      <c r="A159" s="74">
        <v>136</v>
      </c>
      <c r="B159" s="135" t="s">
        <v>170</v>
      </c>
      <c r="C159" s="136" t="s">
        <v>29</v>
      </c>
      <c r="D159" s="2">
        <v>1657249896.05</v>
      </c>
      <c r="E159" s="3">
        <f t="shared" si="77"/>
        <v>3.4203388555792781E-2</v>
      </c>
      <c r="F159" s="4">
        <v>552.22</v>
      </c>
      <c r="G159" s="4">
        <v>552.22</v>
      </c>
      <c r="H159" s="59">
        <v>823</v>
      </c>
      <c r="I159" s="5">
        <v>2.3539999999999998E-2</v>
      </c>
      <c r="J159" s="5">
        <v>6.0100000000000001E-2</v>
      </c>
      <c r="K159" s="2">
        <v>1660721784.8099999</v>
      </c>
      <c r="L159" s="16">
        <f t="shared" si="78"/>
        <v>3.4163316931986272E-2</v>
      </c>
      <c r="M159" s="4">
        <v>552.22</v>
      </c>
      <c r="N159" s="4">
        <v>552.22</v>
      </c>
      <c r="O159" s="59">
        <v>823</v>
      </c>
      <c r="P159" s="5">
        <v>2.0939999999999999E-3</v>
      </c>
      <c r="Q159" s="5">
        <v>6.232E-2</v>
      </c>
      <c r="R159" s="80">
        <f t="shared" si="79"/>
        <v>2.0949699669766896E-3</v>
      </c>
      <c r="S159" s="80">
        <f t="shared" si="80"/>
        <v>0</v>
      </c>
      <c r="T159" s="80">
        <f t="shared" si="81"/>
        <v>0</v>
      </c>
      <c r="U159" s="80">
        <f t="shared" si="82"/>
        <v>-2.1446E-2</v>
      </c>
      <c r="V159" s="82">
        <f t="shared" si="83"/>
        <v>2.2199999999999998E-3</v>
      </c>
    </row>
    <row r="160" spans="1:24">
      <c r="A160" s="74">
        <v>137</v>
      </c>
      <c r="B160" s="135" t="s">
        <v>171</v>
      </c>
      <c r="C160" s="136" t="s">
        <v>80</v>
      </c>
      <c r="D160" s="4">
        <v>25653655.379999999</v>
      </c>
      <c r="E160" s="3">
        <f t="shared" si="77"/>
        <v>5.294566286773633E-4</v>
      </c>
      <c r="F160" s="4">
        <v>1.63</v>
      </c>
      <c r="G160" s="4">
        <v>1.63</v>
      </c>
      <c r="H160" s="59">
        <v>8</v>
      </c>
      <c r="I160" s="5">
        <v>4.8036000000000002E-2</v>
      </c>
      <c r="J160" s="120">
        <v>3.699E-3</v>
      </c>
      <c r="K160" s="4">
        <v>25972761.579999998</v>
      </c>
      <c r="L160" s="16">
        <f t="shared" si="78"/>
        <v>5.3429520439389705E-4</v>
      </c>
      <c r="M160" s="4">
        <v>1.64</v>
      </c>
      <c r="N160" s="4">
        <v>1.64</v>
      </c>
      <c r="O160" s="59">
        <v>8</v>
      </c>
      <c r="P160" s="5">
        <v>4.6299999999999996E-3</v>
      </c>
      <c r="Q160" s="120">
        <v>8.3459999999999993E-3</v>
      </c>
      <c r="R160" s="80">
        <f t="shared" si="79"/>
        <v>1.2439014841088867E-2</v>
      </c>
      <c r="S160" s="80">
        <f t="shared" si="80"/>
        <v>6.1349693251533804E-3</v>
      </c>
      <c r="T160" s="80">
        <f t="shared" si="81"/>
        <v>0</v>
      </c>
      <c r="U160" s="80">
        <f t="shared" si="82"/>
        <v>-4.3406E-2</v>
      </c>
      <c r="V160" s="82">
        <f t="shared" si="83"/>
        <v>4.6469999999999992E-3</v>
      </c>
    </row>
    <row r="161" spans="1:22">
      <c r="A161" s="74">
        <v>138</v>
      </c>
      <c r="B161" s="135" t="s">
        <v>172</v>
      </c>
      <c r="C161" s="136" t="s">
        <v>38</v>
      </c>
      <c r="D161" s="4">
        <v>261216453.02000001</v>
      </c>
      <c r="E161" s="3">
        <f t="shared" si="77"/>
        <v>5.3911530548917848E-3</v>
      </c>
      <c r="F161" s="4">
        <v>2.65</v>
      </c>
      <c r="G161" s="4">
        <v>2.69</v>
      </c>
      <c r="H161" s="59">
        <v>117</v>
      </c>
      <c r="I161" s="5">
        <v>2.2499999999999999E-2</v>
      </c>
      <c r="J161" s="5">
        <v>0.1371</v>
      </c>
      <c r="K161" s="4">
        <v>259437324.37</v>
      </c>
      <c r="L161" s="16">
        <f t="shared" si="78"/>
        <v>5.3369803524633492E-3</v>
      </c>
      <c r="M161" s="4">
        <v>2.6391049999999998</v>
      </c>
      <c r="N161" s="4">
        <v>2.6807379999999998</v>
      </c>
      <c r="O161" s="59">
        <v>118</v>
      </c>
      <c r="P161" s="5">
        <v>4.1999999999999997E-3</v>
      </c>
      <c r="Q161" s="5">
        <v>0.1348</v>
      </c>
      <c r="R161" s="80">
        <f t="shared" si="79"/>
        <v>-6.8109364070715224E-3</v>
      </c>
      <c r="S161" s="80">
        <f t="shared" si="80"/>
        <v>-3.4431226765799642E-3</v>
      </c>
      <c r="T161" s="80">
        <f t="shared" si="81"/>
        <v>8.5470085470085479E-3</v>
      </c>
      <c r="U161" s="80">
        <f t="shared" si="82"/>
        <v>-1.83E-2</v>
      </c>
      <c r="V161" s="82">
        <f t="shared" si="83"/>
        <v>-2.2999999999999965E-3</v>
      </c>
    </row>
    <row r="162" spans="1:22">
      <c r="A162" s="74">
        <v>139</v>
      </c>
      <c r="B162" s="135" t="s">
        <v>173</v>
      </c>
      <c r="C162" s="136" t="s">
        <v>42</v>
      </c>
      <c r="D162" s="2">
        <v>2631311812.1799998</v>
      </c>
      <c r="E162" s="3">
        <f t="shared" si="77"/>
        <v>5.4306704461379814E-2</v>
      </c>
      <c r="F162" s="4">
        <v>5379.17</v>
      </c>
      <c r="G162" s="4">
        <v>5433.63</v>
      </c>
      <c r="H162" s="59">
        <v>2237</v>
      </c>
      <c r="I162" s="5">
        <v>4.2200000000000001E-2</v>
      </c>
      <c r="J162" s="5">
        <v>8.2100000000000006E-2</v>
      </c>
      <c r="K162" s="2">
        <v>2643412165.8499999</v>
      </c>
      <c r="L162" s="3">
        <f t="shared" si="78"/>
        <v>5.4378601178001487E-2</v>
      </c>
      <c r="M162" s="4">
        <v>5409.62</v>
      </c>
      <c r="N162" s="4">
        <v>5464.56</v>
      </c>
      <c r="O162" s="59">
        <v>2231</v>
      </c>
      <c r="P162" s="5">
        <v>5.7000000000000002E-3</v>
      </c>
      <c r="Q162" s="5">
        <v>8.8300000000000003E-2</v>
      </c>
      <c r="R162" s="80">
        <f t="shared" si="79"/>
        <v>4.5986012049157813E-3</v>
      </c>
      <c r="S162" s="80">
        <f t="shared" si="80"/>
        <v>5.6923272287587286E-3</v>
      </c>
      <c r="T162" s="80">
        <f t="shared" si="81"/>
        <v>-2.682163611980331E-3</v>
      </c>
      <c r="U162" s="80">
        <f t="shared" si="82"/>
        <v>-3.6500000000000005E-2</v>
      </c>
      <c r="V162" s="82">
        <f t="shared" si="83"/>
        <v>6.1999999999999972E-3</v>
      </c>
    </row>
    <row r="163" spans="1:22">
      <c r="A163" s="74">
        <v>140</v>
      </c>
      <c r="B163" s="135" t="s">
        <v>276</v>
      </c>
      <c r="C163" s="135" t="s">
        <v>274</v>
      </c>
      <c r="D163" s="2">
        <v>0</v>
      </c>
      <c r="E163" s="3">
        <f t="shared" si="77"/>
        <v>0</v>
      </c>
      <c r="F163" s="4">
        <v>0</v>
      </c>
      <c r="G163" s="4">
        <v>0</v>
      </c>
      <c r="H163" s="59">
        <v>0</v>
      </c>
      <c r="I163" s="5">
        <v>0</v>
      </c>
      <c r="J163" s="5">
        <v>0</v>
      </c>
      <c r="K163" s="2">
        <v>77544021.340000004</v>
      </c>
      <c r="L163" s="3">
        <f t="shared" si="78"/>
        <v>1.5951865035131168E-3</v>
      </c>
      <c r="M163" s="4">
        <v>1024.47</v>
      </c>
      <c r="N163" s="4">
        <v>1038.4000000000001</v>
      </c>
      <c r="O163" s="59">
        <v>2</v>
      </c>
      <c r="P163" s="5">
        <v>1.1000000000000001E-3</v>
      </c>
      <c r="Q163" s="5">
        <v>4.1099999999999998E-2</v>
      </c>
      <c r="R163" s="80" t="e">
        <f t="shared" ref="R163" si="84">((K163-D163)/D163)</f>
        <v>#DIV/0!</v>
      </c>
      <c r="S163" s="80" t="e">
        <f t="shared" ref="S163" si="85">((N163-G163)/G163)</f>
        <v>#DIV/0!</v>
      </c>
      <c r="T163" s="80" t="e">
        <f t="shared" si="81"/>
        <v>#DIV/0!</v>
      </c>
      <c r="U163" s="80">
        <f t="shared" ref="U163" si="86">P163-I163</f>
        <v>1.1000000000000001E-3</v>
      </c>
      <c r="V163" s="82">
        <f t="shared" ref="V163" si="87">Q163-J163</f>
        <v>4.1099999999999998E-2</v>
      </c>
    </row>
    <row r="164" spans="1:22">
      <c r="A164" s="74">
        <v>141</v>
      </c>
      <c r="B164" s="135" t="s">
        <v>256</v>
      </c>
      <c r="C164" s="135" t="s">
        <v>257</v>
      </c>
      <c r="D164" s="2">
        <v>646546486.76999998</v>
      </c>
      <c r="E164" s="3">
        <f t="shared" si="77"/>
        <v>1.3343841963173581E-2</v>
      </c>
      <c r="F164" s="4">
        <v>1.2390000000000001</v>
      </c>
      <c r="G164" s="4">
        <v>1.2390000000000001</v>
      </c>
      <c r="H164" s="59">
        <v>38</v>
      </c>
      <c r="I164" s="5">
        <v>-2.3199999999999998E-2</v>
      </c>
      <c r="J164" s="5">
        <v>9.6100000000000005E-2</v>
      </c>
      <c r="K164" s="2">
        <v>647695996.87</v>
      </c>
      <c r="L164" s="3">
        <f t="shared" si="78"/>
        <v>1.3323991904628478E-2</v>
      </c>
      <c r="M164" s="4">
        <v>1.2410000000000001</v>
      </c>
      <c r="N164" s="4">
        <v>1.2410000000000001</v>
      </c>
      <c r="O164" s="59">
        <v>38</v>
      </c>
      <c r="P164" s="5">
        <v>1.6000000000000001E-3</v>
      </c>
      <c r="Q164" s="5">
        <v>9.8100000000000007E-2</v>
      </c>
      <c r="R164" s="80">
        <f>((K164-D164)/D164)</f>
        <v>1.7779233566680044E-3</v>
      </c>
      <c r="S164" s="80">
        <f>((N164-G164)/G164)</f>
        <v>1.6142050040355137E-3</v>
      </c>
      <c r="T164" s="80">
        <f>((O164-H164)/H164)</f>
        <v>0</v>
      </c>
      <c r="U164" s="80">
        <f>P164-I164</f>
        <v>2.4799999999999999E-2</v>
      </c>
      <c r="V164" s="82">
        <f>Q164-J164</f>
        <v>2.0000000000000018E-3</v>
      </c>
    </row>
    <row r="165" spans="1:22">
      <c r="A165" s="74">
        <v>142</v>
      </c>
      <c r="B165" s="135" t="s">
        <v>174</v>
      </c>
      <c r="C165" s="136" t="s">
        <v>45</v>
      </c>
      <c r="D165" s="4">
        <v>1689689518.6800001</v>
      </c>
      <c r="E165" s="3">
        <f t="shared" si="77"/>
        <v>3.4872898338271417E-2</v>
      </c>
      <c r="F165" s="4">
        <v>1.9093</v>
      </c>
      <c r="G165" s="4">
        <v>1.9198</v>
      </c>
      <c r="H165" s="59">
        <v>2082</v>
      </c>
      <c r="I165" s="5">
        <v>3.9399999999999998E-2</v>
      </c>
      <c r="J165" s="5">
        <v>3.2199999999999999E-2</v>
      </c>
      <c r="K165" s="4">
        <v>1694210440.6900001</v>
      </c>
      <c r="L165" s="16">
        <f t="shared" si="78"/>
        <v>3.4852224354601648E-2</v>
      </c>
      <c r="M165" s="4">
        <v>1.9155</v>
      </c>
      <c r="N165" s="4">
        <v>1.9258999999999999</v>
      </c>
      <c r="O165" s="59">
        <v>2086</v>
      </c>
      <c r="P165" s="5">
        <v>3.3E-3</v>
      </c>
      <c r="Q165" s="5">
        <v>3.56E-2</v>
      </c>
      <c r="R165" s="80">
        <f t="shared" si="79"/>
        <v>2.6755933323962225E-3</v>
      </c>
      <c r="S165" s="80">
        <f t="shared" si="80"/>
        <v>3.177414313991038E-3</v>
      </c>
      <c r="T165" s="80">
        <f t="shared" si="81"/>
        <v>1.9212295869356388E-3</v>
      </c>
      <c r="U165" s="80">
        <f t="shared" si="82"/>
        <v>-3.61E-2</v>
      </c>
      <c r="V165" s="82">
        <f t="shared" si="83"/>
        <v>3.4000000000000002E-3</v>
      </c>
    </row>
    <row r="166" spans="1:22">
      <c r="A166" s="74">
        <v>143</v>
      </c>
      <c r="B166" s="135" t="s">
        <v>175</v>
      </c>
      <c r="C166" s="136" t="s">
        <v>45</v>
      </c>
      <c r="D166" s="4">
        <v>1036143599.5</v>
      </c>
      <c r="E166" s="3">
        <f t="shared" si="77"/>
        <v>2.1384597590119268E-2</v>
      </c>
      <c r="F166" s="4">
        <v>1.6063000000000001</v>
      </c>
      <c r="G166" s="4">
        <v>1.6154999999999999</v>
      </c>
      <c r="H166" s="59">
        <v>674</v>
      </c>
      <c r="I166" s="5">
        <v>1.4200000000000001E-2</v>
      </c>
      <c r="J166" s="5">
        <v>0.12870000000000001</v>
      </c>
      <c r="K166" s="4">
        <v>1038318678.86</v>
      </c>
      <c r="L166" s="16">
        <f t="shared" si="78"/>
        <v>2.1359634363051234E-2</v>
      </c>
      <c r="M166" s="4">
        <v>1.6131</v>
      </c>
      <c r="N166" s="4">
        <v>1.6223000000000001</v>
      </c>
      <c r="O166" s="59">
        <v>676</v>
      </c>
      <c r="P166" s="5">
        <v>4.1999999999999997E-3</v>
      </c>
      <c r="Q166" s="5">
        <v>0.13350000000000001</v>
      </c>
      <c r="R166" s="80">
        <f t="shared" si="79"/>
        <v>2.0992064816591229E-3</v>
      </c>
      <c r="S166" s="80">
        <f t="shared" si="80"/>
        <v>4.2092231507274156E-3</v>
      </c>
      <c r="T166" s="80">
        <f t="shared" si="81"/>
        <v>2.967359050445104E-3</v>
      </c>
      <c r="U166" s="80">
        <f t="shared" si="82"/>
        <v>-1.0000000000000002E-2</v>
      </c>
      <c r="V166" s="82">
        <f t="shared" si="83"/>
        <v>4.7999999999999987E-3</v>
      </c>
    </row>
    <row r="167" spans="1:22">
      <c r="A167" s="74">
        <v>144</v>
      </c>
      <c r="B167" s="135" t="s">
        <v>176</v>
      </c>
      <c r="C167" s="136" t="s">
        <v>87</v>
      </c>
      <c r="D167" s="2">
        <v>8191825137.04</v>
      </c>
      <c r="E167" s="3">
        <f t="shared" si="77"/>
        <v>0.16906815249233612</v>
      </c>
      <c r="F167" s="4">
        <v>445.21</v>
      </c>
      <c r="G167" s="4">
        <v>449.83</v>
      </c>
      <c r="H167" s="59">
        <v>32</v>
      </c>
      <c r="I167" s="5">
        <v>3.9899999999999998E-2</v>
      </c>
      <c r="J167" s="5">
        <v>0.2747</v>
      </c>
      <c r="K167" s="2">
        <v>8220950155.0900002</v>
      </c>
      <c r="L167" s="16">
        <f t="shared" si="78"/>
        <v>0.16911618080721055</v>
      </c>
      <c r="M167" s="4">
        <v>446.79</v>
      </c>
      <c r="N167" s="4">
        <v>451.44</v>
      </c>
      <c r="O167" s="59">
        <v>32</v>
      </c>
      <c r="P167" s="5">
        <v>3.5599999999999998E-3</v>
      </c>
      <c r="Q167" s="5">
        <v>0.2792</v>
      </c>
      <c r="R167" s="80">
        <f t="shared" si="79"/>
        <v>3.5553759464797491E-3</v>
      </c>
      <c r="S167" s="80">
        <f t="shared" si="80"/>
        <v>3.5791298935153584E-3</v>
      </c>
      <c r="T167" s="80">
        <f t="shared" si="81"/>
        <v>0</v>
      </c>
      <c r="U167" s="80">
        <f t="shared" si="82"/>
        <v>-3.6339999999999997E-2</v>
      </c>
      <c r="V167" s="82">
        <f t="shared" si="83"/>
        <v>4.500000000000004E-3</v>
      </c>
    </row>
    <row r="168" spans="1:22">
      <c r="A168" s="74">
        <v>145</v>
      </c>
      <c r="B168" s="135" t="s">
        <v>177</v>
      </c>
      <c r="C168" s="136" t="s">
        <v>40</v>
      </c>
      <c r="D168" s="2">
        <v>431074166.83999997</v>
      </c>
      <c r="E168" s="3">
        <f t="shared" si="77"/>
        <v>8.8967857291380528E-3</v>
      </c>
      <c r="F168" s="4">
        <v>224.29</v>
      </c>
      <c r="G168" s="4">
        <v>227.11</v>
      </c>
      <c r="H168" s="59">
        <v>690</v>
      </c>
      <c r="I168" s="5">
        <v>2.5600000000000001E-2</v>
      </c>
      <c r="J168" s="5">
        <v>0.16239999999999999</v>
      </c>
      <c r="K168" s="2">
        <v>430026367.51999998</v>
      </c>
      <c r="L168" s="16">
        <f t="shared" si="78"/>
        <v>8.8462301254013768E-3</v>
      </c>
      <c r="M168" s="4">
        <v>223.67</v>
      </c>
      <c r="N168" s="4">
        <v>226.59</v>
      </c>
      <c r="O168" s="59">
        <v>690</v>
      </c>
      <c r="P168" s="5">
        <v>-2.5000000000000001E-3</v>
      </c>
      <c r="Q168" s="5">
        <v>0.1595</v>
      </c>
      <c r="R168" s="80">
        <f t="shared" si="79"/>
        <v>-2.4306706376791541E-3</v>
      </c>
      <c r="S168" s="80">
        <f t="shared" si="80"/>
        <v>-2.2896393817974118E-3</v>
      </c>
      <c r="T168" s="80">
        <f t="shared" si="81"/>
        <v>0</v>
      </c>
      <c r="U168" s="80">
        <f t="shared" si="82"/>
        <v>-2.81E-2</v>
      </c>
      <c r="V168" s="82">
        <f t="shared" si="83"/>
        <v>-2.8999999999999859E-3</v>
      </c>
    </row>
    <row r="169" spans="1:22">
      <c r="A169" s="83"/>
      <c r="B169" s="19"/>
      <c r="C169" s="70" t="s">
        <v>46</v>
      </c>
      <c r="D169" s="71">
        <f>SUM(D142:D168)</f>
        <v>48452798568.384056</v>
      </c>
      <c r="E169" s="99">
        <f>(D169/$D$195)</f>
        <v>1.669678575481584E-2</v>
      </c>
      <c r="F169" s="30"/>
      <c r="G169" s="36"/>
      <c r="H169" s="64">
        <f>SUM(H142:H168)</f>
        <v>69502</v>
      </c>
      <c r="I169" s="37"/>
      <c r="J169" s="37"/>
      <c r="K169" s="71">
        <f>SUM(K142:K168)</f>
        <v>48611257159.725822</v>
      </c>
      <c r="L169" s="99">
        <f>(K169/$K$195)</f>
        <v>1.6699859946429904E-2</v>
      </c>
      <c r="M169" s="30"/>
      <c r="N169" s="36"/>
      <c r="O169" s="64">
        <f>SUM(O142:O168)</f>
        <v>69527</v>
      </c>
      <c r="P169" s="37"/>
      <c r="Q169" s="37"/>
      <c r="R169" s="80">
        <f t="shared" si="79"/>
        <v>3.2703702577287705E-3</v>
      </c>
      <c r="S169" s="80" t="e">
        <f t="shared" si="80"/>
        <v>#DIV/0!</v>
      </c>
      <c r="T169" s="80">
        <f t="shared" si="81"/>
        <v>3.597018790826163E-4</v>
      </c>
      <c r="U169" s="80">
        <f t="shared" si="82"/>
        <v>0</v>
      </c>
      <c r="V169" s="82">
        <f t="shared" si="83"/>
        <v>0</v>
      </c>
    </row>
    <row r="170" spans="1:22" ht="8.25" customHeight="1">
      <c r="A170" s="148"/>
      <c r="B170" s="148"/>
      <c r="C170" s="148"/>
      <c r="D170" s="148"/>
      <c r="E170" s="148"/>
      <c r="F170" s="148"/>
      <c r="G170" s="148"/>
      <c r="H170" s="148"/>
      <c r="I170" s="148"/>
      <c r="J170" s="148"/>
      <c r="K170" s="148"/>
      <c r="L170" s="148"/>
      <c r="M170" s="148"/>
      <c r="N170" s="148"/>
      <c r="O170" s="148"/>
      <c r="P170" s="148"/>
      <c r="Q170" s="148"/>
      <c r="R170" s="148"/>
      <c r="S170" s="148"/>
      <c r="T170" s="148"/>
      <c r="U170" s="148"/>
      <c r="V170" s="148"/>
    </row>
    <row r="171" spans="1:22" ht="15" customHeight="1">
      <c r="A171" s="155" t="s">
        <v>178</v>
      </c>
      <c r="B171" s="155"/>
      <c r="C171" s="155"/>
      <c r="D171" s="155"/>
      <c r="E171" s="155"/>
      <c r="F171" s="155"/>
      <c r="G171" s="155"/>
      <c r="H171" s="155"/>
      <c r="I171" s="155"/>
      <c r="J171" s="155"/>
      <c r="K171" s="155"/>
      <c r="L171" s="155"/>
      <c r="M171" s="155"/>
      <c r="N171" s="155"/>
      <c r="O171" s="155"/>
      <c r="P171" s="155"/>
      <c r="Q171" s="155"/>
      <c r="R171" s="155"/>
      <c r="S171" s="155"/>
      <c r="T171" s="155"/>
      <c r="U171" s="155"/>
      <c r="V171" s="155"/>
    </row>
    <row r="172" spans="1:22">
      <c r="A172" s="74">
        <v>146</v>
      </c>
      <c r="B172" s="135" t="s">
        <v>179</v>
      </c>
      <c r="C172" s="136" t="s">
        <v>21</v>
      </c>
      <c r="D172" s="17">
        <v>933027864.25999999</v>
      </c>
      <c r="E172" s="3">
        <f>(D172/$D$175)</f>
        <v>0.190074420176475</v>
      </c>
      <c r="F172" s="17">
        <v>64.661100000000005</v>
      </c>
      <c r="G172" s="17">
        <v>66.610699999999994</v>
      </c>
      <c r="H172" s="61">
        <v>1547</v>
      </c>
      <c r="I172" s="6">
        <v>5.11E-2</v>
      </c>
      <c r="J172" s="6">
        <v>0.44750000000000001</v>
      </c>
      <c r="K172" s="17">
        <v>934701394.29999995</v>
      </c>
      <c r="L172" s="16">
        <f>(K172/$K$175)</f>
        <v>0.18816116952829953</v>
      </c>
      <c r="M172" s="17">
        <v>64.709100000000007</v>
      </c>
      <c r="N172" s="17">
        <v>66.660200000000003</v>
      </c>
      <c r="O172" s="61">
        <v>1548</v>
      </c>
      <c r="P172" s="6">
        <v>3.8899999999999997E-2</v>
      </c>
      <c r="Q172" s="6">
        <v>0.42980000000000002</v>
      </c>
      <c r="R172" s="80">
        <f>((K172-D172)/D172)</f>
        <v>1.7936549422639875E-3</v>
      </c>
      <c r="S172" s="80">
        <f t="shared" ref="S172:T175" si="88">((N172-G172)/G172)</f>
        <v>7.4312385247428695E-4</v>
      </c>
      <c r="T172" s="80">
        <f t="shared" si="88"/>
        <v>6.4641241111829345E-4</v>
      </c>
      <c r="U172" s="80">
        <f t="shared" ref="U172:V175" si="89">P172-I172</f>
        <v>-1.2200000000000003E-2</v>
      </c>
      <c r="V172" s="82">
        <f t="shared" si="89"/>
        <v>-1.7699999999999994E-2</v>
      </c>
    </row>
    <row r="173" spans="1:22">
      <c r="A173" s="74">
        <v>147</v>
      </c>
      <c r="B173" s="135" t="s">
        <v>180</v>
      </c>
      <c r="C173" s="136" t="s">
        <v>181</v>
      </c>
      <c r="D173" s="97">
        <v>796601356.73000002</v>
      </c>
      <c r="E173" s="3">
        <f>(D173/$D$175)</f>
        <v>0.16228190688853295</v>
      </c>
      <c r="F173" s="17">
        <v>22.531600000000001</v>
      </c>
      <c r="G173" s="17">
        <v>22.720199999999998</v>
      </c>
      <c r="H173" s="59">
        <v>1494</v>
      </c>
      <c r="I173" s="5">
        <v>3.1899999999999998E-2</v>
      </c>
      <c r="J173" s="5">
        <v>3.3599999999999998E-2</v>
      </c>
      <c r="K173" s="97">
        <v>796601356.73000002</v>
      </c>
      <c r="L173" s="16">
        <f>(K173/$K$175)</f>
        <v>0.1603607781524703</v>
      </c>
      <c r="M173" s="17">
        <v>22.904800000000002</v>
      </c>
      <c r="N173" s="17">
        <v>23.101199999999999</v>
      </c>
      <c r="O173" s="59">
        <v>1494</v>
      </c>
      <c r="P173" s="5">
        <v>2.0899999999999998E-2</v>
      </c>
      <c r="Q173" s="5">
        <v>5.0799999999999998E-2</v>
      </c>
      <c r="R173" s="80">
        <f>((K173-D173)/D173)</f>
        <v>0</v>
      </c>
      <c r="S173" s="80">
        <f t="shared" si="88"/>
        <v>1.6769218580822365E-2</v>
      </c>
      <c r="T173" s="80">
        <f t="shared" si="88"/>
        <v>0</v>
      </c>
      <c r="U173" s="80">
        <f t="shared" si="89"/>
        <v>-1.0999999999999999E-2</v>
      </c>
      <c r="V173" s="82">
        <f t="shared" si="89"/>
        <v>1.72E-2</v>
      </c>
    </row>
    <row r="174" spans="1:22">
      <c r="A174" s="74">
        <v>148</v>
      </c>
      <c r="B174" s="135" t="s">
        <v>182</v>
      </c>
      <c r="C174" s="136" t="s">
        <v>42</v>
      </c>
      <c r="D174" s="9">
        <v>3179121064.2600002</v>
      </c>
      <c r="E174" s="3">
        <f>(D174/$D$175)</f>
        <v>0.64764367293499214</v>
      </c>
      <c r="F174" s="17">
        <v>2.2799999999999998</v>
      </c>
      <c r="G174" s="17">
        <v>2.31</v>
      </c>
      <c r="H174" s="59">
        <v>10087</v>
      </c>
      <c r="I174" s="5">
        <v>3.5900000000000001E-2</v>
      </c>
      <c r="J174" s="5">
        <v>0.1106</v>
      </c>
      <c r="K174" s="9">
        <v>3236254565.0900002</v>
      </c>
      <c r="L174" s="16">
        <f>(K174/$K$175)</f>
        <v>0.65147805231923017</v>
      </c>
      <c r="M174" s="17">
        <v>2.3199999999999998</v>
      </c>
      <c r="N174" s="17">
        <v>2.3199999999999998</v>
      </c>
      <c r="O174" s="59">
        <v>10090</v>
      </c>
      <c r="P174" s="5">
        <v>1.7299999999999999E-2</v>
      </c>
      <c r="Q174" s="5">
        <v>0.1298</v>
      </c>
      <c r="R174" s="80">
        <f>((K174-D174)/D174)</f>
        <v>1.7971476919297132E-2</v>
      </c>
      <c r="S174" s="80">
        <f t="shared" si="88"/>
        <v>4.3290043290042362E-3</v>
      </c>
      <c r="T174" s="80">
        <f t="shared" si="88"/>
        <v>2.9741251115296917E-4</v>
      </c>
      <c r="U174" s="80">
        <f t="shared" si="89"/>
        <v>-1.8600000000000002E-2</v>
      </c>
      <c r="V174" s="82">
        <f t="shared" si="89"/>
        <v>1.9199999999999995E-2</v>
      </c>
    </row>
    <row r="175" spans="1:22">
      <c r="A175" s="74"/>
      <c r="B175" s="19"/>
      <c r="C175" s="65" t="s">
        <v>46</v>
      </c>
      <c r="D175" s="71">
        <f>SUM(D172:D174)</f>
        <v>4908750285.25</v>
      </c>
      <c r="E175" s="99">
        <f>(D175/$D$195)</f>
        <v>1.6915504214072448E-3</v>
      </c>
      <c r="F175" s="30"/>
      <c r="G175" s="36"/>
      <c r="H175" s="64">
        <f>SUM(H172:H174)</f>
        <v>13128</v>
      </c>
      <c r="I175" s="37"/>
      <c r="J175" s="37"/>
      <c r="K175" s="71">
        <f>SUM(K172:K174)</f>
        <v>4967557316.1199999</v>
      </c>
      <c r="L175" s="99">
        <f>(K175/$K$195)</f>
        <v>1.7065493941554979E-3</v>
      </c>
      <c r="M175" s="30"/>
      <c r="N175" s="36"/>
      <c r="O175" s="64">
        <f>SUM(O172:O174)</f>
        <v>13132</v>
      </c>
      <c r="P175" s="37"/>
      <c r="Q175" s="37"/>
      <c r="R175" s="80">
        <f>((K175-D175)/D175)</f>
        <v>1.1980041243227527E-2</v>
      </c>
      <c r="S175" s="80" t="e">
        <f t="shared" si="88"/>
        <v>#DIV/0!</v>
      </c>
      <c r="T175" s="80">
        <f t="shared" si="88"/>
        <v>3.0469226081657528E-4</v>
      </c>
      <c r="U175" s="80">
        <f t="shared" si="89"/>
        <v>0</v>
      </c>
      <c r="V175" s="82">
        <f t="shared" si="89"/>
        <v>0</v>
      </c>
    </row>
    <row r="176" spans="1:22" ht="6" customHeight="1">
      <c r="A176" s="148"/>
      <c r="B176" s="148"/>
      <c r="C176" s="148"/>
      <c r="D176" s="148"/>
      <c r="E176" s="148"/>
      <c r="F176" s="148"/>
      <c r="G176" s="148"/>
      <c r="H176" s="148"/>
      <c r="I176" s="148"/>
      <c r="J176" s="148"/>
      <c r="K176" s="148"/>
      <c r="L176" s="148"/>
      <c r="M176" s="148"/>
      <c r="N176" s="148"/>
      <c r="O176" s="148"/>
      <c r="P176" s="148"/>
      <c r="Q176" s="148"/>
      <c r="R176" s="148"/>
      <c r="S176" s="148"/>
      <c r="T176" s="148"/>
      <c r="U176" s="148"/>
      <c r="V176" s="148"/>
    </row>
    <row r="177" spans="1:24" ht="15" customHeight="1">
      <c r="A177" s="155" t="s">
        <v>183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  <c r="N177" s="155"/>
      <c r="O177" s="155"/>
      <c r="P177" s="155"/>
      <c r="Q177" s="155"/>
      <c r="R177" s="155"/>
      <c r="S177" s="155"/>
      <c r="T177" s="155"/>
      <c r="U177" s="155"/>
      <c r="V177" s="155"/>
    </row>
    <row r="178" spans="1:24">
      <c r="A178" s="159" t="s">
        <v>232</v>
      </c>
      <c r="B178" s="159"/>
      <c r="C178" s="159"/>
      <c r="D178" s="159"/>
      <c r="E178" s="159"/>
      <c r="F178" s="159"/>
      <c r="G178" s="159"/>
      <c r="H178" s="159"/>
      <c r="I178" s="159"/>
      <c r="J178" s="159"/>
      <c r="K178" s="159"/>
      <c r="L178" s="159"/>
      <c r="M178" s="159"/>
      <c r="N178" s="159"/>
      <c r="O178" s="159"/>
      <c r="P178" s="159"/>
      <c r="Q178" s="159"/>
      <c r="R178" s="159"/>
      <c r="S178" s="159"/>
      <c r="T178" s="159"/>
      <c r="U178" s="159"/>
      <c r="V178" s="159"/>
    </row>
    <row r="179" spans="1:24">
      <c r="A179" s="74">
        <v>149</v>
      </c>
      <c r="B179" s="135" t="s">
        <v>184</v>
      </c>
      <c r="C179" s="136" t="s">
        <v>185</v>
      </c>
      <c r="D179" s="13">
        <v>4135821352.46</v>
      </c>
      <c r="E179" s="3">
        <f>(D179/$D$194)</f>
        <v>8.0788035680472867E-2</v>
      </c>
      <c r="F179" s="18">
        <v>1.96</v>
      </c>
      <c r="G179" s="18">
        <v>1.99</v>
      </c>
      <c r="H179" s="60">
        <v>14973</v>
      </c>
      <c r="I179" s="12">
        <v>3.8E-3</v>
      </c>
      <c r="J179" s="12">
        <v>8.2299999999999998E-2</v>
      </c>
      <c r="K179" s="13">
        <v>4151493711.8800001</v>
      </c>
      <c r="L179" s="3">
        <f>(K179/$K$194)</f>
        <v>8.1314560133098596E-2</v>
      </c>
      <c r="M179" s="18">
        <v>1.96</v>
      </c>
      <c r="N179" s="18">
        <v>2</v>
      </c>
      <c r="O179" s="60">
        <v>14998</v>
      </c>
      <c r="P179" s="12">
        <v>3.2000000000000002E-3</v>
      </c>
      <c r="Q179" s="12">
        <v>8.5800000000000001E-2</v>
      </c>
      <c r="R179" s="80">
        <f>((K179-D179)/D179)</f>
        <v>3.7894188564692489E-3</v>
      </c>
      <c r="S179" s="80">
        <f>((N179-G179)/G179)</f>
        <v>5.0251256281407079E-3</v>
      </c>
      <c r="T179" s="80">
        <f>((O179-H179)/H179)</f>
        <v>1.6696720764041943E-3</v>
      </c>
      <c r="U179" s="80">
        <f>P179-I179</f>
        <v>-5.9999999999999984E-4</v>
      </c>
      <c r="V179" s="82">
        <f>Q179-J179</f>
        <v>3.5000000000000031E-3</v>
      </c>
    </row>
    <row r="180" spans="1:24">
      <c r="A180" s="74">
        <v>150</v>
      </c>
      <c r="B180" s="135" t="s">
        <v>186</v>
      </c>
      <c r="C180" s="136" t="s">
        <v>42</v>
      </c>
      <c r="D180" s="13">
        <v>677858664.45000005</v>
      </c>
      <c r="E180" s="3">
        <f>(D180/$D$194)</f>
        <v>1.3241111088449494E-2</v>
      </c>
      <c r="F180" s="18">
        <v>431.13</v>
      </c>
      <c r="G180" s="18">
        <v>436.75</v>
      </c>
      <c r="H180" s="60">
        <v>832</v>
      </c>
      <c r="I180" s="12">
        <v>2.3300000000000001E-2</v>
      </c>
      <c r="J180" s="12">
        <v>0.14410000000000001</v>
      </c>
      <c r="K180" s="13">
        <v>652770561.57000005</v>
      </c>
      <c r="L180" s="3">
        <f>(K180/$K$194)</f>
        <v>1.2785699501364099E-2</v>
      </c>
      <c r="M180" s="18">
        <v>431.23</v>
      </c>
      <c r="N180" s="18">
        <v>437.01</v>
      </c>
      <c r="O180" s="60">
        <v>832</v>
      </c>
      <c r="P180" s="12">
        <v>2.9999999999999997E-4</v>
      </c>
      <c r="Q180" s="12">
        <v>0.1444</v>
      </c>
      <c r="R180" s="80">
        <f>((K180-D180)/D180)</f>
        <v>-3.7010816849786736E-2</v>
      </c>
      <c r="S180" s="80">
        <f>((N180-G180)/G180)</f>
        <v>5.9530623926729454E-4</v>
      </c>
      <c r="T180" s="80">
        <f>((O180-H180)/H180)</f>
        <v>0</v>
      </c>
      <c r="U180" s="80">
        <f>P180-I180</f>
        <v>-2.3E-2</v>
      </c>
      <c r="V180" s="82">
        <f>Q180-J180</f>
        <v>2.9999999999999472E-4</v>
      </c>
    </row>
    <row r="181" spans="1:24" ht="6" customHeight="1">
      <c r="A181" s="148"/>
      <c r="B181" s="148"/>
      <c r="C181" s="148"/>
      <c r="D181" s="148"/>
      <c r="E181" s="148"/>
      <c r="F181" s="148"/>
      <c r="G181" s="148"/>
      <c r="H181" s="148"/>
      <c r="I181" s="148"/>
      <c r="J181" s="148"/>
      <c r="K181" s="148"/>
      <c r="L181" s="148"/>
      <c r="M181" s="148"/>
      <c r="N181" s="148"/>
      <c r="O181" s="148"/>
      <c r="P181" s="148"/>
      <c r="Q181" s="148"/>
      <c r="R181" s="148"/>
      <c r="S181" s="148"/>
      <c r="T181" s="148"/>
      <c r="U181" s="148"/>
      <c r="V181" s="148"/>
    </row>
    <row r="182" spans="1:24" ht="15" customHeight="1">
      <c r="A182" s="159" t="s">
        <v>231</v>
      </c>
      <c r="B182" s="159"/>
      <c r="C182" s="159"/>
      <c r="D182" s="159"/>
      <c r="E182" s="159"/>
      <c r="F182" s="159"/>
      <c r="G182" s="159"/>
      <c r="H182" s="159"/>
      <c r="I182" s="159"/>
      <c r="J182" s="159"/>
      <c r="K182" s="159"/>
      <c r="L182" s="159"/>
      <c r="M182" s="159"/>
      <c r="N182" s="159"/>
      <c r="O182" s="159"/>
      <c r="P182" s="159"/>
      <c r="Q182" s="159"/>
      <c r="R182" s="159"/>
      <c r="S182" s="159"/>
      <c r="T182" s="159"/>
      <c r="U182" s="159"/>
      <c r="V182" s="159"/>
    </row>
    <row r="183" spans="1:24">
      <c r="A183" s="74">
        <v>151</v>
      </c>
      <c r="B183" s="135" t="s">
        <v>187</v>
      </c>
      <c r="C183" s="136" t="s">
        <v>188</v>
      </c>
      <c r="D183" s="2">
        <v>404696418.00999999</v>
      </c>
      <c r="E183" s="3">
        <f t="shared" ref="E183:E193" si="90">(D183/$D$194)</f>
        <v>7.9052323279158489E-3</v>
      </c>
      <c r="F183" s="2">
        <v>1043.54</v>
      </c>
      <c r="G183" s="2">
        <v>1043.54</v>
      </c>
      <c r="H183" s="59">
        <v>19</v>
      </c>
      <c r="I183" s="5">
        <v>2.7000000000000001E-3</v>
      </c>
      <c r="J183" s="5">
        <v>5.0099999999999999E-2</v>
      </c>
      <c r="K183" s="2">
        <v>405600374.45999998</v>
      </c>
      <c r="L183" s="3">
        <f t="shared" ref="L183:L193" si="91">(K183/$K$194)</f>
        <v>7.9444215330629672E-3</v>
      </c>
      <c r="M183" s="2">
        <v>1045.82</v>
      </c>
      <c r="N183" s="2">
        <v>1045.82</v>
      </c>
      <c r="O183" s="59">
        <v>20</v>
      </c>
      <c r="P183" s="5">
        <v>2.7000000000000001E-3</v>
      </c>
      <c r="Q183" s="5">
        <v>5.28E-2</v>
      </c>
      <c r="R183" s="80">
        <f>((K183-D183)/D183)</f>
        <v>2.2336655571229976E-3</v>
      </c>
      <c r="S183" s="80">
        <f>((N183-G183)/G183)</f>
        <v>2.1848707284818723E-3</v>
      </c>
      <c r="T183" s="80">
        <f>((O183-H183)/H183)</f>
        <v>5.2631578947368418E-2</v>
      </c>
      <c r="U183" s="80">
        <f>P183-I183</f>
        <v>0</v>
      </c>
      <c r="V183" s="82">
        <f>Q183-J183</f>
        <v>2.700000000000001E-3</v>
      </c>
      <c r="X183" s="69"/>
    </row>
    <row r="184" spans="1:24">
      <c r="A184" s="74">
        <v>152</v>
      </c>
      <c r="B184" s="135" t="s">
        <v>189</v>
      </c>
      <c r="C184" s="136" t="s">
        <v>58</v>
      </c>
      <c r="D184" s="2">
        <v>108952131.15000001</v>
      </c>
      <c r="E184" s="3">
        <f t="shared" si="90"/>
        <v>2.1282419883959167E-3</v>
      </c>
      <c r="F184" s="17">
        <v>111.22</v>
      </c>
      <c r="G184" s="17">
        <v>111.22</v>
      </c>
      <c r="H184" s="59">
        <v>71</v>
      </c>
      <c r="I184" s="5">
        <v>1.8E-3</v>
      </c>
      <c r="J184" s="5">
        <v>0.1371</v>
      </c>
      <c r="K184" s="2">
        <v>109267179.92</v>
      </c>
      <c r="L184" s="3">
        <f t="shared" si="91"/>
        <v>2.1401965867739142E-3</v>
      </c>
      <c r="M184" s="17">
        <v>111.51</v>
      </c>
      <c r="N184" s="17">
        <v>111.51</v>
      </c>
      <c r="O184" s="59">
        <v>71</v>
      </c>
      <c r="P184" s="5">
        <v>2.5999999999999999E-3</v>
      </c>
      <c r="Q184" s="5">
        <v>0.13589999999999999</v>
      </c>
      <c r="R184" s="80">
        <f t="shared" ref="R184:R195" si="92">((K184-D184)/D184)</f>
        <v>2.8916255852421279E-3</v>
      </c>
      <c r="S184" s="80">
        <f t="shared" ref="S184:S194" si="93">((N184-G184)/G184)</f>
        <v>2.6074447041899503E-3</v>
      </c>
      <c r="T184" s="80">
        <f t="shared" ref="T184:T194" si="94">((O184-H184)/H184)</f>
        <v>0</v>
      </c>
      <c r="U184" s="80">
        <f t="shared" ref="U184:U194" si="95">P184-I184</f>
        <v>7.9999999999999993E-4</v>
      </c>
      <c r="V184" s="82">
        <f t="shared" ref="V184:V194" si="96">Q184-J184</f>
        <v>-1.2000000000000066E-3</v>
      </c>
    </row>
    <row r="185" spans="1:24">
      <c r="A185" s="74">
        <v>153</v>
      </c>
      <c r="B185" s="146" t="s">
        <v>190</v>
      </c>
      <c r="C185" s="136" t="s">
        <v>64</v>
      </c>
      <c r="D185" s="9">
        <v>56823841.119999997</v>
      </c>
      <c r="E185" s="3">
        <f t="shared" si="90"/>
        <v>1.1099818180428723E-3</v>
      </c>
      <c r="F185" s="17">
        <v>102.49</v>
      </c>
      <c r="G185" s="17">
        <v>104.22</v>
      </c>
      <c r="H185" s="59">
        <v>12</v>
      </c>
      <c r="I185" s="5">
        <v>1.8E-3</v>
      </c>
      <c r="J185" s="5">
        <v>7.2099999999999997E-2</v>
      </c>
      <c r="K185" s="9">
        <v>56921059.159999996</v>
      </c>
      <c r="L185" s="3">
        <f t="shared" si="91"/>
        <v>1.1149025409000236E-3</v>
      </c>
      <c r="M185" s="17">
        <v>102.63</v>
      </c>
      <c r="N185" s="17">
        <v>104.47</v>
      </c>
      <c r="O185" s="59">
        <v>12</v>
      </c>
      <c r="P185" s="5">
        <v>2E-3</v>
      </c>
      <c r="Q185" s="5">
        <v>7.4099999999999999E-2</v>
      </c>
      <c r="R185" s="80">
        <f t="shared" si="92"/>
        <v>1.7108670952865552E-3</v>
      </c>
      <c r="S185" s="80">
        <f t="shared" si="93"/>
        <v>2.3987718288236422E-3</v>
      </c>
      <c r="T185" s="80">
        <f t="shared" si="94"/>
        <v>0</v>
      </c>
      <c r="U185" s="80">
        <f t="shared" si="95"/>
        <v>2.0000000000000009E-4</v>
      </c>
      <c r="V185" s="82">
        <f t="shared" si="96"/>
        <v>2.0000000000000018E-3</v>
      </c>
    </row>
    <row r="186" spans="1:24">
      <c r="A186" s="74">
        <v>154</v>
      </c>
      <c r="B186" s="135" t="s">
        <v>191</v>
      </c>
      <c r="C186" s="136" t="s">
        <v>27</v>
      </c>
      <c r="D186" s="2">
        <v>9663144869.7700005</v>
      </c>
      <c r="E186" s="3">
        <f t="shared" si="90"/>
        <v>0.1887573050175908</v>
      </c>
      <c r="F186" s="17">
        <v>141.35</v>
      </c>
      <c r="G186" s="17">
        <v>141.35</v>
      </c>
      <c r="H186" s="59">
        <v>692</v>
      </c>
      <c r="I186" s="5">
        <v>2.3E-3</v>
      </c>
      <c r="J186" s="5">
        <v>5.7099999999999998E-2</v>
      </c>
      <c r="K186" s="2">
        <v>9451349851.1200008</v>
      </c>
      <c r="L186" s="3">
        <f t="shared" si="91"/>
        <v>0.18512188844429697</v>
      </c>
      <c r="M186" s="17">
        <v>141.76</v>
      </c>
      <c r="N186" s="17">
        <v>141.76</v>
      </c>
      <c r="O186" s="59">
        <v>693</v>
      </c>
      <c r="P186" s="5">
        <v>2.8999999999999998E-3</v>
      </c>
      <c r="Q186" s="5">
        <v>6.0199999999999997E-2</v>
      </c>
      <c r="R186" s="80">
        <f t="shared" si="92"/>
        <v>-2.1917814697425798E-2</v>
      </c>
      <c r="S186" s="80">
        <f t="shared" si="93"/>
        <v>2.9006013441810869E-3</v>
      </c>
      <c r="T186" s="80">
        <f t="shared" si="94"/>
        <v>1.4450867052023121E-3</v>
      </c>
      <c r="U186" s="80">
        <f t="shared" si="95"/>
        <v>5.9999999999999984E-4</v>
      </c>
      <c r="V186" s="82">
        <f t="shared" si="96"/>
        <v>3.0999999999999986E-3</v>
      </c>
    </row>
    <row r="187" spans="1:24">
      <c r="A187" s="74">
        <v>155</v>
      </c>
      <c r="B187" s="135" t="s">
        <v>249</v>
      </c>
      <c r="C187" s="136" t="s">
        <v>56</v>
      </c>
      <c r="D187" s="2">
        <v>288631819.15137202</v>
      </c>
      <c r="E187" s="3">
        <f t="shared" si="90"/>
        <v>5.6380572846192242E-3</v>
      </c>
      <c r="F187" s="4">
        <v>1083.09190170595</v>
      </c>
      <c r="G187" s="4">
        <v>1083.09190170595</v>
      </c>
      <c r="H187" s="59">
        <v>84</v>
      </c>
      <c r="I187" s="5">
        <v>0.1417707732787428</v>
      </c>
      <c r="J187" s="5">
        <v>0.1258320040682544</v>
      </c>
      <c r="K187" s="2">
        <v>288916488.33348101</v>
      </c>
      <c r="L187" s="3">
        <f t="shared" si="91"/>
        <v>5.6589552567087196E-3</v>
      </c>
      <c r="M187" s="4">
        <v>1086.0188188647701</v>
      </c>
      <c r="N187" s="4">
        <v>1086.0188188647701</v>
      </c>
      <c r="O187" s="59">
        <v>84</v>
      </c>
      <c r="P187" s="5">
        <v>0.14129544691727208</v>
      </c>
      <c r="Q187" s="5">
        <v>0.12683785891828339</v>
      </c>
      <c r="R187" s="80">
        <f t="shared" si="92"/>
        <v>9.8627096259163468E-4</v>
      </c>
      <c r="S187" s="80">
        <f t="shared" si="93"/>
        <v>2.7023719355762418E-3</v>
      </c>
      <c r="T187" s="80">
        <f t="shared" si="94"/>
        <v>0</v>
      </c>
      <c r="U187" s="80">
        <f t="shared" si="95"/>
        <v>-4.7532636147071261E-4</v>
      </c>
      <c r="V187" s="82">
        <f t="shared" si="96"/>
        <v>1.0058548500289921E-3</v>
      </c>
    </row>
    <row r="188" spans="1:24">
      <c r="A188" s="74">
        <v>156</v>
      </c>
      <c r="B188" s="135" t="s">
        <v>192</v>
      </c>
      <c r="C188" s="136" t="s">
        <v>185</v>
      </c>
      <c r="D188" s="2">
        <v>20825317678.82</v>
      </c>
      <c r="E188" s="3">
        <f t="shared" si="90"/>
        <v>0.40679622360694423</v>
      </c>
      <c r="F188" s="7">
        <v>1221.8699999999999</v>
      </c>
      <c r="G188" s="7">
        <v>1221.8699999999999</v>
      </c>
      <c r="H188" s="59">
        <v>8410</v>
      </c>
      <c r="I188" s="5">
        <v>2.8999999999999998E-3</v>
      </c>
      <c r="J188" s="5">
        <v>6.08E-2</v>
      </c>
      <c r="K188" s="2">
        <v>21053850289.459999</v>
      </c>
      <c r="L188" s="3">
        <f t="shared" si="91"/>
        <v>0.41237797626827666</v>
      </c>
      <c r="M188" s="7">
        <v>1224.8900000000001</v>
      </c>
      <c r="N188" s="7">
        <v>1224.8900000000001</v>
      </c>
      <c r="O188" s="59">
        <v>8525</v>
      </c>
      <c r="P188" s="5">
        <v>2.5000000000000001E-3</v>
      </c>
      <c r="Q188" s="5">
        <v>6.3299999999999995E-2</v>
      </c>
      <c r="R188" s="80">
        <f t="shared" si="92"/>
        <v>1.0973787491003041E-2</v>
      </c>
      <c r="S188" s="80">
        <f t="shared" si="93"/>
        <v>2.471621367248733E-3</v>
      </c>
      <c r="T188" s="80">
        <f t="shared" si="94"/>
        <v>1.3674197384066587E-2</v>
      </c>
      <c r="U188" s="80">
        <f t="shared" si="95"/>
        <v>-3.9999999999999975E-4</v>
      </c>
      <c r="V188" s="82">
        <f t="shared" si="96"/>
        <v>2.4999999999999953E-3</v>
      </c>
    </row>
    <row r="189" spans="1:24" ht="13.5" customHeight="1">
      <c r="A189" s="74">
        <v>157</v>
      </c>
      <c r="B189" s="135" t="s">
        <v>193</v>
      </c>
      <c r="C189" s="136" t="s">
        <v>78</v>
      </c>
      <c r="D189" s="2">
        <v>1066353360.72</v>
      </c>
      <c r="E189" s="3">
        <f t="shared" si="90"/>
        <v>2.0829863287638879E-2</v>
      </c>
      <c r="F189" s="14">
        <v>104.48</v>
      </c>
      <c r="G189" s="14">
        <v>104.48</v>
      </c>
      <c r="H189" s="59">
        <v>556</v>
      </c>
      <c r="I189" s="5">
        <v>2.2000000000000001E-3</v>
      </c>
      <c r="J189" s="5">
        <v>4.7199999999999999E-2</v>
      </c>
      <c r="K189" s="2">
        <v>1075736558.05</v>
      </c>
      <c r="L189" s="3">
        <f t="shared" si="91"/>
        <v>2.107025834740266E-2</v>
      </c>
      <c r="M189" s="14">
        <v>104.72</v>
      </c>
      <c r="N189" s="14">
        <v>104.72</v>
      </c>
      <c r="O189" s="59">
        <v>556</v>
      </c>
      <c r="P189" s="5">
        <v>2.3E-3</v>
      </c>
      <c r="Q189" s="5">
        <v>4.9599999999999998E-2</v>
      </c>
      <c r="R189" s="80">
        <f t="shared" si="92"/>
        <v>8.7993320747490351E-3</v>
      </c>
      <c r="S189" s="80">
        <f t="shared" si="93"/>
        <v>2.2970903522204714E-3</v>
      </c>
      <c r="T189" s="80">
        <f t="shared" si="94"/>
        <v>0</v>
      </c>
      <c r="U189" s="80">
        <f t="shared" si="95"/>
        <v>9.9999999999999829E-5</v>
      </c>
      <c r="V189" s="82">
        <f t="shared" si="96"/>
        <v>2.3999999999999994E-3</v>
      </c>
    </row>
    <row r="190" spans="1:24" ht="15.75" customHeight="1">
      <c r="A190" s="74">
        <v>158</v>
      </c>
      <c r="B190" s="135" t="s">
        <v>194</v>
      </c>
      <c r="C190" s="136" t="s">
        <v>42</v>
      </c>
      <c r="D190" s="2">
        <v>9261967627.8500004</v>
      </c>
      <c r="E190" s="3">
        <f t="shared" si="90"/>
        <v>0.18092081534060103</v>
      </c>
      <c r="F190" s="14">
        <v>130.97999999999999</v>
      </c>
      <c r="G190" s="14">
        <v>130.97999999999999</v>
      </c>
      <c r="H190" s="59">
        <v>1218</v>
      </c>
      <c r="I190" s="5">
        <v>5.0000000000000001E-4</v>
      </c>
      <c r="J190" s="5">
        <v>2.1000000000000001E-2</v>
      </c>
      <c r="K190" s="2">
        <v>9212625103.3899994</v>
      </c>
      <c r="L190" s="3">
        <f t="shared" si="91"/>
        <v>0.18044602977708984</v>
      </c>
      <c r="M190" s="14">
        <v>131.06</v>
      </c>
      <c r="N190" s="14">
        <v>131.06</v>
      </c>
      <c r="O190" s="59">
        <v>1215</v>
      </c>
      <c r="P190" s="5">
        <v>5.9999999999999995E-4</v>
      </c>
      <c r="Q190" s="5">
        <v>2.1600000000000001E-2</v>
      </c>
      <c r="R190" s="80">
        <f t="shared" si="92"/>
        <v>-5.3274343468478497E-3</v>
      </c>
      <c r="S190" s="80">
        <f t="shared" si="93"/>
        <v>6.1078027179731643E-4</v>
      </c>
      <c r="T190" s="80">
        <f t="shared" si="94"/>
        <v>-2.4630541871921183E-3</v>
      </c>
      <c r="U190" s="80">
        <f t="shared" si="95"/>
        <v>9.9999999999999937E-5</v>
      </c>
      <c r="V190" s="82">
        <f t="shared" si="96"/>
        <v>5.9999999999999984E-4</v>
      </c>
    </row>
    <row r="191" spans="1:24">
      <c r="A191" s="74">
        <v>159</v>
      </c>
      <c r="B191" s="135" t="s">
        <v>195</v>
      </c>
      <c r="C191" s="136" t="s">
        <v>45</v>
      </c>
      <c r="D191" s="2">
        <v>4199252239.3000002</v>
      </c>
      <c r="E191" s="3">
        <f t="shared" si="90"/>
        <v>8.2027077774548318E-2</v>
      </c>
      <c r="F191" s="14">
        <v>1.2278</v>
      </c>
      <c r="G191" s="14">
        <v>1.2278</v>
      </c>
      <c r="H191" s="59">
        <v>683</v>
      </c>
      <c r="I191" s="5">
        <v>0.12640000000000001</v>
      </c>
      <c r="J191" s="5">
        <v>0.1007</v>
      </c>
      <c r="K191" s="2">
        <v>4087430005.29</v>
      </c>
      <c r="L191" s="3">
        <f t="shared" si="91"/>
        <v>8.0059755842547778E-2</v>
      </c>
      <c r="M191" s="14">
        <v>1.2302</v>
      </c>
      <c r="N191" s="14">
        <v>689</v>
      </c>
      <c r="O191" s="59">
        <v>689</v>
      </c>
      <c r="P191" s="5">
        <v>0.1072</v>
      </c>
      <c r="Q191" s="5">
        <v>0.10100000000000001</v>
      </c>
      <c r="R191" s="80">
        <f t="shared" si="92"/>
        <v>-2.6629082426503768E-2</v>
      </c>
      <c r="S191" s="80">
        <f t="shared" si="93"/>
        <v>560.16631373187818</v>
      </c>
      <c r="T191" s="80">
        <f t="shared" si="94"/>
        <v>8.7847730600292828E-3</v>
      </c>
      <c r="U191" s="80">
        <f t="shared" si="95"/>
        <v>-1.9200000000000009E-2</v>
      </c>
      <c r="V191" s="82">
        <f t="shared" si="96"/>
        <v>3.0000000000000859E-4</v>
      </c>
    </row>
    <row r="192" spans="1:24">
      <c r="A192" s="74">
        <v>160</v>
      </c>
      <c r="B192" s="135" t="s">
        <v>196</v>
      </c>
      <c r="C192" s="136" t="s">
        <v>197</v>
      </c>
      <c r="D192" s="2">
        <v>343481911</v>
      </c>
      <c r="E192" s="3">
        <f t="shared" si="90"/>
        <v>6.7094844086918008E-3</v>
      </c>
      <c r="F192" s="18">
        <v>115.4282</v>
      </c>
      <c r="G192" s="18">
        <v>116.1185</v>
      </c>
      <c r="H192" s="60">
        <v>167</v>
      </c>
      <c r="I192" s="5">
        <v>2.3345999999999999E-2</v>
      </c>
      <c r="J192" s="5">
        <v>0.16650000000000001</v>
      </c>
      <c r="K192" s="2">
        <v>347481931.76999998</v>
      </c>
      <c r="L192" s="3">
        <f t="shared" si="91"/>
        <v>6.8060660564704363E-3</v>
      </c>
      <c r="M192" s="18">
        <v>116.7227</v>
      </c>
      <c r="N192" s="18">
        <v>117.42610000000001</v>
      </c>
      <c r="O192" s="60">
        <v>167</v>
      </c>
      <c r="P192" s="5">
        <v>1.1261E-2</v>
      </c>
      <c r="Q192" s="5">
        <v>0.17960000000000001</v>
      </c>
      <c r="R192" s="80">
        <f>((K192-D192)/D192)</f>
        <v>1.164550633351979E-2</v>
      </c>
      <c r="S192" s="80">
        <f>((N192-G192)/G192)</f>
        <v>1.1260910190882658E-2</v>
      </c>
      <c r="T192" s="80">
        <f>((O192-H192)/H192)</f>
        <v>0</v>
      </c>
      <c r="U192" s="80">
        <f>P192-I192</f>
        <v>-1.2084999999999999E-2</v>
      </c>
      <c r="V192" s="82">
        <f>Q192-J192</f>
        <v>1.3100000000000001E-2</v>
      </c>
    </row>
    <row r="193" spans="1:22">
      <c r="A193" s="74">
        <v>161</v>
      </c>
      <c r="B193" s="135" t="s">
        <v>244</v>
      </c>
      <c r="C193" s="136" t="s">
        <v>197</v>
      </c>
      <c r="D193" s="2">
        <v>161186300.44</v>
      </c>
      <c r="E193" s="3">
        <f t="shared" si="90"/>
        <v>3.1485703760885746E-3</v>
      </c>
      <c r="F193" s="18">
        <v>105.1073</v>
      </c>
      <c r="G193" s="18">
        <v>105.1073</v>
      </c>
      <c r="H193" s="60">
        <v>68</v>
      </c>
      <c r="I193" s="5">
        <v>2.6580000000000002E-3</v>
      </c>
      <c r="J193" s="5">
        <v>4.9546E-2</v>
      </c>
      <c r="K193" s="2">
        <v>161296714.28999999</v>
      </c>
      <c r="L193" s="3">
        <f t="shared" si="91"/>
        <v>3.1592897120072869E-3</v>
      </c>
      <c r="M193" s="18">
        <v>105.3861</v>
      </c>
      <c r="N193" s="18">
        <v>105.3861</v>
      </c>
      <c r="O193" s="60">
        <v>71</v>
      </c>
      <c r="P193" s="5">
        <v>2.653E-3</v>
      </c>
      <c r="Q193" s="5">
        <v>5.2330000000000002E-2</v>
      </c>
      <c r="R193" s="80">
        <f t="shared" si="92"/>
        <v>6.8500765696954805E-4</v>
      </c>
      <c r="S193" s="80">
        <f t="shared" si="93"/>
        <v>2.6525274647907801E-3</v>
      </c>
      <c r="T193" s="80">
        <f t="shared" si="94"/>
        <v>4.4117647058823532E-2</v>
      </c>
      <c r="U193" s="80">
        <f t="shared" si="95"/>
        <v>-5.00000000000023E-6</v>
      </c>
      <c r="V193" s="82">
        <f t="shared" si="96"/>
        <v>2.7840000000000018E-3</v>
      </c>
    </row>
    <row r="194" spans="1:22">
      <c r="A194" s="84"/>
      <c r="B194" s="19"/>
      <c r="C194" s="65" t="s">
        <v>46</v>
      </c>
      <c r="D194" s="58">
        <f>SUM(D179:D193)</f>
        <v>51193488214.241379</v>
      </c>
      <c r="E194" s="99">
        <f>(D194/$D$195)</f>
        <v>1.7641224655960783E-2</v>
      </c>
      <c r="F194" s="30"/>
      <c r="G194" s="34"/>
      <c r="H194" s="67">
        <f>SUM(H179:H193)</f>
        <v>27785</v>
      </c>
      <c r="I194" s="35"/>
      <c r="J194" s="35"/>
      <c r="K194" s="58">
        <f>SUM(K179:K193)</f>
        <v>51054739828.693481</v>
      </c>
      <c r="L194" s="99">
        <f>(K194/$K$195)</f>
        <v>1.7539291401971357E-2</v>
      </c>
      <c r="M194" s="30"/>
      <c r="N194" s="34"/>
      <c r="O194" s="67">
        <f>SUM(O179:O193)</f>
        <v>27933</v>
      </c>
      <c r="P194" s="35"/>
      <c r="Q194" s="35"/>
      <c r="R194" s="80">
        <f t="shared" si="92"/>
        <v>-2.7102741068794622E-3</v>
      </c>
      <c r="S194" s="80" t="e">
        <f t="shared" si="93"/>
        <v>#DIV/0!</v>
      </c>
      <c r="T194" s="80">
        <f t="shared" si="94"/>
        <v>5.3266150800791792E-3</v>
      </c>
      <c r="U194" s="80">
        <f t="shared" si="95"/>
        <v>0</v>
      </c>
      <c r="V194" s="82">
        <f t="shared" si="96"/>
        <v>0</v>
      </c>
    </row>
    <row r="195" spans="1:22">
      <c r="A195" s="85"/>
      <c r="B195" s="38"/>
      <c r="C195" s="66" t="s">
        <v>198</v>
      </c>
      <c r="D195" s="68">
        <f>SUM(D23,D60,D98,D131,D139,D169,D175,D194)</f>
        <v>2901923716330.1836</v>
      </c>
      <c r="E195" s="39"/>
      <c r="F195" s="39"/>
      <c r="G195" s="40"/>
      <c r="H195" s="68">
        <f>SUM(H23,H60,H98,H131,H139,H169,H175,H194)</f>
        <v>736124</v>
      </c>
      <c r="I195" s="41"/>
      <c r="J195" s="41"/>
      <c r="K195" s="68">
        <f>SUM(K23,K60,K98,K131,K139,K169,K175,K194)</f>
        <v>2910878134047.9409</v>
      </c>
      <c r="L195" s="39"/>
      <c r="M195" s="39"/>
      <c r="N195" s="40"/>
      <c r="O195" s="68">
        <f>SUM(O23,O60,O98,O131,O139,O169,O175,O194)</f>
        <v>737855</v>
      </c>
      <c r="P195" s="42"/>
      <c r="Q195" s="68"/>
      <c r="R195" s="25">
        <f t="shared" si="92"/>
        <v>3.0856833580316218E-3</v>
      </c>
      <c r="S195" s="25"/>
      <c r="T195" s="25"/>
      <c r="U195" s="25"/>
      <c r="V195" s="25"/>
    </row>
    <row r="196" spans="1:22" ht="6.75" customHeight="1">
      <c r="A196" s="148"/>
      <c r="B196" s="148"/>
      <c r="C196" s="148"/>
      <c r="D196" s="148"/>
      <c r="E196" s="148"/>
      <c r="F196" s="148"/>
      <c r="G196" s="148"/>
      <c r="H196" s="148"/>
      <c r="I196" s="148"/>
      <c r="J196" s="148"/>
      <c r="K196" s="148"/>
      <c r="L196" s="148"/>
      <c r="M196" s="148"/>
      <c r="N196" s="148"/>
      <c r="O196" s="148"/>
      <c r="P196" s="148"/>
      <c r="Q196" s="148"/>
      <c r="R196" s="148"/>
      <c r="S196" s="148"/>
      <c r="T196" s="148"/>
      <c r="U196" s="148"/>
      <c r="V196" s="19"/>
    </row>
    <row r="197" spans="1:22" ht="15.75">
      <c r="A197" s="155" t="s">
        <v>199</v>
      </c>
      <c r="B197" s="155"/>
      <c r="C197" s="155"/>
      <c r="D197" s="155"/>
      <c r="E197" s="155"/>
      <c r="F197" s="155"/>
      <c r="G197" s="155"/>
      <c r="H197" s="155"/>
      <c r="I197" s="155"/>
      <c r="J197" s="155"/>
      <c r="K197" s="155"/>
      <c r="L197" s="155"/>
      <c r="M197" s="155"/>
      <c r="N197" s="155"/>
      <c r="O197" s="155"/>
      <c r="P197" s="155"/>
      <c r="Q197" s="155"/>
      <c r="R197" s="155"/>
      <c r="S197" s="155"/>
      <c r="T197" s="155"/>
      <c r="U197" s="155"/>
      <c r="V197" s="155"/>
    </row>
    <row r="198" spans="1:22">
      <c r="A198" s="74">
        <v>1</v>
      </c>
      <c r="B198" s="135" t="s">
        <v>200</v>
      </c>
      <c r="C198" s="136" t="s">
        <v>201</v>
      </c>
      <c r="D198" s="2">
        <v>103175705234</v>
      </c>
      <c r="E198" s="3">
        <f>(D198/$D$200)</f>
        <v>0.97908117249407556</v>
      </c>
      <c r="F198" s="14">
        <v>107.39</v>
      </c>
      <c r="G198" s="14">
        <v>107.39</v>
      </c>
      <c r="H198" s="63">
        <v>0</v>
      </c>
      <c r="I198" s="20">
        <v>0</v>
      </c>
      <c r="J198" s="20">
        <v>0.13800000000000001</v>
      </c>
      <c r="K198" s="2">
        <v>103175705234</v>
      </c>
      <c r="L198" s="3">
        <f>(K198/$K$200)</f>
        <v>0.97902491935215952</v>
      </c>
      <c r="M198" s="14">
        <v>107.39</v>
      </c>
      <c r="N198" s="14">
        <v>107.39</v>
      </c>
      <c r="O198" s="63">
        <v>0</v>
      </c>
      <c r="P198" s="20">
        <v>0</v>
      </c>
      <c r="Q198" s="20">
        <v>0.13800000000000001</v>
      </c>
      <c r="R198" s="80">
        <f>((K198-D198)/D198)</f>
        <v>0</v>
      </c>
      <c r="S198" s="80">
        <f>((N198-G198)/G198)</f>
        <v>0</v>
      </c>
      <c r="T198" s="80" t="e">
        <f>((O198-H198)/H198)</f>
        <v>#DIV/0!</v>
      </c>
      <c r="U198" s="80">
        <f>P198-I198</f>
        <v>0</v>
      </c>
      <c r="V198" s="82">
        <f>Q198-J198</f>
        <v>0</v>
      </c>
    </row>
    <row r="199" spans="1:22">
      <c r="A199" s="74">
        <v>2</v>
      </c>
      <c r="B199" s="135" t="s">
        <v>202</v>
      </c>
      <c r="C199" s="136" t="s">
        <v>45</v>
      </c>
      <c r="D199" s="2">
        <v>2204428847.4000001</v>
      </c>
      <c r="E199" s="3">
        <f>(D199/$D$200)</f>
        <v>2.091882750592448E-2</v>
      </c>
      <c r="F199" s="21">
        <v>1000000</v>
      </c>
      <c r="G199" s="21">
        <v>1000000</v>
      </c>
      <c r="H199" s="63">
        <v>0</v>
      </c>
      <c r="I199" s="20">
        <v>0.16389999999999999</v>
      </c>
      <c r="J199" s="20">
        <v>0.16389999999999999</v>
      </c>
      <c r="K199" s="2">
        <v>2210483814.46</v>
      </c>
      <c r="L199" s="3">
        <f>(K199/$K$200)</f>
        <v>2.0975080647840368E-2</v>
      </c>
      <c r="M199" s="21">
        <v>1000000</v>
      </c>
      <c r="N199" s="21">
        <v>1000000</v>
      </c>
      <c r="O199" s="63">
        <v>0</v>
      </c>
      <c r="P199" s="20">
        <v>0.16389999999999999</v>
      </c>
      <c r="Q199" s="20">
        <v>0.16389999999999999</v>
      </c>
      <c r="R199" s="80">
        <f>((K199-D199)/D199)</f>
        <v>2.7467282816324217E-3</v>
      </c>
      <c r="S199" s="80">
        <f>((N199-G199)/G199)</f>
        <v>0</v>
      </c>
      <c r="T199" s="80" t="e">
        <f>((O199-H199)/H199)</f>
        <v>#DIV/0!</v>
      </c>
      <c r="U199" s="80">
        <f>P199-I199</f>
        <v>0</v>
      </c>
      <c r="V199" s="82">
        <f>Q199-J199</f>
        <v>0</v>
      </c>
    </row>
    <row r="200" spans="1:22">
      <c r="A200" s="38"/>
      <c r="B200" s="38"/>
      <c r="C200" s="66" t="s">
        <v>203</v>
      </c>
      <c r="D200" s="72">
        <f>SUM(D198:D199)</f>
        <v>105380134081.39999</v>
      </c>
      <c r="E200" s="24"/>
      <c r="F200" s="22"/>
      <c r="G200" s="22"/>
      <c r="H200" s="72">
        <f>SUM(H198:H199)</f>
        <v>0</v>
      </c>
      <c r="I200" s="23"/>
      <c r="J200" s="23"/>
      <c r="K200" s="72">
        <f>SUM(K198:K199)</f>
        <v>105386189048.46001</v>
      </c>
      <c r="L200" s="24"/>
      <c r="M200" s="22"/>
      <c r="N200" s="22"/>
      <c r="O200" s="23"/>
      <c r="P200" s="23"/>
      <c r="Q200" s="72"/>
      <c r="R200" s="25">
        <f>((K200-D200)/D200)</f>
        <v>5.7458335129235165E-5</v>
      </c>
      <c r="S200" s="26"/>
      <c r="T200" s="26"/>
      <c r="U200" s="25"/>
      <c r="V200" s="86"/>
    </row>
    <row r="201" spans="1:22" ht="8.25" customHeight="1">
      <c r="A201" s="160"/>
      <c r="B201" s="160"/>
      <c r="C201" s="160"/>
      <c r="D201" s="160"/>
      <c r="E201" s="160"/>
      <c r="F201" s="160"/>
      <c r="G201" s="160"/>
      <c r="H201" s="160"/>
      <c r="I201" s="160"/>
      <c r="J201" s="160"/>
      <c r="K201" s="160"/>
      <c r="L201" s="160"/>
      <c r="M201" s="160"/>
      <c r="N201" s="160"/>
      <c r="O201" s="160"/>
      <c r="P201" s="160"/>
      <c r="Q201" s="160"/>
      <c r="R201" s="160"/>
      <c r="S201" s="160"/>
      <c r="T201" s="160"/>
      <c r="U201" s="160"/>
      <c r="V201" s="160"/>
    </row>
    <row r="202" spans="1:22" ht="15.75">
      <c r="A202" s="155" t="s">
        <v>204</v>
      </c>
      <c r="B202" s="155"/>
      <c r="C202" s="155"/>
      <c r="D202" s="155"/>
      <c r="E202" s="155"/>
      <c r="F202" s="155"/>
      <c r="G202" s="155"/>
      <c r="H202" s="155"/>
      <c r="I202" s="155"/>
      <c r="J202" s="155"/>
      <c r="K202" s="155"/>
      <c r="L202" s="155"/>
      <c r="M202" s="155"/>
      <c r="N202" s="155"/>
      <c r="O202" s="155"/>
      <c r="P202" s="155"/>
      <c r="Q202" s="155"/>
      <c r="R202" s="155"/>
      <c r="S202" s="155"/>
      <c r="T202" s="155"/>
      <c r="U202" s="155"/>
      <c r="V202" s="155"/>
    </row>
    <row r="203" spans="1:22">
      <c r="A203" s="74">
        <v>1</v>
      </c>
      <c r="B203" s="135" t="s">
        <v>205</v>
      </c>
      <c r="C203" s="136" t="s">
        <v>74</v>
      </c>
      <c r="D203" s="27">
        <v>967646394.06478274</v>
      </c>
      <c r="E203" s="10">
        <f t="shared" ref="E203:E214" si="97">(D203/$D$215)</f>
        <v>7.3771036636765402E-2</v>
      </c>
      <c r="F203" s="21">
        <v>228.03025664305002</v>
      </c>
      <c r="G203" s="21">
        <v>230.50931048662659</v>
      </c>
      <c r="H203" s="62">
        <v>61</v>
      </c>
      <c r="I203" s="28">
        <v>1.7520040214999089E-2</v>
      </c>
      <c r="J203" s="28">
        <v>0.3025834379244261</v>
      </c>
      <c r="K203" s="27">
        <v>985296787.75999999</v>
      </c>
      <c r="L203" s="10">
        <f t="shared" ref="L203:L214" si="98">(K203/$K$215)</f>
        <v>7.5281990193751355E-2</v>
      </c>
      <c r="M203" s="21">
        <v>229.60611265364494</v>
      </c>
      <c r="N203" s="21">
        <v>232.18965188170142</v>
      </c>
      <c r="O203" s="62">
        <v>61</v>
      </c>
      <c r="P203" s="28">
        <v>6.9107320835133379E-3</v>
      </c>
      <c r="Q203" s="28">
        <v>0.31158524308034363</v>
      </c>
      <c r="R203" s="80">
        <f>((K203-D203)/D203)</f>
        <v>1.8240540969799324E-2</v>
      </c>
      <c r="S203" s="80">
        <f>((N203-G203)/G203)</f>
        <v>7.2896899111253976E-3</v>
      </c>
      <c r="T203" s="80">
        <f>((O203-H203)/H203)</f>
        <v>0</v>
      </c>
      <c r="U203" s="80">
        <f>P203-I203</f>
        <v>-1.0609308131485751E-2</v>
      </c>
      <c r="V203" s="82">
        <f>Q203-J203</f>
        <v>9.0018051559175305E-3</v>
      </c>
    </row>
    <row r="204" spans="1:22">
      <c r="A204" s="74">
        <v>2</v>
      </c>
      <c r="B204" s="135" t="s">
        <v>206</v>
      </c>
      <c r="C204" s="136" t="s">
        <v>185</v>
      </c>
      <c r="D204" s="27">
        <v>995655430.19000006</v>
      </c>
      <c r="E204" s="10">
        <f t="shared" si="97"/>
        <v>7.5906378268613156E-2</v>
      </c>
      <c r="F204" s="21">
        <v>28.32</v>
      </c>
      <c r="G204" s="21">
        <v>31.3</v>
      </c>
      <c r="H204" s="62">
        <v>211</v>
      </c>
      <c r="I204" s="28">
        <v>-6.9999999999999999E-4</v>
      </c>
      <c r="J204" s="28">
        <v>0.32119999999999999</v>
      </c>
      <c r="K204" s="27">
        <v>994443418.95000005</v>
      </c>
      <c r="L204" s="10">
        <f t="shared" si="98"/>
        <v>7.5980842162118034E-2</v>
      </c>
      <c r="M204" s="21">
        <v>28.29</v>
      </c>
      <c r="N204" s="21">
        <v>31.26</v>
      </c>
      <c r="O204" s="62">
        <v>210</v>
      </c>
      <c r="P204" s="28">
        <v>-1.1999999999999999E-3</v>
      </c>
      <c r="Q204" s="28">
        <v>0.3196</v>
      </c>
      <c r="R204" s="80">
        <f t="shared" ref="R204:R215" si="99">((K204-D204)/D204)</f>
        <v>-1.2172998843271738E-3</v>
      </c>
      <c r="S204" s="80">
        <f t="shared" ref="S204:S215" si="100">((N204-G204)/G204)</f>
        <v>-1.2779552715654679E-3</v>
      </c>
      <c r="T204" s="80">
        <f t="shared" ref="T204:T215" si="101">((O204-H204)/H204)</f>
        <v>-4.7393364928909956E-3</v>
      </c>
      <c r="U204" s="80">
        <f t="shared" ref="U204:U215" si="102">P204-I204</f>
        <v>-4.999999999999999E-4</v>
      </c>
      <c r="V204" s="82">
        <f t="shared" ref="V204:V215" si="103">Q204-J204</f>
        <v>-1.5999999999999903E-3</v>
      </c>
    </row>
    <row r="205" spans="1:22">
      <c r="A205" s="74">
        <v>3</v>
      </c>
      <c r="B205" s="135" t="s">
        <v>207</v>
      </c>
      <c r="C205" s="136" t="s">
        <v>36</v>
      </c>
      <c r="D205" s="27">
        <v>260268186.81</v>
      </c>
      <c r="E205" s="10">
        <f t="shared" si="97"/>
        <v>1.9842221355148848E-2</v>
      </c>
      <c r="F205" s="21">
        <v>19.422882999999999</v>
      </c>
      <c r="G205" s="21">
        <v>19.881253000000001</v>
      </c>
      <c r="H205" s="62">
        <v>107</v>
      </c>
      <c r="I205" s="28">
        <v>8.0875785226572683E-2</v>
      </c>
      <c r="J205" s="28">
        <v>-0.17314849030656143</v>
      </c>
      <c r="K205" s="27">
        <v>255063734.09999999</v>
      </c>
      <c r="L205" s="10">
        <f t="shared" si="98"/>
        <v>1.9488245336668021E-2</v>
      </c>
      <c r="M205" s="21">
        <v>18.929967000000001</v>
      </c>
      <c r="N205" s="21">
        <v>19.396782999999999</v>
      </c>
      <c r="O205" s="62">
        <v>107</v>
      </c>
      <c r="P205" s="28">
        <v>8.0875785226572683E-2</v>
      </c>
      <c r="Q205" s="28">
        <v>-0.1908020958672787</v>
      </c>
      <c r="R205" s="80">
        <f t="shared" si="99"/>
        <v>-1.9996499663630974E-2</v>
      </c>
      <c r="S205" s="80">
        <f t="shared" si="100"/>
        <v>-2.4368182427938607E-2</v>
      </c>
      <c r="T205" s="80">
        <f t="shared" si="101"/>
        <v>0</v>
      </c>
      <c r="U205" s="80">
        <f t="shared" si="102"/>
        <v>0</v>
      </c>
      <c r="V205" s="82">
        <f t="shared" si="103"/>
        <v>-1.7653605560717267E-2</v>
      </c>
    </row>
    <row r="206" spans="1:22">
      <c r="A206" s="74">
        <v>4</v>
      </c>
      <c r="B206" s="135" t="s">
        <v>208</v>
      </c>
      <c r="C206" s="136" t="s">
        <v>36</v>
      </c>
      <c r="D206" s="27">
        <v>554027556.5</v>
      </c>
      <c r="E206" s="10">
        <f t="shared" si="97"/>
        <v>4.223773004170657E-2</v>
      </c>
      <c r="F206" s="21">
        <v>41.544365999999997</v>
      </c>
      <c r="G206" s="21">
        <v>42.040286999999999</v>
      </c>
      <c r="H206" s="62">
        <v>98</v>
      </c>
      <c r="I206" s="28">
        <v>5.9783907798868663E-2</v>
      </c>
      <c r="J206" s="28">
        <v>0.10334822367838004</v>
      </c>
      <c r="K206" s="27">
        <v>553258834.32000005</v>
      </c>
      <c r="L206" s="10">
        <f t="shared" si="98"/>
        <v>4.2271959735678974E-2</v>
      </c>
      <c r="M206" s="21">
        <v>40.632818</v>
      </c>
      <c r="N206" s="21">
        <v>41.141613999999997</v>
      </c>
      <c r="O206" s="62">
        <v>98</v>
      </c>
      <c r="P206" s="28">
        <v>5.9783907798868663E-2</v>
      </c>
      <c r="Q206" s="28">
        <v>7.9430364107227813E-2</v>
      </c>
      <c r="R206" s="80">
        <f t="shared" si="99"/>
        <v>-1.3875161460492219E-3</v>
      </c>
      <c r="S206" s="80">
        <f t="shared" si="100"/>
        <v>-2.1376471573564718E-2</v>
      </c>
      <c r="T206" s="80">
        <f t="shared" si="101"/>
        <v>0</v>
      </c>
      <c r="U206" s="80">
        <f t="shared" si="102"/>
        <v>0</v>
      </c>
      <c r="V206" s="82">
        <f t="shared" si="103"/>
        <v>-2.3917859571152222E-2</v>
      </c>
    </row>
    <row r="207" spans="1:22">
      <c r="A207" s="74">
        <v>5</v>
      </c>
      <c r="B207" s="135" t="s">
        <v>209</v>
      </c>
      <c r="C207" s="136" t="s">
        <v>210</v>
      </c>
      <c r="D207" s="27">
        <v>1087642613.03</v>
      </c>
      <c r="E207" s="10">
        <f t="shared" si="97"/>
        <v>8.2919260119902471E-2</v>
      </c>
      <c r="F207" s="21">
        <v>25000</v>
      </c>
      <c r="G207" s="21">
        <v>34000</v>
      </c>
      <c r="H207" s="62">
        <v>227</v>
      </c>
      <c r="I207" s="28">
        <v>0.01</v>
      </c>
      <c r="J207" s="28">
        <v>0.86</v>
      </c>
      <c r="K207" s="27">
        <v>1065978710.4400001</v>
      </c>
      <c r="L207" s="10">
        <f t="shared" si="98"/>
        <v>8.1446524359966715E-2</v>
      </c>
      <c r="M207" s="21">
        <v>27100</v>
      </c>
      <c r="N207" s="21">
        <v>34600</v>
      </c>
      <c r="O207" s="62">
        <v>227</v>
      </c>
      <c r="P207" s="28">
        <v>-0.02</v>
      </c>
      <c r="Q207" s="28">
        <v>0.82</v>
      </c>
      <c r="R207" s="80">
        <f t="shared" si="99"/>
        <v>-1.9918217924220268E-2</v>
      </c>
      <c r="S207" s="80">
        <f t="shared" si="100"/>
        <v>1.7647058823529412E-2</v>
      </c>
      <c r="T207" s="80">
        <f t="shared" si="101"/>
        <v>0</v>
      </c>
      <c r="U207" s="80">
        <f t="shared" si="102"/>
        <v>-0.03</v>
      </c>
      <c r="V207" s="82">
        <f t="shared" si="103"/>
        <v>-4.0000000000000036E-2</v>
      </c>
    </row>
    <row r="208" spans="1:22">
      <c r="A208" s="74">
        <v>6</v>
      </c>
      <c r="B208" s="135" t="s">
        <v>211</v>
      </c>
      <c r="C208" s="136" t="s">
        <v>212</v>
      </c>
      <c r="D208" s="27">
        <v>1020838006.63</v>
      </c>
      <c r="E208" s="10">
        <f t="shared" si="97"/>
        <v>7.7826237403683732E-2</v>
      </c>
      <c r="F208" s="21">
        <v>1010</v>
      </c>
      <c r="G208" s="21">
        <v>1010</v>
      </c>
      <c r="H208" s="62">
        <v>120</v>
      </c>
      <c r="I208" s="28">
        <v>0.1104</v>
      </c>
      <c r="J208" s="28">
        <v>8.6099999999999996E-2</v>
      </c>
      <c r="K208" s="27">
        <v>1015468192.8099999</v>
      </c>
      <c r="L208" s="10">
        <f t="shared" si="98"/>
        <v>7.7587248312241286E-2</v>
      </c>
      <c r="M208" s="21">
        <v>1010</v>
      </c>
      <c r="N208" s="21">
        <v>1010</v>
      </c>
      <c r="O208" s="62">
        <v>120</v>
      </c>
      <c r="P208" s="28">
        <v>-5.4000000000000003E-3</v>
      </c>
      <c r="Q208" s="28">
        <v>8.0399999999999999E-2</v>
      </c>
      <c r="R208" s="80">
        <f t="shared" si="99"/>
        <v>-5.2602017020574425E-3</v>
      </c>
      <c r="S208" s="80">
        <f t="shared" si="100"/>
        <v>0</v>
      </c>
      <c r="T208" s="80">
        <f t="shared" si="101"/>
        <v>0</v>
      </c>
      <c r="U208" s="80">
        <f t="shared" si="102"/>
        <v>-0.1158</v>
      </c>
      <c r="V208" s="82">
        <f t="shared" si="103"/>
        <v>-5.6999999999999967E-3</v>
      </c>
    </row>
    <row r="209" spans="1:22">
      <c r="A209" s="74">
        <v>7</v>
      </c>
      <c r="B209" s="135" t="s">
        <v>213</v>
      </c>
      <c r="C209" s="136" t="s">
        <v>212</v>
      </c>
      <c r="D209" s="27">
        <v>884035751.22000003</v>
      </c>
      <c r="E209" s="10">
        <f t="shared" si="97"/>
        <v>6.7396762072876482E-2</v>
      </c>
      <c r="F209" s="21">
        <v>638</v>
      </c>
      <c r="G209" s="21">
        <v>638</v>
      </c>
      <c r="H209" s="62">
        <v>563</v>
      </c>
      <c r="I209" s="28">
        <v>-2.7099999999999999E-2</v>
      </c>
      <c r="J209" s="28">
        <v>0.3236</v>
      </c>
      <c r="K209" s="27">
        <v>882965145.54999995</v>
      </c>
      <c r="L209" s="10">
        <f t="shared" si="98"/>
        <v>6.7463300656685515E-2</v>
      </c>
      <c r="M209" s="21">
        <v>700</v>
      </c>
      <c r="N209" s="21">
        <v>700</v>
      </c>
      <c r="O209" s="62">
        <v>563</v>
      </c>
      <c r="P209" s="28">
        <v>-1.2999999999999999E-3</v>
      </c>
      <c r="Q209" s="28">
        <v>0.32200000000000001</v>
      </c>
      <c r="R209" s="80">
        <f t="shared" si="99"/>
        <v>-1.2110434091863404E-3</v>
      </c>
      <c r="S209" s="80">
        <f t="shared" si="100"/>
        <v>9.7178683385579931E-2</v>
      </c>
      <c r="T209" s="80">
        <f t="shared" si="101"/>
        <v>0</v>
      </c>
      <c r="U209" s="80">
        <f t="shared" si="102"/>
        <v>2.58E-2</v>
      </c>
      <c r="V209" s="82">
        <f t="shared" si="103"/>
        <v>-1.5999999999999903E-3</v>
      </c>
    </row>
    <row r="210" spans="1:22">
      <c r="A210" s="74">
        <v>8</v>
      </c>
      <c r="B210" s="135" t="s">
        <v>214</v>
      </c>
      <c r="C210" s="136" t="s">
        <v>215</v>
      </c>
      <c r="D210" s="27">
        <v>350944147.47000003</v>
      </c>
      <c r="E210" s="10">
        <f t="shared" si="97"/>
        <v>2.6755138777207595E-2</v>
      </c>
      <c r="F210" s="21">
        <v>15.59</v>
      </c>
      <c r="G210" s="21">
        <v>15.69</v>
      </c>
      <c r="H210" s="62">
        <v>61</v>
      </c>
      <c r="I210" s="28">
        <v>9.4999999999999998E-3</v>
      </c>
      <c r="J210" s="28">
        <v>0.37519999999999998</v>
      </c>
      <c r="K210" s="27">
        <v>352090949.67000002</v>
      </c>
      <c r="L210" s="10">
        <f t="shared" si="98"/>
        <v>2.690164806141836E-2</v>
      </c>
      <c r="M210" s="21">
        <v>15.64</v>
      </c>
      <c r="N210" s="21">
        <v>15.74</v>
      </c>
      <c r="O210" s="62">
        <v>61</v>
      </c>
      <c r="P210" s="28">
        <v>0.20960000000000001</v>
      </c>
      <c r="Q210" s="28">
        <v>0.66339999999999999</v>
      </c>
      <c r="R210" s="80">
        <f t="shared" si="99"/>
        <v>3.2677627145727538E-3</v>
      </c>
      <c r="S210" s="80">
        <f t="shared" si="100"/>
        <v>3.1867431485022761E-3</v>
      </c>
      <c r="T210" s="80">
        <f t="shared" si="101"/>
        <v>0</v>
      </c>
      <c r="U210" s="80">
        <f t="shared" si="102"/>
        <v>0.2001</v>
      </c>
      <c r="V210" s="82">
        <f t="shared" si="103"/>
        <v>0.28820000000000001</v>
      </c>
    </row>
    <row r="211" spans="1:22">
      <c r="A211" s="74">
        <v>9</v>
      </c>
      <c r="B211" s="135" t="s">
        <v>216</v>
      </c>
      <c r="C211" s="136" t="s">
        <v>215</v>
      </c>
      <c r="D211" s="29">
        <v>674095326.10000002</v>
      </c>
      <c r="E211" s="10">
        <f t="shared" si="97"/>
        <v>5.1391408373363034E-2</v>
      </c>
      <c r="F211" s="21">
        <v>7.92</v>
      </c>
      <c r="G211" s="21">
        <v>8.02</v>
      </c>
      <c r="H211" s="62">
        <v>101</v>
      </c>
      <c r="I211" s="28">
        <v>5.33E-2</v>
      </c>
      <c r="J211" s="28">
        <v>-0.1053</v>
      </c>
      <c r="K211" s="29">
        <v>671671982.08000004</v>
      </c>
      <c r="L211" s="10">
        <f t="shared" si="98"/>
        <v>5.1319363055389096E-2</v>
      </c>
      <c r="M211" s="21">
        <v>7.87</v>
      </c>
      <c r="N211" s="21">
        <v>7.97</v>
      </c>
      <c r="O211" s="62">
        <v>101</v>
      </c>
      <c r="P211" s="28">
        <v>0</v>
      </c>
      <c r="Q211" s="28">
        <v>-0.1053</v>
      </c>
      <c r="R211" s="80">
        <f t="shared" si="99"/>
        <v>-3.594957458050206E-3</v>
      </c>
      <c r="S211" s="80">
        <f t="shared" si="100"/>
        <v>-6.2344139650872604E-3</v>
      </c>
      <c r="T211" s="80">
        <f t="shared" si="101"/>
        <v>0</v>
      </c>
      <c r="U211" s="80">
        <f t="shared" si="102"/>
        <v>-5.33E-2</v>
      </c>
      <c r="V211" s="82">
        <f t="shared" si="103"/>
        <v>0</v>
      </c>
    </row>
    <row r="212" spans="1:22" ht="15" customHeight="1">
      <c r="A212" s="74">
        <v>10</v>
      </c>
      <c r="B212" s="135" t="s">
        <v>217</v>
      </c>
      <c r="C212" s="136" t="s">
        <v>215</v>
      </c>
      <c r="D212" s="27">
        <v>450857026.87</v>
      </c>
      <c r="E212" s="10">
        <f t="shared" si="97"/>
        <v>3.4372256695396897E-2</v>
      </c>
      <c r="F212" s="21">
        <v>127.07</v>
      </c>
      <c r="G212" s="21">
        <v>129.07</v>
      </c>
      <c r="H212" s="62">
        <v>255</v>
      </c>
      <c r="I212" s="28">
        <v>-0.42370000000000002</v>
      </c>
      <c r="J212" s="28">
        <v>0.14860000000000001</v>
      </c>
      <c r="K212" s="27">
        <v>451995090.27999997</v>
      </c>
      <c r="L212" s="10">
        <f t="shared" si="98"/>
        <v>3.4534863380038833E-2</v>
      </c>
      <c r="M212" s="21">
        <v>127.39</v>
      </c>
      <c r="N212" s="21">
        <v>129.38999999999999</v>
      </c>
      <c r="O212" s="62">
        <v>256</v>
      </c>
      <c r="P212" s="28">
        <v>5.9999999999999995E-4</v>
      </c>
      <c r="Q212" s="28">
        <v>0.14860000000000001</v>
      </c>
      <c r="R212" s="80">
        <f t="shared" si="99"/>
        <v>2.5242224079344683E-3</v>
      </c>
      <c r="S212" s="80">
        <f t="shared" si="100"/>
        <v>2.4792748121174029E-3</v>
      </c>
      <c r="T212" s="80">
        <f t="shared" si="101"/>
        <v>3.9215686274509803E-3</v>
      </c>
      <c r="U212" s="80">
        <f t="shared" si="102"/>
        <v>0.42430000000000001</v>
      </c>
      <c r="V212" s="82">
        <f t="shared" si="103"/>
        <v>0</v>
      </c>
    </row>
    <row r="213" spans="1:22">
      <c r="A213" s="74">
        <v>11</v>
      </c>
      <c r="B213" s="135" t="s">
        <v>218</v>
      </c>
      <c r="C213" s="136" t="s">
        <v>215</v>
      </c>
      <c r="D213" s="27">
        <v>5373438813.8500004</v>
      </c>
      <c r="E213" s="10">
        <f t="shared" si="97"/>
        <v>0.40965806727886883</v>
      </c>
      <c r="F213" s="21">
        <v>37</v>
      </c>
      <c r="G213" s="21">
        <v>37.200000000000003</v>
      </c>
      <c r="H213" s="62">
        <v>272</v>
      </c>
      <c r="I213" s="28">
        <v>-1.3899999999999999E-2</v>
      </c>
      <c r="J213" s="28">
        <v>0.31480000000000002</v>
      </c>
      <c r="K213" s="27">
        <v>5362469435.1199999</v>
      </c>
      <c r="L213" s="10">
        <f t="shared" si="98"/>
        <v>0.40972159499958544</v>
      </c>
      <c r="M213" s="21">
        <v>36.93</v>
      </c>
      <c r="N213" s="21">
        <v>37.130000000000003</v>
      </c>
      <c r="O213" s="62">
        <v>272</v>
      </c>
      <c r="P213" s="28">
        <v>2.2499999999999999E-2</v>
      </c>
      <c r="Q213" s="28">
        <v>0.34439999999999998</v>
      </c>
      <c r="R213" s="80">
        <f t="shared" si="99"/>
        <v>-2.0414075808822835E-3</v>
      </c>
      <c r="S213" s="80">
        <f t="shared" si="100"/>
        <v>-1.8817204301075344E-3</v>
      </c>
      <c r="T213" s="80">
        <f t="shared" si="101"/>
        <v>0</v>
      </c>
      <c r="U213" s="80">
        <f t="shared" si="102"/>
        <v>3.6400000000000002E-2</v>
      </c>
      <c r="V213" s="82">
        <f t="shared" si="103"/>
        <v>2.959999999999996E-2</v>
      </c>
    </row>
    <row r="214" spans="1:22">
      <c r="A214" s="74">
        <v>12</v>
      </c>
      <c r="B214" s="135" t="s">
        <v>219</v>
      </c>
      <c r="C214" s="136" t="s">
        <v>215</v>
      </c>
      <c r="D214" s="29">
        <v>497438325.10000002</v>
      </c>
      <c r="E214" s="10">
        <f t="shared" si="97"/>
        <v>3.7923502976466968E-2</v>
      </c>
      <c r="F214" s="21">
        <v>46.84</v>
      </c>
      <c r="G214" s="21">
        <v>47.04</v>
      </c>
      <c r="H214" s="62">
        <v>58</v>
      </c>
      <c r="I214" s="28">
        <v>-1.8700000000000001E-2</v>
      </c>
      <c r="J214" s="28">
        <v>0.77739999999999998</v>
      </c>
      <c r="K214" s="29">
        <v>497378748.98000002</v>
      </c>
      <c r="L214" s="10">
        <f t="shared" si="98"/>
        <v>3.8002419746458425E-2</v>
      </c>
      <c r="M214" s="21">
        <v>46.84</v>
      </c>
      <c r="N214" s="21">
        <v>47.04</v>
      </c>
      <c r="O214" s="62">
        <v>58</v>
      </c>
      <c r="P214" s="28">
        <v>0</v>
      </c>
      <c r="Q214" s="28">
        <v>0.77739999999999998</v>
      </c>
      <c r="R214" s="80">
        <f t="shared" si="99"/>
        <v>-1.1976584230422572E-4</v>
      </c>
      <c r="S214" s="80">
        <f t="shared" si="100"/>
        <v>0</v>
      </c>
      <c r="T214" s="80">
        <f t="shared" si="101"/>
        <v>0</v>
      </c>
      <c r="U214" s="80">
        <f t="shared" si="102"/>
        <v>1.8700000000000001E-2</v>
      </c>
      <c r="V214" s="82">
        <f t="shared" si="103"/>
        <v>0</v>
      </c>
    </row>
    <row r="215" spans="1:22">
      <c r="A215" s="43"/>
      <c r="B215" s="43"/>
      <c r="C215" s="73" t="s">
        <v>220</v>
      </c>
      <c r="D215" s="72">
        <f>SUM(D203:D214)</f>
        <v>13116887577.834784</v>
      </c>
      <c r="E215" s="24"/>
      <c r="F215" s="24"/>
      <c r="G215" s="22"/>
      <c r="H215" s="72">
        <f>SUM(H203:H214)</f>
        <v>2134</v>
      </c>
      <c r="I215" s="23"/>
      <c r="J215" s="23"/>
      <c r="K215" s="72">
        <f>SUM(K203:K214)</f>
        <v>13088081030.059999</v>
      </c>
      <c r="L215" s="24"/>
      <c r="M215" s="24"/>
      <c r="N215" s="22"/>
      <c r="O215" s="72">
        <f>SUM(O203:O214)</f>
        <v>2134</v>
      </c>
      <c r="P215" s="23"/>
      <c r="Q215" s="23"/>
      <c r="R215" s="80">
        <f t="shared" si="99"/>
        <v>-2.1961420042558E-3</v>
      </c>
      <c r="S215" s="80" t="e">
        <f t="shared" si="100"/>
        <v>#DIV/0!</v>
      </c>
      <c r="T215" s="80">
        <f t="shared" si="101"/>
        <v>0</v>
      </c>
      <c r="U215" s="80">
        <f t="shared" si="102"/>
        <v>0</v>
      </c>
      <c r="V215" s="82">
        <f t="shared" si="103"/>
        <v>0</v>
      </c>
    </row>
    <row r="216" spans="1:22">
      <c r="A216" s="87"/>
      <c r="B216" s="87"/>
      <c r="C216" s="88" t="s">
        <v>221</v>
      </c>
      <c r="D216" s="89">
        <f>SUM(D195,D200,D215)</f>
        <v>3020420737989.4185</v>
      </c>
      <c r="E216" s="90"/>
      <c r="F216" s="90"/>
      <c r="G216" s="91"/>
      <c r="H216" s="89">
        <f>SUM(H195,H200,H215)</f>
        <v>738258</v>
      </c>
      <c r="I216" s="92"/>
      <c r="J216" s="92"/>
      <c r="K216" s="89">
        <f>SUM(K195,K200,K215)</f>
        <v>3029352404126.4609</v>
      </c>
      <c r="L216" s="90"/>
      <c r="M216" s="90"/>
      <c r="N216" s="91"/>
      <c r="O216" s="89">
        <f>SUM(O195,O200,O215)</f>
        <v>739989</v>
      </c>
      <c r="P216" s="93"/>
      <c r="Q216" s="89"/>
      <c r="R216" s="94"/>
      <c r="S216" s="95"/>
      <c r="T216" s="95"/>
      <c r="U216" s="96"/>
      <c r="V216" s="96"/>
    </row>
    <row r="217" spans="1:22">
      <c r="A217" s="108" t="s">
        <v>250</v>
      </c>
      <c r="B217" s="109" t="s">
        <v>280</v>
      </c>
      <c r="C217" s="110"/>
      <c r="D217" s="110"/>
      <c r="E217" s="110"/>
      <c r="F217" s="110"/>
      <c r="G217" s="110"/>
      <c r="H217" s="110"/>
      <c r="I217" s="110"/>
      <c r="J217" s="110"/>
      <c r="K217" s="110"/>
      <c r="L217" s="110"/>
      <c r="M217" s="110"/>
      <c r="N217" s="110"/>
      <c r="O217" s="110"/>
      <c r="P217" s="110"/>
      <c r="Q217" s="110"/>
      <c r="R217" s="110"/>
      <c r="S217" s="110"/>
      <c r="T217" s="110"/>
      <c r="U217" s="110"/>
      <c r="V217" s="110"/>
    </row>
    <row r="219" spans="1:22">
      <c r="B219" s="112"/>
      <c r="C219" s="112"/>
      <c r="D219" s="111"/>
      <c r="K219" s="111"/>
    </row>
    <row r="220" spans="1:22">
      <c r="B220" s="112"/>
      <c r="D220" s="111"/>
    </row>
  </sheetData>
  <sheetProtection algorithmName="SHA-512" hashValue="uBmeFHsSBWgfwg/6WIOXaIk9skw0V4PUHM7OJZyXha5pzlrYVkwi6I/BOTHaSTT+JOnMn1HhimmErqOXm/DcUA==" saltValue="duzI3HjepjmBwta2UKLAXQ==" spinCount="100000" sheet="1" objects="1" scenarios="1"/>
  <mergeCells count="31">
    <mergeCell ref="A201:V201"/>
    <mergeCell ref="A202:V202"/>
    <mergeCell ref="A178:V178"/>
    <mergeCell ref="A181:V181"/>
    <mergeCell ref="A182:V182"/>
    <mergeCell ref="A196:U196"/>
    <mergeCell ref="A197:V197"/>
    <mergeCell ref="A177:V177"/>
    <mergeCell ref="A100:V100"/>
    <mergeCell ref="A101:V101"/>
    <mergeCell ref="A117:V117"/>
    <mergeCell ref="A118:V118"/>
    <mergeCell ref="A132:V132"/>
    <mergeCell ref="A133:V133"/>
    <mergeCell ref="A140:V140"/>
    <mergeCell ref="A141:V141"/>
    <mergeCell ref="A170:V170"/>
    <mergeCell ref="A171:V171"/>
    <mergeCell ref="A176:V176"/>
    <mergeCell ref="A99:V99"/>
    <mergeCell ref="A1:V1"/>
    <mergeCell ref="U2:V2"/>
    <mergeCell ref="A4:V4"/>
    <mergeCell ref="A5:V5"/>
    <mergeCell ref="A24:V24"/>
    <mergeCell ref="A25:V25"/>
    <mergeCell ref="A61:V61"/>
    <mergeCell ref="A62:V62"/>
    <mergeCell ref="R2:T2"/>
    <mergeCell ref="K2:Q2"/>
    <mergeCell ref="D2:J2"/>
  </mergeCells>
  <pageMargins left="0.7" right="0.7" top="0.75" bottom="0.75" header="0.3" footer="0.3"/>
  <pageSetup paperSize="9" orientation="portrait" horizontalDpi="300" verticalDpi="300" r:id="rId1"/>
  <ignoredErrors>
    <ignoredError sqref="L85 E85 E67" formula="1"/>
    <ignoredError sqref="S139 S23 T35 S60 S98 S131 T149 S169 S175 S194 S215 T198:T199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E29"/>
  <sheetViews>
    <sheetView workbookViewId="0">
      <selection activeCell="A8" sqref="A8"/>
    </sheetView>
  </sheetViews>
  <sheetFormatPr defaultRowHeight="15"/>
  <cols>
    <col min="1" max="1" width="34" customWidth="1"/>
    <col min="2" max="2" width="20.7109375" customWidth="1"/>
    <col min="3" max="3" width="17.42578125" customWidth="1"/>
  </cols>
  <sheetData>
    <row r="1" spans="1:5">
      <c r="A1" s="98"/>
      <c r="B1" s="98"/>
      <c r="C1" s="98"/>
      <c r="D1" s="98"/>
    </row>
    <row r="2" spans="1:5" ht="33">
      <c r="A2" s="127" t="s">
        <v>222</v>
      </c>
      <c r="B2" s="137" t="s">
        <v>277</v>
      </c>
      <c r="C2" s="137" t="s">
        <v>281</v>
      </c>
      <c r="D2" s="98"/>
    </row>
    <row r="3" spans="1:5" ht="16.5">
      <c r="A3" s="138" t="s">
        <v>15</v>
      </c>
      <c r="B3" s="128">
        <f>B13</f>
        <v>27.6542160115843</v>
      </c>
      <c r="C3" s="128">
        <f>C13</f>
        <v>27.684716686990001</v>
      </c>
      <c r="D3" s="98"/>
    </row>
    <row r="4" spans="1:5" ht="17.25" customHeight="1">
      <c r="A4" s="129" t="s">
        <v>47</v>
      </c>
      <c r="B4" s="130">
        <f>B14</f>
        <v>1007.9987964966132</v>
      </c>
      <c r="C4" s="130">
        <f>C14</f>
        <v>1019.3315248849599</v>
      </c>
      <c r="D4" s="98"/>
    </row>
    <row r="5" spans="1:5" ht="19.5" customHeight="1">
      <c r="A5" s="129" t="s">
        <v>223</v>
      </c>
      <c r="B5" s="128">
        <f>B15</f>
        <v>239.13905996020239</v>
      </c>
      <c r="C5" s="128">
        <f>C15</f>
        <v>238.98492803717988</v>
      </c>
      <c r="D5" s="98"/>
    </row>
    <row r="6" spans="1:5" ht="16.5">
      <c r="A6" s="129" t="s">
        <v>128</v>
      </c>
      <c r="B6" s="130">
        <f>B16</f>
        <v>1423.9851130769678</v>
      </c>
      <c r="C6" s="130">
        <f>C16</f>
        <v>1421.5929798616796</v>
      </c>
      <c r="D6" s="98"/>
    </row>
    <row r="7" spans="1:5" ht="16.5">
      <c r="A7" s="129" t="s">
        <v>224</v>
      </c>
      <c r="B7" s="128">
        <f>B17</f>
        <v>98.591493716940278</v>
      </c>
      <c r="C7" s="128">
        <f>C17</f>
        <v>98.650430272592402</v>
      </c>
      <c r="D7" s="98"/>
    </row>
    <row r="8" spans="1:5" ht="16.5">
      <c r="A8" s="129" t="s">
        <v>154</v>
      </c>
      <c r="B8" s="131">
        <f>B18</f>
        <v>48.452798568384054</v>
      </c>
      <c r="C8" s="131">
        <f>C18</f>
        <v>48.611257159725824</v>
      </c>
      <c r="D8" s="98"/>
    </row>
    <row r="9" spans="1:5" ht="16.5">
      <c r="A9" s="129" t="s">
        <v>178</v>
      </c>
      <c r="B9" s="128">
        <f>B19</f>
        <v>4.90875028525</v>
      </c>
      <c r="C9" s="128">
        <f>C19</f>
        <v>4.9675573161199997</v>
      </c>
      <c r="D9" s="98"/>
    </row>
    <row r="10" spans="1:5" ht="16.5">
      <c r="A10" s="129" t="s">
        <v>225</v>
      </c>
      <c r="B10" s="128">
        <f>B20</f>
        <v>51.193488214241377</v>
      </c>
      <c r="C10" s="128">
        <f>C20</f>
        <v>51.054739828693478</v>
      </c>
      <c r="D10" s="98"/>
    </row>
    <row r="11" spans="1:5" ht="16.5">
      <c r="A11" s="163"/>
      <c r="B11" s="164"/>
      <c r="C11" s="164"/>
      <c r="D11" s="98"/>
    </row>
    <row r="12" spans="1:5">
      <c r="A12" s="98"/>
      <c r="B12" s="98"/>
      <c r="C12" s="98"/>
      <c r="D12" s="98"/>
    </row>
    <row r="13" spans="1:5">
      <c r="A13" s="165" t="s">
        <v>15</v>
      </c>
      <c r="B13" s="166">
        <f>'Weekly Valuation'!D23/1000000000</f>
        <v>27.6542160115843</v>
      </c>
      <c r="C13" s="167">
        <f>'Weekly Valuation'!K23/1000000000</f>
        <v>27.684716686990001</v>
      </c>
      <c r="D13" s="98"/>
      <c r="E13" s="100"/>
    </row>
    <row r="14" spans="1:5">
      <c r="A14" s="168" t="s">
        <v>47</v>
      </c>
      <c r="B14" s="166">
        <f>'Weekly Valuation'!D60/1000000000</f>
        <v>1007.9987964966132</v>
      </c>
      <c r="C14" s="169">
        <f>'Weekly Valuation'!K60/1000000000</f>
        <v>1019.3315248849599</v>
      </c>
      <c r="D14" s="98"/>
      <c r="E14" s="100"/>
    </row>
    <row r="15" spans="1:5">
      <c r="A15" s="168" t="s">
        <v>223</v>
      </c>
      <c r="B15" s="166">
        <f>'Weekly Valuation'!D98/1000000000</f>
        <v>239.13905996020239</v>
      </c>
      <c r="C15" s="167">
        <f>'Weekly Valuation'!K98/1000000000</f>
        <v>238.98492803717988</v>
      </c>
      <c r="D15" s="98"/>
      <c r="E15" s="100"/>
    </row>
    <row r="16" spans="1:5">
      <c r="A16" s="168" t="s">
        <v>128</v>
      </c>
      <c r="B16" s="166">
        <f>'Weekly Valuation'!D131/1000000000</f>
        <v>1423.9851130769678</v>
      </c>
      <c r="C16" s="169">
        <f>'Weekly Valuation'!K131/1000000000</f>
        <v>1421.5929798616796</v>
      </c>
      <c r="D16" s="98"/>
      <c r="E16" s="100"/>
    </row>
    <row r="17" spans="1:5">
      <c r="A17" s="168" t="s">
        <v>224</v>
      </c>
      <c r="B17" s="166">
        <f>'Weekly Valuation'!D139/1000000000</f>
        <v>98.591493716940278</v>
      </c>
      <c r="C17" s="167">
        <f>'Weekly Valuation'!K139/1000000000</f>
        <v>98.650430272592402</v>
      </c>
      <c r="D17" s="98"/>
      <c r="E17" s="100"/>
    </row>
    <row r="18" spans="1:5">
      <c r="A18" s="168" t="s">
        <v>154</v>
      </c>
      <c r="B18" s="166">
        <f>'Weekly Valuation'!D169/1000000000</f>
        <v>48.452798568384054</v>
      </c>
      <c r="C18" s="170">
        <f>'Weekly Valuation'!K169/1000000000</f>
        <v>48.611257159725824</v>
      </c>
      <c r="D18" s="98"/>
      <c r="E18" s="100"/>
    </row>
    <row r="19" spans="1:5">
      <c r="A19" s="168" t="s">
        <v>178</v>
      </c>
      <c r="B19" s="166">
        <f>'Weekly Valuation'!D175/1000000000</f>
        <v>4.90875028525</v>
      </c>
      <c r="C19" s="167">
        <f>'Weekly Valuation'!K175/1000000000</f>
        <v>4.9675573161199997</v>
      </c>
      <c r="D19" s="98"/>
      <c r="E19" s="100"/>
    </row>
    <row r="20" spans="1:5">
      <c r="A20" s="168" t="s">
        <v>225</v>
      </c>
      <c r="B20" s="166">
        <f>'Weekly Valuation'!D194/1000000000</f>
        <v>51.193488214241377</v>
      </c>
      <c r="C20" s="167">
        <f>'Weekly Valuation'!K194/1000000000</f>
        <v>51.054739828693478</v>
      </c>
      <c r="D20" s="98"/>
      <c r="E20" s="100"/>
    </row>
    <row r="21" spans="1:5" ht="16.5">
      <c r="A21" s="132"/>
      <c r="B21" s="98"/>
      <c r="C21" s="139"/>
      <c r="D21" s="98"/>
      <c r="E21" s="100"/>
    </row>
    <row r="22" spans="1:5" ht="16.5">
      <c r="A22" s="114"/>
      <c r="B22" s="100"/>
      <c r="C22" s="105"/>
      <c r="D22" s="100"/>
      <c r="E22" s="100"/>
    </row>
    <row r="23" spans="1:5" ht="16.5">
      <c r="A23" s="114"/>
      <c r="B23" s="105"/>
      <c r="C23" s="122"/>
      <c r="D23" s="100"/>
      <c r="E23" s="100"/>
    </row>
    <row r="24" spans="1:5" ht="16.5">
      <c r="A24" s="114"/>
      <c r="B24" s="105"/>
      <c r="C24" s="105"/>
      <c r="D24" s="100"/>
      <c r="E24" s="100"/>
    </row>
    <row r="25" spans="1:5" ht="16.5">
      <c r="A25" s="114"/>
      <c r="B25" s="105"/>
      <c r="C25" s="105"/>
      <c r="D25" s="100"/>
      <c r="E25" s="100"/>
    </row>
    <row r="26" spans="1:5" ht="16.5">
      <c r="A26" s="114"/>
      <c r="B26" s="105"/>
      <c r="C26" s="105"/>
      <c r="D26" s="100"/>
      <c r="E26" s="100"/>
    </row>
    <row r="27" spans="1:5" ht="16.5">
      <c r="A27" s="114"/>
      <c r="B27" s="105"/>
      <c r="C27" s="105"/>
      <c r="D27" s="100"/>
      <c r="E27" s="100"/>
    </row>
    <row r="28" spans="1:5">
      <c r="B28" s="100"/>
      <c r="C28" s="100"/>
    </row>
    <row r="29" spans="1:5">
      <c r="B29" s="100"/>
      <c r="C29" s="100"/>
    </row>
  </sheetData>
  <sheetProtection algorithmName="SHA-512" hashValue="PGjbPfXZlP6lWxFdK6yEGpbQyGaGPSHlNCXYAT5dfcm42DPl3dxGIpo3urUNpWQdlzfho7+Mt4s788l7bfrtTA==" saltValue="1mPujYUorgW+GlaZuP+YfA==" spinCount="100000" sheet="1" objects="1" scenarios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Q33"/>
  <sheetViews>
    <sheetView zoomScale="85" zoomScaleNormal="85" workbookViewId="0">
      <selection activeCell="J11" sqref="J11"/>
    </sheetView>
  </sheetViews>
  <sheetFormatPr defaultRowHeight="15"/>
  <cols>
    <col min="1" max="1" width="26.7109375" customWidth="1"/>
    <col min="2" max="2" width="17.42578125" customWidth="1"/>
  </cols>
  <sheetData>
    <row r="1" spans="1:4" ht="16.5">
      <c r="A1" s="127" t="s">
        <v>222</v>
      </c>
      <c r="B1" s="133">
        <v>45450</v>
      </c>
      <c r="C1" s="98"/>
      <c r="D1" s="100"/>
    </row>
    <row r="2" spans="1:4" ht="16.5">
      <c r="A2" s="129" t="s">
        <v>178</v>
      </c>
      <c r="B2" s="128">
        <f>'Weekly Valuation'!K175</f>
        <v>4967557316.1199999</v>
      </c>
      <c r="C2" s="98"/>
      <c r="D2" s="100"/>
    </row>
    <row r="3" spans="1:4" ht="16.5">
      <c r="A3" s="129" t="s">
        <v>15</v>
      </c>
      <c r="B3" s="128">
        <f>'Weekly Valuation'!K23</f>
        <v>27684716686.990002</v>
      </c>
      <c r="C3" s="98"/>
      <c r="D3" s="100"/>
    </row>
    <row r="4" spans="1:4" ht="16.5">
      <c r="A4" s="129" t="s">
        <v>154</v>
      </c>
      <c r="B4" s="131">
        <f>'Weekly Valuation'!K169</f>
        <v>48611257159.725822</v>
      </c>
      <c r="C4" s="98"/>
      <c r="D4" s="100"/>
    </row>
    <row r="5" spans="1:4" ht="16.5">
      <c r="A5" s="129" t="s">
        <v>225</v>
      </c>
      <c r="B5" s="128">
        <f>'Weekly Valuation'!K194</f>
        <v>51054739828.693481</v>
      </c>
      <c r="C5" s="98"/>
      <c r="D5" s="100"/>
    </row>
    <row r="6" spans="1:4" ht="16.5">
      <c r="A6" s="129" t="s">
        <v>224</v>
      </c>
      <c r="B6" s="128">
        <f>'Weekly Valuation'!K139</f>
        <v>98650430272.592407</v>
      </c>
      <c r="C6" s="98"/>
      <c r="D6" s="100"/>
    </row>
    <row r="7" spans="1:4" ht="16.5">
      <c r="A7" s="129" t="s">
        <v>223</v>
      </c>
      <c r="B7" s="128">
        <f>'Weekly Valuation'!K98</f>
        <v>238984928037.17987</v>
      </c>
      <c r="C7" s="98"/>
      <c r="D7" s="100"/>
    </row>
    <row r="8" spans="1:4" ht="16.5">
      <c r="A8" s="129" t="s">
        <v>47</v>
      </c>
      <c r="B8" s="130">
        <f>'Weekly Valuation'!K60</f>
        <v>1019331524884.9598</v>
      </c>
      <c r="C8" s="98"/>
      <c r="D8" s="100"/>
    </row>
    <row r="9" spans="1:4" ht="16.5">
      <c r="A9" s="129" t="s">
        <v>128</v>
      </c>
      <c r="B9" s="130">
        <f>'Weekly Valuation'!K131</f>
        <v>1421592979861.6797</v>
      </c>
      <c r="C9" s="98"/>
      <c r="D9" s="100"/>
    </row>
    <row r="10" spans="1:4">
      <c r="A10" s="98"/>
      <c r="B10" s="98"/>
      <c r="C10" s="98"/>
      <c r="D10" s="100"/>
    </row>
    <row r="11" spans="1:4" ht="16.5">
      <c r="A11" s="162"/>
      <c r="B11" s="100"/>
      <c r="C11" s="100"/>
      <c r="D11" s="100"/>
    </row>
    <row r="12" spans="1:4" ht="16.5">
      <c r="A12" s="105"/>
      <c r="B12" s="100"/>
      <c r="C12" s="100"/>
      <c r="D12" s="100"/>
    </row>
    <row r="13" spans="1:4" ht="16.5">
      <c r="A13" s="134"/>
      <c r="B13" s="134"/>
      <c r="C13" s="98"/>
      <c r="D13" s="100"/>
    </row>
    <row r="14" spans="1:4" ht="16.5">
      <c r="A14" s="134"/>
      <c r="B14" s="134"/>
      <c r="C14" s="98"/>
      <c r="D14" s="100"/>
    </row>
    <row r="15" spans="1:4" ht="16.5" customHeight="1">
      <c r="A15" s="122"/>
      <c r="B15" s="122"/>
      <c r="C15" s="100"/>
      <c r="D15" s="100"/>
    </row>
    <row r="16" spans="1:4" ht="16.5">
      <c r="A16" s="105"/>
      <c r="B16" s="105"/>
      <c r="C16" s="100"/>
      <c r="D16" s="100"/>
    </row>
    <row r="17" spans="1:17" ht="16.5">
      <c r="A17" s="105"/>
      <c r="B17" s="105"/>
      <c r="C17" s="100"/>
    </row>
    <row r="18" spans="1:17" ht="16.5">
      <c r="A18" s="117"/>
      <c r="B18" s="105"/>
      <c r="C18" s="100"/>
    </row>
    <row r="19" spans="1:17" ht="16.5">
      <c r="A19" s="117"/>
      <c r="B19" s="117"/>
      <c r="C19" s="100"/>
    </row>
    <row r="20" spans="1:17" ht="16.5">
      <c r="A20" s="117"/>
      <c r="B20" s="117"/>
      <c r="C20" s="100"/>
    </row>
    <row r="21" spans="1:17" ht="16.5">
      <c r="A21" s="114"/>
      <c r="B21" s="117"/>
      <c r="C21" s="100"/>
    </row>
    <row r="22" spans="1:17" ht="16.5">
      <c r="A22" s="100"/>
      <c r="B22" s="117"/>
      <c r="C22" s="100"/>
    </row>
    <row r="23" spans="1:17">
      <c r="A23" s="100"/>
      <c r="B23" s="100"/>
      <c r="C23" s="100"/>
    </row>
    <row r="24" spans="1:17">
      <c r="A24" s="100"/>
      <c r="B24" s="100"/>
      <c r="C24" s="100"/>
    </row>
    <row r="25" spans="1:17">
      <c r="A25" s="100"/>
      <c r="B25" s="100"/>
      <c r="C25" s="100"/>
    </row>
    <row r="26" spans="1:17">
      <c r="A26" s="100"/>
      <c r="B26" s="100"/>
    </row>
    <row r="32" spans="1:17" ht="16.5" customHeight="1">
      <c r="A32" s="161" t="s">
        <v>283</v>
      </c>
      <c r="B32" s="161"/>
      <c r="C32" s="161"/>
      <c r="D32" s="161"/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06"/>
    </row>
    <row r="33" spans="1:17" ht="15" customHeight="1">
      <c r="A33" s="161"/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161"/>
      <c r="M33" s="161"/>
      <c r="N33" s="161"/>
      <c r="O33" s="161"/>
      <c r="P33" s="161"/>
      <c r="Q33" s="106"/>
    </row>
  </sheetData>
  <sheetProtection algorithmName="SHA-512" hashValue="RjS0oxHquu7cdQDC+1ZXbDYCD4OrwKO2bJvHuVIwVqK9SUfMv3BNREp1/4jY3K5Iw+RK6/qpU1FLXXhMMgBT8w==" saltValue="zE3ZONt9SbRRTUP8Zz4DHg==" spinCount="100000" sheet="1" objects="1" scenarios="1"/>
  <sortState xmlns:xlrd2="http://schemas.microsoft.com/office/spreadsheetml/2017/richdata2" ref="A2:B9">
    <sortCondition ref="B2:B9"/>
  </sortState>
  <mergeCells count="1">
    <mergeCell ref="A32:P3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M7"/>
  <sheetViews>
    <sheetView zoomScale="110" zoomScaleNormal="110" workbookViewId="0">
      <selection activeCell="E1" sqref="E1"/>
    </sheetView>
  </sheetViews>
  <sheetFormatPr defaultRowHeight="15"/>
  <cols>
    <col min="1" max="2" width="10.5703125" customWidth="1"/>
    <col min="3" max="3" width="11.140625" customWidth="1"/>
    <col min="4" max="4" width="10.5703125" customWidth="1"/>
    <col min="5" max="5" width="10.85546875" customWidth="1"/>
    <col min="6" max="6" width="11.140625" customWidth="1"/>
    <col min="7" max="7" width="12.140625" customWidth="1"/>
    <col min="8" max="8" width="11.7109375" customWidth="1"/>
    <col min="9" max="9" width="11.42578125" customWidth="1"/>
  </cols>
  <sheetData>
    <row r="1" spans="1:13">
      <c r="A1" s="98"/>
      <c r="B1" s="98"/>
      <c r="C1" s="98"/>
      <c r="D1" s="98"/>
      <c r="E1" s="98"/>
      <c r="F1" s="98"/>
      <c r="G1" s="98"/>
      <c r="H1" s="98"/>
      <c r="I1" s="98"/>
      <c r="J1" s="98"/>
      <c r="K1" s="100"/>
      <c r="L1" s="100"/>
      <c r="M1" s="100"/>
    </row>
    <row r="2" spans="1:13">
      <c r="A2" s="140" t="s">
        <v>233</v>
      </c>
      <c r="B2" s="141">
        <v>45401</v>
      </c>
      <c r="C2" s="141">
        <v>45408</v>
      </c>
      <c r="D2" s="141">
        <v>45415</v>
      </c>
      <c r="E2" s="141">
        <v>45422</v>
      </c>
      <c r="F2" s="141">
        <v>45429</v>
      </c>
      <c r="G2" s="141">
        <v>45436</v>
      </c>
      <c r="H2" s="141">
        <v>45443</v>
      </c>
      <c r="I2" s="141">
        <v>45450</v>
      </c>
      <c r="J2" s="98"/>
      <c r="K2" s="100"/>
      <c r="L2" s="100"/>
      <c r="M2" s="100"/>
    </row>
    <row r="3" spans="1:13">
      <c r="A3" s="140" t="s">
        <v>234</v>
      </c>
      <c r="B3" s="142">
        <f t="shared" ref="B3:I3" si="0">B4</f>
        <v>2510.7979153396032</v>
      </c>
      <c r="C3" s="142">
        <f t="shared" si="0"/>
        <v>2662.1939749035823</v>
      </c>
      <c r="D3" s="142">
        <f t="shared" si="0"/>
        <v>2732.0956989192559</v>
      </c>
      <c r="E3" s="142">
        <f t="shared" si="0"/>
        <v>2805.3798287181139</v>
      </c>
      <c r="F3" s="142">
        <f t="shared" si="0"/>
        <v>2882.6977794869722</v>
      </c>
      <c r="G3" s="142">
        <f t="shared" si="0"/>
        <v>2856.7177691570346</v>
      </c>
      <c r="H3" s="142">
        <f t="shared" si="0"/>
        <v>2902.1598706044138</v>
      </c>
      <c r="I3" s="142">
        <f t="shared" si="0"/>
        <v>2910.8781340479409</v>
      </c>
      <c r="J3" s="98"/>
      <c r="K3" s="100"/>
      <c r="L3" s="100"/>
      <c r="M3" s="100"/>
    </row>
    <row r="4" spans="1:13">
      <c r="A4" s="98"/>
      <c r="B4" s="143">
        <f>'NAV Trend'!C10/1000000000</f>
        <v>2510.7979153396032</v>
      </c>
      <c r="C4" s="143">
        <f>'NAV Trend'!D10/1000000000</f>
        <v>2662.1939749035823</v>
      </c>
      <c r="D4" s="143">
        <f>'NAV Trend'!E10/1000000000</f>
        <v>2732.0956989192559</v>
      </c>
      <c r="E4" s="143">
        <f>'NAV Trend'!F10/1000000000</f>
        <v>2805.3798287181139</v>
      </c>
      <c r="F4" s="143">
        <f>'NAV Trend'!G10/1000000000</f>
        <v>2882.6977794869722</v>
      </c>
      <c r="G4" s="143">
        <f>'NAV Trend'!H10/1000000000</f>
        <v>2856.7177691570346</v>
      </c>
      <c r="H4" s="144">
        <f>'NAV Trend'!I10/1000000000</f>
        <v>2902.1598706044138</v>
      </c>
      <c r="I4" s="144">
        <f>'NAV Trend'!J10/1000000000</f>
        <v>2910.8781340479409</v>
      </c>
      <c r="J4" s="98"/>
      <c r="K4" s="100"/>
      <c r="L4" s="100"/>
      <c r="M4" s="100"/>
    </row>
    <row r="5" spans="1:13">
      <c r="A5" s="100"/>
      <c r="B5" s="100"/>
      <c r="C5" s="100"/>
      <c r="D5" s="100"/>
      <c r="E5" s="100"/>
      <c r="F5" s="100"/>
      <c r="G5" s="100"/>
      <c r="H5" s="100"/>
      <c r="I5" s="100"/>
      <c r="J5" s="98"/>
      <c r="K5" s="100"/>
      <c r="L5" s="100"/>
    </row>
    <row r="6" spans="1:13">
      <c r="A6" s="100"/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</row>
    <row r="7" spans="1:13">
      <c r="A7" s="100"/>
      <c r="B7" s="100"/>
      <c r="C7" s="100"/>
      <c r="D7" s="100"/>
      <c r="E7" s="100"/>
      <c r="F7" s="100"/>
      <c r="G7" s="100"/>
      <c r="H7" s="100"/>
      <c r="I7" s="100"/>
      <c r="J7" s="100"/>
    </row>
  </sheetData>
  <sheetProtection algorithmName="SHA-512" hashValue="RDEGG22rU86uIXsEmA5uGyLGL2kegz4KGoLLcfgqTfXyO1iYT1bi/25hiRhnNm+ndvmJMc7oTzhHgUA5o3JJaQ==" saltValue="+k9bPZ80XYKQKZAl91v7sw==" spinCount="100000" sheet="1" objects="1" scenarios="1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A2AF0-A961-4E58-933E-1EE96F1E7D82}">
  <sheetPr>
    <tabColor rgb="FFFFFF00"/>
  </sheetPr>
  <dimension ref="A1:L6"/>
  <sheetViews>
    <sheetView workbookViewId="0">
      <selection activeCell="G5" sqref="G5"/>
    </sheetView>
  </sheetViews>
  <sheetFormatPr defaultRowHeight="15"/>
  <cols>
    <col min="1" max="1" width="16.5703125" customWidth="1"/>
    <col min="2" max="2" width="11.140625" bestFit="1" customWidth="1"/>
    <col min="3" max="3" width="11.42578125" bestFit="1" customWidth="1"/>
    <col min="4" max="4" width="11.5703125" bestFit="1" customWidth="1"/>
    <col min="5" max="5" width="11.140625" bestFit="1" customWidth="1"/>
    <col min="6" max="7" width="11.28515625" bestFit="1" customWidth="1"/>
    <col min="8" max="8" width="11.7109375" bestFit="1" customWidth="1"/>
    <col min="9" max="9" width="11.140625" customWidth="1"/>
  </cols>
  <sheetData>
    <row r="1" spans="1:12">
      <c r="A1" s="98"/>
      <c r="B1" s="98"/>
      <c r="C1" s="98"/>
      <c r="D1" s="98"/>
      <c r="E1" s="98"/>
      <c r="F1" s="98"/>
      <c r="G1" s="98"/>
      <c r="H1" s="98"/>
      <c r="I1" s="98"/>
      <c r="J1" s="98"/>
      <c r="K1" s="100"/>
      <c r="L1" s="100"/>
    </row>
    <row r="2" spans="1:12">
      <c r="A2" s="140" t="s">
        <v>233</v>
      </c>
      <c r="B2" s="141">
        <v>45401</v>
      </c>
      <c r="C2" s="141">
        <v>45408</v>
      </c>
      <c r="D2" s="141">
        <v>45415</v>
      </c>
      <c r="E2" s="141">
        <v>45422</v>
      </c>
      <c r="F2" s="141">
        <v>45429</v>
      </c>
      <c r="G2" s="141">
        <v>45436</v>
      </c>
      <c r="H2" s="141">
        <v>45443</v>
      </c>
      <c r="I2" s="141">
        <v>45450</v>
      </c>
      <c r="J2" s="98"/>
      <c r="K2" s="100"/>
      <c r="L2" s="100"/>
    </row>
    <row r="3" spans="1:12">
      <c r="A3" s="140" t="s">
        <v>265</v>
      </c>
      <c r="B3" s="142">
        <f t="shared" ref="B3:I3" si="0">B4</f>
        <v>12.730402807627465</v>
      </c>
      <c r="C3" s="142">
        <f t="shared" si="0"/>
        <v>12.735357486958618</v>
      </c>
      <c r="D3" s="142">
        <f t="shared" si="0"/>
        <v>13.067918239830002</v>
      </c>
      <c r="E3" s="142">
        <f t="shared" si="0"/>
        <v>13.03449671834</v>
      </c>
      <c r="F3" s="142">
        <f t="shared" si="0"/>
        <v>13.029745632197505</v>
      </c>
      <c r="G3" s="142">
        <f t="shared" si="0"/>
        <v>12.86344406107283</v>
      </c>
      <c r="H3" s="142">
        <f t="shared" si="0"/>
        <v>13.116887577834783</v>
      </c>
      <c r="I3" s="142">
        <f t="shared" si="0"/>
        <v>13.08808103006</v>
      </c>
      <c r="J3" s="98"/>
      <c r="K3" s="100"/>
      <c r="L3" s="100"/>
    </row>
    <row r="4" spans="1:12">
      <c r="A4" s="98"/>
      <c r="B4" s="143">
        <f>'NAV Trend'!C16/1000000000</f>
        <v>12.730402807627465</v>
      </c>
      <c r="C4" s="143">
        <f>'NAV Trend'!D16/1000000000</f>
        <v>12.735357486958618</v>
      </c>
      <c r="D4" s="143">
        <f>'NAV Trend'!E16/1000000000</f>
        <v>13.067918239830002</v>
      </c>
      <c r="E4" s="143">
        <f>'NAV Trend'!F16/1000000000</f>
        <v>13.03449671834</v>
      </c>
      <c r="F4" s="143">
        <f>'NAV Trend'!G16/1000000000</f>
        <v>13.029745632197505</v>
      </c>
      <c r="G4" s="143">
        <f>'NAV Trend'!H16/1000000000</f>
        <v>12.86344406107283</v>
      </c>
      <c r="H4" s="143">
        <f>'NAV Trend'!I16/1000000000</f>
        <v>13.116887577834783</v>
      </c>
      <c r="I4" s="144">
        <f>'NAV Trend'!J16/1000000000</f>
        <v>13.08808103006</v>
      </c>
      <c r="J4" s="98"/>
      <c r="K4" s="100"/>
      <c r="L4" s="100"/>
    </row>
    <row r="5" spans="1:12">
      <c r="A5" s="98"/>
      <c r="B5" s="98"/>
      <c r="C5" s="98"/>
      <c r="D5" s="98"/>
      <c r="E5" s="98"/>
      <c r="F5" s="98"/>
      <c r="G5" s="98"/>
      <c r="H5" s="98"/>
      <c r="I5" s="98"/>
      <c r="J5" s="98"/>
      <c r="K5" s="100"/>
      <c r="L5" s="100"/>
    </row>
    <row r="6" spans="1:12">
      <c r="A6" s="100"/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</row>
  </sheetData>
  <sheetProtection algorithmName="SHA-512" hashValue="ER02QVeEHhkA6kxwIDxHAwbiNwd83v9YIp/JR/Bj/l6ZkTFg9GGtu3lR1Kl6dlszCvjO8h9fYGPLkpVAwk8b6g==" saltValue="uDTQ8SDuSdqEREM0SmkmsQ==" spinCount="100000" sheet="1" objects="1" scenarios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2"/>
  <sheetViews>
    <sheetView topLeftCell="H1" workbookViewId="0">
      <selection activeCell="J3" sqref="J3"/>
    </sheetView>
  </sheetViews>
  <sheetFormatPr defaultRowHeight="15"/>
  <cols>
    <col min="1" max="1" width="36.28515625" customWidth="1"/>
    <col min="2" max="2" width="23.5703125" customWidth="1"/>
    <col min="3" max="3" width="22.5703125" customWidth="1"/>
    <col min="4" max="4" width="20.85546875" customWidth="1"/>
    <col min="5" max="5" width="22.5703125" customWidth="1"/>
    <col min="6" max="6" width="24.7109375" customWidth="1"/>
    <col min="7" max="7" width="22.42578125" customWidth="1"/>
    <col min="8" max="8" width="24.28515625" customWidth="1"/>
    <col min="9" max="9" width="22.5703125" customWidth="1"/>
    <col min="10" max="10" width="21.7109375" customWidth="1"/>
    <col min="11" max="12" width="20.7109375" bestFit="1" customWidth="1"/>
    <col min="13" max="13" width="20.5703125" bestFit="1" customWidth="1"/>
  </cols>
  <sheetData>
    <row r="1" spans="1:11" ht="16.5">
      <c r="A1" s="44" t="s">
        <v>222</v>
      </c>
      <c r="B1" s="45">
        <v>45394</v>
      </c>
      <c r="C1" s="45">
        <v>45401</v>
      </c>
      <c r="D1" s="45">
        <v>45408</v>
      </c>
      <c r="E1" s="45">
        <v>45415</v>
      </c>
      <c r="F1" s="45">
        <v>45422</v>
      </c>
      <c r="G1" s="45">
        <v>45429</v>
      </c>
      <c r="H1" s="45">
        <v>45436</v>
      </c>
      <c r="I1" s="45">
        <v>45443</v>
      </c>
      <c r="J1" s="45">
        <v>45450</v>
      </c>
    </row>
    <row r="2" spans="1:11" ht="16.5">
      <c r="A2" s="46" t="s">
        <v>15</v>
      </c>
      <c r="B2" s="47">
        <v>27759764748.77</v>
      </c>
      <c r="C2" s="47">
        <v>26572100101.452099</v>
      </c>
      <c r="D2" s="47">
        <v>26264049012.868401</v>
      </c>
      <c r="E2" s="47">
        <v>27319052490.226498</v>
      </c>
      <c r="F2" s="126">
        <v>27676372012.243797</v>
      </c>
      <c r="G2" s="126">
        <v>27187812730.4636</v>
      </c>
      <c r="H2" s="126">
        <v>26745861363.273003</v>
      </c>
      <c r="I2" s="126">
        <v>27654216011.584301</v>
      </c>
      <c r="J2" s="126">
        <v>27684716686.990002</v>
      </c>
    </row>
    <row r="3" spans="1:11" ht="16.5">
      <c r="A3" s="46" t="s">
        <v>47</v>
      </c>
      <c r="B3" s="126">
        <v>934334906874.48413</v>
      </c>
      <c r="C3" s="126">
        <v>933193021103.14502</v>
      </c>
      <c r="D3" s="126">
        <v>929998159930.67285</v>
      </c>
      <c r="E3" s="126">
        <v>943173062252.88904</v>
      </c>
      <c r="F3" s="126">
        <v>959754142868.04614</v>
      </c>
      <c r="G3" s="126">
        <v>974788648500.33569</v>
      </c>
      <c r="H3" s="126">
        <v>984566121728.51306</v>
      </c>
      <c r="I3" s="126">
        <v>1008157528628.0232</v>
      </c>
      <c r="J3" s="126">
        <v>1019331524884.9598</v>
      </c>
    </row>
    <row r="4" spans="1:11" ht="16.5">
      <c r="A4" s="46" t="s">
        <v>223</v>
      </c>
      <c r="B4" s="125">
        <v>268371629137.21021</v>
      </c>
      <c r="C4" s="125">
        <v>263752465697.42932</v>
      </c>
      <c r="D4" s="125">
        <v>259455612091.81857</v>
      </c>
      <c r="E4" s="125">
        <v>257291528161.24875</v>
      </c>
      <c r="F4" s="125">
        <v>246839006741.43805</v>
      </c>
      <c r="G4" s="125">
        <v>244017171187.90228</v>
      </c>
      <c r="H4" s="125">
        <v>239747208262.17911</v>
      </c>
      <c r="I4" s="125">
        <v>239139059960.20239</v>
      </c>
      <c r="J4" s="125">
        <v>238984928037.17987</v>
      </c>
    </row>
    <row r="5" spans="1:11" ht="16.5">
      <c r="A5" s="46" t="s">
        <v>128</v>
      </c>
      <c r="B5" s="126">
        <v>1082391359671.3127</v>
      </c>
      <c r="C5" s="126">
        <v>1084163633164.5548</v>
      </c>
      <c r="D5" s="126">
        <v>1242707828226.4185</v>
      </c>
      <c r="E5" s="126">
        <v>1300480857237.7634</v>
      </c>
      <c r="F5" s="126">
        <v>1366888956827.947</v>
      </c>
      <c r="G5" s="126">
        <v>1433100293468.5864</v>
      </c>
      <c r="H5" s="126">
        <v>1403942641631.5686</v>
      </c>
      <c r="I5" s="126">
        <v>1423985113076.9678</v>
      </c>
      <c r="J5" s="126">
        <v>1421592979861.6797</v>
      </c>
    </row>
    <row r="6" spans="1:11" ht="16.5">
      <c r="A6" s="46" t="s">
        <v>224</v>
      </c>
      <c r="B6" s="47">
        <v>99870092317.262451</v>
      </c>
      <c r="C6" s="47">
        <v>99918187898.83699</v>
      </c>
      <c r="D6" s="47">
        <v>100037877390.68518</v>
      </c>
      <c r="E6" s="47">
        <v>99185326803.116425</v>
      </c>
      <c r="F6" s="47">
        <v>99061132410.269897</v>
      </c>
      <c r="G6" s="47">
        <v>99095338201.223831</v>
      </c>
      <c r="H6" s="47">
        <v>98590301385.434418</v>
      </c>
      <c r="I6" s="47">
        <v>98591493716.940277</v>
      </c>
      <c r="J6" s="47">
        <v>98650430272.592407</v>
      </c>
    </row>
    <row r="7" spans="1:11" ht="16.5">
      <c r="A7" s="46" t="s">
        <v>154</v>
      </c>
      <c r="B7" s="48">
        <v>48079052440.593132</v>
      </c>
      <c r="C7" s="48">
        <v>47213858445.276672</v>
      </c>
      <c r="D7" s="48">
        <v>47381646798.600899</v>
      </c>
      <c r="E7" s="48">
        <v>48298812075.103348</v>
      </c>
      <c r="F7" s="48">
        <v>49028772091.292122</v>
      </c>
      <c r="G7" s="48">
        <v>48528341927.034386</v>
      </c>
      <c r="H7" s="48">
        <v>47384871316.741325</v>
      </c>
      <c r="I7" s="48">
        <v>48530220711.204056</v>
      </c>
      <c r="J7" s="48">
        <v>48611257159.725822</v>
      </c>
    </row>
    <row r="8" spans="1:11" ht="16.5">
      <c r="A8" s="46" t="s">
        <v>178</v>
      </c>
      <c r="B8" s="47">
        <v>5005243623.0900002</v>
      </c>
      <c r="C8" s="47">
        <v>4752808696.8699999</v>
      </c>
      <c r="D8" s="47">
        <v>4722955841.5799999</v>
      </c>
      <c r="E8" s="47">
        <v>4807945930.6199999</v>
      </c>
      <c r="F8" s="47">
        <v>4887347689.7399998</v>
      </c>
      <c r="G8" s="47">
        <v>4791752838.1499996</v>
      </c>
      <c r="H8" s="47">
        <v>4763237841.7700005</v>
      </c>
      <c r="I8" s="47">
        <v>4908750285.25</v>
      </c>
      <c r="J8" s="47">
        <v>4967557316.1199999</v>
      </c>
    </row>
    <row r="9" spans="1:11" ht="16.5">
      <c r="A9" s="46" t="s">
        <v>225</v>
      </c>
      <c r="B9" s="47">
        <v>49509658646.534012</v>
      </c>
      <c r="C9" s="47">
        <v>51231840232.037872</v>
      </c>
      <c r="D9" s="47">
        <v>51625845610.938026</v>
      </c>
      <c r="E9" s="47">
        <v>51539113968.28791</v>
      </c>
      <c r="F9" s="47">
        <v>51244098077.136551</v>
      </c>
      <c r="G9" s="47">
        <v>51188420633.276352</v>
      </c>
      <c r="H9" s="47">
        <v>50977525627.555077</v>
      </c>
      <c r="I9" s="47">
        <v>51193488214.241379</v>
      </c>
      <c r="J9" s="47">
        <v>51054739828.693481</v>
      </c>
    </row>
    <row r="10" spans="1:11" ht="15.75">
      <c r="A10" s="49" t="s">
        <v>226</v>
      </c>
      <c r="B10" s="50">
        <f t="shared" ref="B10:I10" si="0">SUM(B2:B9)</f>
        <v>2515321707459.2573</v>
      </c>
      <c r="C10" s="50">
        <f t="shared" si="0"/>
        <v>2510797915339.603</v>
      </c>
      <c r="D10" s="50">
        <f t="shared" si="0"/>
        <v>2662193974903.5825</v>
      </c>
      <c r="E10" s="50">
        <f t="shared" si="0"/>
        <v>2732095698919.2559</v>
      </c>
      <c r="F10" s="50">
        <f t="shared" si="0"/>
        <v>2805379828718.1138</v>
      </c>
      <c r="G10" s="50">
        <f t="shared" si="0"/>
        <v>2882697779486.9722</v>
      </c>
      <c r="H10" s="50">
        <f t="shared" si="0"/>
        <v>2856717769157.0347</v>
      </c>
      <c r="I10" s="50">
        <f t="shared" si="0"/>
        <v>2902159870604.4136</v>
      </c>
      <c r="J10" s="50">
        <f t="shared" ref="J10" si="1">SUM(J2:J9)</f>
        <v>2910878134047.9409</v>
      </c>
    </row>
    <row r="11" spans="1:11" ht="16.5">
      <c r="A11" s="51"/>
      <c r="B11" s="52"/>
      <c r="C11" s="52"/>
      <c r="D11" s="52"/>
      <c r="E11" s="52"/>
      <c r="F11" s="52"/>
      <c r="G11" s="52"/>
      <c r="H11" s="52"/>
      <c r="I11" s="51"/>
      <c r="J11" s="51"/>
    </row>
    <row r="12" spans="1:11" ht="15.75">
      <c r="A12" s="53" t="s">
        <v>227</v>
      </c>
      <c r="B12" s="54" t="s">
        <v>228</v>
      </c>
      <c r="C12" s="55">
        <f>(B10+C10)/2</f>
        <v>2513059811399.4302</v>
      </c>
      <c r="D12" s="56">
        <f t="shared" ref="D12:J12" si="2">(C10+D10)/2</f>
        <v>2586495945121.5928</v>
      </c>
      <c r="E12" s="56">
        <f t="shared" si="2"/>
        <v>2697144836911.4189</v>
      </c>
      <c r="F12" s="56">
        <f t="shared" si="2"/>
        <v>2768737763818.6846</v>
      </c>
      <c r="G12" s="56">
        <f>(F10+G10)/2</f>
        <v>2844038804102.543</v>
      </c>
      <c r="H12" s="56">
        <f t="shared" si="2"/>
        <v>2869707774322.0034</v>
      </c>
      <c r="I12" s="56">
        <f t="shared" si="2"/>
        <v>2879438819880.7241</v>
      </c>
      <c r="J12" s="56">
        <f t="shared" si="2"/>
        <v>2906519002326.1772</v>
      </c>
    </row>
    <row r="13" spans="1:11"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>
      <c r="A14" s="100"/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1:11" ht="16.5">
      <c r="A15" s="100"/>
      <c r="B15" s="45">
        <v>45394</v>
      </c>
      <c r="C15" s="45">
        <v>45401</v>
      </c>
      <c r="D15" s="45">
        <v>45408</v>
      </c>
      <c r="E15" s="45">
        <v>45415</v>
      </c>
      <c r="F15" s="45">
        <v>45422</v>
      </c>
      <c r="G15" s="45">
        <v>45429</v>
      </c>
      <c r="H15" s="45">
        <v>45436</v>
      </c>
      <c r="I15" s="45">
        <v>45443</v>
      </c>
      <c r="J15" s="45">
        <v>45450</v>
      </c>
      <c r="K15" s="100"/>
    </row>
    <row r="16" spans="1:11" ht="16.5">
      <c r="A16" s="121" t="s">
        <v>264</v>
      </c>
      <c r="B16" s="124">
        <v>13204581677.229027</v>
      </c>
      <c r="C16" s="124">
        <v>12730402807.627464</v>
      </c>
      <c r="D16" s="124">
        <v>12735357486.958618</v>
      </c>
      <c r="E16" s="124">
        <v>13067918239.830002</v>
      </c>
      <c r="F16" s="124">
        <v>13034496718.34</v>
      </c>
      <c r="G16" s="124">
        <v>13029745632.197506</v>
      </c>
      <c r="H16" s="124">
        <v>12863444061.07283</v>
      </c>
      <c r="I16" s="124">
        <v>13116887577.834784</v>
      </c>
      <c r="J16" s="124">
        <v>13088081030.059999</v>
      </c>
      <c r="K16" s="100"/>
    </row>
    <row r="17" spans="1:11">
      <c r="A17" s="100"/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1:11">
      <c r="A18" s="100"/>
      <c r="B18" s="100"/>
      <c r="C18" s="123"/>
      <c r="D18" s="123"/>
      <c r="E18" s="123"/>
      <c r="F18" s="123"/>
      <c r="G18" s="123"/>
      <c r="H18" s="123"/>
      <c r="I18" s="123"/>
      <c r="J18" s="123"/>
      <c r="K18" s="100"/>
    </row>
    <row r="19" spans="1:11">
      <c r="A19" s="100"/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1:11">
      <c r="A20" s="100"/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1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1:11">
      <c r="B22" s="100"/>
      <c r="C22" s="100"/>
      <c r="D22" s="100"/>
      <c r="E22" s="100"/>
      <c r="F22" s="100"/>
      <c r="G22" s="100"/>
      <c r="H22" s="100"/>
      <c r="I22" s="100"/>
      <c r="J22" s="100"/>
      <c r="K22" s="98"/>
    </row>
  </sheetData>
  <sheetProtection algorithmName="SHA-512" hashValue="BFp2e4hserjQWoDXh2UDNQyJw2g9nFbRm2nEabVlgpgeY9RBXMQm9PP6124k4VGui/4HMB/qYYJBNdN0f2xDTw==" saltValue="MnmxS8nj7OfBACYovdkpdA==" spinCount="100000" sheet="1" objects="1" scenarios="1"/>
  <pageMargins left="0.7" right="0.7" top="0.75" bottom="0.75" header="0.3" footer="0.3"/>
  <pageSetup paperSize="9" orientation="portrait" horizontalDpi="300" verticalDpi="300" r:id="rId1"/>
  <ignoredErrors>
    <ignoredError sqref="B10:J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Weekly Valuation</vt:lpstr>
      <vt:lpstr>NAV Comparison</vt:lpstr>
      <vt:lpstr>Market Share</vt:lpstr>
      <vt:lpstr>8-Week Movement in NAV</vt:lpstr>
      <vt:lpstr>8-Week Movement in ETFs</vt:lpstr>
      <vt:lpstr>NAV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RV</dc:creator>
  <cp:lastModifiedBy>tundeisaac.ti@gmail.com</cp:lastModifiedBy>
  <dcterms:created xsi:type="dcterms:W3CDTF">2023-10-09T09:40:10Z</dcterms:created>
  <dcterms:modified xsi:type="dcterms:W3CDTF">2024-06-13T12:08:41Z</dcterms:modified>
</cp:coreProperties>
</file>