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Расчёт потребления устройства" sheetId="4" r:id="rId1"/>
    <sheet name="Конструкторские расчёты" sheetId="6" r:id="rId2"/>
    <sheet name="ТЭО" sheetId="5" r:id="rId3"/>
    <sheet name="Программа практики" sheetId="3" r:id="rId4"/>
  </sheets>
  <definedNames>
    <definedName name="toppp" localSheetId="1">'Конструкторские расчёты'!$B$282</definedName>
  </definedNames>
  <calcPr calcId="162913"/>
</workbook>
</file>

<file path=xl/calcChain.xml><?xml version="1.0" encoding="utf-8"?>
<calcChain xmlns="http://schemas.openxmlformats.org/spreadsheetml/2006/main">
  <c r="C169" i="6" l="1"/>
  <c r="C144" i="6"/>
  <c r="L24" i="4"/>
  <c r="L23" i="4"/>
  <c r="L16" i="4"/>
  <c r="C177" i="6" s="1"/>
  <c r="G34" i="4"/>
  <c r="K3" i="4"/>
  <c r="C152" i="6" s="1"/>
  <c r="K4" i="4"/>
  <c r="K6" i="4"/>
  <c r="K7" i="4"/>
  <c r="K8" i="4"/>
  <c r="K9" i="4"/>
  <c r="K10" i="4"/>
  <c r="K11" i="4"/>
  <c r="K12" i="4"/>
  <c r="K13" i="4"/>
  <c r="K15" i="4"/>
  <c r="K17" i="4"/>
  <c r="K21" i="4"/>
  <c r="K22" i="4"/>
  <c r="E239" i="6"/>
  <c r="C97" i="6"/>
  <c r="C168" i="6" s="1"/>
  <c r="C96" i="6"/>
  <c r="C167" i="6" s="1"/>
  <c r="C84" i="6"/>
  <c r="C83" i="6"/>
  <c r="K77" i="6"/>
  <c r="C98" i="6" s="1"/>
  <c r="K56" i="6"/>
  <c r="C85" i="6" s="1"/>
  <c r="F53" i="6"/>
  <c r="F49" i="6"/>
  <c r="F54" i="6"/>
  <c r="F75" i="6"/>
  <c r="E66" i="6"/>
  <c r="F66" i="6" s="1"/>
  <c r="H77" i="6"/>
  <c r="C257" i="6" s="1"/>
  <c r="H56" i="6"/>
  <c r="C240" i="6" s="1"/>
  <c r="G27" i="6"/>
  <c r="E27" i="6"/>
  <c r="F27" i="6" s="1"/>
  <c r="E44" i="6"/>
  <c r="F44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8" i="6"/>
  <c r="F28" i="6" s="1"/>
  <c r="E29" i="6"/>
  <c r="F29" i="6" s="1"/>
  <c r="E30" i="6"/>
  <c r="F30" i="6" s="1"/>
  <c r="E31" i="6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5" i="6"/>
  <c r="F45" i="6" s="1"/>
  <c r="E46" i="6"/>
  <c r="F46" i="6" s="1"/>
  <c r="E47" i="6"/>
  <c r="F47" i="6" s="1"/>
  <c r="E48" i="6"/>
  <c r="F48" i="6" s="1"/>
  <c r="C87" i="6" l="1"/>
  <c r="C100" i="6"/>
  <c r="C102" i="6"/>
  <c r="C89" i="6"/>
  <c r="F77" i="6"/>
  <c r="C95" i="6" s="1"/>
  <c r="E56" i="6"/>
  <c r="E77" i="6"/>
  <c r="F31" i="6"/>
  <c r="F56" i="6" s="1"/>
  <c r="C82" i="6" s="1"/>
  <c r="G55" i="4"/>
  <c r="F30" i="4"/>
  <c r="E32" i="4"/>
  <c r="E33" i="4" s="1"/>
  <c r="E30" i="4"/>
  <c r="E29" i="4"/>
  <c r="C94" i="6" l="1"/>
  <c r="C101" i="6" s="1"/>
  <c r="C178" i="6"/>
  <c r="C81" i="6"/>
  <c r="C88" i="6" s="1"/>
  <c r="C153" i="6"/>
  <c r="C103" i="6"/>
  <c r="C170" i="6" s="1"/>
  <c r="C255" i="6"/>
  <c r="C256" i="6"/>
  <c r="E256" i="6" s="1"/>
  <c r="G74" i="6"/>
  <c r="G23" i="6"/>
  <c r="G22" i="6"/>
  <c r="G24" i="6"/>
  <c r="G21" i="6"/>
  <c r="G26" i="6"/>
  <c r="G25" i="6"/>
  <c r="G20" i="6"/>
  <c r="G19" i="6"/>
  <c r="G18" i="6"/>
  <c r="G17" i="6"/>
  <c r="G16" i="6"/>
  <c r="G15" i="6"/>
  <c r="G73" i="6"/>
  <c r="D56" i="6"/>
  <c r="C241" i="6" s="1"/>
  <c r="D77" i="6"/>
  <c r="C292" i="6"/>
  <c r="C291" i="6" s="1"/>
  <c r="C269" i="6"/>
  <c r="C272" i="6" s="1"/>
  <c r="C284" i="6"/>
  <c r="C268" i="6" s="1"/>
  <c r="C266" i="6"/>
  <c r="C267" i="6" s="1"/>
  <c r="C264" i="6"/>
  <c r="C263" i="6"/>
  <c r="G77" i="6" l="1"/>
  <c r="C254" i="6" s="1"/>
  <c r="C245" i="6" s="1"/>
  <c r="E245" i="6" s="1"/>
  <c r="G56" i="6"/>
  <c r="C237" i="6" s="1"/>
  <c r="C228" i="6" s="1"/>
  <c r="E228" i="6" s="1"/>
  <c r="C230" i="6"/>
  <c r="C258" i="6"/>
  <c r="C247" i="6" s="1"/>
  <c r="C273" i="6"/>
  <c r="C270" i="6"/>
  <c r="C265" i="6"/>
  <c r="C229" i="6" l="1"/>
  <c r="C231" i="6"/>
  <c r="C232" i="6" s="1"/>
  <c r="C246" i="6"/>
  <c r="C274" i="6"/>
  <c r="C271" i="6"/>
  <c r="C248" i="6"/>
  <c r="C250" i="6" s="1"/>
  <c r="C143" i="6"/>
  <c r="C142" i="6"/>
  <c r="C233" i="6" l="1"/>
  <c r="C249" i="6"/>
  <c r="C213" i="6"/>
  <c r="C195" i="6"/>
  <c r="C116" i="6"/>
  <c r="C118" i="6" s="1"/>
  <c r="C115" i="6"/>
  <c r="C117" i="6" s="1"/>
  <c r="C122" i="6"/>
  <c r="C109" i="6" s="1"/>
  <c r="C110" i="6" l="1"/>
  <c r="C111" i="6" s="1"/>
  <c r="C113" i="6" s="1"/>
  <c r="C108" i="6"/>
  <c r="C114" i="6" l="1"/>
  <c r="C112" i="6"/>
  <c r="C90" i="6" l="1"/>
  <c r="C145" i="6" s="1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W133" i="5" l="1"/>
  <c r="Y145" i="5"/>
  <c r="Y146" i="5"/>
  <c r="Y147" i="5"/>
  <c r="Y148" i="5"/>
  <c r="Y149" i="5"/>
  <c r="Y150" i="5"/>
  <c r="Y144" i="5"/>
  <c r="W132" i="5"/>
  <c r="AB153" i="5"/>
  <c r="AE187" i="5"/>
  <c r="AF177" i="5"/>
  <c r="AG177" i="5"/>
  <c r="AH177" i="5"/>
  <c r="AE177" i="5"/>
  <c r="AD181" i="5"/>
  <c r="AD183" i="5" s="1"/>
  <c r="AH187" i="5"/>
  <c r="AG187" i="5"/>
  <c r="AF187" i="5"/>
  <c r="AD187" i="5"/>
  <c r="AB169" i="5"/>
  <c r="M132" i="5"/>
  <c r="M129" i="5"/>
  <c r="M144" i="5"/>
  <c r="M143" i="5"/>
  <c r="M142" i="5"/>
  <c r="M141" i="5"/>
  <c r="M140" i="5"/>
  <c r="N140" i="5" s="1"/>
  <c r="M139" i="5"/>
  <c r="M138" i="5"/>
  <c r="M137" i="5"/>
  <c r="M136" i="5"/>
  <c r="M135" i="5"/>
  <c r="M134" i="5"/>
  <c r="M133" i="5"/>
  <c r="M131" i="5"/>
  <c r="M130" i="5"/>
  <c r="M128" i="5"/>
  <c r="M127" i="5"/>
  <c r="M126" i="5"/>
  <c r="Z149" i="5" l="1"/>
  <c r="O135" i="5" s="1"/>
  <c r="Z145" i="5"/>
  <c r="Z148" i="5"/>
  <c r="Z144" i="5"/>
  <c r="Z147" i="5"/>
  <c r="Z150" i="5"/>
  <c r="Z146" i="5"/>
  <c r="AD184" i="5"/>
  <c r="AD185" i="5" s="1"/>
  <c r="N137" i="5"/>
  <c r="N144" i="5"/>
  <c r="N129" i="5"/>
  <c r="N132" i="5"/>
  <c r="N127" i="5"/>
  <c r="N133" i="5"/>
  <c r="N142" i="5"/>
  <c r="N136" i="5"/>
  <c r="N135" i="5"/>
  <c r="N131" i="5"/>
  <c r="N141" i="5"/>
  <c r="N128" i="5"/>
  <c r="N134" i="5"/>
  <c r="N139" i="5"/>
  <c r="N130" i="5"/>
  <c r="N143" i="5"/>
  <c r="N138" i="5"/>
  <c r="N126" i="5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D8" i="5"/>
  <c r="E8" i="5" s="1"/>
  <c r="E11" i="5"/>
  <c r="E10" i="5"/>
  <c r="E9" i="5"/>
  <c r="D5" i="5"/>
  <c r="E5" i="5" s="1"/>
  <c r="D6" i="5"/>
  <c r="E6" i="5" s="1"/>
  <c r="D7" i="5"/>
  <c r="E7" i="5" s="1"/>
  <c r="E4" i="5"/>
  <c r="E3" i="5"/>
  <c r="O126" i="5" l="1"/>
  <c r="P126" i="5" s="1"/>
  <c r="O128" i="5"/>
  <c r="P128" i="5" s="1"/>
  <c r="O144" i="5"/>
  <c r="O136" i="5"/>
  <c r="P136" i="5" s="1"/>
  <c r="O129" i="5"/>
  <c r="P129" i="5" s="1"/>
  <c r="O130" i="5"/>
  <c r="P130" i="5" s="1"/>
  <c r="O138" i="5"/>
  <c r="P138" i="5" s="1"/>
  <c r="O143" i="5"/>
  <c r="P143" i="5" s="1"/>
  <c r="O139" i="5"/>
  <c r="P139" i="5" s="1"/>
  <c r="O141" i="5"/>
  <c r="P141" i="5" s="1"/>
  <c r="O142" i="5"/>
  <c r="P142" i="5" s="1"/>
  <c r="P144" i="5"/>
  <c r="O133" i="5"/>
  <c r="P133" i="5" s="1"/>
  <c r="O127" i="5"/>
  <c r="P135" i="5"/>
  <c r="O134" i="5"/>
  <c r="P134" i="5" s="1"/>
  <c r="O132" i="5"/>
  <c r="P132" i="5" s="1"/>
  <c r="O131" i="5"/>
  <c r="P131" i="5" s="1"/>
  <c r="O140" i="5"/>
  <c r="P140" i="5" s="1"/>
  <c r="O137" i="5"/>
  <c r="P137" i="5" s="1"/>
  <c r="J122" i="5"/>
  <c r="J123" i="5" s="1"/>
  <c r="AB162" i="5" s="1"/>
  <c r="E12" i="5"/>
  <c r="E13" i="5" s="1"/>
  <c r="AB161" i="5" s="1"/>
  <c r="G60" i="4"/>
  <c r="E58" i="4" s="1"/>
  <c r="H46" i="4"/>
  <c r="I46" i="4"/>
  <c r="J46" i="4"/>
  <c r="G46" i="4"/>
  <c r="I14" i="4"/>
  <c r="G19" i="4"/>
  <c r="K19" i="4" s="1"/>
  <c r="G18" i="4"/>
  <c r="K18" i="4" l="1"/>
  <c r="F33" i="4"/>
  <c r="K14" i="4"/>
  <c r="I47" i="4"/>
  <c r="E44" i="4" s="1"/>
  <c r="P127" i="5"/>
  <c r="P145" i="5" s="1"/>
  <c r="P146" i="5" s="1"/>
  <c r="AB163" i="5" s="1"/>
  <c r="G20" i="4"/>
  <c r="L20" i="4" s="1"/>
  <c r="L25" i="4" s="1"/>
  <c r="C176" i="6" s="1"/>
  <c r="G5" i="4"/>
  <c r="K5" i="4" l="1"/>
  <c r="K25" i="4" s="1"/>
  <c r="C151" i="6" s="1"/>
  <c r="F32" i="4"/>
  <c r="G54" i="4"/>
  <c r="AB164" i="5"/>
  <c r="G39" i="4"/>
  <c r="E37" i="4" l="1"/>
  <c r="F29" i="4" s="1"/>
  <c r="AB166" i="5"/>
  <c r="AB165" i="5"/>
  <c r="G53" i="4" l="1"/>
  <c r="E51" i="4" s="1"/>
  <c r="AB167" i="5"/>
  <c r="AB168" i="5" s="1"/>
  <c r="AB172" i="5" s="1"/>
  <c r="AB170" i="5" l="1"/>
  <c r="AB171" i="5" s="1"/>
  <c r="AG178" i="5"/>
  <c r="AG179" i="5" s="1"/>
  <c r="AG185" i="5" s="1"/>
  <c r="AH178" i="5"/>
  <c r="AH179" i="5" s="1"/>
  <c r="AH185" i="5" s="1"/>
  <c r="AE178" i="5"/>
  <c r="AE179" i="5" s="1"/>
  <c r="AE185" i="5" s="1"/>
  <c r="AF178" i="5"/>
  <c r="AF179" i="5" s="1"/>
  <c r="AF185" i="5" s="1"/>
  <c r="AH186" i="5" l="1"/>
  <c r="AG186" i="5"/>
  <c r="AE186" i="5"/>
  <c r="AF186" i="5"/>
</calcChain>
</file>

<file path=xl/sharedStrings.xml><?xml version="1.0" encoding="utf-8"?>
<sst xmlns="http://schemas.openxmlformats.org/spreadsheetml/2006/main" count="904" uniqueCount="608">
  <si>
    <t>Название</t>
  </si>
  <si>
    <t>CAN PHY</t>
  </si>
  <si>
    <t>USB Current Protection</t>
  </si>
  <si>
    <t>LE910-EU V2 mPCIe</t>
  </si>
  <si>
    <t>3G/4G</t>
  </si>
  <si>
    <t xml:space="preserve">Max-8Q </t>
  </si>
  <si>
    <t>GPS/GLONASS</t>
  </si>
  <si>
    <t>Wi-Fi 802.11b/g/n  + Bluetooth</t>
  </si>
  <si>
    <t>Level Buffer 1.8 &lt;-&gt; 3.3</t>
  </si>
  <si>
    <t>CPU</t>
  </si>
  <si>
    <t>eMMC</t>
  </si>
  <si>
    <t>SDRAM DDR3L</t>
  </si>
  <si>
    <t>LCD</t>
  </si>
  <si>
    <t>PNM-5054L-2-R</t>
  </si>
  <si>
    <t>Microphone</t>
  </si>
  <si>
    <t>Stereo Speaker</t>
  </si>
  <si>
    <t>Описание</t>
  </si>
  <si>
    <t>5 В</t>
  </si>
  <si>
    <t>3,3 В</t>
  </si>
  <si>
    <t>1,8 В</t>
  </si>
  <si>
    <t>№</t>
  </si>
  <si>
    <t>1,1 В</t>
  </si>
  <si>
    <t>1,35 В</t>
  </si>
  <si>
    <t>Дата</t>
  </si>
  <si>
    <t>Учебная деятельность</t>
  </si>
  <si>
    <t>9,6 В</t>
  </si>
  <si>
    <t>DDR</t>
  </si>
  <si>
    <t>USB</t>
  </si>
  <si>
    <t>Разработка структурной схемы устройства</t>
  </si>
  <si>
    <t>Разработка структурной схемы устройства, начало расчёта мощности устройства</t>
  </si>
  <si>
    <t>Финализация структурной схемы устройства и расчёта мощности устройства</t>
  </si>
  <si>
    <t>Начало составления отчёта по практике, составление технического задания и описания функциональной блок-диаграммы</t>
  </si>
  <si>
    <t>Финализация описания структурной схемы устройства</t>
  </si>
  <si>
    <t>Начало описания выбора и обоснования элементной базы</t>
  </si>
  <si>
    <t>3D-Accelerometer + 3D-Gyro</t>
  </si>
  <si>
    <t>Финализация описания выбора и обоснования элементной базы, изучение теоретических вопросов</t>
  </si>
  <si>
    <t>Изучение теоретических вопросов</t>
  </si>
  <si>
    <t>Изучение теоретических вопросов, ознакомление с пакетом Mentor Graphics Xpedition</t>
  </si>
  <si>
    <t>Настройка пакета Mentor Graphics Xpedition, начало разработки схемы электрической принципиальной</t>
  </si>
  <si>
    <t>Разработка схемы электрической принципиальной</t>
  </si>
  <si>
    <t>Финализация разработки схемы электрической принципиальной</t>
  </si>
  <si>
    <t>Защита отчёта по производственной практике</t>
  </si>
  <si>
    <t>Получение дневника производственной практики и задания для выполнения</t>
  </si>
  <si>
    <t>-</t>
  </si>
  <si>
    <t>Прибытие на предприятие. Начало построения структурной схемы устройства</t>
  </si>
  <si>
    <t>LED x16</t>
  </si>
  <si>
    <t>Shift Register</t>
  </si>
  <si>
    <t>TXB0106IPWRQ1</t>
  </si>
  <si>
    <t>AM3358BZCZA100</t>
  </si>
  <si>
    <t>SN65HVD230QDRG4Q1</t>
  </si>
  <si>
    <t>450-0064R</t>
  </si>
  <si>
    <t>MTFC16GJVEC-4M IT TR</t>
  </si>
  <si>
    <t>AS4C128M8D3L-12BANTR</t>
  </si>
  <si>
    <t>LSM330DLCTR</t>
  </si>
  <si>
    <t>74HC595BQ-Q100,115</t>
  </si>
  <si>
    <t>TPS2052BDGNR</t>
  </si>
  <si>
    <t>TL3240F100G</t>
  </si>
  <si>
    <t>LM49352RLX/NOPB</t>
  </si>
  <si>
    <t>AS02508CO-2-R</t>
  </si>
  <si>
    <t>Напряжение перевода, В</t>
  </si>
  <si>
    <t>Коэффициент преобразования</t>
  </si>
  <si>
    <t>мА в пересчёте на 5 В</t>
  </si>
  <si>
    <t>мА в пересчёте на 12 В</t>
  </si>
  <si>
    <t>Коэффициент запаса</t>
  </si>
  <si>
    <t>Потребление PMIC, мА @ 5 В</t>
  </si>
  <si>
    <t>Потребление подсветки LCD, мА @ 12 В</t>
  </si>
  <si>
    <t>Потребление линии 3,3 В, мА @ 5 В</t>
  </si>
  <si>
    <t>Линия</t>
  </si>
  <si>
    <t>PMIC</t>
  </si>
  <si>
    <t>Потребление линии 5 В, мА @ 12 В</t>
  </si>
  <si>
    <t>NHD-7.0-800480EF-ATXL#</t>
  </si>
  <si>
    <t>Финализация разработки отчёта преддипломной практики</t>
  </si>
  <si>
    <t>Единица измерения</t>
  </si>
  <si>
    <t>Норма расхода на единицу продукции</t>
  </si>
  <si>
    <t>1. Краска SUM-90B</t>
  </si>
  <si>
    <t>кг</t>
  </si>
  <si>
    <t>Наименование материала</t>
  </si>
  <si>
    <t>2. Краска SUM-90W</t>
  </si>
  <si>
    <t>BYN/USD</t>
  </si>
  <si>
    <t>3. Маска паяльная Ardokit Dark Green</t>
  </si>
  <si>
    <t>4. Паста паяльная флюссодержащая Oatey 30013 No. 5 Flux</t>
  </si>
  <si>
    <t>5. Припой Austor 0.8mm Lead Free with Rosin Core, Sn 99% Ag 0.3% Cu 0.7%</t>
  </si>
  <si>
    <t>6. Клей Permabond C820</t>
  </si>
  <si>
    <t>7. Препрег Typ. 1080</t>
  </si>
  <si>
    <t xml:space="preserve">8. Стеклотекстолит FR4  0,127 мм </t>
  </si>
  <si>
    <t>9. Пластик двухкомпонентный Smooth-On Smooth-Cast 300 White</t>
  </si>
  <si>
    <t>Итого</t>
  </si>
  <si>
    <t>Всего с учётом транспортных расходов (20%)</t>
  </si>
  <si>
    <t>Наименование покупных комплектующих изделий или полуфабрикатов</t>
  </si>
  <si>
    <t>Количество на изделие, шт.</t>
  </si>
  <si>
    <t>Громкоговоритель AS02508CO-2-R</t>
  </si>
  <si>
    <t>Диоды RCLAMP3304NATCT</t>
  </si>
  <si>
    <t>Диоды LL4448-GS18</t>
  </si>
  <si>
    <t>Диоды TZM5253C-GS08</t>
  </si>
  <si>
    <t>Диоды ESD5Z7.0T1G</t>
  </si>
  <si>
    <t>Диод ESD5Z7.0T1G</t>
  </si>
  <si>
    <t>Конденсаторы GRM155R71A104JA01D 0402 100 нФ ±5%</t>
  </si>
  <si>
    <t>Микрофон PNM-5054L-2-R</t>
  </si>
  <si>
    <t>Резисторы CRCW0603120RFHEAP 0603 120 Ом ±1%</t>
  </si>
  <si>
    <t>Резисторы CRCW04024K70FHEDP 0402 4.7 кОм ±1%</t>
  </si>
  <si>
    <t>Соединители 1-1761682-3</t>
  </si>
  <si>
    <t>Соединитель 54104-4031</t>
  </si>
  <si>
    <t>Соединитель 0472570001</t>
  </si>
  <si>
    <t>Соединитель UJ2-AV-W4-TH</t>
  </si>
  <si>
    <t>Кабели CAB.719</t>
  </si>
  <si>
    <t xml:space="preserve">Антенны GSA.8827.A.101111 </t>
  </si>
  <si>
    <t>Антенна AA.162.301111</t>
  </si>
  <si>
    <t>Антенна W3525B100</t>
  </si>
  <si>
    <t>Кабели H3DDS-4018G</t>
  </si>
  <si>
    <t>Дисплей NHD-7.0-800480EF-ATXL#</t>
  </si>
  <si>
    <t>Катушка индуктивности SRN6045TA-121M 120 мкГн ±20%</t>
  </si>
  <si>
    <t>Катушка индуктивности SRN6045TA-3R3Y 3.3 мкГн ±30%</t>
  </si>
  <si>
    <t>Катушка индуктивности SRN6045TA-4R7M 4.7 мкГн ±20%</t>
  </si>
  <si>
    <t>Катушки индуктивности MLK1005S2N7STD25 0402 2.7 нГн ±0.3нГн</t>
  </si>
  <si>
    <t>Конденсаторы GRM033R61A225KE47D 0201 2.2 мкФ ±10%</t>
  </si>
  <si>
    <t>Конденсаторы EXV475M050S9DAA 4.7 мкФ 50 В ±20%</t>
  </si>
  <si>
    <t>Конденсаторы EXV105M050S9BAA 1 мкФ 50В ±20%</t>
  </si>
  <si>
    <t>Конденсаторы 04025C330JAT2A 0402 33 пФ ±5%</t>
  </si>
  <si>
    <t>Конденсаторы CGA1A2C0G1E180J030BA 0201 19 пФ ±5%</t>
  </si>
  <si>
    <t>Конденсатор 04026D226MAT2A 0402 22 мкФ ±20%</t>
  </si>
  <si>
    <t>Конденсаторы GRT155R60J225KE01D 0402 2.2 мкФ ±10%</t>
  </si>
  <si>
    <t>Конденсаторы GRM188R60J476ME15D 0603 47 мкФ ±20%</t>
  </si>
  <si>
    <t>Конденсатор CL05B471KB5VPNC 0402 470 пФ ±10%</t>
  </si>
  <si>
    <t>Конденсаторы GRM155R71C393KA01J 0402 3.9 нФ ±10%</t>
  </si>
  <si>
    <t>Оптовая цена за единицу, USD</t>
  </si>
  <si>
    <t>Конденсатор CL05C390JB51PNC 0402 39 пФ ±5%</t>
  </si>
  <si>
    <t>Конденсаторы GCM155R71H103JA55D 0402 10 нФ ±5%</t>
  </si>
  <si>
    <t>Конденсатор CL05B223KO5VPNC 0402 22 нФ ±10%</t>
  </si>
  <si>
    <t>Конденсаторы ZRB15XR61A475KE01D 0402 4.7 мкФ ±10%</t>
  </si>
  <si>
    <t>Конденсаторы AMK105CBJ106MVHF 0402 10 мкФ ±20%</t>
  </si>
  <si>
    <t>Конденсаторы CL05B104KO5VPNC 0402 100 нФ ±10%</t>
  </si>
  <si>
    <t>Конденсаторы GRM155R70J105KA12J 0402 1 мкФ ±10%</t>
  </si>
  <si>
    <t>Конденсаторы AMK063ABJ105KP-F1 0201 мкФ ±10%</t>
  </si>
  <si>
    <t>Конденсатор CL10B104KO8NNNL 0603 100 нФ ±10%</t>
  </si>
  <si>
    <t>Конденсаторы CL10B106MQ8NRNC 0603 10 мкФ ±20%</t>
  </si>
  <si>
    <t>Конденсаторы GRT033C81A104KE01D 0201 100 нФ ±10%</t>
  </si>
  <si>
    <t>Конденсаторы GRM035R60G475ME15D 0201 10 мкФ ±20%</t>
  </si>
  <si>
    <t>Микросхема TLV803SDBZR</t>
  </si>
  <si>
    <t>Микросхемы SN65HVD230QDRG4Q1</t>
  </si>
  <si>
    <t>Микросхема TPS2052BDGNR</t>
  </si>
  <si>
    <t>Микросхема AM3358BZCZA100</t>
  </si>
  <si>
    <t>Микросхемы AS4C128M8D3L-12BANTR</t>
  </si>
  <si>
    <t>Микросхема MTFC16GJVEC-4M IT TR</t>
  </si>
  <si>
    <t>Микросхема Max-8Q</t>
  </si>
  <si>
    <t>Микросхема LSM330DLCTR</t>
  </si>
  <si>
    <t>Микросхемы TXB0106IPWRQ1</t>
  </si>
  <si>
    <t>Микросхемы 74HC595BQ-Q100,115</t>
  </si>
  <si>
    <t>Микросхема LM49352RLX/NOPB</t>
  </si>
  <si>
    <t>Микросхема 450-0064R</t>
  </si>
  <si>
    <t>Преобразователь напряжения LM5017MR/NOPB</t>
  </si>
  <si>
    <t>Преобразователь напряжения TPS54821RHLT</t>
  </si>
  <si>
    <t>Преобразователь напряжения TPS51200DRCR</t>
  </si>
  <si>
    <t>Преобразователь напряжения TPS65217DRSLR</t>
  </si>
  <si>
    <t>Преобразователь напряжения MP1495DJ-LF-Z</t>
  </si>
  <si>
    <t>Резисторы AC0201FR-0733RL 0201 33 Ом ±1%</t>
  </si>
  <si>
    <t>Резисторы AC0402FR-07120RL 0402 120 Ом ±1%</t>
  </si>
  <si>
    <t>Резисторы AC0402FR-07100RL 0402 100 Ом ±1%</t>
  </si>
  <si>
    <t>Резистор AC0201FR-071ML 0201 1 МОм ±1%</t>
  </si>
  <si>
    <t>Резистор AC0201FR-0722RL 0201 22 Ом ±1%</t>
  </si>
  <si>
    <t>Резистор AC0201FR-07120RL 0201 120 Ом ±1%</t>
  </si>
  <si>
    <t>Резисторы AC0201FR-0760R4L 0201 60.4 Ом ±1%</t>
  </si>
  <si>
    <t>Резистор AC0201FR-071K5L 0201 1.5 кОм ±1%</t>
  </si>
  <si>
    <t>Резисторы AC0201FR-07240RL 0201 240 Ом ±1%</t>
  </si>
  <si>
    <t>Резистор AC0402FR-0713KL 0402 13 кОм ±1%</t>
  </si>
  <si>
    <t>Резистор AC0402FR-0740K2L 0402 40.2 кОм ±1%</t>
  </si>
  <si>
    <t>Резистор AC0402FR-0733KL 0402 33 кОм ±1%</t>
  </si>
  <si>
    <t>Резистор AC0402FR-0790K9L 0402 90.9 кОм ±1%</t>
  </si>
  <si>
    <t>Резистор AC0402FR-071KL 0402 1 кОм ±1%</t>
  </si>
  <si>
    <t>Резистор AC0402FR-071K37L 0402 1.37 кОм ±1%</t>
  </si>
  <si>
    <t>Резистор AC0402FR-071R3L 0402 1.3 Ом ±1%</t>
  </si>
  <si>
    <t>Резистор AC0402FR-071K5L 0402 1.5 кОм ±1%</t>
  </si>
  <si>
    <t>Резистор AC0402FR-0715KL 0402 15 кОм ±1%</t>
  </si>
  <si>
    <t>Резисторы AC0201FR-0710KL 0201 10 кОм ±1%</t>
  </si>
  <si>
    <t>Резистор AC0402FR-0751KL 0402 51 кОм ±1%</t>
  </si>
  <si>
    <t>Резисторы AC0402FR-0710KL 0402 10 кОм ±1%</t>
  </si>
  <si>
    <t>Резистор AC0402FR-07178KL 0402 178 кОм ±1%</t>
  </si>
  <si>
    <t>Резистор AC0402FR-074K64L 0402 4.64 кОм ±1%</t>
  </si>
  <si>
    <t>Резисторы AC0402FR-07100KL 0402 100 кОм ±1%</t>
  </si>
  <si>
    <t>Резистор AC0402FR-0747KL 0402 47 кОм ±1%</t>
  </si>
  <si>
    <t>Резисторы AC0402FR-074K7L 0402 4.7 кОм ±1%</t>
  </si>
  <si>
    <t>Резонатор кварцевый ABM11-24.000MHZ-D2X-T3 24 МГц</t>
  </si>
  <si>
    <t>Резонатор кварцевый ABS07AIG-32.768KHZ-1-T 32.768 кГц</t>
  </si>
  <si>
    <t>Соединитель 0480994000</t>
  </si>
  <si>
    <t>Соединитель 61300411121</t>
  </si>
  <si>
    <t>Соединитель 1-1734162-5</t>
  </si>
  <si>
    <t>Соединитель 0050361778</t>
  </si>
  <si>
    <t>Соединители 0039303041</t>
  </si>
  <si>
    <t>Соединитель 0785260001</t>
  </si>
  <si>
    <t>Соединитель 0679101002</t>
  </si>
  <si>
    <t>Соединитель RCJ-042</t>
  </si>
  <si>
    <t>Соединитель RCJ-043</t>
  </si>
  <si>
    <t>Соединитель 5-1814400-1</t>
  </si>
  <si>
    <t>Фильтры ферритовые MAF1005GAD352AT000 0402 500 Ом</t>
  </si>
  <si>
    <t>Всего</t>
  </si>
  <si>
    <t>Кнопки TL3240F100G</t>
  </si>
  <si>
    <t>Норма времени по операции, нормо-час</t>
  </si>
  <si>
    <t>Разряд работы</t>
  </si>
  <si>
    <t>Разряд</t>
  </si>
  <si>
    <t>Тар.кф.</t>
  </si>
  <si>
    <t>С учётом премий (40%)</t>
  </si>
  <si>
    <t>1. Подготовительная операция</t>
  </si>
  <si>
    <t>Среднемесячная расчетная норма, ч</t>
  </si>
  <si>
    <t>2. Очистка верхней стороны платы</t>
  </si>
  <si>
    <t>3. Очистка нижней стороны платы</t>
  </si>
  <si>
    <t>Вид работ</t>
  </si>
  <si>
    <t>Разряд работ</t>
  </si>
  <si>
    <t>4. Нанесение паяльной пасты снизу</t>
  </si>
  <si>
    <t>Среднемесячное количество рабочих дней</t>
  </si>
  <si>
    <t>Рабочих дней в году</t>
  </si>
  <si>
    <t>Трудоёмкость работ, %</t>
  </si>
  <si>
    <t>Трудоёмкость работ, часов/день</t>
  </si>
  <si>
    <t>Трудоёмкость работ при сборке единицы, часов/день</t>
  </si>
  <si>
    <t>Рабочих часов в году</t>
  </si>
  <si>
    <t>План выпуска, изделий/год</t>
  </si>
  <si>
    <t>План выпуска, изделий/день</t>
  </si>
  <si>
    <t>Количество дней в неделю</t>
  </si>
  <si>
    <t>Рабочих часов в неделю</t>
  </si>
  <si>
    <t>Ставка рефинансирования, %</t>
  </si>
  <si>
    <t>Налог на прибыль, %</t>
  </si>
  <si>
    <t>Норма дисконта, %</t>
  </si>
  <si>
    <t>Наименование показателей</t>
  </si>
  <si>
    <t>По годам производства</t>
  </si>
  <si>
    <t>Затраты</t>
  </si>
  <si>
    <t>Коэффициент дисконтирования (αt)</t>
  </si>
  <si>
    <t>–</t>
  </si>
  <si>
    <t>Норматив дополнительной заработной платы, %</t>
  </si>
  <si>
    <t>Страховые взносы на обязательное страхование, %</t>
  </si>
  <si>
    <t>Норматив общепроизводственных расходов, %</t>
  </si>
  <si>
    <t>Налог на добавленную стоимость, %</t>
  </si>
  <si>
    <t>Уровень рентабельности, %</t>
  </si>
  <si>
    <t>Параметр</t>
  </si>
  <si>
    <t>Величина</t>
  </si>
  <si>
    <t xml:space="preserve">1. Заготовительные </t>
  </si>
  <si>
    <t xml:space="preserve">2. Прессовные </t>
  </si>
  <si>
    <t>3. Механообрабатывающие</t>
  </si>
  <si>
    <t>4. Покрытия (гальванические и прочие)</t>
  </si>
  <si>
    <t xml:space="preserve">5. Слесарно-сборочные
</t>
  </si>
  <si>
    <t>6. Сборочно-монтажные</t>
  </si>
  <si>
    <t>7. Настроечные (регулировочные)</t>
  </si>
  <si>
    <t>Операция</t>
  </si>
  <si>
    <t>План выпуска, изделий/месяц</t>
  </si>
  <si>
    <t>5. Нанесение паяльной пасты сверху</t>
  </si>
  <si>
    <t>6. Установка навесных элементов сверху</t>
  </si>
  <si>
    <t>7. Установка навесных элементов снизу</t>
  </si>
  <si>
    <t>8. Пайка</t>
  </si>
  <si>
    <t>9. Установка штыревых элементов</t>
  </si>
  <si>
    <t>10. Пайка в конвекционной печи</t>
  </si>
  <si>
    <t>11. Визуальный контроль</t>
  </si>
  <si>
    <t>12. Электрический контроль</t>
  </si>
  <si>
    <t>13. Маркировка платы</t>
  </si>
  <si>
    <t>14. Изготовление корпуса базового блока</t>
  </si>
  <si>
    <t>15. Изготовление корпуса панели управления</t>
  </si>
  <si>
    <t>16. Сборка устройства</t>
  </si>
  <si>
    <t>17. Общий контроль</t>
  </si>
  <si>
    <t>18. Маркировка корпуса</t>
  </si>
  <si>
    <t>19. Упаковка</t>
  </si>
  <si>
    <t>Выпуск изделий, шт.</t>
  </si>
  <si>
    <t>Чистая прибыль, BYN</t>
  </si>
  <si>
    <t>Оптовая цена за единицу, BYN</t>
  </si>
  <si>
    <t>Сумма, BYN</t>
  </si>
  <si>
    <t>Часовая тарифная ставка, BYN/ч</t>
  </si>
  <si>
    <t>Расценка (прямая зарплата), BYN</t>
  </si>
  <si>
    <t>Ставка 1-го разряда, BYN</t>
  </si>
  <si>
    <t xml:space="preserve">Затраты на сырьё и материалы, BYN </t>
  </si>
  <si>
    <t>Затраты на покупные изделия, BYN</t>
  </si>
  <si>
    <t>Основная заработная плата, BYN</t>
  </si>
  <si>
    <t>Дополнительная заработная плата, BYN</t>
  </si>
  <si>
    <t>Отчисления на социальные нужды, BYN</t>
  </si>
  <si>
    <t>Общепроизводственные расходы, BYN</t>
  </si>
  <si>
    <t>Себестоимость единицы продукции, BYN</t>
  </si>
  <si>
    <t>Плановая прибыль, BYN</t>
  </si>
  <si>
    <t>Налог на добавленную стоимость, BYN</t>
  </si>
  <si>
    <t>Отпускная цена единицы продукции, BYN</t>
  </si>
  <si>
    <t>Чистая прибыль (как результат в году t), BYN</t>
  </si>
  <si>
    <t>Затраты на производство нового изделия, BYN</t>
  </si>
  <si>
    <t xml:space="preserve">То же с учётом фактора времени, BYN </t>
  </si>
  <si>
    <t>Затраты на разработку нового изделия, BYN</t>
  </si>
  <si>
    <t>Капитальные вложения, BYN</t>
  </si>
  <si>
    <t>Всего затрат, BYN</t>
  </si>
  <si>
    <t>Всего затрат, с учётом αt, BYN</t>
  </si>
  <si>
    <t>ЧДД, BYN</t>
  </si>
  <si>
    <t>ЧДД с нарастающим итогом, BYN</t>
  </si>
  <si>
    <t>1) Компоновочный расчёт устройства</t>
  </si>
  <si>
    <t>2) Расчёт конструктивно-технологических параметров печатной платы. Выбор и обоснование метода изготовления печатной платы</t>
  </si>
  <si>
    <t>3) Оценка теплового режима и выбор способа охлаждения</t>
  </si>
  <si>
    <t>4) Расчёт механической прочности и системы виброударной защиты</t>
  </si>
  <si>
    <t>5) Расчёт надёжности</t>
  </si>
  <si>
    <t>6) Обеспечение требований эргономики и инженерной психологии</t>
  </si>
  <si>
    <t>7) Расчёт номиналов и мощности резисторов</t>
  </si>
  <si>
    <t>Количество, шт</t>
  </si>
  <si>
    <t>Площадь элементов, мм2</t>
  </si>
  <si>
    <t>Объём элементов, мм2</t>
  </si>
  <si>
    <t>Общая площадь элементов, мм2</t>
  </si>
  <si>
    <t>Общий объём элементов, мм2</t>
  </si>
  <si>
    <t>Длина печатной платы, мм</t>
  </si>
  <si>
    <t>Ширина печатной платы, мм</t>
  </si>
  <si>
    <t>Минимально возможный объём корпуса, мм3</t>
  </si>
  <si>
    <t>Высота самого высокого элемента, мм</t>
  </si>
  <si>
    <t>Коэффициент заполнения по площади</t>
  </si>
  <si>
    <t>Площадь печатной платы с учётом коэффициентом заполнения по площади, мм2</t>
  </si>
  <si>
    <t>Коэффициент заполнения по объёму</t>
  </si>
  <si>
    <t>Значение</t>
  </si>
  <si>
    <t>Номинальное значение диаметра монтажного отверстия, мм</t>
  </si>
  <si>
    <t>Максимальный диаметр контактной площадки, мм</t>
  </si>
  <si>
    <t>Минимальный диаметр контактной площадки, мм</t>
  </si>
  <si>
    <t>Минимальный диаметр металлизированного монтажного отверстия, мм</t>
  </si>
  <si>
    <t>Минимальное расстояние между двумя контактными площадками, мм</t>
  </si>
  <si>
    <t>Минимальное расстояние между проводником и контактной площадкой, мм</t>
  </si>
  <si>
    <t>Минимальная ширина проводника</t>
  </si>
  <si>
    <t>Допустимый ток в проводниках цепей питания, А</t>
  </si>
  <si>
    <t>Допустимый ток в сигнальноых проводниках, А</t>
  </si>
  <si>
    <t>Нижнее предельное отклонение номинального значения диаметра отверстия, мм</t>
  </si>
  <si>
    <t>Максимальное значение ширины вывода, мм</t>
  </si>
  <si>
    <t>Разность между минимальным значением диаметра отверстия и максимальным значением диаметра вывода элемента, мм</t>
  </si>
  <si>
    <t>d</t>
  </si>
  <si>
    <t>r</t>
  </si>
  <si>
    <t>Верхнее предельное отклонение диаметра отверстия, мм</t>
  </si>
  <si>
    <t>Δdв.о</t>
  </si>
  <si>
    <t>Гарантийный поясок, мм</t>
  </si>
  <si>
    <t>Верхнее предельное отклонение диаметра контактной площадки, мм</t>
  </si>
  <si>
    <t>Нижнее предельное отклонение диаметра контактной площадки, мм</t>
  </si>
  <si>
    <t>b</t>
  </si>
  <si>
    <t>Δdв.о.кп</t>
  </si>
  <si>
    <t>Δdн.о.кп</t>
  </si>
  <si>
    <t>Значение подтравливаемого диэлектрика, мм</t>
  </si>
  <si>
    <t>Позиционный допуск расположения осей отверстий, мм</t>
  </si>
  <si>
    <t>Td</t>
  </si>
  <si>
    <t>TD</t>
  </si>
  <si>
    <t>Позиционный допуск расположения центров контактных площадок, мм</t>
  </si>
  <si>
    <t>D</t>
  </si>
  <si>
    <t>Dmax</t>
  </si>
  <si>
    <t>Smin</t>
  </si>
  <si>
    <t>Допуск на расстояние проводников, мм</t>
  </si>
  <si>
    <t>δl</t>
  </si>
  <si>
    <t>S1min</t>
  </si>
  <si>
    <t>δр</t>
  </si>
  <si>
    <t>Допуск на расположение контактной площадки, мм</t>
  </si>
  <si>
    <t>S2min</t>
  </si>
  <si>
    <t>bmin</t>
  </si>
  <si>
    <t>Минимальное расстояние между двумя проводниками, мм</t>
  </si>
  <si>
    <t>b1min</t>
  </si>
  <si>
    <t xml:space="preserve">Минимальная эффективная ширина проводника, мм </t>
  </si>
  <si>
    <t xml:space="preserve">hф </t>
  </si>
  <si>
    <t>Толщина фольги, мм</t>
  </si>
  <si>
    <t>Допустимая плотность тока, А/мм2</t>
  </si>
  <si>
    <t>gдоп</t>
  </si>
  <si>
    <t xml:space="preserve">Imax </t>
  </si>
  <si>
    <t xml:space="preserve">Минимальная эффективная ширина проводников цепей питания, мм </t>
  </si>
  <si>
    <t>Минимальная ширина проводников цепей питания</t>
  </si>
  <si>
    <t>Частота собственных колебаний платы, Гц</t>
  </si>
  <si>
    <t>Условие проверки усталостной долговечности, Гц</t>
  </si>
  <si>
    <t>Результат проверки правила октавы</t>
  </si>
  <si>
    <t>Модуль упругости, Н/м2</t>
  </si>
  <si>
    <t>Коэффициент Пуассона</t>
  </si>
  <si>
    <t>Толщина материала, мм</t>
  </si>
  <si>
    <t>Масса платы с элементами, кг</t>
  </si>
  <si>
    <t>Число точек крепления</t>
  </si>
  <si>
    <t>Диапазон частот вибрации, максимальная частота, Гц</t>
  </si>
  <si>
    <t>Максимальные перегрузки, действующие на плату, g</t>
  </si>
  <si>
    <t>Коэффициент заполнения объёма</t>
  </si>
  <si>
    <t>Мощность, рассеиваемая блоком, Вт</t>
  </si>
  <si>
    <t>Мощность, рассеиваемая элементом, Вт</t>
  </si>
  <si>
    <t>Ширина блока, м</t>
  </si>
  <si>
    <t>Высота блока, м</t>
  </si>
  <si>
    <t>Давление среды вне корпуса блока, Па</t>
  </si>
  <si>
    <t>Давление среды внутри блока, Па</t>
  </si>
  <si>
    <t>Средняя наработка на отказ, 1/ч</t>
  </si>
  <si>
    <t>Вероятность безотказной работы</t>
  </si>
  <si>
    <t>Среднее время восстановления, ч</t>
  </si>
  <si>
    <t>Коэффициент готовности</t>
  </si>
  <si>
    <t>Tо</t>
  </si>
  <si>
    <t>P(t)</t>
  </si>
  <si>
    <t>Tв</t>
  </si>
  <si>
    <t>Кг</t>
  </si>
  <si>
    <t>Кр</t>
  </si>
  <si>
    <t>Коэффициент ремонтопригодности</t>
  </si>
  <si>
    <t>Вероятность нормального функционировани</t>
  </si>
  <si>
    <t>P(rt)</t>
  </si>
  <si>
    <t>Интенсивность отказов в лабораторных условиях работы и при коэффициенте нагрузки 1</t>
  </si>
  <si>
    <t xml:space="preserve">λ io </t>
  </si>
  <si>
    <t xml:space="preserve">Сумма поправочных коэффициентов эксплуатации </t>
  </si>
  <si>
    <t>kэ</t>
  </si>
  <si>
    <t>Заданное время безотказной работы, ч</t>
  </si>
  <si>
    <t>t</t>
  </si>
  <si>
    <t>Сумма случайных времён отыскания и устранения одного отказа, ч</t>
  </si>
  <si>
    <t>τ</t>
  </si>
  <si>
    <t>Число различных времён отыскания и устанения одного отказа</t>
  </si>
  <si>
    <t>n</t>
  </si>
  <si>
    <t>Таблица  – Результаты расчётов для материнской платы</t>
  </si>
  <si>
    <t>Таблица  – Результаты расчёта конструктивно-технологических параметров печатной платы</t>
  </si>
  <si>
    <t>Таблица  – Вспомогательные параметры для расчёта конструктивно-технологических параметров печатной платы</t>
  </si>
  <si>
    <t>Таблица  – Сводка токов и мощностей, потребляемых элементной базой</t>
  </si>
  <si>
    <t>Длина блока, м</t>
  </si>
  <si>
    <t xml:space="preserve">Таблица  – Входные данные для расчёта теплового режима материнской платы </t>
  </si>
  <si>
    <t>Таблица  – Результаты расчёта теплового режима материнской платы</t>
  </si>
  <si>
    <t>Таблица  – Результаты расчёта вибрационного режима материнской платы</t>
  </si>
  <si>
    <t>Таблица  – Вспомогательные данные для расчёта вибрационного режима материнской платы</t>
  </si>
  <si>
    <t>Таблица  – Результаты расчёта вибрационного режима панели управления</t>
  </si>
  <si>
    <t>Таблица  – Вспомогательные данные для расчёта вибрационного режима панели управления</t>
  </si>
  <si>
    <t>Таблица  – Результаты расчёта надёжности материнской платы</t>
  </si>
  <si>
    <t>Таблица  – Вспомогательные данные для расчёта надёжности материнской платы</t>
  </si>
  <si>
    <t>Таблица  – Результаты расчёта надёжности панели управления</t>
  </si>
  <si>
    <t>Таблица  – Вспомогательные данные для расчёта надёжности панели управления</t>
  </si>
  <si>
    <t>Таблица  – Результаты расчёта эргономических параметров панели управления</t>
  </si>
  <si>
    <t>Таблица  – Вспомогательные данные для расчёта эргономических параметров панели управления</t>
  </si>
  <si>
    <t>Максимальная длина панели управления, м</t>
  </si>
  <si>
    <t>Максимальная высота панели управления, м</t>
  </si>
  <si>
    <t>Максимальная площадь панели управления, м2</t>
  </si>
  <si>
    <t>Площадь оперативного поля зрения, м2</t>
  </si>
  <si>
    <t>Минимальная площадь лицевой панели, м2</t>
  </si>
  <si>
    <t>Суммарная установочная площадь всех компонентов, м2</t>
  </si>
  <si>
    <t>Площадь панели управления с учётом суммарной площади и коэффициента её заполнения, м2</t>
  </si>
  <si>
    <t>Минимально допустимая высота знака, мм</t>
  </si>
  <si>
    <t>Минимально допустимая ширина знака, мм</t>
  </si>
  <si>
    <t>Расстояние между знаками по горизонтали, мм</t>
  </si>
  <si>
    <t>Расстояние между знаками по вертикали, мм</t>
  </si>
  <si>
    <t>Lmax</t>
  </si>
  <si>
    <t>Hmax</t>
  </si>
  <si>
    <t>Smax</t>
  </si>
  <si>
    <t>Sпз</t>
  </si>
  <si>
    <t>Hзн.min</t>
  </si>
  <si>
    <t>Wзн.min</t>
  </si>
  <si>
    <t>Расстояние до панели управления, м</t>
  </si>
  <si>
    <t>Горизонтальный угол периферического зрения, º</t>
  </si>
  <si>
    <t>Температура окружающей среды, ºC</t>
  </si>
  <si>
    <t>Максимально допустимая температура элемента, ºC</t>
  </si>
  <si>
    <t>Предельно допустимый перегрев воздуха в аппаратуре, ºC</t>
  </si>
  <si>
    <t>Допустимый нагрев нагретой зоны, ºC</t>
  </si>
  <si>
    <t>Максимально допустимая температура корпуса, ºC</t>
  </si>
  <si>
    <t>Температура корпуса блока, ºC</t>
  </si>
  <si>
    <t>Температура воздуха в блоке, ºC</t>
  </si>
  <si>
    <t>Температура нагретой зоны, ºC</t>
  </si>
  <si>
    <t>Температура окружающей элемент среды, ºC</t>
  </si>
  <si>
    <t>Температура поверхности элемента, ºC</t>
  </si>
  <si>
    <t>Вертикальный угол периферического зрения, º</t>
  </si>
  <si>
    <t>Угол оперативного поля зрения, º</t>
  </si>
  <si>
    <t>Количество устанавливаемых на панели управления компонентов</t>
  </si>
  <si>
    <t>Коэффициент заполнения панели управления</t>
  </si>
  <si>
    <t>L</t>
  </si>
  <si>
    <t>Aгор</t>
  </si>
  <si>
    <t>Aвер</t>
  </si>
  <si>
    <t>Aопер</t>
  </si>
  <si>
    <t>N</t>
  </si>
  <si>
    <t>Sс.к</t>
  </si>
  <si>
    <t>Sпу.мин</t>
  </si>
  <si>
    <t>Sпу.к</t>
  </si>
  <si>
    <t>Kпу</t>
  </si>
  <si>
    <t>Aзн</t>
  </si>
  <si>
    <t>Минимальный угловой размер знака, '</t>
  </si>
  <si>
    <t>Минимальное расстояние от краев элемента индикации до ближайшего отображаемого на нем знака по высоте, мм</t>
  </si>
  <si>
    <t>Минимальное расстояние от краев элемента индикации до ближайшего отображаемого на нем знака по ширине, мм</t>
  </si>
  <si>
    <t>Dкр.в</t>
  </si>
  <si>
    <t>Dзн.в</t>
  </si>
  <si>
    <t>Dзн.г</t>
  </si>
  <si>
    <t>Dкр.г</t>
  </si>
  <si>
    <t>Длина платы, м</t>
  </si>
  <si>
    <t>Ширина платы, м</t>
  </si>
  <si>
    <t>Таблица  – Результаты расчёта номиналов и мощности резисторов для светодиодов</t>
  </si>
  <si>
    <t>Типоразмер, имперский</t>
  </si>
  <si>
    <t>Номинал, Ом</t>
  </si>
  <si>
    <t>0603</t>
  </si>
  <si>
    <t>Таблица  – Вспомогательные данные для расчёта номиналов и мощности резисторов для светодиодов</t>
  </si>
  <si>
    <t>Напряжение питания источника, В</t>
  </si>
  <si>
    <t>Прямое напряжение светодиода, В</t>
  </si>
  <si>
    <t>Прямой ток светодиода, мА</t>
  </si>
  <si>
    <t>Vs</t>
  </si>
  <si>
    <t>Vl</t>
  </si>
  <si>
    <t>I</t>
  </si>
  <si>
    <t>Минимальная мощность, Вт</t>
  </si>
  <si>
    <t>d0</t>
  </si>
  <si>
    <t>dэ</t>
  </si>
  <si>
    <t>Δdн.о</t>
  </si>
  <si>
    <t>Δdт.р</t>
  </si>
  <si>
    <t>Тип электрорадиоэлемента</t>
  </si>
  <si>
    <t>Таблица  – Установочные габариты электрорадиоэлементов материнской платы</t>
  </si>
  <si>
    <t>Таблица  – Установочные габариты электрорадиоэлементов панели управления</t>
  </si>
  <si>
    <t>Диоды</t>
  </si>
  <si>
    <t>Диод</t>
  </si>
  <si>
    <t>Кнопки комбинированные</t>
  </si>
  <si>
    <t>Конденсаторы</t>
  </si>
  <si>
    <t>Микрофон</t>
  </si>
  <si>
    <t>Резиторы</t>
  </si>
  <si>
    <t>Соединители</t>
  </si>
  <si>
    <t>Соединитель</t>
  </si>
  <si>
    <t>SODFL160X70-2L</t>
  </si>
  <si>
    <t>CONN FFC TOP 40POS 0.50MM R/A</t>
  </si>
  <si>
    <t>CONN HEADER 40POS R/A .100 GOLD</t>
  </si>
  <si>
    <t>MIC COND ANALOG NOISE CAN -54dB</t>
  </si>
  <si>
    <t>RESC1608X06L</t>
  </si>
  <si>
    <t>SON50P260X65_HS-11L</t>
  </si>
  <si>
    <t>USB JACK 2.0, STANDARD A TYPE, 4</t>
  </si>
  <si>
    <t>SWITCH TACTILE SPST-NO 0.05A 12V</t>
  </si>
  <si>
    <t>CAPC1005X06L</t>
  </si>
  <si>
    <t>RESC1105X04L</t>
  </si>
  <si>
    <t>CONN JACK STEREO 3.5MM PCB</t>
  </si>
  <si>
    <t>TVS Diode</t>
  </si>
  <si>
    <t>TVD Diode Array</t>
  </si>
  <si>
    <t>Zener Diode</t>
  </si>
  <si>
    <t>Катушки индуктивности</t>
  </si>
  <si>
    <t>Inductor 1</t>
  </si>
  <si>
    <t>Inductor 2</t>
  </si>
  <si>
    <t>Cap Al 1u</t>
  </si>
  <si>
    <t>Cap Al 4.7u</t>
  </si>
  <si>
    <t>Cap_0201</t>
  </si>
  <si>
    <t>Cap_0402</t>
  </si>
  <si>
    <t>Cap_0603</t>
  </si>
  <si>
    <t>Микросхемы</t>
  </si>
  <si>
    <t>Микросхема</t>
  </si>
  <si>
    <t>Supervisor</t>
  </si>
  <si>
    <t>CPU ARM® Cortex®-A8</t>
  </si>
  <si>
    <t>Audio Codec</t>
  </si>
  <si>
    <t>Wi-Fi 802.11b/g/n + Bluetooth</t>
  </si>
  <si>
    <t>SDRAM DDR3L 1GB</t>
  </si>
  <si>
    <t>eMMC 16GB</t>
  </si>
  <si>
    <t>Преобразователь напряжения</t>
  </si>
  <si>
    <t>DC/DC 12 -&gt; 9.6</t>
  </si>
  <si>
    <t>DC/DC 12 -&gt; 5</t>
  </si>
  <si>
    <t>DC/DC 3.3 -&gt; 1.35 DDR3L</t>
  </si>
  <si>
    <t>PMIC for CPU &amp; DDR3L</t>
  </si>
  <si>
    <t>DC/DC 5 -&gt; 3.3</t>
  </si>
  <si>
    <t>Резисторы</t>
  </si>
  <si>
    <t>Res_0201</t>
  </si>
  <si>
    <t>Res_0402</t>
  </si>
  <si>
    <t>Резонатор кварцевый</t>
  </si>
  <si>
    <t>Crystal 24MHz</t>
  </si>
  <si>
    <t>Crystal 32.768kHz</t>
  </si>
  <si>
    <t>Фильтры ферритовые</t>
  </si>
  <si>
    <t>Connector UART Debug</t>
  </si>
  <si>
    <t>Connector JTAG Debug</t>
  </si>
  <si>
    <t>Connector Socket 4 UI</t>
  </si>
  <si>
    <t>Connector DC Power 12V</t>
  </si>
  <si>
    <t>Connector CAN</t>
  </si>
  <si>
    <t>Connector SIM Holder</t>
  </si>
  <si>
    <t>Connector mPCIe</t>
  </si>
  <si>
    <t>Connector RCA White R</t>
  </si>
  <si>
    <t>Connector RCA White L</t>
  </si>
  <si>
    <t>Connector SMA</t>
  </si>
  <si>
    <t>Ferrite Bead</t>
  </si>
  <si>
    <t>U.FL &lt;-&gt; SMA</t>
  </si>
  <si>
    <t>Антенна</t>
  </si>
  <si>
    <t>Кабели</t>
  </si>
  <si>
    <t>Антенны</t>
  </si>
  <si>
    <t xml:space="preserve">GSA.8827.A.101111 </t>
  </si>
  <si>
    <t>AA.162.301111</t>
  </si>
  <si>
    <t>H3DDS-4018G</t>
  </si>
  <si>
    <t>Дисплей</t>
  </si>
  <si>
    <t>Интенсивность отказов x 10-6, 1/ч</t>
  </si>
  <si>
    <t>Случайное время восстановления, ч</t>
  </si>
  <si>
    <t>Плата печатного монтажа</t>
  </si>
  <si>
    <t>Соединение винтами 3 - 5 мм</t>
  </si>
  <si>
    <t>плата</t>
  </si>
  <si>
    <t>крепёжное отверстие</t>
  </si>
  <si>
    <t>Поправочный коэффициент эксплуатации</t>
  </si>
  <si>
    <t>TPS54821RHLT</t>
  </si>
  <si>
    <t>LM5017MR/NOPB</t>
  </si>
  <si>
    <t>TPS65217DRSLR</t>
  </si>
  <si>
    <t>MP1495DJ-LF-Z</t>
  </si>
  <si>
    <t>TPS51200DRCR</t>
  </si>
  <si>
    <t>DC/DC 3.3 -&gt; 1.35</t>
  </si>
  <si>
    <t>Pd</t>
  </si>
  <si>
    <t>Vout</t>
  </si>
  <si>
    <t>Iout</t>
  </si>
  <si>
    <t>длина, мм</t>
  </si>
  <si>
    <t>ширина, мм</t>
  </si>
  <si>
    <t>высота, мм</t>
  </si>
  <si>
    <t>Latch 4 mPCIe</t>
  </si>
  <si>
    <t>Модуль</t>
  </si>
  <si>
    <t>LTE</t>
  </si>
  <si>
    <t>DIOMELF3515L</t>
  </si>
  <si>
    <t>Громкоговоритель</t>
  </si>
  <si>
    <t>SPEAKER 8OHM .5W 87DB 15X25MM</t>
  </si>
  <si>
    <t>W3525B100</t>
  </si>
  <si>
    <t>Таблица  – Результаты расчётов для панели управления</t>
  </si>
  <si>
    <t>Материнская плата, Вт</t>
  </si>
  <si>
    <t>Панель управления, Вт</t>
  </si>
  <si>
    <t>Таблица  – Сводка токов и мощностей, рассеиваемых преобразователями напряжения</t>
  </si>
  <si>
    <t>Таблица  – Потребление линии 3,3 В</t>
  </si>
  <si>
    <t>Таблица  – Потребление PMIC</t>
  </si>
  <si>
    <t>Таблица  – Потребление линии 5 В</t>
  </si>
  <si>
    <t>Таблица  – Потребление подсветки LCD</t>
  </si>
  <si>
    <t>Площадь поверхности элементов, омываемая воздухом, м2</t>
  </si>
  <si>
    <t>Название в библиотеке</t>
  </si>
  <si>
    <t>Таблица  – Входные данные для расчёта теплового режима панели управления</t>
  </si>
  <si>
    <t>Таблица  – Результаты расчёта теплового режима  панели управления</t>
  </si>
  <si>
    <t>Входы</t>
  </si>
  <si>
    <t>SH_CP</t>
  </si>
  <si>
    <t>ST_CP</t>
  </si>
  <si>
    <t>OE#</t>
  </si>
  <si>
    <t>MR#</t>
  </si>
  <si>
    <t>DS</t>
  </si>
  <si>
    <t>Q7`</t>
  </si>
  <si>
    <t>Qn</t>
  </si>
  <si>
    <t>Выходы</t>
  </si>
  <si>
    <t>X</t>
  </si>
  <si>
    <t>˄</t>
  </si>
  <si>
    <t>H</t>
  </si>
  <si>
    <t>Q6`</t>
  </si>
  <si>
    <t>Qn'</t>
  </si>
  <si>
    <t>Z</t>
  </si>
  <si>
    <t>Низкий уровень на MR# влияет только на сдвиговые регистры</t>
  </si>
  <si>
    <t>Пустой регистр сдвига загружается в регистр хранения</t>
  </si>
  <si>
    <t>Очистка регистра сдвига; параллельные выводы находятся в высокоимпедансном OFF-состоянии</t>
  </si>
  <si>
    <t>Логический высокий уровень задвигается в бит 0 регистра сдвига; содержимое всех остальных битов сдвигается насквозь, т.е. предыдущее состояние бита 6 (внутреннее Q6`) появляется на последовательном выводе (Q7`)</t>
  </si>
  <si>
    <t>Содержимое всех битов сдвигового регистра (внутренние Qn`) передаётся в регистр хранения и параллельные биты линий вывода</t>
  </si>
  <si>
    <t>Содержимое сдвигового регистра сдвигается насквозь; предыдущее содержимое сдвигового регистра передаётся в регистр хранения и параллельные биты линий вывода</t>
  </si>
  <si>
    <t>3</t>
  </si>
  <si>
    <t>Площадь печатной платы, мм</t>
  </si>
  <si>
    <t>Площадь печатной платы с двух сторон,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</si>
</sst>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19]d\-mmm\-yyyy;@"/>
    <numFmt numFmtId="165" formatCode="0.0"/>
    <numFmt numFmtId="166" formatCode="0.000"/>
    <numFmt numFmtId="167" formatCode="0.0000"/>
    <numFmt numFmtId="168" formatCode="General\ &quot;В&quot;"/>
  </numFmts>
  <fonts count="1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9C65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8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5" fillId="0" borderId="0" xfId="0" applyNumberFormat="1" applyFont="1"/>
    <xf numFmtId="0" fontId="10" fillId="0" borderId="0" xfId="0" applyFont="1" applyAlignment="1">
      <alignment horizontal="left" wrapText="1"/>
    </xf>
    <xf numFmtId="166" fontId="10" fillId="0" borderId="0" xfId="0" applyNumberFormat="1" applyFont="1" applyAlignment="1">
      <alignment horizontal="left" wrapText="1"/>
    </xf>
    <xf numFmtId="2" fontId="10" fillId="0" borderId="0" xfId="0" applyNumberFormat="1" applyFont="1" applyAlignment="1">
      <alignment horizontal="left" wrapText="1"/>
    </xf>
    <xf numFmtId="2" fontId="10" fillId="0" borderId="1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2" fontId="10" fillId="0" borderId="1" xfId="0" applyNumberFormat="1" applyFont="1" applyBorder="1" applyAlignment="1">
      <alignment horizontal="left"/>
    </xf>
    <xf numFmtId="0" fontId="11" fillId="2" borderId="1" xfId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166" fontId="10" fillId="0" borderId="1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2" fontId="10" fillId="0" borderId="0" xfId="0" applyNumberFormat="1" applyFont="1" applyAlignment="1">
      <alignment horizontal="left"/>
    </xf>
    <xf numFmtId="0" fontId="10" fillId="0" borderId="1" xfId="0" applyNumberFormat="1" applyFont="1" applyBorder="1" applyAlignment="1">
      <alignment horizontal="left" wrapText="1"/>
    </xf>
    <xf numFmtId="2" fontId="10" fillId="0" borderId="1" xfId="0" applyNumberFormat="1" applyFont="1" applyFill="1" applyBorder="1" applyAlignment="1">
      <alignment horizontal="left" wrapText="1"/>
    </xf>
    <xf numFmtId="0" fontId="10" fillId="0" borderId="1" xfId="0" applyNumberFormat="1" applyFont="1" applyFill="1" applyBorder="1" applyAlignment="1">
      <alignment horizontal="left" wrapText="1"/>
    </xf>
    <xf numFmtId="0" fontId="10" fillId="0" borderId="1" xfId="0" applyNumberFormat="1" applyFont="1" applyBorder="1" applyAlignment="1">
      <alignment horizontal="left"/>
    </xf>
    <xf numFmtId="167" fontId="10" fillId="0" borderId="1" xfId="0" applyNumberFormat="1" applyFont="1" applyBorder="1" applyAlignment="1">
      <alignment horizontal="left"/>
    </xf>
    <xf numFmtId="2" fontId="11" fillId="2" borderId="1" xfId="1" applyNumberFormat="1" applyFont="1" applyBorder="1" applyAlignment="1">
      <alignment horizontal="left" wrapText="1"/>
    </xf>
    <xf numFmtId="2" fontId="10" fillId="0" borderId="0" xfId="0" applyNumberFormat="1" applyFont="1" applyAlignment="1">
      <alignment vertical="top" wrapText="1"/>
    </xf>
    <xf numFmtId="0" fontId="10" fillId="0" borderId="0" xfId="0" applyFont="1" applyBorder="1" applyAlignment="1">
      <alignment horizontal="left" wrapText="1"/>
    </xf>
    <xf numFmtId="2" fontId="10" fillId="0" borderId="0" xfId="0" applyNumberFormat="1" applyFont="1" applyBorder="1" applyAlignment="1">
      <alignment horizontal="left"/>
    </xf>
    <xf numFmtId="2" fontId="10" fillId="0" borderId="0" xfId="0" applyNumberFormat="1" applyFont="1" applyBorder="1" applyAlignment="1">
      <alignment horizontal="left" wrapText="1"/>
    </xf>
    <xf numFmtId="2" fontId="0" fillId="0" borderId="0" xfId="0" applyNumberFormat="1"/>
    <xf numFmtId="0" fontId="10" fillId="0" borderId="0" xfId="0" applyNumberFormat="1" applyFont="1" applyBorder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NumberFormat="1" applyFont="1" applyAlignment="1">
      <alignment horizontal="left" wrapText="1"/>
    </xf>
    <xf numFmtId="165" fontId="0" fillId="0" borderId="0" xfId="0" applyNumberFormat="1"/>
    <xf numFmtId="168" fontId="13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/>
    </xf>
    <xf numFmtId="165" fontId="13" fillId="0" borderId="0" xfId="0" applyNumberFormat="1" applyFont="1" applyAlignment="1">
      <alignment horizontal="left"/>
    </xf>
    <xf numFmtId="165" fontId="13" fillId="0" borderId="0" xfId="0" applyNumberFormat="1" applyFont="1" applyAlignment="1">
      <alignment horizontal="left" wrapText="1"/>
    </xf>
    <xf numFmtId="2" fontId="13" fillId="0" borderId="0" xfId="0" applyNumberFormat="1" applyFont="1" applyAlignment="1">
      <alignment horizontal="left"/>
    </xf>
    <xf numFmtId="165" fontId="10" fillId="0" borderId="1" xfId="0" applyNumberFormat="1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165" fontId="12" fillId="0" borderId="7" xfId="0" applyNumberFormat="1" applyFont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166" fontId="13" fillId="0" borderId="0" xfId="0" applyNumberFormat="1" applyFont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166" fontId="10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 wrapText="1"/>
    </xf>
    <xf numFmtId="165" fontId="13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65" fontId="13" fillId="0" borderId="0" xfId="0" applyNumberFormat="1" applyFont="1" applyBorder="1" applyAlignment="1">
      <alignment horizontal="left"/>
    </xf>
    <xf numFmtId="165" fontId="10" fillId="0" borderId="0" xfId="0" applyNumberFormat="1" applyFont="1" applyBorder="1" applyAlignment="1">
      <alignment horizontal="left"/>
    </xf>
    <xf numFmtId="2" fontId="13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3" fillId="0" borderId="1" xfId="0" applyNumberFormat="1" applyFont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165" fontId="13" fillId="0" borderId="1" xfId="0" applyNumberFormat="1" applyFont="1" applyBorder="1" applyAlignment="1">
      <alignment horizontal="left"/>
    </xf>
    <xf numFmtId="165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165" fontId="12" fillId="0" borderId="1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wrapText="1"/>
    </xf>
    <xf numFmtId="2" fontId="11" fillId="2" borderId="1" xfId="1" applyNumberFormat="1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0" fillId="0" borderId="6" xfId="0" applyFont="1" applyBorder="1" applyAlignment="1">
      <alignment horizontal="left" wrapText="1"/>
    </xf>
    <xf numFmtId="0" fontId="10" fillId="0" borderId="0" xfId="0" quotePrefix="1" applyFont="1" applyAlignment="1">
      <alignment horizontal="left"/>
    </xf>
  </cellXfs>
  <cellStyles count="2">
    <cellStyle name="Нейтральный" xfId="1" builtinId="28"/>
    <cellStyle name="Обычный" xfId="0" builtinId="0"/>
  </cellStyles>
  <dxfs count="174"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[$-419]d\-mmm\-yyyy;@"/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6" formatCode="0.0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6" formatCode="0.00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6" formatCode="0.0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6" formatCode="0.00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textRotation="0" indent="0" justifyLastLine="0" shrinkToFit="0" readingOrder="0"/>
    </dxf>
    <dxf>
      <border outline="0">
        <top style="thin">
          <color theme="1"/>
        </top>
      </border>
    </dxf>
    <dxf>
      <alignment horizontal="left" textRotation="0" indent="0" justifyLastLine="0" shrinkToFit="0" readingOrder="0"/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textRotation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6" formatCode="0.0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0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6" formatCode="0.0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0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"/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65" formatCode="0.0"/>
      <alignment horizontal="left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2" displayName="Таблица2" ref="B2:L25" totalsRowCount="1" headerRowDxfId="173" dataDxfId="172" totalsRowDxfId="171">
  <autoFilter ref="B2:L24"/>
  <tableColumns count="11">
    <tableColumn id="1" name="№" dataDxfId="170" totalsRowDxfId="169"/>
    <tableColumn id="2" name="Описание" dataDxfId="168" totalsRowDxfId="167"/>
    <tableColumn id="3" name="Название" dataDxfId="166" totalsRowDxfId="165"/>
    <tableColumn id="4" name="9,6 В" dataDxfId="164" totalsRowDxfId="163"/>
    <tableColumn id="5" name="5 В" dataDxfId="162" totalsRowDxfId="161"/>
    <tableColumn id="6" name="3,3 В" dataDxfId="160" totalsRowDxfId="159"/>
    <tableColumn id="7" name="1,8 В" dataDxfId="158" totalsRowDxfId="157"/>
    <tableColumn id="8" name="1,35 В" dataDxfId="156" totalsRowDxfId="155"/>
    <tableColumn id="9" name="1,1 В" dataDxfId="154" totalsRowDxfId="153"/>
    <tableColumn id="10" name="Материнская плата, Вт" totalsRowFunction="custom" dataDxfId="152" totalsRowDxfId="151">
      <calculatedColumnFormula>(Таблица2[[#This Row],[9,6 В]]*9.6+Таблица2[[#This Row],[5 В]]*5+Таблица2[[#This Row],[3,3 В]]+Таблица2[[#This Row],[1,8 В]]*1.8+Таблица2[[#This Row],[1,35 В]]*1.35+Таблица2[[#This Row],[1,1 В]]*1.1)/1000</calculatedColumnFormula>
      <totalsRowFormula>SUBTOTAL(9,Таблица2[Материнская плата, Вт])</totalsRowFormula>
    </tableColumn>
    <tableColumn id="11" name="Панель управления, Вт" totalsRowFunction="custom" dataDxfId="150" totalsRowDxfId="149">
      <totalsRowFormula>SUBTOTAL(9,Таблица2[Панель управления, Вт])</totalsRow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3" name="Таблица1114" displayName="Таблица1114" ref="B210:C213" totalsRowShown="0" headerRowDxfId="76" dataDxfId="75" headerRowCellStyle="Обычный" dataCellStyle="Обычный">
  <autoFilter ref="B210:C213"/>
  <tableColumns count="2">
    <tableColumn id="1" name="Параметр" dataDxfId="78" dataCellStyle="Обычный"/>
    <tableColumn id="2" name="Значение" dataDxfId="77" dataCellStyle="Обычный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14" name="Таблица111315" displayName="Таблица111315" ref="B216:C223" totalsRowShown="0" headerRowDxfId="72" dataDxfId="71" headerRowCellStyle="Обычный" dataCellStyle="Обычный">
  <autoFilter ref="B216:C223"/>
  <tableColumns count="2">
    <tableColumn id="1" name="Параметр" dataDxfId="74" dataCellStyle="Обычный"/>
    <tableColumn id="2" name="Значение" dataDxfId="73" dataCellStyle="Обычный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15" name="Таблица15" displayName="Таблица15" ref="B141:C155" totalsRowShown="0" headerRowDxfId="68" dataDxfId="67" headerRowCellStyle="Обычный" dataCellStyle="Обычный">
  <autoFilter ref="B141:C155"/>
  <tableColumns count="2">
    <tableColumn id="1" name="Параметр" dataDxfId="70" dataCellStyle="Обычный"/>
    <tableColumn id="2" name="Значение" dataDxfId="69" dataCellStyle="Обычный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id="16" name="Таблица16" displayName="Таблица16" ref="B158:C163" totalsRowShown="0" headerRowDxfId="64" dataDxfId="63" headerRowCellStyle="Обычный" dataCellStyle="Обычный">
  <autoFilter ref="B158:C163"/>
  <tableColumns count="2">
    <tableColumn id="1" name="Параметр" dataDxfId="66" dataCellStyle="Обычный"/>
    <tableColumn id="2" name="Значение" dataDxfId="65" dataCellStyle="Обычный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7" name="Таблица17" displayName="Таблица17" ref="B227:C233" totalsRowShown="0" headerRowDxfId="60" dataDxfId="59" headerRowCellStyle="Обычный" dataCellStyle="Обычный">
  <autoFilter ref="B227:C233"/>
  <tableColumns count="2">
    <tableColumn id="1" name="Параметр" dataDxfId="62" dataCellStyle="Обычный"/>
    <tableColumn id="2" name="Значение" dataDxfId="61" dataCellStyle="Обычный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id="10" name="Таблица10" displayName="Таблица10" ref="B236:C241" totalsRowShown="0" headerRowDxfId="56" dataDxfId="55" headerRowCellStyle="Обычный" dataCellStyle="Обычный">
  <autoFilter ref="B236:C241"/>
  <tableColumns count="2">
    <tableColumn id="1" name="Параметр" dataDxfId="58" dataCellStyle="Обычный"/>
    <tableColumn id="2" name="Значение" dataDxfId="57" dataCellStyle="Обычный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id="20" name="Таблица1721" displayName="Таблица1721" ref="B244:C250" totalsRowShown="0" headerRowDxfId="52" dataDxfId="51" headerRowCellStyle="Обычный" dataCellStyle="Обычный">
  <autoFilter ref="B244:C250"/>
  <tableColumns count="2">
    <tableColumn id="1" name="Параметр" dataDxfId="54" dataCellStyle="Обычный"/>
    <tableColumn id="2" name="Значение" dataDxfId="53" dataCellStyle="Обычный"/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id="21" name="Таблица1022" displayName="Таблица1022" ref="B253:C258" totalsRowShown="0" headerRowDxfId="48" dataDxfId="47" headerRowCellStyle="Обычный" dataCellStyle="Обычный">
  <autoFilter ref="B253:C258"/>
  <tableColumns count="2">
    <tableColumn id="1" name="Параметр" dataDxfId="50" dataCellStyle="Обычный"/>
    <tableColumn id="2" name="Значение" dataDxfId="49" dataCellStyle="Обычный">
      <calculatedColumnFormula>C237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id="22" name="Таблица172123" displayName="Таблица172123" ref="B262:C274" totalsRowShown="0" headerRowDxfId="44" dataDxfId="43" headerRowCellStyle="Обычный" dataCellStyle="Обычный">
  <autoFilter ref="B262:C274"/>
  <tableColumns count="2">
    <tableColumn id="1" name="Параметр" dataDxfId="46" dataCellStyle="Обычный"/>
    <tableColumn id="2" name="Значение" dataDxfId="45" dataCellStyle="Обычный"/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id="23" name="Таблица102224" displayName="Таблица102224" ref="B277:C285" totalsRowShown="0" headerRowDxfId="40" dataDxfId="39" headerRowCellStyle="Обычный" dataCellStyle="Обычный">
  <autoFilter ref="B277:C285"/>
  <tableColumns count="2">
    <tableColumn id="1" name="Параметр" dataDxfId="42" dataCellStyle="Обычный"/>
    <tableColumn id="2" name="Значение" dataDxfId="41" dataCellStyle="Обычный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8" name="Таблица18" displayName="Таблица18" ref="B28:G34" totalsRowCount="1" headerRowDxfId="148" dataDxfId="146" totalsRowDxfId="144" headerRowBorderDxfId="147" tableBorderDxfId="145" totalsRowBorderDxfId="143">
  <autoFilter ref="B28:G33"/>
  <tableColumns count="6">
    <tableColumn id="1" name="№" dataDxfId="142" totalsRowDxfId="141"/>
    <tableColumn id="2" name="Описание" dataDxfId="140" totalsRowDxfId="139"/>
    <tableColumn id="3" name="Название" dataDxfId="138" totalsRowDxfId="137"/>
    <tableColumn id="4" name="Vout" dataDxfId="136" totalsRowDxfId="135"/>
    <tableColumn id="5" name="Iout" dataDxfId="134" totalsRowDxfId="133">
      <calculatedColumnFormula>(F21+E37+E44)/1000</calculatedColumnFormula>
    </tableColumn>
    <tableColumn id="6" name="Pd" totalsRowFunction="custom" dataDxfId="132" totalsRowDxfId="131">
      <totalsRowFormula>SUBTOTAL(9,Таблица18[Pd])</totalsRow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id="24" name="Таблица24" displayName="Таблица24" ref="B289:C292" totalsRowShown="0" headerRowDxfId="36" dataDxfId="35" headerRowCellStyle="Обычный" dataCellStyle="Обычный">
  <autoFilter ref="B289:C292"/>
  <tableColumns count="2">
    <tableColumn id="1" name="Параметр" dataDxfId="38" dataCellStyle="Обычный"/>
    <tableColumn id="2" name="Значение" dataDxfId="37" dataCellStyle="Обычный"/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id="25" name="Таблица25" displayName="Таблица25" ref="B295:C298" totalsRowShown="0" headerRowDxfId="32" dataDxfId="31" headerRowCellStyle="Обычный" dataCellStyle="Обычный">
  <autoFilter ref="B295:C298"/>
  <tableColumns count="2">
    <tableColumn id="1" name="Параметр" dataDxfId="34" dataCellStyle="Обычный"/>
    <tableColumn id="2" name="Значение" dataDxfId="33" dataCellStyle="Обычный"/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id="26" name="Таблица26" displayName="Таблица26" ref="B59:K77" totalsRowCount="1" headerRowDxfId="10" dataDxfId="8" totalsRowDxfId="9" headerRowCellStyle="Обычный" dataCellStyle="Обычный" totalsRowCellStyle="Обычный">
  <autoFilter ref="B59:K76"/>
  <tableColumns count="10">
    <tableColumn id="1" name="Тип электрорадиоэлемента" dataDxfId="30" totalsRowDxfId="29" dataCellStyle="Обычный"/>
    <tableColumn id="2" name="Количество, шт" dataDxfId="28" totalsRowDxfId="27" dataCellStyle="Обычный"/>
    <tableColumn id="3" name="Название в библиотеке" totalsRowFunction="custom" dataDxfId="26" totalsRowDxfId="25" dataCellStyle="Обычный">
      <totalsRowFormula>SUMPRODUCT((Таблица26[Название в библиотеке]&lt;&gt;"")/COUNTIF(Таблица26[Название в библиотеке], Таблица26[Название в библиотеке]))</totalsRowFormula>
    </tableColumn>
    <tableColumn id="4" name="Площадь элементов, мм2" totalsRowFunction="custom" dataDxfId="24" totalsRowDxfId="23" dataCellStyle="Обычный">
      <calculatedColumnFormula>Таблица26[[#This Row],[длина, мм]]*Таблица26[[#This Row],[ширина, мм]]*Таблица26[[#This Row],[Количество, шт]]</calculatedColumnFormula>
      <totalsRowFormula>SUBTOTAL(9,Таблица26[Площадь элементов, мм2])</totalsRowFormula>
    </tableColumn>
    <tableColumn id="5" name="Объём элементов, мм2" totalsRowFunction="custom" dataDxfId="22" totalsRowDxfId="21" dataCellStyle="Обычный">
      <calculatedColumnFormula>Таблица26[[#This Row],[Площадь элементов, мм2]]*Таблица26[[#This Row],[высота, мм]]</calculatedColumnFormula>
      <totalsRowFormula>SUBTOTAL(9,Таблица26[Объём элементов, мм2])</totalsRowFormula>
    </tableColumn>
    <tableColumn id="6" name="Интенсивность отказов x 10-6, 1/ч" totalsRowFunction="custom" dataDxfId="20" totalsRowDxfId="19" dataCellStyle="Обычный">
      <totalsRowFormula>SUBTOTAL(9,Таблица26[Интенсивность отказов x 10-6, 1/ч])</totalsRowFormula>
    </tableColumn>
    <tableColumn id="7" name="Случайное время восстановления, ч" totalsRowFunction="custom" dataDxfId="18" totalsRowDxfId="17" dataCellStyle="Обычный">
      <totalsRowFormula>SUBTOTAL(9,Таблица26[Случайное время восстановления, ч])</totalsRowFormula>
    </tableColumn>
    <tableColumn id="8" name="длина, мм" dataDxfId="16" totalsRowDxfId="15" dataCellStyle="Обычный"/>
    <tableColumn id="9" name="ширина, мм" dataDxfId="14" totalsRowDxfId="13" dataCellStyle="Обычный"/>
    <tableColumn id="10" name="высота, мм" totalsRowFunction="custom" dataDxfId="12" totalsRowDxfId="11" dataCellStyle="Обычный">
      <totalsRowFormula>SUBTOTAL(4,Таблица26[высота, мм])</totalsRowFormula>
    </tableColumn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id="3" name="Таблица154" displayName="Таблица154" ref="B166:C180" totalsRowShown="0" headerRowDxfId="5" dataDxfId="4" headerRowCellStyle="Обычный" dataCellStyle="Обычный">
  <autoFilter ref="B166:C180"/>
  <tableColumns count="2">
    <tableColumn id="1" name="Параметр" dataDxfId="7" dataCellStyle="Обычный"/>
    <tableColumn id="2" name="Значение" dataDxfId="6" dataCellStyle="Обычный"/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id="9" name="Таблица1610" displayName="Таблица1610" ref="B183:C188" totalsRowShown="0" headerRowDxfId="1" dataDxfId="0" headerRowCellStyle="Обычный" dataCellStyle="Обычный">
  <autoFilter ref="B183:C188"/>
  <tableColumns count="2">
    <tableColumn id="1" name="Параметр" dataDxfId="3" dataCellStyle="Обычный"/>
    <tableColumn id="2" name="Значение" dataDxfId="2" dataCellStyle="Обычный"/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id="4" name="Таблица4" displayName="Таблица4" ref="A1:B39" totalsRowShown="0">
  <autoFilter ref="A1:B39"/>
  <tableColumns count="2">
    <tableColumn id="3" name="Дата" dataDxfId="126"/>
    <tableColumn id="2" name="Учебная деятельность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3:K56" totalsRowCount="1" headerRowDxfId="105" dataDxfId="103" totalsRowDxfId="104" headerRowCellStyle="Обычный" dataCellStyle="Обычный" totalsRowCellStyle="Обычный">
  <autoFilter ref="B3:K55"/>
  <tableColumns count="10">
    <tableColumn id="1" name="Тип электрорадиоэлемента" dataDxfId="125" totalsRowDxfId="124" dataCellStyle="Обычный"/>
    <tableColumn id="2" name="Количество, шт" dataDxfId="123" totalsRowDxfId="122" dataCellStyle="Обычный"/>
    <tableColumn id="3" name="Название в библиотеке" totalsRowFunction="custom" dataDxfId="121" totalsRowDxfId="120" dataCellStyle="Обычный">
      <totalsRowFormula>SUMPRODUCT((Таблица1[Название в библиотеке]&lt;&gt;"")/COUNTIF(Таблица1[Название в библиотеке],Таблица1[Название в библиотеке]))</totalsRowFormula>
    </tableColumn>
    <tableColumn id="4" name="Площадь элементов, мм2" totalsRowFunction="custom" dataDxfId="119" totalsRowDxfId="118" dataCellStyle="Обычный">
      <calculatedColumnFormula>Таблица1[[#This Row],[длина, мм]]*Таблица1[[#This Row],[ширина, мм]]*Таблица1[[#This Row],[Количество, шт]]</calculatedColumnFormula>
      <totalsRowFormula>SUBTOTAL(9,Таблица1[Площадь элементов, мм2])</totalsRowFormula>
    </tableColumn>
    <tableColumn id="5" name="Объём элементов, мм2" totalsRowFunction="custom" dataDxfId="117" totalsRowDxfId="116" dataCellStyle="Обычный">
      <calculatedColumnFormula>Таблица1[[#This Row],[Площадь элементов, мм2]]*Таблица1[[#This Row],[высота, мм]]</calculatedColumnFormula>
      <totalsRowFormula>SUBTOTAL(9,Таблица1[Объём элементов, мм2])</totalsRowFormula>
    </tableColumn>
    <tableColumn id="6" name="Интенсивность отказов x 10-6, 1/ч" totalsRowFunction="custom" dataDxfId="115" totalsRowDxfId="114" dataCellStyle="Обычный">
      <totalsRowFormula>SUBTOTAL(9,Таблица1[Интенсивность отказов x 10-6, 1/ч])</totalsRowFormula>
    </tableColumn>
    <tableColumn id="7" name="Случайное время восстановления, ч" totalsRowFunction="custom" dataDxfId="113" totalsRowDxfId="112" dataCellStyle="Обычный">
      <totalsRowFormula>SUBTOTAL(9,Таблица1[Случайное время восстановления, ч])</totalsRowFormula>
    </tableColumn>
    <tableColumn id="8" name="длина, мм" dataDxfId="111" totalsRowDxfId="110" dataCellStyle="Обычный"/>
    <tableColumn id="9" name="ширина, мм" dataDxfId="109" totalsRowDxfId="108" dataCellStyle="Обычный"/>
    <tableColumn id="10" name="высота, мм" totalsRowFunction="custom" dataDxfId="107" totalsRowDxfId="106" dataCellStyle="Обычный">
      <totalsRowFormula>SUBTOTAL(4,Таблица1[высота, мм])</totalsRow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B80:C90" totalsRowShown="0" headerRowDxfId="100" dataDxfId="99" headerRowCellStyle="Обычный" dataCellStyle="Обычный">
  <autoFilter ref="B80:C90"/>
  <tableColumns count="2">
    <tableColumn id="1" name="Параметр" dataDxfId="102" dataCellStyle="Обычный"/>
    <tableColumn id="2" name="Величина" dataDxfId="101" dataCellStyle="Обычный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6" name="Таблица57" displayName="Таблица57" ref="B93:C103" totalsRowShown="0" headerRowDxfId="96" dataDxfId="95" headerRowCellStyle="Обычный" dataCellStyle="Обычный">
  <autoFilter ref="B93:C103"/>
  <tableColumns count="2">
    <tableColumn id="1" name="Параметр" dataDxfId="98" dataCellStyle="Обычный"/>
    <tableColumn id="2" name="Величина" dataDxfId="97" dataCellStyle="Обычный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7" name="Таблица7" displayName="Таблица7" ref="B107:C118" totalsRowShown="0" headerRowDxfId="92" dataDxfId="91" headerRowCellStyle="Обычный" dataCellStyle="Обычный">
  <autoFilter ref="B107:C118"/>
  <tableColumns count="2">
    <tableColumn id="1" name="Параметр" dataDxfId="94" dataCellStyle="Обычный"/>
    <tableColumn id="2" name="Значение" dataDxfId="93" dataCellStyle="Обычный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8" name="Таблица8" displayName="Таблица8" ref="B121:C137" totalsRowShown="0" headerRowDxfId="88" dataDxfId="87" headerRowBorderDxfId="128" tableBorderDxfId="127" headerRowCellStyle="Обычный" dataCellStyle="Обычный">
  <autoFilter ref="B121:C137"/>
  <tableColumns count="2">
    <tableColumn id="1" name="Параметр" dataDxfId="90" dataCellStyle="Обычный"/>
    <tableColumn id="2" name="Значение" dataDxfId="89" dataCellStyle="Обычный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11" name="Таблица11" displayName="Таблица11" ref="B192:C195" totalsRowShown="0" headerRowDxfId="84" dataDxfId="83" headerRowCellStyle="Обычный" dataCellStyle="Обычный">
  <autoFilter ref="B192:C195"/>
  <tableColumns count="2">
    <tableColumn id="1" name="Параметр" dataDxfId="86" dataCellStyle="Обычный"/>
    <tableColumn id="2" name="Значение" dataDxfId="85" dataCellStyle="Обычный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12" name="Таблица1113" displayName="Таблица1113" ref="B198:C207" totalsRowShown="0" headerRowDxfId="80" dataDxfId="79" headerRowCellStyle="Обычный" dataCellStyle="Обычный">
  <autoFilter ref="B198:C207"/>
  <tableColumns count="2">
    <tableColumn id="1" name="Параметр" dataDxfId="82" dataCellStyle="Обычный"/>
    <tableColumn id="2" name="Значение" dataDxfId="81" dataCellStyle="Обычный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49" zoomScale="145" zoomScaleNormal="145" workbookViewId="0">
      <selection activeCell="D66" sqref="D66"/>
    </sheetView>
  </sheetViews>
  <sheetFormatPr defaultRowHeight="15" x14ac:dyDescent="0.25"/>
  <cols>
    <col min="2" max="2" width="5.42578125" style="17" bestFit="1" customWidth="1"/>
    <col min="3" max="3" width="27.7109375" style="17" bestFit="1" customWidth="1"/>
    <col min="4" max="4" width="39.42578125" style="17" bestFit="1" customWidth="1"/>
    <col min="5" max="5" width="8.28515625" style="39" bestFit="1" customWidth="1"/>
    <col min="6" max="6" width="7.140625" style="39" bestFit="1" customWidth="1"/>
    <col min="7" max="8" width="8.28515625" style="39" bestFit="1" customWidth="1"/>
    <col min="9" max="9" width="9.42578125" style="39" bestFit="1" customWidth="1"/>
    <col min="10" max="10" width="8.28515625" style="39" bestFit="1" customWidth="1"/>
    <col min="11" max="11" width="18.85546875" style="17" customWidth="1"/>
    <col min="12" max="12" width="18.85546875" customWidth="1"/>
    <col min="13" max="19" width="7" style="17" customWidth="1"/>
    <col min="20" max="20" width="42.85546875" style="10" customWidth="1"/>
  </cols>
  <sheetData>
    <row r="1" spans="1:12" x14ac:dyDescent="0.25">
      <c r="A1" s="17" t="s">
        <v>391</v>
      </c>
    </row>
    <row r="2" spans="1:12" ht="30" x14ac:dyDescent="0.25">
      <c r="B2" s="17" t="s">
        <v>20</v>
      </c>
      <c r="C2" s="17" t="s">
        <v>16</v>
      </c>
      <c r="D2" s="17" t="s">
        <v>0</v>
      </c>
      <c r="E2" s="37" t="s">
        <v>25</v>
      </c>
      <c r="F2" s="37" t="s">
        <v>17</v>
      </c>
      <c r="G2" s="37" t="s">
        <v>18</v>
      </c>
      <c r="H2" s="37" t="s">
        <v>19</v>
      </c>
      <c r="I2" s="37" t="s">
        <v>22</v>
      </c>
      <c r="J2" s="37" t="s">
        <v>21</v>
      </c>
      <c r="K2" s="55" t="s">
        <v>573</v>
      </c>
      <c r="L2" s="55" t="s">
        <v>574</v>
      </c>
    </row>
    <row r="3" spans="1:12" x14ac:dyDescent="0.25">
      <c r="B3" s="17">
        <v>1</v>
      </c>
      <c r="C3" s="17" t="s">
        <v>9</v>
      </c>
      <c r="D3" s="17" t="s">
        <v>48</v>
      </c>
      <c r="G3" s="39">
        <v>430</v>
      </c>
      <c r="H3" s="39">
        <v>180</v>
      </c>
      <c r="I3" s="39">
        <v>250</v>
      </c>
      <c r="J3" s="39">
        <v>1402</v>
      </c>
      <c r="K3" s="11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2.6336999999999997</v>
      </c>
      <c r="L3" s="17"/>
    </row>
    <row r="4" spans="1:12" x14ac:dyDescent="0.25">
      <c r="B4" s="17">
        <v>2</v>
      </c>
      <c r="C4" s="17" t="s">
        <v>1</v>
      </c>
      <c r="D4" s="17" t="s">
        <v>49</v>
      </c>
      <c r="G4" s="39">
        <v>29.5</v>
      </c>
      <c r="K4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2.9499999999999998E-2</v>
      </c>
      <c r="L4" s="17"/>
    </row>
    <row r="5" spans="1:12" x14ac:dyDescent="0.25">
      <c r="B5" s="17">
        <v>3</v>
      </c>
      <c r="C5" s="17" t="s">
        <v>1</v>
      </c>
      <c r="D5" s="17" t="s">
        <v>49</v>
      </c>
      <c r="G5" s="39">
        <f>G4</f>
        <v>29.5</v>
      </c>
      <c r="K5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2.9499999999999998E-2</v>
      </c>
      <c r="L5" s="17"/>
    </row>
    <row r="6" spans="1:12" x14ac:dyDescent="0.25">
      <c r="B6" s="17">
        <v>4</v>
      </c>
      <c r="C6" s="17" t="s">
        <v>4</v>
      </c>
      <c r="D6" s="17" t="s">
        <v>3</v>
      </c>
      <c r="G6" s="39">
        <v>1450</v>
      </c>
      <c r="K6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1.45</v>
      </c>
      <c r="L6" s="17"/>
    </row>
    <row r="7" spans="1:12" x14ac:dyDescent="0.25">
      <c r="B7" s="17">
        <v>5</v>
      </c>
      <c r="C7" s="17" t="s">
        <v>6</v>
      </c>
      <c r="D7" s="17" t="s">
        <v>5</v>
      </c>
      <c r="G7" s="39">
        <v>110</v>
      </c>
      <c r="K7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0.11</v>
      </c>
      <c r="L7" s="17"/>
    </row>
    <row r="8" spans="1:12" x14ac:dyDescent="0.25">
      <c r="B8" s="17">
        <v>6</v>
      </c>
      <c r="C8" s="10" t="s">
        <v>7</v>
      </c>
      <c r="D8" s="17" t="s">
        <v>50</v>
      </c>
      <c r="E8" s="40"/>
      <c r="F8" s="40"/>
      <c r="G8" s="40">
        <v>380</v>
      </c>
      <c r="H8" s="40"/>
      <c r="I8" s="40"/>
      <c r="J8" s="40"/>
      <c r="K8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0.38</v>
      </c>
      <c r="L8" s="17"/>
    </row>
    <row r="9" spans="1:12" x14ac:dyDescent="0.25">
      <c r="B9" s="17">
        <v>7</v>
      </c>
      <c r="C9" s="17" t="s">
        <v>8</v>
      </c>
      <c r="D9" s="17" t="s">
        <v>47</v>
      </c>
      <c r="G9" s="41">
        <v>0.01</v>
      </c>
      <c r="K9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1.0000000000000001E-5</v>
      </c>
      <c r="L9" s="17"/>
    </row>
    <row r="10" spans="1:12" x14ac:dyDescent="0.25">
      <c r="B10" s="17">
        <v>8</v>
      </c>
      <c r="C10" s="17" t="s">
        <v>8</v>
      </c>
      <c r="D10" s="17" t="s">
        <v>47</v>
      </c>
      <c r="G10" s="41">
        <v>0.01</v>
      </c>
      <c r="K10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1.0000000000000001E-5</v>
      </c>
      <c r="L10" s="17"/>
    </row>
    <row r="11" spans="1:12" x14ac:dyDescent="0.25">
      <c r="B11" s="17">
        <v>9</v>
      </c>
      <c r="C11" s="17" t="s">
        <v>8</v>
      </c>
      <c r="D11" s="17" t="s">
        <v>47</v>
      </c>
      <c r="G11" s="41">
        <v>0.01</v>
      </c>
      <c r="K11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1.0000000000000001E-5</v>
      </c>
      <c r="L11" s="17"/>
    </row>
    <row r="12" spans="1:12" x14ac:dyDescent="0.25">
      <c r="B12" s="17">
        <v>10</v>
      </c>
      <c r="C12" s="17" t="s">
        <v>10</v>
      </c>
      <c r="D12" s="10" t="s">
        <v>51</v>
      </c>
      <c r="G12" s="39">
        <v>80</v>
      </c>
      <c r="K12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0.08</v>
      </c>
      <c r="L12" s="17"/>
    </row>
    <row r="13" spans="1:12" x14ac:dyDescent="0.25">
      <c r="B13" s="17">
        <v>11</v>
      </c>
      <c r="C13" s="17" t="s">
        <v>11</v>
      </c>
      <c r="D13" s="17" t="s">
        <v>52</v>
      </c>
      <c r="I13" s="39">
        <v>200</v>
      </c>
      <c r="K13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0.27</v>
      </c>
      <c r="L13" s="17"/>
    </row>
    <row r="14" spans="1:12" x14ac:dyDescent="0.25">
      <c r="B14" s="17">
        <v>12</v>
      </c>
      <c r="C14" s="17" t="s">
        <v>11</v>
      </c>
      <c r="D14" s="17" t="s">
        <v>52</v>
      </c>
      <c r="I14" s="39">
        <f>I13</f>
        <v>200</v>
      </c>
      <c r="K14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0.27</v>
      </c>
      <c r="L14" s="17"/>
    </row>
    <row r="15" spans="1:12" x14ac:dyDescent="0.25">
      <c r="B15" s="17">
        <v>13</v>
      </c>
      <c r="C15" s="17" t="s">
        <v>34</v>
      </c>
      <c r="D15" s="17" t="s">
        <v>53</v>
      </c>
      <c r="G15" s="39">
        <v>6.1</v>
      </c>
      <c r="K15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6.0999999999999995E-3</v>
      </c>
      <c r="L15" s="17"/>
    </row>
    <row r="16" spans="1:12" x14ac:dyDescent="0.25">
      <c r="B16" s="17">
        <v>14</v>
      </c>
      <c r="C16" s="17" t="s">
        <v>12</v>
      </c>
      <c r="D16" s="17" t="s">
        <v>70</v>
      </c>
      <c r="E16" s="39">
        <v>75</v>
      </c>
      <c r="G16" s="39">
        <v>120</v>
      </c>
      <c r="K16" s="54"/>
      <c r="L16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0.84</v>
      </c>
    </row>
    <row r="17" spans="1:13" x14ac:dyDescent="0.25">
      <c r="B17" s="17">
        <v>15</v>
      </c>
      <c r="C17" s="17" t="s">
        <v>46</v>
      </c>
      <c r="D17" s="17" t="s">
        <v>54</v>
      </c>
      <c r="G17" s="39">
        <v>70</v>
      </c>
      <c r="K17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7.0000000000000007E-2</v>
      </c>
      <c r="L17" s="17"/>
    </row>
    <row r="18" spans="1:13" x14ac:dyDescent="0.25">
      <c r="B18" s="17">
        <v>16</v>
      </c>
      <c r="C18" s="17" t="s">
        <v>46</v>
      </c>
      <c r="D18" s="17" t="s">
        <v>54</v>
      </c>
      <c r="G18" s="39">
        <f>G17</f>
        <v>70</v>
      </c>
      <c r="K18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7.0000000000000007E-2</v>
      </c>
      <c r="L18" s="17"/>
    </row>
    <row r="19" spans="1:13" x14ac:dyDescent="0.25">
      <c r="B19" s="17">
        <v>17</v>
      </c>
      <c r="C19" s="17" t="s">
        <v>46</v>
      </c>
      <c r="D19" s="17" t="s">
        <v>54</v>
      </c>
      <c r="G19" s="39">
        <f>G17</f>
        <v>70</v>
      </c>
      <c r="K19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7.0000000000000007E-2</v>
      </c>
      <c r="L19" s="17"/>
    </row>
    <row r="20" spans="1:13" x14ac:dyDescent="0.25">
      <c r="B20" s="17">
        <v>18</v>
      </c>
      <c r="C20" s="17" t="s">
        <v>45</v>
      </c>
      <c r="D20" s="17" t="s">
        <v>56</v>
      </c>
      <c r="G20" s="39">
        <f>16*9</f>
        <v>144</v>
      </c>
      <c r="K20" s="54"/>
      <c r="L20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0.14399999999999999</v>
      </c>
    </row>
    <row r="21" spans="1:13" x14ac:dyDescent="0.25">
      <c r="B21" s="17">
        <v>19</v>
      </c>
      <c r="C21" s="10" t="s">
        <v>2</v>
      </c>
      <c r="D21" s="17" t="s">
        <v>55</v>
      </c>
      <c r="E21" s="40"/>
      <c r="F21" s="40">
        <v>500</v>
      </c>
      <c r="H21" s="40"/>
      <c r="I21" s="40"/>
      <c r="J21" s="40"/>
      <c r="K21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2.5</v>
      </c>
      <c r="L21" s="17"/>
    </row>
    <row r="22" spans="1:13" x14ac:dyDescent="0.25">
      <c r="B22" s="17">
        <v>20</v>
      </c>
      <c r="C22" s="17" t="s">
        <v>510</v>
      </c>
      <c r="D22" s="17" t="s">
        <v>57</v>
      </c>
      <c r="G22" s="39">
        <v>75</v>
      </c>
      <c r="K22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7.4999999999999997E-2</v>
      </c>
      <c r="L22" s="17"/>
    </row>
    <row r="23" spans="1:13" x14ac:dyDescent="0.25">
      <c r="B23" s="17">
        <v>21</v>
      </c>
      <c r="C23" s="17" t="s">
        <v>14</v>
      </c>
      <c r="D23" s="17" t="s">
        <v>13</v>
      </c>
      <c r="G23" s="39">
        <v>0.5</v>
      </c>
      <c r="K23" s="54"/>
      <c r="L23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5.0000000000000001E-4</v>
      </c>
    </row>
    <row r="24" spans="1:13" x14ac:dyDescent="0.25">
      <c r="B24" s="17">
        <v>22</v>
      </c>
      <c r="C24" s="17" t="s">
        <v>15</v>
      </c>
      <c r="D24" s="17" t="s">
        <v>58</v>
      </c>
      <c r="G24" s="39">
        <v>300</v>
      </c>
      <c r="K24" s="54"/>
      <c r="L24" s="54">
        <f>(Таблица2[[#This Row],[9,6 В]]*9.6+Таблица2[[#This Row],[5 В]]*5+Таблица2[[#This Row],[3,3 В]]+Таблица2[[#This Row],[1,8 В]]*1.8+Таблица2[[#This Row],[1,35 В]]*1.35+Таблица2[[#This Row],[1,1 В]]*1.1)/1000</f>
        <v>0.3</v>
      </c>
      <c r="M24" s="63"/>
    </row>
    <row r="25" spans="1:13" x14ac:dyDescent="0.25">
      <c r="K25" s="50">
        <f>SUBTOTAL(9,Таблица2[Материнская плата, Вт])</f>
        <v>8.043829999999998</v>
      </c>
      <c r="L25" s="50">
        <f>SUBTOTAL(9,Таблица2[Панель управления, Вт])</f>
        <v>1.2845</v>
      </c>
    </row>
    <row r="27" spans="1:13" x14ac:dyDescent="0.25">
      <c r="A27" s="17" t="s">
        <v>575</v>
      </c>
      <c r="L27" s="36"/>
    </row>
    <row r="28" spans="1:13" ht="15.75" thickBot="1" x14ac:dyDescent="0.3">
      <c r="B28" s="43" t="s">
        <v>20</v>
      </c>
      <c r="C28" s="44" t="s">
        <v>16</v>
      </c>
      <c r="D28" s="45" t="s">
        <v>0</v>
      </c>
      <c r="E28" s="46" t="s">
        <v>560</v>
      </c>
      <c r="F28" s="46" t="s">
        <v>561</v>
      </c>
      <c r="G28" s="46" t="s">
        <v>559</v>
      </c>
    </row>
    <row r="29" spans="1:13" x14ac:dyDescent="0.25">
      <c r="B29" s="47">
        <v>1</v>
      </c>
      <c r="C29" s="48" t="s">
        <v>516</v>
      </c>
      <c r="D29" s="49" t="s">
        <v>553</v>
      </c>
      <c r="E29" s="39">
        <f>G52</f>
        <v>5</v>
      </c>
      <c r="F29" s="50">
        <f>(F21+E37+E44)/1000</f>
        <v>4.346383055555556</v>
      </c>
      <c r="G29" s="50">
        <v>1.63</v>
      </c>
    </row>
    <row r="30" spans="1:13" x14ac:dyDescent="0.25">
      <c r="B30" s="51">
        <v>2</v>
      </c>
      <c r="C30" s="52" t="s">
        <v>515</v>
      </c>
      <c r="D30" s="53" t="s">
        <v>554</v>
      </c>
      <c r="E30" s="39">
        <f>G59</f>
        <v>9.6</v>
      </c>
      <c r="F30" s="50">
        <f>E16/1000</f>
        <v>7.4999999999999997E-2</v>
      </c>
      <c r="G30" s="50">
        <v>0.26</v>
      </c>
    </row>
    <row r="31" spans="1:13" x14ac:dyDescent="0.25">
      <c r="B31" s="17">
        <v>3</v>
      </c>
      <c r="C31" s="17" t="s">
        <v>518</v>
      </c>
      <c r="D31" s="17" t="s">
        <v>555</v>
      </c>
      <c r="F31" s="50"/>
      <c r="G31" s="50">
        <v>0.98099999999999998</v>
      </c>
      <c r="L31" s="17"/>
    </row>
    <row r="32" spans="1:13" x14ac:dyDescent="0.25">
      <c r="B32" s="17">
        <v>4</v>
      </c>
      <c r="C32" s="10" t="s">
        <v>519</v>
      </c>
      <c r="D32" s="17" t="s">
        <v>556</v>
      </c>
      <c r="E32" s="39">
        <f>G38</f>
        <v>3.3</v>
      </c>
      <c r="F32" s="50">
        <f>SUM(G4:G24)/1000</f>
        <v>2.9346299999999998</v>
      </c>
      <c r="G32" s="50">
        <v>1.1120000000000001</v>
      </c>
      <c r="K32" s="39"/>
    </row>
    <row r="33" spans="1:12" x14ac:dyDescent="0.25">
      <c r="B33" s="17">
        <v>5</v>
      </c>
      <c r="C33" s="17" t="s">
        <v>558</v>
      </c>
      <c r="D33" s="17" t="s">
        <v>557</v>
      </c>
      <c r="E33" s="39">
        <f>E32</f>
        <v>3.3</v>
      </c>
      <c r="F33" s="50">
        <f>SUM(I13:I14)/1000</f>
        <v>0.4</v>
      </c>
      <c r="G33" s="50">
        <v>0.1</v>
      </c>
      <c r="K33" s="50"/>
      <c r="L33" s="50"/>
    </row>
    <row r="34" spans="1:12" x14ac:dyDescent="0.25">
      <c r="F34" s="50"/>
      <c r="G34" s="50">
        <f>SUBTOTAL(9,Таблица18[Pd])</f>
        <v>4.0830000000000002</v>
      </c>
      <c r="K34" s="50"/>
      <c r="L34" s="50"/>
    </row>
    <row r="35" spans="1:12" x14ac:dyDescent="0.25">
      <c r="F35" s="50"/>
      <c r="G35" s="50"/>
      <c r="K35" s="50"/>
      <c r="L35" s="50"/>
    </row>
    <row r="36" spans="1:12" x14ac:dyDescent="0.25">
      <c r="A36" s="17" t="s">
        <v>576</v>
      </c>
    </row>
    <row r="37" spans="1:12" x14ac:dyDescent="0.25">
      <c r="D37" s="70" t="s">
        <v>66</v>
      </c>
      <c r="E37" s="71">
        <f>SUM(G39:J41)</f>
        <v>2690.0774999999999</v>
      </c>
      <c r="F37" s="71"/>
      <c r="G37" s="68" t="s">
        <v>61</v>
      </c>
      <c r="H37" s="68"/>
      <c r="I37" s="68"/>
      <c r="J37" s="68"/>
    </row>
    <row r="38" spans="1:12" x14ac:dyDescent="0.25">
      <c r="D38" s="70"/>
      <c r="E38" s="71"/>
      <c r="F38" s="71"/>
      <c r="G38" s="68">
        <v>3.3</v>
      </c>
      <c r="H38" s="68"/>
      <c r="I38" s="68"/>
      <c r="J38" s="68"/>
    </row>
    <row r="39" spans="1:12" x14ac:dyDescent="0.25">
      <c r="D39" s="14" t="s">
        <v>59</v>
      </c>
      <c r="E39" s="62">
        <v>5</v>
      </c>
      <c r="F39" s="68" t="s">
        <v>67</v>
      </c>
      <c r="G39" s="69">
        <f>G$38*SUM(G4:G24)/$E$39/$E$41*$E$40</f>
        <v>2690.0774999999999</v>
      </c>
      <c r="H39" s="69"/>
      <c r="I39" s="69"/>
      <c r="J39" s="69"/>
    </row>
    <row r="40" spans="1:12" x14ac:dyDescent="0.25">
      <c r="D40" s="14" t="s">
        <v>63</v>
      </c>
      <c r="E40" s="62">
        <v>1.25</v>
      </c>
      <c r="F40" s="68"/>
      <c r="G40" s="69"/>
      <c r="H40" s="69"/>
      <c r="I40" s="69"/>
      <c r="J40" s="69"/>
    </row>
    <row r="41" spans="1:12" x14ac:dyDescent="0.25">
      <c r="D41" s="14" t="s">
        <v>60</v>
      </c>
      <c r="E41" s="62">
        <v>0.9</v>
      </c>
      <c r="F41" s="68"/>
      <c r="G41" s="69"/>
      <c r="H41" s="69"/>
      <c r="I41" s="69"/>
      <c r="J41" s="69"/>
    </row>
    <row r="42" spans="1:12" x14ac:dyDescent="0.25">
      <c r="D42" s="57"/>
      <c r="E42" s="58"/>
      <c r="F42" s="58"/>
      <c r="G42" s="59"/>
      <c r="H42" s="59"/>
      <c r="I42" s="59"/>
      <c r="J42" s="59"/>
    </row>
    <row r="43" spans="1:12" x14ac:dyDescent="0.25">
      <c r="A43" s="17" t="s">
        <v>577</v>
      </c>
    </row>
    <row r="44" spans="1:12" x14ac:dyDescent="0.25">
      <c r="D44" s="70" t="s">
        <v>64</v>
      </c>
      <c r="E44" s="71">
        <f>SUM(G46:J48)</f>
        <v>1156.3055555555557</v>
      </c>
      <c r="F44" s="71"/>
      <c r="G44" s="68" t="s">
        <v>61</v>
      </c>
      <c r="H44" s="68"/>
      <c r="I44" s="68"/>
      <c r="J44" s="68"/>
    </row>
    <row r="45" spans="1:12" x14ac:dyDescent="0.25">
      <c r="D45" s="70"/>
      <c r="E45" s="71"/>
      <c r="F45" s="71"/>
      <c r="G45" s="56">
        <v>3.3</v>
      </c>
      <c r="H45" s="56">
        <v>1.8</v>
      </c>
      <c r="I45" s="60">
        <v>1.35</v>
      </c>
      <c r="J45" s="56">
        <v>1.1000000000000001</v>
      </c>
    </row>
    <row r="46" spans="1:12" x14ac:dyDescent="0.25">
      <c r="D46" s="14" t="s">
        <v>59</v>
      </c>
      <c r="E46" s="62">
        <v>5</v>
      </c>
      <c r="F46" s="56" t="s">
        <v>9</v>
      </c>
      <c r="G46" s="42">
        <f>G$45*G3/$E$46/$E$48*$E$47</f>
        <v>394.16666666666663</v>
      </c>
      <c r="H46" s="42">
        <f>H$45*H3/$E$46/$E$48*$E$47</f>
        <v>90</v>
      </c>
      <c r="I46" s="42">
        <f>I$45*I3/$E$46/$E$48*$E$47</f>
        <v>93.75</v>
      </c>
      <c r="J46" s="42">
        <f>J$45*J3/$E$46/$E$48*$E$47</f>
        <v>428.38888888888891</v>
      </c>
    </row>
    <row r="47" spans="1:12" x14ac:dyDescent="0.25">
      <c r="D47" s="14" t="s">
        <v>63</v>
      </c>
      <c r="E47" s="62">
        <v>1.25</v>
      </c>
      <c r="F47" s="68" t="s">
        <v>26</v>
      </c>
      <c r="G47" s="69"/>
      <c r="H47" s="69"/>
      <c r="I47" s="69">
        <f>I$45*(I13+I14)/$E$46/$E$48*$E$47</f>
        <v>150</v>
      </c>
      <c r="J47" s="69"/>
    </row>
    <row r="48" spans="1:12" x14ac:dyDescent="0.25">
      <c r="D48" s="14" t="s">
        <v>60</v>
      </c>
      <c r="E48" s="62">
        <v>0.9</v>
      </c>
      <c r="F48" s="68"/>
      <c r="G48" s="69"/>
      <c r="H48" s="69"/>
      <c r="I48" s="69"/>
      <c r="J48" s="69"/>
    </row>
    <row r="49" spans="1:20" x14ac:dyDescent="0.25">
      <c r="D49" s="57"/>
      <c r="E49" s="58"/>
      <c r="F49" s="58"/>
      <c r="G49" s="59"/>
      <c r="H49" s="59"/>
      <c r="I49" s="59"/>
      <c r="J49" s="59"/>
    </row>
    <row r="50" spans="1:20" x14ac:dyDescent="0.25">
      <c r="A50" s="17" t="s">
        <v>578</v>
      </c>
    </row>
    <row r="51" spans="1:20" x14ac:dyDescent="0.25">
      <c r="D51" s="70" t="s">
        <v>69</v>
      </c>
      <c r="E51" s="71">
        <f>SUM(G53:J55)</f>
        <v>2615.8786908436214</v>
      </c>
      <c r="F51" s="71"/>
      <c r="G51" s="68" t="s">
        <v>62</v>
      </c>
      <c r="H51" s="68"/>
      <c r="I51" s="68"/>
      <c r="J51" s="68"/>
    </row>
    <row r="52" spans="1:20" x14ac:dyDescent="0.25">
      <c r="D52" s="70"/>
      <c r="E52" s="71"/>
      <c r="F52" s="71"/>
      <c r="G52" s="68">
        <v>5</v>
      </c>
      <c r="H52" s="68"/>
      <c r="I52" s="68"/>
      <c r="J52" s="68"/>
    </row>
    <row r="53" spans="1:20" x14ac:dyDescent="0.25">
      <c r="D53" s="14" t="s">
        <v>59</v>
      </c>
      <c r="E53" s="62">
        <v>12</v>
      </c>
      <c r="F53" s="56" t="s">
        <v>67</v>
      </c>
      <c r="G53" s="69">
        <f>G$52*E37/$E$53/$E$55*$E$54</f>
        <v>1619.0281249999998</v>
      </c>
      <c r="H53" s="69"/>
      <c r="I53" s="69"/>
      <c r="J53" s="69"/>
    </row>
    <row r="54" spans="1:20" x14ac:dyDescent="0.25">
      <c r="D54" s="14" t="s">
        <v>63</v>
      </c>
      <c r="E54" s="62">
        <v>1.3</v>
      </c>
      <c r="F54" s="56" t="s">
        <v>68</v>
      </c>
      <c r="G54" s="69">
        <f>G$52*E44/$E$53/$E$55*$E$54</f>
        <v>695.92463991769557</v>
      </c>
      <c r="H54" s="69"/>
      <c r="I54" s="69"/>
      <c r="J54" s="69"/>
    </row>
    <row r="55" spans="1:20" x14ac:dyDescent="0.25">
      <c r="D55" s="14" t="s">
        <v>60</v>
      </c>
      <c r="E55" s="62">
        <v>0.9</v>
      </c>
      <c r="F55" s="56" t="s">
        <v>27</v>
      </c>
      <c r="G55" s="69">
        <f>G$52*F21/$E$53/$E$55*$E$54</f>
        <v>300.92592592592598</v>
      </c>
      <c r="H55" s="69"/>
      <c r="I55" s="69"/>
      <c r="J55" s="69"/>
    </row>
    <row r="56" spans="1:20" x14ac:dyDescent="0.25">
      <c r="D56" s="57"/>
      <c r="E56" s="58"/>
      <c r="F56" s="58"/>
      <c r="G56" s="59"/>
      <c r="H56" s="59"/>
      <c r="I56" s="59"/>
      <c r="J56" s="59"/>
    </row>
    <row r="57" spans="1:20" x14ac:dyDescent="0.25">
      <c r="A57" s="17" t="s">
        <v>579</v>
      </c>
    </row>
    <row r="58" spans="1:20" x14ac:dyDescent="0.25">
      <c r="D58" s="70" t="s">
        <v>65</v>
      </c>
      <c r="E58" s="71">
        <f>SUM(G60:J62)</f>
        <v>83.333333333333343</v>
      </c>
      <c r="F58" s="71"/>
      <c r="G58" s="68" t="s">
        <v>62</v>
      </c>
      <c r="H58" s="68"/>
      <c r="I58" s="68"/>
      <c r="J58" s="68"/>
    </row>
    <row r="59" spans="1:20" x14ac:dyDescent="0.25">
      <c r="D59" s="70"/>
      <c r="E59" s="71"/>
      <c r="F59" s="71"/>
      <c r="G59" s="68">
        <v>9.6</v>
      </c>
      <c r="H59" s="68"/>
      <c r="I59" s="68"/>
      <c r="J59" s="68"/>
    </row>
    <row r="60" spans="1:20" x14ac:dyDescent="0.25">
      <c r="D60" s="14" t="s">
        <v>59</v>
      </c>
      <c r="E60" s="62">
        <v>12</v>
      </c>
      <c r="F60" s="68" t="s">
        <v>12</v>
      </c>
      <c r="G60" s="69">
        <f>G$59*E16/$E$60/$E$62*$E$61</f>
        <v>83.333333333333343</v>
      </c>
      <c r="H60" s="69"/>
      <c r="I60" s="69"/>
      <c r="J60" s="69"/>
    </row>
    <row r="61" spans="1:20" x14ac:dyDescent="0.25">
      <c r="D61" s="14" t="s">
        <v>63</v>
      </c>
      <c r="E61" s="62">
        <v>1.25</v>
      </c>
      <c r="F61" s="68"/>
      <c r="G61" s="69"/>
      <c r="H61" s="69"/>
      <c r="I61" s="69"/>
      <c r="J61" s="69"/>
    </row>
    <row r="62" spans="1:20" x14ac:dyDescent="0.25">
      <c r="D62" s="14" t="s">
        <v>60</v>
      </c>
      <c r="E62" s="62">
        <v>0.9</v>
      </c>
      <c r="F62" s="68"/>
      <c r="G62" s="69"/>
      <c r="H62" s="69"/>
      <c r="I62" s="69"/>
      <c r="J62" s="69"/>
    </row>
    <row r="63" spans="1:20" x14ac:dyDescent="0.25">
      <c r="M63" s="66" t="s">
        <v>584</v>
      </c>
      <c r="N63" s="66"/>
      <c r="O63" s="66"/>
      <c r="P63" s="66"/>
      <c r="Q63" s="66"/>
      <c r="R63" s="66" t="s">
        <v>592</v>
      </c>
      <c r="S63" s="66"/>
      <c r="T63" s="67" t="s">
        <v>16</v>
      </c>
    </row>
    <row r="64" spans="1:20" x14ac:dyDescent="0.25">
      <c r="M64" s="14" t="s">
        <v>585</v>
      </c>
      <c r="N64" s="14" t="s">
        <v>586</v>
      </c>
      <c r="O64" s="14" t="s">
        <v>587</v>
      </c>
      <c r="P64" s="14" t="s">
        <v>588</v>
      </c>
      <c r="Q64" s="14" t="s">
        <v>589</v>
      </c>
      <c r="R64" s="14" t="s">
        <v>590</v>
      </c>
      <c r="S64" s="14" t="s">
        <v>591</v>
      </c>
      <c r="T64" s="67"/>
    </row>
    <row r="65" spans="11:26" ht="30" x14ac:dyDescent="0.25">
      <c r="M65" s="14" t="s">
        <v>593</v>
      </c>
      <c r="N65" s="14" t="s">
        <v>593</v>
      </c>
      <c r="O65" s="14" t="s">
        <v>438</v>
      </c>
      <c r="P65" s="14" t="s">
        <v>438</v>
      </c>
      <c r="Q65" s="14" t="s">
        <v>593</v>
      </c>
      <c r="R65" s="14" t="s">
        <v>438</v>
      </c>
      <c r="S65" s="14" t="s">
        <v>224</v>
      </c>
      <c r="T65" s="61" t="s">
        <v>599</v>
      </c>
    </row>
    <row r="66" spans="11:26" ht="30" x14ac:dyDescent="0.25">
      <c r="M66" s="14" t="s">
        <v>593</v>
      </c>
      <c r="N66" s="64" t="s">
        <v>594</v>
      </c>
      <c r="O66" s="14" t="s">
        <v>438</v>
      </c>
      <c r="P66" s="14" t="s">
        <v>438</v>
      </c>
      <c r="Q66" s="14" t="s">
        <v>593</v>
      </c>
      <c r="R66" s="14" t="s">
        <v>438</v>
      </c>
      <c r="S66" s="14" t="s">
        <v>438</v>
      </c>
      <c r="T66" s="61" t="s">
        <v>600</v>
      </c>
    </row>
    <row r="67" spans="11:26" ht="45" x14ac:dyDescent="0.25">
      <c r="M67" s="14" t="s">
        <v>593</v>
      </c>
      <c r="N67" s="14" t="s">
        <v>593</v>
      </c>
      <c r="O67" s="14" t="s">
        <v>595</v>
      </c>
      <c r="P67" s="14" t="s">
        <v>438</v>
      </c>
      <c r="Q67" s="14" t="s">
        <v>593</v>
      </c>
      <c r="R67" s="14" t="s">
        <v>438</v>
      </c>
      <c r="S67" s="14" t="s">
        <v>598</v>
      </c>
      <c r="T67" s="61" t="s">
        <v>601</v>
      </c>
    </row>
    <row r="68" spans="11:26" ht="90" x14ac:dyDescent="0.25">
      <c r="M68" s="64" t="s">
        <v>594</v>
      </c>
      <c r="N68" s="14" t="s">
        <v>593</v>
      </c>
      <c r="O68" s="14" t="s">
        <v>438</v>
      </c>
      <c r="P68" s="14" t="s">
        <v>595</v>
      </c>
      <c r="Q68" s="14" t="s">
        <v>595</v>
      </c>
      <c r="R68" s="14" t="s">
        <v>596</v>
      </c>
      <c r="S68" s="14" t="s">
        <v>224</v>
      </c>
      <c r="T68" s="61" t="s">
        <v>602</v>
      </c>
    </row>
    <row r="69" spans="11:26" ht="45" x14ac:dyDescent="0.25">
      <c r="M69" s="14" t="s">
        <v>593</v>
      </c>
      <c r="N69" s="64" t="s">
        <v>594</v>
      </c>
      <c r="O69" s="14" t="s">
        <v>438</v>
      </c>
      <c r="P69" s="14" t="s">
        <v>595</v>
      </c>
      <c r="Q69" s="14" t="s">
        <v>593</v>
      </c>
      <c r="R69" s="14" t="s">
        <v>224</v>
      </c>
      <c r="S69" s="14" t="s">
        <v>597</v>
      </c>
      <c r="T69" s="61" t="s">
        <v>603</v>
      </c>
    </row>
    <row r="70" spans="11:26" ht="60" x14ac:dyDescent="0.25">
      <c r="M70" s="64" t="s">
        <v>594</v>
      </c>
      <c r="N70" s="64" t="s">
        <v>594</v>
      </c>
      <c r="O70" s="14" t="s">
        <v>438</v>
      </c>
      <c r="P70" s="14" t="s">
        <v>595</v>
      </c>
      <c r="Q70" s="14" t="s">
        <v>593</v>
      </c>
      <c r="R70" s="14" t="s">
        <v>596</v>
      </c>
      <c r="S70" s="14" t="s">
        <v>597</v>
      </c>
      <c r="T70" s="61" t="s">
        <v>604</v>
      </c>
    </row>
    <row r="71" spans="11:26" x14ac:dyDescent="0.25">
      <c r="K71" s="38"/>
      <c r="U71" s="65"/>
      <c r="V71" s="65"/>
      <c r="W71" s="65"/>
      <c r="X71" s="65"/>
      <c r="Y71" s="65"/>
      <c r="Z71" s="65"/>
    </row>
    <row r="72" spans="11:26" x14ac:dyDescent="0.25">
      <c r="U72" s="65"/>
      <c r="V72" s="65"/>
      <c r="W72" s="65"/>
      <c r="X72" s="65"/>
      <c r="Y72" s="65"/>
      <c r="Z72" s="65"/>
    </row>
    <row r="73" spans="11:26" x14ac:dyDescent="0.25">
      <c r="U73" s="65"/>
      <c r="V73" s="65"/>
      <c r="W73" s="65"/>
      <c r="X73" s="65"/>
      <c r="Y73" s="65"/>
      <c r="Z73" s="65"/>
    </row>
    <row r="74" spans="11:26" x14ac:dyDescent="0.25">
      <c r="U74" s="65"/>
      <c r="V74" s="65"/>
      <c r="W74" s="65"/>
      <c r="X74" s="65"/>
      <c r="Y74" s="65"/>
      <c r="Z74" s="65"/>
    </row>
    <row r="75" spans="11:26" x14ac:dyDescent="0.25">
      <c r="U75" s="65"/>
      <c r="V75" s="65"/>
      <c r="W75" s="65"/>
      <c r="X75" s="65"/>
      <c r="Y75" s="65"/>
      <c r="Z75" s="65"/>
    </row>
    <row r="76" spans="11:26" x14ac:dyDescent="0.25">
      <c r="U76" s="65"/>
      <c r="V76" s="65"/>
      <c r="W76" s="65"/>
      <c r="X76" s="65"/>
      <c r="Y76" s="65"/>
      <c r="Z76" s="65"/>
    </row>
    <row r="77" spans="11:26" x14ac:dyDescent="0.25">
      <c r="U77" s="65"/>
      <c r="V77" s="65"/>
      <c r="W77" s="65"/>
      <c r="X77" s="65"/>
      <c r="Y77" s="65"/>
      <c r="Z77" s="65"/>
    </row>
    <row r="78" spans="11:26" x14ac:dyDescent="0.25">
      <c r="U78" s="65"/>
      <c r="V78" s="65"/>
      <c r="W78" s="65"/>
      <c r="X78" s="65"/>
      <c r="Y78" s="65"/>
      <c r="Z78" s="65"/>
    </row>
    <row r="79" spans="11:26" x14ac:dyDescent="0.25">
      <c r="U79" s="65"/>
      <c r="V79" s="65"/>
      <c r="W79" s="65"/>
      <c r="X79" s="65"/>
      <c r="Y79" s="65"/>
      <c r="Z79" s="65"/>
    </row>
    <row r="80" spans="11:26" x14ac:dyDescent="0.25">
      <c r="U80" s="65"/>
      <c r="V80" s="65"/>
      <c r="W80" s="65"/>
      <c r="X80" s="65"/>
      <c r="Y80" s="65"/>
      <c r="Z80" s="65"/>
    </row>
    <row r="81" spans="21:26" x14ac:dyDescent="0.25">
      <c r="U81" s="65"/>
      <c r="V81" s="65"/>
      <c r="W81" s="65"/>
      <c r="X81" s="65"/>
      <c r="Y81" s="65"/>
      <c r="Z81" s="65"/>
    </row>
    <row r="82" spans="21:26" x14ac:dyDescent="0.25">
      <c r="U82" s="65"/>
      <c r="V82" s="65"/>
      <c r="W82" s="65"/>
      <c r="X82" s="65"/>
      <c r="Y82" s="65"/>
      <c r="Z82" s="65"/>
    </row>
    <row r="83" spans="21:26" x14ac:dyDescent="0.25">
      <c r="U83" s="65"/>
      <c r="V83" s="65"/>
      <c r="W83" s="65"/>
      <c r="X83" s="65"/>
      <c r="Y83" s="65"/>
      <c r="Z83" s="65"/>
    </row>
    <row r="84" spans="21:26" x14ac:dyDescent="0.25">
      <c r="U84" s="65"/>
      <c r="V84" s="65"/>
      <c r="W84" s="65"/>
      <c r="X84" s="65"/>
      <c r="Y84" s="65"/>
      <c r="Z84" s="65"/>
    </row>
    <row r="85" spans="21:26" x14ac:dyDescent="0.25">
      <c r="U85" s="65"/>
      <c r="V85" s="65"/>
      <c r="W85" s="65"/>
      <c r="X85" s="65"/>
      <c r="Y85" s="65"/>
      <c r="Z85" s="65"/>
    </row>
    <row r="86" spans="21:26" x14ac:dyDescent="0.25">
      <c r="U86" s="65"/>
      <c r="V86" s="65"/>
      <c r="W86" s="65"/>
      <c r="X86" s="65"/>
      <c r="Y86" s="65"/>
      <c r="Z86" s="65"/>
    </row>
    <row r="87" spans="21:26" x14ac:dyDescent="0.25">
      <c r="U87" s="65"/>
      <c r="V87" s="65"/>
      <c r="W87" s="65"/>
      <c r="X87" s="65"/>
      <c r="Y87" s="65"/>
      <c r="Z87" s="65"/>
    </row>
    <row r="88" spans="21:26" x14ac:dyDescent="0.25">
      <c r="U88" s="65"/>
      <c r="V88" s="65"/>
      <c r="W88" s="65"/>
      <c r="X88" s="65"/>
      <c r="Y88" s="65"/>
      <c r="Z88" s="65"/>
    </row>
    <row r="89" spans="21:26" x14ac:dyDescent="0.25">
      <c r="U89" s="65"/>
      <c r="V89" s="65"/>
      <c r="W89" s="65"/>
      <c r="X89" s="65"/>
      <c r="Y89" s="65"/>
      <c r="Z89" s="65"/>
    </row>
    <row r="90" spans="21:26" x14ac:dyDescent="0.25">
      <c r="U90" s="65"/>
      <c r="V90" s="65"/>
      <c r="W90" s="65"/>
      <c r="X90" s="65"/>
      <c r="Y90" s="65"/>
      <c r="Z90" s="65"/>
    </row>
    <row r="91" spans="21:26" x14ac:dyDescent="0.25">
      <c r="U91" s="65"/>
      <c r="V91" s="65"/>
      <c r="W91" s="65"/>
      <c r="X91" s="65"/>
      <c r="Y91" s="65"/>
      <c r="Z91" s="65"/>
    </row>
    <row r="92" spans="21:26" x14ac:dyDescent="0.25">
      <c r="U92" s="65"/>
      <c r="V92" s="65"/>
      <c r="W92" s="65"/>
      <c r="X92" s="65"/>
      <c r="Y92" s="65"/>
      <c r="Z92" s="65"/>
    </row>
    <row r="93" spans="21:26" x14ac:dyDescent="0.25">
      <c r="U93" s="65"/>
      <c r="V93" s="65"/>
      <c r="W93" s="65"/>
      <c r="X93" s="65"/>
      <c r="Y93" s="65"/>
      <c r="Z93" s="65"/>
    </row>
  </sheetData>
  <mergeCells count="29">
    <mergeCell ref="D58:D59"/>
    <mergeCell ref="E58:F59"/>
    <mergeCell ref="D51:D52"/>
    <mergeCell ref="E51:F52"/>
    <mergeCell ref="G51:J51"/>
    <mergeCell ref="G52:J52"/>
    <mergeCell ref="G53:J53"/>
    <mergeCell ref="G54:J54"/>
    <mergeCell ref="G55:J55"/>
    <mergeCell ref="D37:D38"/>
    <mergeCell ref="E37:F38"/>
    <mergeCell ref="G37:J37"/>
    <mergeCell ref="G38:J38"/>
    <mergeCell ref="G44:J44"/>
    <mergeCell ref="F39:F41"/>
    <mergeCell ref="G39:J41"/>
    <mergeCell ref="D44:D45"/>
    <mergeCell ref="E44:F45"/>
    <mergeCell ref="R63:S63"/>
    <mergeCell ref="M63:Q63"/>
    <mergeCell ref="T63:T64"/>
    <mergeCell ref="F47:F48"/>
    <mergeCell ref="G47:H48"/>
    <mergeCell ref="I47:I48"/>
    <mergeCell ref="J47:J48"/>
    <mergeCell ref="F60:F62"/>
    <mergeCell ref="G60:J62"/>
    <mergeCell ref="G59:J59"/>
    <mergeCell ref="G58:J5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3"/>
  <sheetViews>
    <sheetView tabSelected="1" topLeftCell="A79" zoomScale="130" zoomScaleNormal="130" workbookViewId="0">
      <selection activeCell="B100" sqref="B100"/>
    </sheetView>
  </sheetViews>
  <sheetFormatPr defaultRowHeight="15" x14ac:dyDescent="0.25"/>
  <cols>
    <col min="1" max="1" width="9.140625" style="10"/>
    <col min="2" max="2" width="42.85546875" style="10" customWidth="1"/>
    <col min="3" max="3" width="15.85546875" style="12" bestFit="1" customWidth="1"/>
    <col min="4" max="4" width="40" style="35" bestFit="1" customWidth="1"/>
    <col min="5" max="5" width="12.140625" style="10" customWidth="1"/>
    <col min="6" max="6" width="12.42578125" style="10" customWidth="1"/>
    <col min="7" max="7" width="18" style="10" bestFit="1" customWidth="1"/>
    <col min="8" max="8" width="20.85546875" style="10" bestFit="1" customWidth="1"/>
    <col min="9" max="9" width="9.140625" style="10" hidden="1" customWidth="1"/>
    <col min="10" max="10" width="11" style="10" hidden="1" customWidth="1"/>
    <col min="11" max="11" width="10.42578125" style="10" hidden="1" customWidth="1"/>
    <col min="12" max="12" width="13.140625" style="10" bestFit="1" customWidth="1"/>
    <col min="13" max="13" width="9.140625" style="10"/>
    <col min="14" max="17" width="9.140625" style="34"/>
  </cols>
  <sheetData>
    <row r="1" spans="1:17" x14ac:dyDescent="0.25">
      <c r="A1" s="17" t="s">
        <v>282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/>
      <c r="O1"/>
      <c r="P1"/>
      <c r="Q1"/>
    </row>
    <row r="2" spans="1:17" x14ac:dyDescent="0.25">
      <c r="A2" s="17" t="s">
        <v>474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/>
      <c r="O2"/>
      <c r="P2"/>
      <c r="Q2"/>
    </row>
    <row r="3" spans="1:17" x14ac:dyDescent="0.25">
      <c r="A3" s="17"/>
      <c r="B3" s="17" t="s">
        <v>473</v>
      </c>
      <c r="C3" s="17" t="s">
        <v>289</v>
      </c>
      <c r="D3" s="17" t="s">
        <v>581</v>
      </c>
      <c r="E3" s="17" t="s">
        <v>290</v>
      </c>
      <c r="F3" s="17" t="s">
        <v>291</v>
      </c>
      <c r="G3" s="17" t="s">
        <v>546</v>
      </c>
      <c r="H3" s="17" t="s">
        <v>547</v>
      </c>
      <c r="I3" s="17" t="s">
        <v>562</v>
      </c>
      <c r="J3" s="17" t="s">
        <v>563</v>
      </c>
      <c r="K3" s="17" t="s">
        <v>564</v>
      </c>
      <c r="L3" s="17"/>
      <c r="M3" s="17"/>
      <c r="N3"/>
      <c r="O3"/>
      <c r="P3"/>
      <c r="Q3"/>
    </row>
    <row r="4" spans="1:17" x14ac:dyDescent="0.25">
      <c r="A4" s="17"/>
      <c r="B4" s="17">
        <v>1</v>
      </c>
      <c r="C4" s="17">
        <v>2</v>
      </c>
      <c r="D4" s="17" t="s">
        <v>605</v>
      </c>
      <c r="E4" s="17">
        <v>4</v>
      </c>
      <c r="F4" s="17">
        <v>5</v>
      </c>
      <c r="G4" s="17">
        <v>6</v>
      </c>
      <c r="H4" s="17">
        <v>7</v>
      </c>
      <c r="I4" s="17"/>
      <c r="J4" s="17"/>
      <c r="K4" s="17"/>
      <c r="L4" s="17"/>
      <c r="M4" s="17"/>
      <c r="N4"/>
      <c r="O4"/>
      <c r="P4"/>
      <c r="Q4"/>
    </row>
    <row r="5" spans="1:17" x14ac:dyDescent="0.25">
      <c r="A5" s="17"/>
      <c r="B5" s="17" t="s">
        <v>476</v>
      </c>
      <c r="C5" s="17">
        <v>5</v>
      </c>
      <c r="D5" s="17" t="s">
        <v>495</v>
      </c>
      <c r="E5" s="17">
        <f>Таблица1[[#This Row],[длина, мм]]*Таблица1[[#This Row],[ширина, мм]]*Таблица1[[#This Row],[Количество, шт]]</f>
        <v>7.2000000000000011</v>
      </c>
      <c r="F5" s="17">
        <f>Таблица1[[#This Row],[Площадь элементов, мм2]]*Таблица1[[#This Row],[высота, мм]]</f>
        <v>5.04</v>
      </c>
      <c r="G5" s="17">
        <v>1.2999999999999999E-3</v>
      </c>
      <c r="H5" s="17">
        <v>0.4</v>
      </c>
      <c r="I5" s="17">
        <v>0.9</v>
      </c>
      <c r="J5" s="17">
        <v>1.6</v>
      </c>
      <c r="K5" s="17">
        <v>0.7</v>
      </c>
      <c r="L5" s="17"/>
      <c r="M5" s="17"/>
      <c r="N5"/>
      <c r="O5"/>
      <c r="P5"/>
      <c r="Q5"/>
    </row>
    <row r="6" spans="1:17" x14ac:dyDescent="0.25">
      <c r="A6" s="17"/>
      <c r="B6" s="17" t="s">
        <v>476</v>
      </c>
      <c r="C6" s="17">
        <v>16</v>
      </c>
      <c r="D6" s="17" t="s">
        <v>496</v>
      </c>
      <c r="E6" s="17">
        <f>Таблица1[[#This Row],[длина, мм]]*Таблица1[[#This Row],[ширина, мм]]*Таблица1[[#This Row],[Количество, шт]]</f>
        <v>120.96</v>
      </c>
      <c r="F6" s="17">
        <f>Таблица1[[#This Row],[Площадь элементов, мм2]]*Таблица1[[#This Row],[высота, мм]]</f>
        <v>78.623999999999995</v>
      </c>
      <c r="G6" s="17">
        <v>1.2999999999999999E-3</v>
      </c>
      <c r="H6" s="17">
        <v>0.4</v>
      </c>
      <c r="I6" s="17">
        <v>2.7</v>
      </c>
      <c r="J6" s="17">
        <v>2.8</v>
      </c>
      <c r="K6" s="17">
        <v>0.65</v>
      </c>
      <c r="L6" s="17"/>
      <c r="M6" s="17"/>
      <c r="N6"/>
      <c r="O6"/>
      <c r="P6"/>
      <c r="Q6"/>
    </row>
    <row r="7" spans="1:17" x14ac:dyDescent="0.25">
      <c r="A7" s="17"/>
      <c r="B7" s="17" t="s">
        <v>476</v>
      </c>
      <c r="C7" s="17">
        <v>2</v>
      </c>
      <c r="D7" s="17" t="s">
        <v>497</v>
      </c>
      <c r="E7" s="17">
        <f>Таблица1[[#This Row],[длина, мм]]*Таблица1[[#This Row],[ширина, мм]]*Таблица1[[#This Row],[Количество, шт]]</f>
        <v>10.5</v>
      </c>
      <c r="F7" s="17">
        <f>Таблица1[[#This Row],[Площадь элементов, мм2]]*Таблица1[[#This Row],[высота, мм]]</f>
        <v>16.8</v>
      </c>
      <c r="G7" s="17">
        <v>3.0000000000000001E-3</v>
      </c>
      <c r="H7" s="17">
        <v>0.3</v>
      </c>
      <c r="I7" s="17">
        <v>1.5</v>
      </c>
      <c r="J7" s="17">
        <v>3.5</v>
      </c>
      <c r="K7" s="17">
        <v>1.6</v>
      </c>
      <c r="L7" s="17"/>
      <c r="M7" s="17"/>
      <c r="N7"/>
      <c r="O7"/>
      <c r="P7"/>
      <c r="Q7"/>
    </row>
    <row r="8" spans="1:17" x14ac:dyDescent="0.25">
      <c r="A8" s="17"/>
      <c r="B8" s="17" t="s">
        <v>498</v>
      </c>
      <c r="C8" s="17">
        <v>3</v>
      </c>
      <c r="D8" s="17" t="s">
        <v>499</v>
      </c>
      <c r="E8" s="17">
        <f>Таблица1[[#This Row],[длина, мм]]*Таблица1[[#This Row],[ширина, мм]]*Таблица1[[#This Row],[Количество, шт]]</f>
        <v>1.6500000000000001</v>
      </c>
      <c r="F8" s="17">
        <f>Таблица1[[#This Row],[Площадь элементов, мм2]]*Таблица1[[#This Row],[высота, мм]]</f>
        <v>0.9075000000000002</v>
      </c>
      <c r="G8" s="17">
        <v>0.01</v>
      </c>
      <c r="H8" s="17">
        <v>0.3</v>
      </c>
      <c r="I8" s="17">
        <v>0.55000000000000004</v>
      </c>
      <c r="J8" s="17">
        <v>1</v>
      </c>
      <c r="K8" s="17">
        <v>0.55000000000000004</v>
      </c>
      <c r="L8" s="17"/>
      <c r="M8" s="17"/>
      <c r="N8"/>
      <c r="O8"/>
      <c r="P8"/>
      <c r="Q8"/>
    </row>
    <row r="9" spans="1:17" x14ac:dyDescent="0.25">
      <c r="A9" s="17"/>
      <c r="B9" s="17" t="s">
        <v>498</v>
      </c>
      <c r="C9" s="17">
        <v>3</v>
      </c>
      <c r="D9" s="17" t="s">
        <v>500</v>
      </c>
      <c r="E9" s="17">
        <f>Таблица1[[#This Row],[длина, мм]]*Таблица1[[#This Row],[ширина, мм]]*Таблица1[[#This Row],[Количество, шт]]</f>
        <v>113.39999999999999</v>
      </c>
      <c r="F9" s="17">
        <f>Таблица1[[#This Row],[Площадь элементов, мм2]]*Таблица1[[#This Row],[высота, мм]]</f>
        <v>510.29999999999995</v>
      </c>
      <c r="G9" s="17">
        <v>0.01</v>
      </c>
      <c r="H9" s="17">
        <v>0.3</v>
      </c>
      <c r="I9" s="17">
        <v>6</v>
      </c>
      <c r="J9" s="17">
        <v>6.3</v>
      </c>
      <c r="K9" s="17">
        <v>4.5</v>
      </c>
      <c r="L9" s="17"/>
      <c r="M9" s="17"/>
      <c r="N9"/>
      <c r="O9"/>
      <c r="P9"/>
      <c r="Q9"/>
    </row>
    <row r="10" spans="1:17" x14ac:dyDescent="0.25">
      <c r="A10" s="17"/>
      <c r="B10" s="17" t="s">
        <v>479</v>
      </c>
      <c r="C10" s="17">
        <v>3</v>
      </c>
      <c r="D10" s="80" t="s">
        <v>501</v>
      </c>
      <c r="E10" s="17">
        <f>Таблица1[[#This Row],[длина, мм]]*Таблица1[[#This Row],[ширина, мм]]*Таблица1[[#This Row],[Количество, шт]]</f>
        <v>74.25</v>
      </c>
      <c r="F10" s="17">
        <f>Таблица1[[#This Row],[Площадь элементов, мм2]]*Таблица1[[#This Row],[высота, мм]]</f>
        <v>412.08749999999998</v>
      </c>
      <c r="G10" s="17">
        <v>1.2E-4</v>
      </c>
      <c r="H10" s="17">
        <v>0.25</v>
      </c>
      <c r="I10" s="17">
        <v>5.5</v>
      </c>
      <c r="J10" s="17">
        <v>4.5</v>
      </c>
      <c r="K10" s="17">
        <v>5.55</v>
      </c>
      <c r="L10" s="17"/>
      <c r="M10" s="17"/>
      <c r="N10"/>
      <c r="O10"/>
      <c r="P10"/>
      <c r="Q10"/>
    </row>
    <row r="11" spans="1:17" x14ac:dyDescent="0.25">
      <c r="A11" s="17"/>
      <c r="B11" s="17" t="s">
        <v>479</v>
      </c>
      <c r="C11" s="17">
        <v>3</v>
      </c>
      <c r="D11" s="80" t="s">
        <v>502</v>
      </c>
      <c r="E11" s="17">
        <f>Таблица1[[#This Row],[длина, мм]]*Таблица1[[#This Row],[ширина, мм]]*Таблица1[[#This Row],[Количество, шт]]</f>
        <v>107.25</v>
      </c>
      <c r="F11" s="17">
        <f>Таблица1[[#This Row],[Площадь элементов, мм2]]*Таблица1[[#This Row],[высота, мм]]</f>
        <v>595.23749999999995</v>
      </c>
      <c r="G11" s="17">
        <v>1.2E-4</v>
      </c>
      <c r="H11" s="17">
        <v>0.25</v>
      </c>
      <c r="I11" s="17">
        <v>6.5</v>
      </c>
      <c r="J11" s="17">
        <v>5.5</v>
      </c>
      <c r="K11" s="17">
        <v>5.55</v>
      </c>
      <c r="L11" s="17"/>
      <c r="M11" s="17"/>
      <c r="N11"/>
      <c r="O11"/>
      <c r="P11"/>
      <c r="Q11"/>
    </row>
    <row r="12" spans="1:17" x14ac:dyDescent="0.25">
      <c r="A12" s="17"/>
      <c r="B12" s="17" t="s">
        <v>479</v>
      </c>
      <c r="C12" s="17">
        <v>128</v>
      </c>
      <c r="D12" s="80" t="s">
        <v>503</v>
      </c>
      <c r="E12" s="17">
        <f>Таблица1[[#This Row],[длина, мм]]*Таблица1[[#This Row],[ширина, мм]]*Таблица1[[#This Row],[Количество, шт]]</f>
        <v>26.6112</v>
      </c>
      <c r="F12" s="17">
        <f>Таблица1[[#This Row],[Площадь элементов, мм2]]*Таблица1[[#This Row],[высота, мм]]</f>
        <v>7.9833599999999993</v>
      </c>
      <c r="G12" s="17">
        <v>9.8999999999999999E-4</v>
      </c>
      <c r="H12" s="17">
        <v>0.5</v>
      </c>
      <c r="I12" s="17">
        <v>0.63</v>
      </c>
      <c r="J12" s="17">
        <v>0.33</v>
      </c>
      <c r="K12" s="17">
        <v>0.3</v>
      </c>
      <c r="L12" s="17"/>
      <c r="M12" s="17"/>
      <c r="N12"/>
      <c r="O12"/>
      <c r="P12"/>
      <c r="Q12"/>
    </row>
    <row r="13" spans="1:17" x14ac:dyDescent="0.25">
      <c r="A13" s="17"/>
      <c r="B13" s="17" t="s">
        <v>479</v>
      </c>
      <c r="C13" s="17">
        <v>103</v>
      </c>
      <c r="D13" s="80" t="s">
        <v>504</v>
      </c>
      <c r="E13" s="17">
        <f>Таблица1[[#This Row],[длина, мм]]*Таблица1[[#This Row],[ширина, мм]]*Таблица1[[#This Row],[Количество, шт]]</f>
        <v>67.98</v>
      </c>
      <c r="F13" s="17">
        <f>Таблица1[[#This Row],[Площадь элементов, мм2]]*Таблица1[[#This Row],[высота, мм]]</f>
        <v>40.788000000000004</v>
      </c>
      <c r="G13" s="17">
        <v>9.8999999999999999E-4</v>
      </c>
      <c r="H13" s="17">
        <v>0.5</v>
      </c>
      <c r="I13" s="17">
        <v>1.1000000000000001</v>
      </c>
      <c r="J13" s="17">
        <v>0.6</v>
      </c>
      <c r="K13" s="17">
        <v>0.6</v>
      </c>
      <c r="L13" s="17"/>
      <c r="M13" s="17"/>
      <c r="N13"/>
      <c r="O13"/>
      <c r="P13"/>
      <c r="Q13"/>
    </row>
    <row r="14" spans="1:17" x14ac:dyDescent="0.25">
      <c r="A14" s="17"/>
      <c r="B14" s="17" t="s">
        <v>479</v>
      </c>
      <c r="C14" s="17">
        <v>8</v>
      </c>
      <c r="D14" s="80" t="s">
        <v>505</v>
      </c>
      <c r="E14" s="17">
        <f>Таблица1[[#This Row],[длина, мм]]*Таблица1[[#This Row],[ширина, мм]]*Таблица1[[#This Row],[Количество, шт]]</f>
        <v>13.299999999999999</v>
      </c>
      <c r="F14" s="17">
        <f>Таблица1[[#This Row],[Площадь элементов, мм2]]*Таблица1[[#This Row],[высота, мм]]</f>
        <v>11.304999999999998</v>
      </c>
      <c r="G14" s="17">
        <v>9.8999999999999999E-4</v>
      </c>
      <c r="H14" s="17">
        <v>0.5</v>
      </c>
      <c r="I14" s="17">
        <v>1.75</v>
      </c>
      <c r="J14" s="17">
        <v>0.95</v>
      </c>
      <c r="K14" s="17">
        <v>0.85</v>
      </c>
      <c r="L14" s="17"/>
      <c r="M14" s="17"/>
      <c r="N14"/>
      <c r="O14"/>
      <c r="P14"/>
      <c r="Q14"/>
    </row>
    <row r="15" spans="1:17" x14ac:dyDescent="0.25">
      <c r="A15" s="17"/>
      <c r="B15" s="17" t="s">
        <v>507</v>
      </c>
      <c r="C15" s="17">
        <v>1</v>
      </c>
      <c r="D15" s="80" t="s">
        <v>508</v>
      </c>
      <c r="E15" s="17">
        <f>Таблица1[[#This Row],[длина, мм]]*Таблица1[[#This Row],[ширина, мм]]*Таблица1[[#This Row],[Количество, шт]]</f>
        <v>7.1929500000000006</v>
      </c>
      <c r="F15" s="17">
        <f>Таблица1[[#This Row],[Площадь элементов, мм2]]*Таблица1[[#This Row],[высота, мм]]</f>
        <v>8.0561040000000013</v>
      </c>
      <c r="G15" s="17">
        <f>2.8*10^(-4)*3^1.08</f>
        <v>9.1716819567566968E-4</v>
      </c>
      <c r="H15" s="17">
        <v>0.3</v>
      </c>
      <c r="I15" s="17">
        <v>3.0350000000000001</v>
      </c>
      <c r="J15" s="17">
        <v>2.37</v>
      </c>
      <c r="K15" s="17">
        <v>1.1200000000000001</v>
      </c>
      <c r="L15" s="17"/>
      <c r="M15" s="17"/>
      <c r="N15"/>
      <c r="O15"/>
      <c r="P15"/>
      <c r="Q15"/>
    </row>
    <row r="16" spans="1:17" x14ac:dyDescent="0.25">
      <c r="A16" s="17"/>
      <c r="B16" s="17" t="s">
        <v>506</v>
      </c>
      <c r="C16" s="17">
        <v>2</v>
      </c>
      <c r="D16" s="80" t="s">
        <v>1</v>
      </c>
      <c r="E16" s="17">
        <f>Таблица1[[#This Row],[длина, мм]]*Таблица1[[#This Row],[ширина, мм]]*Таблица1[[#This Row],[Количество, шт]]</f>
        <v>60.599999999999994</v>
      </c>
      <c r="F16" s="17">
        <f>Таблица1[[#This Row],[Площадь элементов, мм2]]*Таблица1[[#This Row],[высота, мм]]</f>
        <v>106.04999999999998</v>
      </c>
      <c r="G16" s="17">
        <f>2.8*10^(-4)*8^1.08</f>
        <v>2.6454235616021481E-3</v>
      </c>
      <c r="H16" s="17">
        <v>0.4</v>
      </c>
      <c r="I16" s="17">
        <v>5.05</v>
      </c>
      <c r="J16" s="17">
        <v>6</v>
      </c>
      <c r="K16" s="17">
        <v>1.75</v>
      </c>
      <c r="L16" s="17"/>
      <c r="M16" s="17"/>
      <c r="N16"/>
      <c r="O16"/>
      <c r="P16"/>
      <c r="Q16"/>
    </row>
    <row r="17" spans="1:17" x14ac:dyDescent="0.25">
      <c r="A17" s="17"/>
      <c r="B17" s="17" t="s">
        <v>507</v>
      </c>
      <c r="C17" s="17">
        <v>1</v>
      </c>
      <c r="D17" s="80" t="s">
        <v>2</v>
      </c>
      <c r="E17" s="17">
        <f>Таблица1[[#This Row],[длина, мм]]*Таблица1[[#This Row],[ширина, мм]]*Таблица1[[#This Row],[Количество, шт]]</f>
        <v>15.190000000000001</v>
      </c>
      <c r="F17" s="17">
        <f>Таблица1[[#This Row],[Площадь элементов, мм2]]*Таблица1[[#This Row],[высота, мм]]</f>
        <v>16.709000000000003</v>
      </c>
      <c r="G17" s="17">
        <f>2.8*10^(-4)*9^1.08</f>
        <v>3.0042767827105844E-3</v>
      </c>
      <c r="H17" s="17">
        <v>0.4</v>
      </c>
      <c r="I17" s="17">
        <v>3.1</v>
      </c>
      <c r="J17" s="17">
        <v>4.9000000000000004</v>
      </c>
      <c r="K17" s="17">
        <v>1.1000000000000001</v>
      </c>
      <c r="L17" s="17"/>
      <c r="M17" s="17"/>
      <c r="N17"/>
      <c r="O17"/>
      <c r="P17"/>
      <c r="Q17"/>
    </row>
    <row r="18" spans="1:17" x14ac:dyDescent="0.25">
      <c r="A18" s="17"/>
      <c r="B18" s="17" t="s">
        <v>507</v>
      </c>
      <c r="C18" s="17">
        <v>1</v>
      </c>
      <c r="D18" s="80" t="s">
        <v>509</v>
      </c>
      <c r="E18" s="17">
        <f>Таблица1[[#This Row],[длина, мм]]*Таблица1[[#This Row],[ширина, мм]]*Таблица1[[#This Row],[Количество, шт]]</f>
        <v>225</v>
      </c>
      <c r="F18" s="17">
        <f>Таблица1[[#This Row],[Площадь элементов, мм2]]*Таблица1[[#This Row],[высота, мм]]</f>
        <v>315</v>
      </c>
      <c r="G18" s="17">
        <f>2.8*10^(-4)*324^1.08</f>
        <v>0.14406107206704791</v>
      </c>
      <c r="H18" s="17">
        <v>0.6</v>
      </c>
      <c r="I18" s="17">
        <v>15</v>
      </c>
      <c r="J18" s="17">
        <v>15</v>
      </c>
      <c r="K18" s="17">
        <v>1.4</v>
      </c>
      <c r="L18" s="17"/>
      <c r="M18" s="17"/>
      <c r="N18"/>
      <c r="O18"/>
      <c r="P18"/>
      <c r="Q18"/>
    </row>
    <row r="19" spans="1:17" x14ac:dyDescent="0.25">
      <c r="A19" s="17"/>
      <c r="B19" s="17" t="s">
        <v>506</v>
      </c>
      <c r="C19" s="17">
        <v>2</v>
      </c>
      <c r="D19" s="80" t="s">
        <v>46</v>
      </c>
      <c r="E19" s="17">
        <f>Таблица1[[#This Row],[длина, мм]]*Таблица1[[#This Row],[ширина, мм]]*Таблица1[[#This Row],[Количество, шт]]</f>
        <v>19.980000000000004</v>
      </c>
      <c r="F19" s="17">
        <f>Таблица1[[#This Row],[Площадь элементов, мм2]]*Таблица1[[#This Row],[высота, мм]]</f>
        <v>19.980000000000004</v>
      </c>
      <c r="G19" s="17">
        <f>2.8*10^(-4)*17^1.08</f>
        <v>5.9709421902697894E-3</v>
      </c>
      <c r="H19" s="17">
        <v>0.4</v>
      </c>
      <c r="I19" s="17">
        <v>3.7</v>
      </c>
      <c r="J19" s="17">
        <v>2.7</v>
      </c>
      <c r="K19" s="17">
        <v>1</v>
      </c>
      <c r="L19" s="17"/>
      <c r="M19" s="17"/>
      <c r="N19"/>
      <c r="O19"/>
      <c r="P19"/>
      <c r="Q19"/>
    </row>
    <row r="20" spans="1:17" x14ac:dyDescent="0.25">
      <c r="A20" s="17"/>
      <c r="B20" s="17" t="s">
        <v>507</v>
      </c>
      <c r="C20" s="17">
        <v>1</v>
      </c>
      <c r="D20" s="80" t="s">
        <v>510</v>
      </c>
      <c r="E20" s="17">
        <f>Таблица1[[#This Row],[длина, мм]]*Таблица1[[#This Row],[ширина, мм]]*Таблица1[[#This Row],[Количество, шт]]</f>
        <v>10.758399999999998</v>
      </c>
      <c r="F20" s="17">
        <f>Таблица1[[#This Row],[Площадь элементов, мм2]]*Таблица1[[#This Row],[высота, мм]]</f>
        <v>6.9929599999999992</v>
      </c>
      <c r="G20" s="17">
        <f>2.8*10^(-4)*36^1.08</f>
        <v>1.3426559234126103E-2</v>
      </c>
      <c r="H20" s="17">
        <v>0.4</v>
      </c>
      <c r="I20" s="17">
        <v>3.28</v>
      </c>
      <c r="J20" s="17">
        <v>3.28</v>
      </c>
      <c r="K20" s="17">
        <v>0.65</v>
      </c>
      <c r="L20" s="17"/>
      <c r="M20" s="17"/>
      <c r="N20"/>
      <c r="O20"/>
      <c r="P20"/>
      <c r="Q20"/>
    </row>
    <row r="21" spans="1:17" x14ac:dyDescent="0.25">
      <c r="A21" s="17"/>
      <c r="B21" s="17" t="s">
        <v>507</v>
      </c>
      <c r="C21" s="17">
        <v>1</v>
      </c>
      <c r="D21" s="80" t="s">
        <v>511</v>
      </c>
      <c r="E21" s="17">
        <f>Таблица1[[#This Row],[длина, мм]]*Таблица1[[#This Row],[ширина, мм]]*Таблица1[[#This Row],[Количество, шт]]</f>
        <v>234.49020000000002</v>
      </c>
      <c r="F21" s="17">
        <f>Таблица1[[#This Row],[Площадь элементов, мм2]]*Таблица1[[#This Row],[высота, мм]]</f>
        <v>401.68171260000003</v>
      </c>
      <c r="G21" s="17">
        <f>3.6*10^(-4)*53^1.08</f>
        <v>2.6213224074644745E-2</v>
      </c>
      <c r="H21" s="17">
        <v>0.1</v>
      </c>
      <c r="I21" s="17">
        <v>18.010000000000002</v>
      </c>
      <c r="J21" s="17">
        <v>13.02</v>
      </c>
      <c r="K21" s="17">
        <v>1.7130000000000001</v>
      </c>
      <c r="L21" s="17"/>
      <c r="M21" s="17"/>
      <c r="N21"/>
      <c r="O21"/>
      <c r="P21"/>
      <c r="Q21"/>
    </row>
    <row r="22" spans="1:17" x14ac:dyDescent="0.25">
      <c r="A22" s="17"/>
      <c r="B22" s="17" t="s">
        <v>506</v>
      </c>
      <c r="C22" s="17">
        <v>2</v>
      </c>
      <c r="D22" s="80" t="s">
        <v>512</v>
      </c>
      <c r="E22" s="17">
        <f>Таблица1[[#This Row],[длина, мм]]*Таблица1[[#This Row],[ширина, мм]]*Таблица1[[#This Row],[Количество, шт]]</f>
        <v>168</v>
      </c>
      <c r="F22" s="17">
        <f>Таблица1[[#This Row],[Площадь элементов, мм2]]*Таблица1[[#This Row],[высота, мм]]</f>
        <v>184.8</v>
      </c>
      <c r="G22" s="17">
        <f>2.8*10^(-4)*78^1.08</f>
        <v>3.0947117385673684E-2</v>
      </c>
      <c r="H22" s="17">
        <v>0.5</v>
      </c>
      <c r="I22" s="17">
        <v>10.5</v>
      </c>
      <c r="J22" s="17">
        <v>8</v>
      </c>
      <c r="K22" s="17">
        <v>1.1000000000000001</v>
      </c>
      <c r="L22" s="17"/>
      <c r="M22" s="17"/>
      <c r="N22"/>
      <c r="O22"/>
      <c r="P22"/>
      <c r="Q22"/>
    </row>
    <row r="23" spans="1:17" x14ac:dyDescent="0.25">
      <c r="A23" s="17"/>
      <c r="B23" s="17" t="s">
        <v>507</v>
      </c>
      <c r="C23" s="17">
        <v>1</v>
      </c>
      <c r="D23" s="80" t="s">
        <v>513</v>
      </c>
      <c r="E23" s="17">
        <f>Таблица1[[#This Row],[длина, мм]]*Таблица1[[#This Row],[ширина, мм]]*Таблица1[[#This Row],[Количество, шт]]</f>
        <v>252</v>
      </c>
      <c r="F23" s="17">
        <f>Таблица1[[#This Row],[Площадь элементов, мм2]]*Таблица1[[#This Row],[высота, мм]]</f>
        <v>252</v>
      </c>
      <c r="G23" s="17">
        <f>2.8*10^(-4)*169^1.08</f>
        <v>7.1330566363453168E-2</v>
      </c>
      <c r="H23" s="17">
        <v>0.5</v>
      </c>
      <c r="I23" s="17">
        <v>18</v>
      </c>
      <c r="J23" s="17">
        <v>14</v>
      </c>
      <c r="K23" s="17">
        <v>1</v>
      </c>
      <c r="L23" s="17"/>
      <c r="M23" s="17"/>
      <c r="N23"/>
      <c r="O23"/>
      <c r="P23"/>
      <c r="Q23"/>
    </row>
    <row r="24" spans="1:17" x14ac:dyDescent="0.25">
      <c r="A24" s="17"/>
      <c r="B24" s="17" t="s">
        <v>507</v>
      </c>
      <c r="C24" s="17">
        <v>1</v>
      </c>
      <c r="D24" s="80" t="s">
        <v>6</v>
      </c>
      <c r="E24" s="17">
        <f>Таблица1[[#This Row],[длина, мм]]*Таблица1[[#This Row],[ширина, мм]]*Таблица1[[#This Row],[Количество, шт]]</f>
        <v>97.969999999999985</v>
      </c>
      <c r="F24" s="17">
        <f>Таблица1[[#This Row],[Площадь элементов, мм2]]*Таблица1[[#This Row],[высота, мм]]</f>
        <v>244.92499999999995</v>
      </c>
      <c r="G24" s="17">
        <f>3.6*10^(-4)*18^1.08</f>
        <v>8.1657636638523146E-3</v>
      </c>
      <c r="H24" s="17">
        <v>0.4</v>
      </c>
      <c r="I24" s="17">
        <v>10.1</v>
      </c>
      <c r="J24" s="17">
        <v>9.6999999999999993</v>
      </c>
      <c r="K24" s="17">
        <v>2.5</v>
      </c>
      <c r="L24" s="17"/>
      <c r="M24" s="17"/>
      <c r="N24"/>
      <c r="O24"/>
      <c r="P24"/>
      <c r="Q24"/>
    </row>
    <row r="25" spans="1:17" x14ac:dyDescent="0.25">
      <c r="A25" s="17"/>
      <c r="B25" s="17" t="s">
        <v>507</v>
      </c>
      <c r="C25" s="17">
        <v>1</v>
      </c>
      <c r="D25" s="80" t="s">
        <v>34</v>
      </c>
      <c r="E25" s="17">
        <f>Таблица1[[#This Row],[длина, мм]]*Таблица1[[#This Row],[ширина, мм]]*Таблица1[[#This Row],[Количество, шт]]</f>
        <v>21.372500000000002</v>
      </c>
      <c r="F25" s="17">
        <f>Таблица1[[#This Row],[Площадь элементов, мм2]]*Таблица1[[#This Row],[высота, мм]]</f>
        <v>23.509750000000004</v>
      </c>
      <c r="G25" s="17">
        <f>2.8*10^(-4)*28^1.08</f>
        <v>1.0235020225025607E-2</v>
      </c>
      <c r="H25" s="17">
        <v>0.4</v>
      </c>
      <c r="I25" s="17">
        <v>4.1500000000000004</v>
      </c>
      <c r="J25" s="17">
        <v>5.15</v>
      </c>
      <c r="K25" s="17">
        <v>1.1000000000000001</v>
      </c>
      <c r="L25" s="17"/>
      <c r="M25" s="17"/>
      <c r="N25"/>
      <c r="O25"/>
      <c r="P25"/>
      <c r="Q25"/>
    </row>
    <row r="26" spans="1:17" x14ac:dyDescent="0.25">
      <c r="A26" s="17"/>
      <c r="B26" s="17" t="s">
        <v>506</v>
      </c>
      <c r="C26" s="17">
        <v>3</v>
      </c>
      <c r="D26" s="80" t="s">
        <v>8</v>
      </c>
      <c r="E26" s="17">
        <f>Таблица1[[#This Row],[длина, мм]]*Таблица1[[#This Row],[ширина, мм]]*Таблица1[[#This Row],[Количество, шт]]</f>
        <v>97.92</v>
      </c>
      <c r="F26" s="17">
        <f>Таблица1[[#This Row],[Площадь элементов, мм2]]*Таблица1[[#This Row],[высота, мм]]</f>
        <v>117.50399999999999</v>
      </c>
      <c r="G26" s="17">
        <f>2.8*10^(-4)*16^1.08</f>
        <v>5.5925208590792211E-3</v>
      </c>
      <c r="H26" s="17">
        <v>0.4</v>
      </c>
      <c r="I26" s="17">
        <v>5.0999999999999996</v>
      </c>
      <c r="J26" s="17">
        <v>6.4</v>
      </c>
      <c r="K26" s="17">
        <v>1.2</v>
      </c>
      <c r="L26" s="17"/>
      <c r="M26" s="17"/>
      <c r="N26"/>
      <c r="O26"/>
      <c r="P26"/>
      <c r="Q26"/>
    </row>
    <row r="27" spans="1:17" x14ac:dyDescent="0.25">
      <c r="A27" s="17"/>
      <c r="B27" s="17" t="s">
        <v>566</v>
      </c>
      <c r="C27" s="17">
        <v>1</v>
      </c>
      <c r="D27" s="80" t="s">
        <v>567</v>
      </c>
      <c r="E27" s="17">
        <f>Таблица1[[#This Row],[длина, мм]]*Таблица1[[#This Row],[ширина, мм]]*Таблица1[[#This Row],[Количество, шт]]</f>
        <v>1230</v>
      </c>
      <c r="F27" s="17">
        <f>Таблица1[[#This Row],[Площадь элементов, мм2]]*Таблица1[[#This Row],[высота, мм]]</f>
        <v>3075</v>
      </c>
      <c r="G27" s="17">
        <f>3.6*10^(-4)*40^1.08</f>
        <v>1.9343154086779758E-2</v>
      </c>
      <c r="H27" s="17">
        <v>0.1</v>
      </c>
      <c r="I27" s="17">
        <v>41</v>
      </c>
      <c r="J27" s="17">
        <v>30</v>
      </c>
      <c r="K27" s="17">
        <v>2.5</v>
      </c>
      <c r="L27" s="17"/>
      <c r="M27" s="17"/>
      <c r="N27"/>
      <c r="O27"/>
      <c r="P27"/>
      <c r="Q27"/>
    </row>
    <row r="28" spans="1:17" x14ac:dyDescent="0.25">
      <c r="A28" s="17"/>
      <c r="B28" s="17" t="s">
        <v>514</v>
      </c>
      <c r="C28" s="17">
        <v>1</v>
      </c>
      <c r="D28" s="80" t="s">
        <v>515</v>
      </c>
      <c r="E28" s="17">
        <f>Таблица1[[#This Row],[длина, мм]]*Таблица1[[#This Row],[ширина, мм]]*Таблица1[[#This Row],[Количество, шт]]</f>
        <v>31.014792</v>
      </c>
      <c r="F28" s="17">
        <f>Таблица1[[#This Row],[Площадь элементов, мм2]]*Таблица1[[#This Row],[высота, мм]]</f>
        <v>52.104850559999996</v>
      </c>
      <c r="G28" s="17">
        <v>7.1999999999999998E-3</v>
      </c>
      <c r="H28" s="17">
        <v>0.4</v>
      </c>
      <c r="I28" s="17">
        <v>5.0039999999999996</v>
      </c>
      <c r="J28" s="17">
        <v>6.1980000000000004</v>
      </c>
      <c r="K28" s="17">
        <v>1.68</v>
      </c>
      <c r="L28" s="17"/>
      <c r="M28" s="17"/>
      <c r="N28"/>
      <c r="O28"/>
      <c r="P28"/>
      <c r="Q28"/>
    </row>
    <row r="29" spans="1:17" x14ac:dyDescent="0.25">
      <c r="A29" s="17"/>
      <c r="B29" s="17" t="s">
        <v>514</v>
      </c>
      <c r="C29" s="17">
        <v>1</v>
      </c>
      <c r="D29" s="80" t="s">
        <v>516</v>
      </c>
      <c r="E29" s="17">
        <f>Таблица1[[#This Row],[длина, мм]]*Таблица1[[#This Row],[ширина, мм]]*Таблица1[[#This Row],[Количество, шт]]</f>
        <v>13.3225</v>
      </c>
      <c r="F29" s="17">
        <f>Таблица1[[#This Row],[Площадь элементов, мм2]]*Таблица1[[#This Row],[высота, мм]]</f>
        <v>13.3225</v>
      </c>
      <c r="G29" s="17">
        <v>7.1999999999999998E-3</v>
      </c>
      <c r="H29" s="17">
        <v>0.4</v>
      </c>
      <c r="I29" s="17">
        <v>3.65</v>
      </c>
      <c r="J29" s="17">
        <v>3.65</v>
      </c>
      <c r="K29" s="17">
        <v>1</v>
      </c>
      <c r="L29" s="17"/>
      <c r="M29" s="17"/>
      <c r="N29"/>
      <c r="O29"/>
      <c r="P29"/>
      <c r="Q29"/>
    </row>
    <row r="30" spans="1:17" x14ac:dyDescent="0.25">
      <c r="A30" s="17"/>
      <c r="B30" s="17" t="s">
        <v>514</v>
      </c>
      <c r="C30" s="17">
        <v>1</v>
      </c>
      <c r="D30" s="80" t="s">
        <v>517</v>
      </c>
      <c r="E30" s="17">
        <f>Таблица1[[#This Row],[длина, мм]]*Таблица1[[#This Row],[ширина, мм]]*Таблица1[[#This Row],[Количество, шт]]</f>
        <v>9.6100000000000012</v>
      </c>
      <c r="F30" s="17">
        <f>Таблица1[[#This Row],[Площадь элементов, мм2]]*Таблица1[[#This Row],[высота, мм]]</f>
        <v>9.6100000000000012</v>
      </c>
      <c r="G30" s="17">
        <v>7.1999999999999998E-3</v>
      </c>
      <c r="H30" s="17">
        <v>0.4</v>
      </c>
      <c r="I30" s="17">
        <v>3.1</v>
      </c>
      <c r="J30" s="17">
        <v>3.1</v>
      </c>
      <c r="K30" s="17">
        <v>1</v>
      </c>
      <c r="L30" s="17"/>
      <c r="M30" s="17"/>
      <c r="N30"/>
      <c r="O30"/>
      <c r="P30"/>
      <c r="Q30"/>
    </row>
    <row r="31" spans="1:17" x14ac:dyDescent="0.25">
      <c r="A31" s="17"/>
      <c r="B31" s="17" t="s">
        <v>514</v>
      </c>
      <c r="C31" s="17">
        <v>1</v>
      </c>
      <c r="D31" s="80" t="s">
        <v>518</v>
      </c>
      <c r="E31" s="17">
        <f>Таблица1[[#This Row],[длина, мм]]*Таблица1[[#This Row],[ширина, мм]]*Таблица1[[#This Row],[Количество, шт]]</f>
        <v>37.822500000000005</v>
      </c>
      <c r="F31" s="17">
        <f>Таблица1[[#This Row],[Площадь элементов, мм2]]*Таблица1[[#This Row],[высота, мм]]</f>
        <v>37.822500000000005</v>
      </c>
      <c r="G31" s="17">
        <v>7.1999999999999998E-3</v>
      </c>
      <c r="H31" s="17">
        <v>0.6</v>
      </c>
      <c r="I31" s="17">
        <v>6.15</v>
      </c>
      <c r="J31" s="17">
        <v>6.15</v>
      </c>
      <c r="K31" s="17">
        <v>1</v>
      </c>
      <c r="L31" s="17"/>
      <c r="M31" s="17"/>
      <c r="N31"/>
      <c r="O31"/>
      <c r="P31"/>
      <c r="Q31"/>
    </row>
    <row r="32" spans="1:17" x14ac:dyDescent="0.25">
      <c r="A32" s="17"/>
      <c r="B32" s="17" t="s">
        <v>514</v>
      </c>
      <c r="C32" s="17">
        <v>1</v>
      </c>
      <c r="D32" s="80" t="s">
        <v>519</v>
      </c>
      <c r="E32" s="17">
        <f>Таблица1[[#This Row],[длина, мм]]*Таблица1[[#This Row],[ширина, мм]]*Таблица1[[#This Row],[Количество, шт]]</f>
        <v>8.1199999999999992</v>
      </c>
      <c r="F32" s="17">
        <f>Таблица1[[#This Row],[Площадь элементов, мм2]]*Таблица1[[#This Row],[высота, мм]]</f>
        <v>8.1199999999999992</v>
      </c>
      <c r="G32" s="17">
        <v>7.1999999999999998E-3</v>
      </c>
      <c r="H32" s="17">
        <v>0.4</v>
      </c>
      <c r="I32" s="17">
        <v>2.9</v>
      </c>
      <c r="J32" s="17">
        <v>2.8</v>
      </c>
      <c r="K32" s="17">
        <v>1</v>
      </c>
      <c r="L32" s="17"/>
      <c r="M32" s="17"/>
      <c r="N32"/>
      <c r="O32"/>
      <c r="P32"/>
      <c r="Q32"/>
    </row>
    <row r="33" spans="1:17" x14ac:dyDescent="0.25">
      <c r="A33" s="17"/>
      <c r="B33" s="17" t="s">
        <v>520</v>
      </c>
      <c r="C33" s="17">
        <v>57</v>
      </c>
      <c r="D33" s="80" t="s">
        <v>521</v>
      </c>
      <c r="E33" s="17">
        <f>Таблица1[[#This Row],[длина, мм]]*Таблица1[[#This Row],[ширина, мм]]*Таблица1[[#This Row],[Количество, шт]]</f>
        <v>8.7723000000000013</v>
      </c>
      <c r="F33" s="17">
        <f>Таблица1[[#This Row],[Площадь элементов, мм2]]*Таблица1[[#This Row],[высота, мм]]</f>
        <v>2.1930750000000003</v>
      </c>
      <c r="G33" s="17">
        <v>3.7000000000000002E-3</v>
      </c>
      <c r="H33" s="17">
        <v>0.4</v>
      </c>
      <c r="I33" s="17">
        <v>0.27</v>
      </c>
      <c r="J33" s="17">
        <v>0.56999999999999995</v>
      </c>
      <c r="K33" s="17">
        <v>0.25</v>
      </c>
      <c r="L33" s="17"/>
      <c r="M33" s="17"/>
      <c r="N33"/>
      <c r="O33"/>
      <c r="P33"/>
      <c r="Q33"/>
    </row>
    <row r="34" spans="1:17" x14ac:dyDescent="0.25">
      <c r="A34" s="17"/>
      <c r="B34" s="17" t="s">
        <v>520</v>
      </c>
      <c r="C34" s="17">
        <v>73</v>
      </c>
      <c r="D34" s="80" t="s">
        <v>522</v>
      </c>
      <c r="E34" s="17">
        <f>Таблица1[[#This Row],[длина, мм]]*Таблица1[[#This Row],[ширина, мм]]*Таблица1[[#This Row],[Количество, шт]]</f>
        <v>48.18</v>
      </c>
      <c r="F34" s="17">
        <f>Таблица1[[#This Row],[Площадь элементов, мм2]]*Таблица1[[#This Row],[высота, мм]]</f>
        <v>19.272000000000002</v>
      </c>
      <c r="G34" s="17">
        <v>3.7000000000000002E-3</v>
      </c>
      <c r="H34" s="17">
        <v>0.4</v>
      </c>
      <c r="I34" s="17">
        <v>0.6</v>
      </c>
      <c r="J34" s="17">
        <v>1.1000000000000001</v>
      </c>
      <c r="K34" s="17">
        <v>0.4</v>
      </c>
      <c r="L34" s="17"/>
      <c r="M34" s="17"/>
      <c r="N34"/>
      <c r="O34"/>
      <c r="P34"/>
      <c r="Q34"/>
    </row>
    <row r="35" spans="1:17" x14ac:dyDescent="0.25">
      <c r="A35" s="17"/>
      <c r="B35" s="17" t="s">
        <v>523</v>
      </c>
      <c r="C35" s="17">
        <v>1</v>
      </c>
      <c r="D35" s="80" t="s">
        <v>524</v>
      </c>
      <c r="E35" s="17">
        <f>Таблица1[[#This Row],[длина, мм]]*Таблица1[[#This Row],[ширина, мм]]*Таблица1[[#This Row],[Количество, шт]]</f>
        <v>3.2112000000000003</v>
      </c>
      <c r="F35" s="17">
        <f>Таблица1[[#This Row],[Площадь элементов, мм2]]*Таблица1[[#This Row],[высота, мм]]</f>
        <v>1.8946080000000001</v>
      </c>
      <c r="G35" s="17">
        <v>2.5999999999999999E-2</v>
      </c>
      <c r="H35" s="17">
        <v>0.4</v>
      </c>
      <c r="I35" s="17">
        <v>1.6</v>
      </c>
      <c r="J35" s="17">
        <v>2.0070000000000001</v>
      </c>
      <c r="K35" s="17">
        <v>0.59</v>
      </c>
      <c r="L35" s="17"/>
      <c r="M35" s="17"/>
      <c r="N35"/>
      <c r="O35"/>
      <c r="P35"/>
      <c r="Q35"/>
    </row>
    <row r="36" spans="1:17" x14ac:dyDescent="0.25">
      <c r="A36" s="17"/>
      <c r="B36" s="17" t="s">
        <v>523</v>
      </c>
      <c r="C36" s="17">
        <v>1</v>
      </c>
      <c r="D36" s="80" t="s">
        <v>525</v>
      </c>
      <c r="E36" s="17">
        <f>Таблица1[[#This Row],[длина, мм]]*Таблица1[[#This Row],[ширина, мм]]*Таблица1[[#This Row],[Количество, шт]]</f>
        <v>4.8000000000000007</v>
      </c>
      <c r="F36" s="17">
        <f>Таблица1[[#This Row],[Площадь элементов, мм2]]*Таблица1[[#This Row],[высота, мм]]</f>
        <v>4.3200000000000012</v>
      </c>
      <c r="G36" s="17">
        <v>2.5999999999999999E-2</v>
      </c>
      <c r="H36" s="17">
        <v>0.4</v>
      </c>
      <c r="I36" s="17">
        <v>1.5</v>
      </c>
      <c r="J36" s="17">
        <v>3.2</v>
      </c>
      <c r="K36" s="17">
        <v>0.9</v>
      </c>
      <c r="L36" s="17"/>
      <c r="M36" s="17"/>
      <c r="N36"/>
      <c r="O36"/>
      <c r="P36"/>
      <c r="Q36"/>
    </row>
    <row r="37" spans="1:17" x14ac:dyDescent="0.25">
      <c r="A37" s="17"/>
      <c r="B37" s="17" t="s">
        <v>483</v>
      </c>
      <c r="C37" s="17">
        <v>1</v>
      </c>
      <c r="D37" s="80" t="s">
        <v>527</v>
      </c>
      <c r="E37" s="17">
        <f>Таблица1[[#This Row],[длина, мм]]*Таблица1[[#This Row],[ширина, мм]]*Таблица1[[#This Row],[Количество, шт]]</f>
        <v>25.8064</v>
      </c>
      <c r="F37" s="17">
        <f>Таблица1[[#This Row],[Площадь элементов, мм2]]*Таблица1[[#This Row],[высота, мм]]</f>
        <v>220.38665599999999</v>
      </c>
      <c r="G37" s="17">
        <v>1.04E-2</v>
      </c>
      <c r="H37" s="17">
        <v>0.4</v>
      </c>
      <c r="I37" s="17">
        <v>10.16</v>
      </c>
      <c r="J37" s="17">
        <v>2.54</v>
      </c>
      <c r="K37" s="17">
        <v>8.5399999999999991</v>
      </c>
      <c r="L37" s="17"/>
      <c r="M37" s="17"/>
      <c r="N37"/>
      <c r="O37"/>
      <c r="P37"/>
      <c r="Q37"/>
    </row>
    <row r="38" spans="1:17" x14ac:dyDescent="0.25">
      <c r="A38" s="17"/>
      <c r="B38" s="17" t="s">
        <v>483</v>
      </c>
      <c r="C38" s="17">
        <v>1</v>
      </c>
      <c r="D38" s="80" t="s">
        <v>528</v>
      </c>
      <c r="E38" s="17">
        <f>Таблица1[[#This Row],[длина, мм]]*Таблица1[[#This Row],[ширина, мм]]*Таблица1[[#This Row],[Количество, шт]]</f>
        <v>224.61299999999997</v>
      </c>
      <c r="F38" s="17">
        <f>Таблица1[[#This Row],[Площадь элементов, мм2]]*Таблица1[[#This Row],[высота, мм]]</f>
        <v>1918.1950199999997</v>
      </c>
      <c r="G38" s="17">
        <v>1.04E-2</v>
      </c>
      <c r="H38" s="17">
        <v>0.4</v>
      </c>
      <c r="I38" s="17">
        <v>25.38</v>
      </c>
      <c r="J38" s="17">
        <v>8.85</v>
      </c>
      <c r="K38" s="17">
        <v>8.5399999999999991</v>
      </c>
      <c r="L38" s="17"/>
      <c r="M38" s="17"/>
      <c r="N38"/>
      <c r="O38"/>
      <c r="P38"/>
      <c r="Q38"/>
    </row>
    <row r="39" spans="1:17" x14ac:dyDescent="0.25">
      <c r="A39" s="17"/>
      <c r="B39" s="17" t="s">
        <v>483</v>
      </c>
      <c r="C39" s="17">
        <v>2</v>
      </c>
      <c r="D39" s="80" t="s">
        <v>529</v>
      </c>
      <c r="E39" s="17">
        <f>Таблица1[[#This Row],[длина, мм]]*Таблица1[[#This Row],[ширина, мм]]*Таблица1[[#This Row],[Количество, шт]]</f>
        <v>800.58240000000001</v>
      </c>
      <c r="F39" s="17">
        <f>Таблица1[[#This Row],[Площадь элементов, мм2]]*Таблица1[[#This Row],[высота, мм]]</f>
        <v>7381.3697280000006</v>
      </c>
      <c r="G39" s="17">
        <v>1.04E-2</v>
      </c>
      <c r="H39" s="17">
        <v>0.8</v>
      </c>
      <c r="I39" s="17">
        <v>59.04</v>
      </c>
      <c r="J39" s="17">
        <v>6.78</v>
      </c>
      <c r="K39" s="17">
        <v>9.2200000000000006</v>
      </c>
      <c r="L39" s="17"/>
      <c r="M39" s="17"/>
      <c r="N39"/>
      <c r="O39"/>
      <c r="P39"/>
      <c r="Q39"/>
    </row>
    <row r="40" spans="1:17" x14ac:dyDescent="0.25">
      <c r="A40" s="17"/>
      <c r="B40" s="17" t="s">
        <v>483</v>
      </c>
      <c r="C40" s="17">
        <v>1</v>
      </c>
      <c r="D40" s="80" t="s">
        <v>530</v>
      </c>
      <c r="E40" s="17">
        <f>Таблица1[[#This Row],[длина, мм]]*Таблица1[[#This Row],[ширина, мм]]*Таблица1[[#This Row],[Количество, шт]]</f>
        <v>226.27699999999999</v>
      </c>
      <c r="F40" s="17">
        <f>Таблица1[[#This Row],[Площадь элементов, мм2]]*Таблица1[[#This Row],[высота, мм]]</f>
        <v>2172.2592</v>
      </c>
      <c r="G40" s="17">
        <v>1.04E-2</v>
      </c>
      <c r="H40" s="17">
        <v>0.4</v>
      </c>
      <c r="I40" s="17">
        <v>15.935</v>
      </c>
      <c r="J40" s="17">
        <v>14.2</v>
      </c>
      <c r="K40" s="17">
        <v>9.6</v>
      </c>
      <c r="L40" s="17"/>
      <c r="M40" s="17"/>
      <c r="N40"/>
      <c r="O40"/>
      <c r="P40"/>
      <c r="Q40"/>
    </row>
    <row r="41" spans="1:17" x14ac:dyDescent="0.25">
      <c r="A41" s="17"/>
      <c r="B41" s="17" t="s">
        <v>483</v>
      </c>
      <c r="C41" s="17">
        <v>1</v>
      </c>
      <c r="D41" s="80" t="s">
        <v>531</v>
      </c>
      <c r="E41" s="17">
        <f>Таблица1[[#This Row],[длина, мм]]*Таблица1[[#This Row],[ширина, мм]]*Таблица1[[#This Row],[Количество, шт]]</f>
        <v>187.20000000000002</v>
      </c>
      <c r="F41" s="17">
        <f>Таблица1[[#This Row],[Площадь элементов, мм2]]*Таблица1[[#This Row],[высота, мм]]</f>
        <v>1010.8800000000001</v>
      </c>
      <c r="G41" s="17">
        <v>1.04E-2</v>
      </c>
      <c r="H41" s="17">
        <v>0.4</v>
      </c>
      <c r="I41" s="17">
        <v>10.4</v>
      </c>
      <c r="J41" s="17">
        <v>18</v>
      </c>
      <c r="K41" s="17">
        <v>5.4</v>
      </c>
      <c r="L41" s="17"/>
      <c r="M41" s="17"/>
      <c r="N41"/>
      <c r="O41"/>
      <c r="P41"/>
      <c r="Q41"/>
    </row>
    <row r="42" spans="1:17" x14ac:dyDescent="0.25">
      <c r="A42" s="17"/>
      <c r="B42" s="17" t="s">
        <v>482</v>
      </c>
      <c r="C42" s="17">
        <v>1</v>
      </c>
      <c r="D42" s="80" t="s">
        <v>532</v>
      </c>
      <c r="E42" s="17">
        <f>Таблица1[[#This Row],[длина, мм]]*Таблица1[[#This Row],[ширина, мм]]*Таблица1[[#This Row],[Количество, шт]]</f>
        <v>589.05000000000007</v>
      </c>
      <c r="F42" s="17">
        <f>Таблица1[[#This Row],[Площадь элементов, мм2]]*Таблица1[[#This Row],[высота, мм]]</f>
        <v>883.57500000000005</v>
      </c>
      <c r="G42" s="17">
        <v>4.1000000000000003E-3</v>
      </c>
      <c r="H42" s="17">
        <v>0.5</v>
      </c>
      <c r="I42" s="17">
        <v>28.05</v>
      </c>
      <c r="J42" s="17">
        <v>21</v>
      </c>
      <c r="K42" s="17">
        <v>1.5</v>
      </c>
      <c r="L42" s="17"/>
      <c r="M42" s="17"/>
      <c r="N42"/>
      <c r="O42"/>
      <c r="P42"/>
      <c r="Q42"/>
    </row>
    <row r="43" spans="1:17" x14ac:dyDescent="0.25">
      <c r="A43" s="17"/>
      <c r="B43" s="17" t="s">
        <v>483</v>
      </c>
      <c r="C43" s="17">
        <v>1</v>
      </c>
      <c r="D43" s="80" t="s">
        <v>533</v>
      </c>
      <c r="E43" s="17">
        <f>Таблица1[[#This Row],[длина, мм]]*Таблица1[[#This Row],[ширина, мм]]*Таблица1[[#This Row],[Количество, шт]]</f>
        <v>306</v>
      </c>
      <c r="F43" s="17">
        <f>Таблица1[[#This Row],[Площадь элементов, мм2]]*Таблица1[[#This Row],[высота, мм]]</f>
        <v>1224</v>
      </c>
      <c r="G43" s="17">
        <v>4.1000000000000003E-3</v>
      </c>
      <c r="H43" s="17">
        <v>0.5</v>
      </c>
      <c r="I43" s="17">
        <v>10.199999999999999</v>
      </c>
      <c r="J43" s="17">
        <v>30</v>
      </c>
      <c r="K43" s="17">
        <v>4</v>
      </c>
      <c r="L43" s="17"/>
      <c r="M43" s="17"/>
      <c r="N43"/>
      <c r="O43"/>
      <c r="P43"/>
      <c r="Q43"/>
    </row>
    <row r="44" spans="1:17" x14ac:dyDescent="0.25">
      <c r="A44" s="17"/>
      <c r="B44" s="17" t="s">
        <v>483</v>
      </c>
      <c r="C44" s="17">
        <v>1</v>
      </c>
      <c r="D44" s="80" t="s">
        <v>565</v>
      </c>
      <c r="E44" s="17">
        <f>Таблица1[[#This Row],[длина, мм]]*Таблица1[[#This Row],[ширина, мм]]*Таблица1[[#This Row],[Количество, шт]]</f>
        <v>266.29199999999997</v>
      </c>
      <c r="F44" s="17">
        <f>Таблица1[[#This Row],[Площадь элементов, мм2]]*Таблица1[[#This Row],[высота, мм]]</f>
        <v>1278.2015999999999</v>
      </c>
      <c r="G44" s="17">
        <v>4.1000000000000003E-3</v>
      </c>
      <c r="H44" s="17">
        <v>0.5</v>
      </c>
      <c r="I44" s="17">
        <v>9.36</v>
      </c>
      <c r="J44" s="17">
        <v>28.45</v>
      </c>
      <c r="K44" s="17">
        <v>4.8</v>
      </c>
      <c r="L44" s="17"/>
      <c r="M44" s="17"/>
      <c r="N44"/>
      <c r="O44"/>
      <c r="P44"/>
      <c r="Q44"/>
    </row>
    <row r="45" spans="1:17" x14ac:dyDescent="0.25">
      <c r="A45" s="17"/>
      <c r="B45" s="17" t="s">
        <v>483</v>
      </c>
      <c r="C45" s="17">
        <v>1</v>
      </c>
      <c r="D45" s="80" t="s">
        <v>534</v>
      </c>
      <c r="E45" s="17">
        <f>Таблица1[[#This Row],[длина, мм]]*Таблица1[[#This Row],[ширина, мм]]*Таблица1[[#This Row],[Количество, шт]]</f>
        <v>100</v>
      </c>
      <c r="F45" s="17">
        <f>Таблица1[[#This Row],[Площадь элементов, мм2]]*Таблица1[[#This Row],[высота, мм]]</f>
        <v>1300</v>
      </c>
      <c r="G45" s="17">
        <v>1.04E-2</v>
      </c>
      <c r="H45" s="17">
        <v>0.4</v>
      </c>
      <c r="I45" s="17">
        <v>10</v>
      </c>
      <c r="J45" s="17">
        <v>10</v>
      </c>
      <c r="K45" s="17">
        <v>13</v>
      </c>
      <c r="L45" s="17"/>
      <c r="M45" s="17"/>
      <c r="N45"/>
      <c r="O45"/>
      <c r="P45"/>
      <c r="Q45"/>
    </row>
    <row r="46" spans="1:17" x14ac:dyDescent="0.25">
      <c r="A46" s="17"/>
      <c r="B46" s="17" t="s">
        <v>483</v>
      </c>
      <c r="C46" s="17">
        <v>1</v>
      </c>
      <c r="D46" s="80" t="s">
        <v>535</v>
      </c>
      <c r="E46" s="17">
        <f>Таблица1[[#This Row],[длина, мм]]*Таблица1[[#This Row],[ширина, мм]]*Таблица1[[#This Row],[Количество, шт]]</f>
        <v>100</v>
      </c>
      <c r="F46" s="17">
        <f>Таблица1[[#This Row],[Площадь элементов, мм2]]*Таблица1[[#This Row],[высота, мм]]</f>
        <v>1300</v>
      </c>
      <c r="G46" s="17">
        <v>1.04E-2</v>
      </c>
      <c r="H46" s="17">
        <v>0.4</v>
      </c>
      <c r="I46" s="17">
        <v>10</v>
      </c>
      <c r="J46" s="17">
        <v>10</v>
      </c>
      <c r="K46" s="17">
        <v>13</v>
      </c>
      <c r="L46" s="17"/>
      <c r="M46" s="17"/>
      <c r="N46"/>
      <c r="O46"/>
      <c r="P46"/>
      <c r="Q46"/>
    </row>
    <row r="47" spans="1:17" x14ac:dyDescent="0.25">
      <c r="A47" s="17"/>
      <c r="B47" s="17" t="s">
        <v>483</v>
      </c>
      <c r="C47" s="17">
        <v>1</v>
      </c>
      <c r="D47" s="80" t="s">
        <v>536</v>
      </c>
      <c r="E47" s="17">
        <f>Таблица1[[#This Row],[длина, мм]]*Таблица1[[#This Row],[ширина, мм]]*Таблица1[[#This Row],[Количество, шт]]</f>
        <v>39.69</v>
      </c>
      <c r="F47" s="17">
        <f>Таблица1[[#This Row],[Площадь элементов, мм2]]*Таблица1[[#This Row],[высота, мм]]</f>
        <v>56.756699999999995</v>
      </c>
      <c r="G47" s="17">
        <v>1.4999999999999999E-2</v>
      </c>
      <c r="H47" s="17">
        <v>0.4</v>
      </c>
      <c r="I47" s="17">
        <v>6.3</v>
      </c>
      <c r="J47" s="17">
        <v>6.3</v>
      </c>
      <c r="K47" s="17">
        <v>1.43</v>
      </c>
      <c r="L47" s="17"/>
      <c r="M47" s="17"/>
      <c r="N47"/>
      <c r="O47"/>
      <c r="P47"/>
      <c r="Q47"/>
    </row>
    <row r="48" spans="1:17" x14ac:dyDescent="0.25">
      <c r="A48" s="17"/>
      <c r="B48" s="17" t="s">
        <v>526</v>
      </c>
      <c r="C48" s="17">
        <v>8</v>
      </c>
      <c r="D48" s="80" t="s">
        <v>537</v>
      </c>
      <c r="E48" s="17">
        <f>Таблица1[[#This Row],[длина, мм]]*Таблица1[[#This Row],[ширина, мм]]*Таблица1[[#This Row],[Количество, шт]]</f>
        <v>4.4000000000000004</v>
      </c>
      <c r="F48" s="17">
        <f>Таблица1[[#This Row],[Площадь элементов, мм2]]*Таблица1[[#This Row],[высота, мм]]</f>
        <v>2.4200000000000004</v>
      </c>
      <c r="G48" s="17">
        <v>2.5999999999999999E-2</v>
      </c>
      <c r="H48" s="17">
        <v>0.4</v>
      </c>
      <c r="I48" s="17">
        <v>0.55000000000000004</v>
      </c>
      <c r="J48" s="17">
        <v>1</v>
      </c>
      <c r="K48" s="17">
        <v>0.55000000000000004</v>
      </c>
      <c r="L48" s="17"/>
      <c r="M48" s="17"/>
      <c r="N48"/>
      <c r="O48"/>
      <c r="P48"/>
      <c r="Q48"/>
    </row>
    <row r="49" spans="1:17" x14ac:dyDescent="0.25">
      <c r="A49" s="17"/>
      <c r="B49" s="17" t="s">
        <v>540</v>
      </c>
      <c r="C49" s="17">
        <v>2</v>
      </c>
      <c r="D49" s="80" t="s">
        <v>538</v>
      </c>
      <c r="E49" s="17"/>
      <c r="F49" s="17">
        <f>Таблица1[[#This Row],[длина, мм]]*Таблица1[[#This Row],[ширина, мм]]*Таблица1[[#This Row],[высота, мм]]</f>
        <v>127.68999999999997</v>
      </c>
      <c r="G49" s="17">
        <v>1.2700000000000001E-3</v>
      </c>
      <c r="H49" s="17">
        <v>0.1</v>
      </c>
      <c r="I49" s="17">
        <v>100</v>
      </c>
      <c r="J49" s="17">
        <v>1.1299999999999999</v>
      </c>
      <c r="K49" s="17">
        <v>1.1299999999999999</v>
      </c>
      <c r="L49" s="17"/>
      <c r="M49" s="17"/>
      <c r="N49"/>
      <c r="O49"/>
      <c r="P49"/>
      <c r="Q49"/>
    </row>
    <row r="50" spans="1:17" x14ac:dyDescent="0.25">
      <c r="A50" s="17"/>
      <c r="B50" s="17" t="s">
        <v>540</v>
      </c>
      <c r="C50" s="17">
        <v>2</v>
      </c>
      <c r="D50" s="80" t="s">
        <v>544</v>
      </c>
      <c r="E50" s="17"/>
      <c r="F50" s="17"/>
      <c r="G50" s="17">
        <v>5.7700000000000001E-2</v>
      </c>
      <c r="H50" s="17">
        <v>0.1</v>
      </c>
      <c r="I50" s="17"/>
      <c r="J50" s="17"/>
      <c r="K50" s="17"/>
      <c r="L50" s="17"/>
      <c r="M50" s="17"/>
      <c r="N50"/>
      <c r="O50"/>
      <c r="P50"/>
      <c r="Q50"/>
    </row>
    <row r="51" spans="1:17" x14ac:dyDescent="0.25">
      <c r="A51" s="17"/>
      <c r="B51" s="17" t="s">
        <v>541</v>
      </c>
      <c r="C51" s="17">
        <v>2</v>
      </c>
      <c r="D51" s="80" t="s">
        <v>542</v>
      </c>
      <c r="E51" s="17"/>
      <c r="F51" s="17"/>
      <c r="G51" s="17">
        <v>0.7</v>
      </c>
      <c r="H51" s="17">
        <v>0.1</v>
      </c>
      <c r="I51" s="17"/>
      <c r="J51" s="17"/>
      <c r="K51" s="17"/>
      <c r="L51" s="17"/>
      <c r="M51" s="17"/>
      <c r="N51"/>
      <c r="O51"/>
      <c r="P51"/>
      <c r="Q51"/>
    </row>
    <row r="52" spans="1:17" x14ac:dyDescent="0.25">
      <c r="A52" s="17"/>
      <c r="B52" s="17" t="s">
        <v>539</v>
      </c>
      <c r="C52" s="17">
        <v>1</v>
      </c>
      <c r="D52" s="17" t="s">
        <v>543</v>
      </c>
      <c r="E52" s="17"/>
      <c r="F52" s="17"/>
      <c r="G52" s="17">
        <v>0.3</v>
      </c>
      <c r="H52" s="17">
        <v>0.1</v>
      </c>
      <c r="I52" s="17"/>
      <c r="J52" s="17"/>
      <c r="K52" s="17"/>
      <c r="L52" s="17"/>
      <c r="M52" s="17"/>
      <c r="N52"/>
      <c r="O52"/>
      <c r="P52"/>
      <c r="Q52"/>
    </row>
    <row r="53" spans="1:17" x14ac:dyDescent="0.25">
      <c r="A53" s="17"/>
      <c r="B53" s="17" t="s">
        <v>539</v>
      </c>
      <c r="C53" s="17">
        <v>1</v>
      </c>
      <c r="D53" s="17" t="s">
        <v>571</v>
      </c>
      <c r="E53" s="17"/>
      <c r="F53" s="17">
        <f>Таблица1[[#This Row],[длина, мм]]*Таблица1[[#This Row],[ширина, мм]]*Таблица1[[#This Row],[высота, мм]]</f>
        <v>408.31200000000001</v>
      </c>
      <c r="G53" s="17">
        <v>0.3</v>
      </c>
      <c r="H53" s="17">
        <v>0.1</v>
      </c>
      <c r="I53" s="17">
        <v>10.7</v>
      </c>
      <c r="J53" s="17">
        <v>47.7</v>
      </c>
      <c r="K53" s="17">
        <v>0.8</v>
      </c>
      <c r="L53" s="17"/>
      <c r="M53" s="17"/>
      <c r="N53"/>
      <c r="O53"/>
      <c r="P53"/>
      <c r="Q53"/>
    </row>
    <row r="54" spans="1:17" x14ac:dyDescent="0.25">
      <c r="A54" s="17"/>
      <c r="B54" s="17" t="s">
        <v>548</v>
      </c>
      <c r="C54" s="17">
        <v>1</v>
      </c>
      <c r="D54" s="80" t="s">
        <v>550</v>
      </c>
      <c r="E54" s="17"/>
      <c r="F54" s="17">
        <f>Таблица1[[#This Row],[длина, мм]]*Таблица1[[#This Row],[ширина, мм]]*Таблица1[[#This Row],[высота, мм]]</f>
        <v>11880</v>
      </c>
      <c r="G54" s="17">
        <v>0.2</v>
      </c>
      <c r="H54" s="17">
        <v>3</v>
      </c>
      <c r="I54" s="17">
        <v>60</v>
      </c>
      <c r="J54" s="17">
        <v>120</v>
      </c>
      <c r="K54" s="17">
        <v>1.65</v>
      </c>
      <c r="L54" s="17"/>
      <c r="M54" s="17"/>
      <c r="N54"/>
      <c r="O54"/>
      <c r="P54"/>
      <c r="Q54"/>
    </row>
    <row r="55" spans="1:17" x14ac:dyDescent="0.25">
      <c r="A55" s="17"/>
      <c r="B55" s="17" t="s">
        <v>549</v>
      </c>
      <c r="C55" s="17">
        <v>5</v>
      </c>
      <c r="D55" s="80" t="s">
        <v>551</v>
      </c>
      <c r="E55" s="17"/>
      <c r="F55" s="17"/>
      <c r="G55" s="17">
        <v>1E-3</v>
      </c>
      <c r="H55" s="17">
        <v>0.5</v>
      </c>
      <c r="I55" s="17"/>
      <c r="J55" s="17"/>
      <c r="K55" s="17"/>
      <c r="L55" s="17"/>
      <c r="M55" s="17"/>
      <c r="N55"/>
      <c r="O55"/>
      <c r="P55"/>
      <c r="Q55"/>
    </row>
    <row r="56" spans="1:17" x14ac:dyDescent="0.25">
      <c r="A56" s="17"/>
      <c r="B56" s="17"/>
      <c r="C56" s="17"/>
      <c r="D56" s="17">
        <f>SUMPRODUCT((Таблица1[Название в библиотеке]&lt;&gt;"")/COUNTIF(Таблица1[Название в библиотеке],Таблица1[Название в библиотеке]))</f>
        <v>52</v>
      </c>
      <c r="E56" s="17">
        <f>SUBTOTAL(9,Таблица1[Площадь элементов, мм2])</f>
        <v>6022.3393420000002</v>
      </c>
      <c r="F56" s="17">
        <f>SUBTOTAL(9,Таблица1[Объём элементов, мм2])</f>
        <v>37768.986824160005</v>
      </c>
      <c r="G56" s="17">
        <f>SUBTOTAL(9,Таблица1[Интенсивность отказов x 10-6, 1/ч])</f>
        <v>8.1521328086899363</v>
      </c>
      <c r="H56" s="17">
        <f>SUBTOTAL(9,Таблица1[Случайное время восстановления, ч])</f>
        <v>28.899999999999991</v>
      </c>
      <c r="I56" s="17"/>
      <c r="J56" s="17"/>
      <c r="K56" s="17">
        <f>SUBTOTAL(4,Таблица1[высота, мм])</f>
        <v>13</v>
      </c>
      <c r="L56" s="17"/>
      <c r="M56" s="17"/>
      <c r="N56"/>
      <c r="O56"/>
      <c r="P56"/>
      <c r="Q56"/>
    </row>
    <row r="57" spans="1:1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/>
      <c r="O57"/>
      <c r="P57"/>
      <c r="Q57"/>
    </row>
    <row r="58" spans="1:17" x14ac:dyDescent="0.25">
      <c r="A58" s="17" t="s">
        <v>475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/>
      <c r="O58"/>
      <c r="P58"/>
      <c r="Q58"/>
    </row>
    <row r="59" spans="1:17" x14ac:dyDescent="0.25">
      <c r="A59" s="17"/>
      <c r="B59" s="17" t="s">
        <v>473</v>
      </c>
      <c r="C59" s="17" t="s">
        <v>289</v>
      </c>
      <c r="D59" s="17" t="s">
        <v>581</v>
      </c>
      <c r="E59" s="17" t="s">
        <v>290</v>
      </c>
      <c r="F59" s="17" t="s">
        <v>291</v>
      </c>
      <c r="G59" s="17" t="s">
        <v>546</v>
      </c>
      <c r="H59" s="17" t="s">
        <v>547</v>
      </c>
      <c r="I59" s="17" t="s">
        <v>562</v>
      </c>
      <c r="J59" s="17" t="s">
        <v>563</v>
      </c>
      <c r="K59" s="17" t="s">
        <v>564</v>
      </c>
      <c r="L59" s="17"/>
      <c r="M59" s="17"/>
      <c r="N59"/>
      <c r="O59"/>
      <c r="P59"/>
      <c r="Q59"/>
    </row>
    <row r="60" spans="1:17" x14ac:dyDescent="0.25">
      <c r="A60" s="17"/>
      <c r="B60" s="17" t="s">
        <v>476</v>
      </c>
      <c r="C60" s="17">
        <v>15</v>
      </c>
      <c r="D60" s="80" t="s">
        <v>489</v>
      </c>
      <c r="E60" s="17">
        <f>Таблица26[[#This Row],[длина, мм]]*Таблица26[[#This Row],[ширина, мм]]*Таблица26[[#This Row],[Количество, шт]]</f>
        <v>113.39999999999999</v>
      </c>
      <c r="F60" s="17">
        <f>Таблица26[[#This Row],[Площадь элементов, мм2]]*Таблица26[[#This Row],[высота, мм]]</f>
        <v>73.709999999999994</v>
      </c>
      <c r="G60" s="17">
        <v>1.2999999999999999E-3</v>
      </c>
      <c r="H60" s="17">
        <v>0.4</v>
      </c>
      <c r="I60" s="17">
        <v>2.7</v>
      </c>
      <c r="J60" s="17">
        <v>2.8</v>
      </c>
      <c r="K60" s="17">
        <v>0.65</v>
      </c>
      <c r="L60" s="17"/>
      <c r="M60" s="17"/>
      <c r="N60"/>
      <c r="O60"/>
      <c r="P60"/>
      <c r="Q60"/>
    </row>
    <row r="61" spans="1:17" x14ac:dyDescent="0.25">
      <c r="A61" s="17"/>
      <c r="B61" s="17" t="s">
        <v>476</v>
      </c>
      <c r="C61" s="17">
        <v>4</v>
      </c>
      <c r="D61" s="80" t="s">
        <v>568</v>
      </c>
      <c r="E61" s="17">
        <f>Таблица26[[#This Row],[длина, мм]]*Таблица26[[#This Row],[ширина, мм]]*Таблица26[[#This Row],[Количество, шт]]</f>
        <v>21</v>
      </c>
      <c r="F61" s="17">
        <f>Таблица26[[#This Row],[Площадь элементов, мм2]]*Таблица26[[#This Row],[высота, мм]]</f>
        <v>33.6</v>
      </c>
      <c r="G61" s="17">
        <v>3.0000000000000001E-3</v>
      </c>
      <c r="H61" s="17">
        <v>0.4</v>
      </c>
      <c r="I61" s="17">
        <v>1.5</v>
      </c>
      <c r="J61" s="17">
        <v>3.5</v>
      </c>
      <c r="K61" s="17">
        <v>1.6</v>
      </c>
      <c r="L61" s="17"/>
      <c r="M61" s="17"/>
      <c r="N61"/>
      <c r="O61"/>
      <c r="P61"/>
      <c r="Q61"/>
    </row>
    <row r="62" spans="1:17" x14ac:dyDescent="0.25">
      <c r="A62" s="17"/>
      <c r="B62" s="17" t="s">
        <v>476</v>
      </c>
      <c r="C62" s="17">
        <v>3</v>
      </c>
      <c r="D62" s="80" t="s">
        <v>568</v>
      </c>
      <c r="E62" s="17">
        <f>Таблица26[[#This Row],[длина, мм]]*Таблица26[[#This Row],[ширина, мм]]*Таблица26[[#This Row],[Количество, шт]]</f>
        <v>15.75</v>
      </c>
      <c r="F62" s="17">
        <f>Таблица26[[#This Row],[Площадь элементов, мм2]]*Таблица26[[#This Row],[высота, мм]]</f>
        <v>25.200000000000003</v>
      </c>
      <c r="G62" s="17">
        <v>1.2999999999999999E-3</v>
      </c>
      <c r="H62" s="17">
        <v>0.4</v>
      </c>
      <c r="I62" s="17">
        <v>1.5</v>
      </c>
      <c r="J62" s="17">
        <v>3.5</v>
      </c>
      <c r="K62" s="17">
        <v>1.6</v>
      </c>
      <c r="L62" s="17"/>
      <c r="M62" s="17"/>
      <c r="N62"/>
      <c r="O62"/>
      <c r="P62"/>
      <c r="Q62"/>
    </row>
    <row r="63" spans="1:17" x14ac:dyDescent="0.25">
      <c r="A63" s="17"/>
      <c r="B63" s="17" t="s">
        <v>477</v>
      </c>
      <c r="C63" s="17">
        <v>1</v>
      </c>
      <c r="D63" s="80" t="s">
        <v>484</v>
      </c>
      <c r="E63" s="17">
        <f>Таблица26[[#This Row],[длина, мм]]*Таблица26[[#This Row],[ширина, мм]]*Таблица26[[#This Row],[Количество, шт]]</f>
        <v>1.4400000000000002</v>
      </c>
      <c r="F63" s="17">
        <f>Таблица26[[#This Row],[Площадь элементов, мм2]]*Таблица26[[#This Row],[высота, мм]]</f>
        <v>1.008</v>
      </c>
      <c r="G63" s="17">
        <v>1.2999999999999999E-3</v>
      </c>
      <c r="H63" s="17">
        <v>0.4</v>
      </c>
      <c r="I63" s="17">
        <v>0.9</v>
      </c>
      <c r="J63" s="17">
        <v>1.6</v>
      </c>
      <c r="K63" s="17">
        <v>0.7</v>
      </c>
      <c r="L63" s="17"/>
      <c r="M63" s="17"/>
      <c r="N63"/>
      <c r="O63"/>
      <c r="P63"/>
      <c r="Q63"/>
    </row>
    <row r="64" spans="1:17" x14ac:dyDescent="0.25">
      <c r="A64" s="17"/>
      <c r="B64" s="17" t="s">
        <v>478</v>
      </c>
      <c r="C64" s="17">
        <v>16</v>
      </c>
      <c r="D64" s="80" t="s">
        <v>491</v>
      </c>
      <c r="E64" s="17">
        <f>Таблица26[[#This Row],[длина, мм]]*Таблица26[[#This Row],[ширина, мм]]*Таблица26[[#This Row],[Количество, шт]]</f>
        <v>1600</v>
      </c>
      <c r="F64" s="17">
        <f>Таблица26[[#This Row],[Площадь элементов, мм2]]*Таблица26[[#This Row],[высота, мм]]</f>
        <v>12480</v>
      </c>
      <c r="G64" s="17">
        <v>0.16</v>
      </c>
      <c r="H64" s="17">
        <v>0.2</v>
      </c>
      <c r="I64" s="17">
        <v>10</v>
      </c>
      <c r="J64" s="17">
        <v>10</v>
      </c>
      <c r="K64" s="17">
        <v>7.8</v>
      </c>
      <c r="L64" s="17"/>
      <c r="M64" s="17"/>
      <c r="N64"/>
      <c r="O64"/>
      <c r="P64"/>
      <c r="Q64"/>
    </row>
    <row r="65" spans="1:17" x14ac:dyDescent="0.25">
      <c r="A65" s="17"/>
      <c r="B65" s="17" t="s">
        <v>479</v>
      </c>
      <c r="C65" s="17">
        <v>5</v>
      </c>
      <c r="D65" s="80" t="s">
        <v>492</v>
      </c>
      <c r="E65" s="17">
        <f>Таблица26[[#This Row],[длина, мм]]*Таблица26[[#This Row],[ширина, мм]]*Таблица26[[#This Row],[Количество, шт]]</f>
        <v>3.3000000000000003</v>
      </c>
      <c r="F65" s="17">
        <f>Таблица26[[#This Row],[Площадь элементов, мм2]]*Таблица26[[#This Row],[высота, мм]]</f>
        <v>1.98</v>
      </c>
      <c r="G65" s="17">
        <v>9.8999999999999999E-4</v>
      </c>
      <c r="H65" s="17">
        <v>0.5</v>
      </c>
      <c r="I65" s="17">
        <v>1.1000000000000001</v>
      </c>
      <c r="J65" s="17">
        <v>0.6</v>
      </c>
      <c r="K65" s="17">
        <v>0.6</v>
      </c>
      <c r="L65" s="17"/>
      <c r="M65" s="17"/>
      <c r="N65"/>
      <c r="O65"/>
      <c r="P65"/>
      <c r="Q65"/>
    </row>
    <row r="66" spans="1:17" x14ac:dyDescent="0.25">
      <c r="A66" s="17"/>
      <c r="B66" s="17" t="s">
        <v>569</v>
      </c>
      <c r="C66" s="17">
        <v>1</v>
      </c>
      <c r="D66" s="80" t="s">
        <v>570</v>
      </c>
      <c r="E66" s="17">
        <f>Таблица26[[#This Row],[длина, мм]]*Таблица26[[#This Row],[ширина, мм]]*Таблица26[[#This Row],[Количество, шт]]</f>
        <v>372.03810000000004</v>
      </c>
      <c r="F66" s="17">
        <f>Таблица26[[#This Row],[Площадь элементов, мм2]]*Таблица26[[#This Row],[высота, мм]]</f>
        <v>1488.1524000000002</v>
      </c>
      <c r="G66" s="17">
        <v>9.8999999999999999E-4</v>
      </c>
      <c r="H66" s="17">
        <v>0.2</v>
      </c>
      <c r="I66" s="17">
        <v>24.969000000000001</v>
      </c>
      <c r="J66" s="17">
        <v>14.9</v>
      </c>
      <c r="K66" s="17">
        <v>4</v>
      </c>
      <c r="L66" s="17"/>
      <c r="M66" s="17"/>
      <c r="N66"/>
      <c r="O66"/>
      <c r="P66"/>
      <c r="Q66"/>
    </row>
    <row r="67" spans="1:17" x14ac:dyDescent="0.25">
      <c r="A67" s="17"/>
      <c r="B67" s="17" t="s">
        <v>480</v>
      </c>
      <c r="C67" s="17">
        <v>1</v>
      </c>
      <c r="D67" s="80" t="s">
        <v>487</v>
      </c>
      <c r="E67" s="17">
        <f>Таблица26[[#This Row],[длина, мм]]*Таблица26[[#This Row],[ширина, мм]]*Таблица26[[#This Row],[Количество, шт]]</f>
        <v>36</v>
      </c>
      <c r="F67" s="17">
        <f>Таблица26[[#This Row],[Площадь элементов, мм2]]*Таблица26[[#This Row],[высота, мм]]</f>
        <v>187.20000000000002</v>
      </c>
      <c r="G67" s="17">
        <v>9.8999999999999999E-4</v>
      </c>
      <c r="H67" s="17">
        <v>0.2</v>
      </c>
      <c r="I67" s="17">
        <v>6</v>
      </c>
      <c r="J67" s="17">
        <v>6</v>
      </c>
      <c r="K67" s="17">
        <v>5.2</v>
      </c>
      <c r="L67" s="17"/>
      <c r="M67" s="17"/>
      <c r="N67"/>
      <c r="O67"/>
      <c r="P67"/>
      <c r="Q67"/>
    </row>
    <row r="68" spans="1:17" x14ac:dyDescent="0.25">
      <c r="A68" s="17"/>
      <c r="B68" s="17" t="s">
        <v>481</v>
      </c>
      <c r="C68" s="17">
        <v>16</v>
      </c>
      <c r="D68" s="80" t="s">
        <v>488</v>
      </c>
      <c r="E68" s="17">
        <f>Таблица26[[#This Row],[длина, мм]]*Таблица26[[#This Row],[ширина, мм]]*Таблица26[[#This Row],[Количество, шт]]</f>
        <v>10.56</v>
      </c>
      <c r="F68" s="17">
        <f>Таблица26[[#This Row],[Площадь элементов, мм2]]*Таблица26[[#This Row],[высота, мм]]</f>
        <v>4.2240000000000002</v>
      </c>
      <c r="G68" s="17">
        <v>3.7000000000000002E-3</v>
      </c>
      <c r="H68" s="17">
        <v>0.4</v>
      </c>
      <c r="I68" s="17">
        <v>0.6</v>
      </c>
      <c r="J68" s="17">
        <v>1.1000000000000001</v>
      </c>
      <c r="K68" s="17">
        <v>0.4</v>
      </c>
      <c r="L68" s="17"/>
      <c r="M68" s="17"/>
      <c r="N68"/>
      <c r="O68"/>
      <c r="P68"/>
      <c r="Q68"/>
    </row>
    <row r="69" spans="1:17" x14ac:dyDescent="0.25">
      <c r="A69" s="17"/>
      <c r="B69" s="17" t="s">
        <v>481</v>
      </c>
      <c r="C69" s="17">
        <v>4</v>
      </c>
      <c r="D69" s="80" t="s">
        <v>493</v>
      </c>
      <c r="E69" s="17">
        <f>Таблица26[[#This Row],[длина, мм]]*Таблица26[[#This Row],[ширина, мм]]*Таблица26[[#This Row],[Количество, шт]]</f>
        <v>6.46</v>
      </c>
      <c r="F69" s="17">
        <f>Таблица26[[#This Row],[Площадь элементов, мм2]]*Таблица26[[#This Row],[высота, мм]]</f>
        <v>3.8759999999999999</v>
      </c>
      <c r="G69" s="17">
        <v>3.7000000000000002E-3</v>
      </c>
      <c r="H69" s="17">
        <v>0.4</v>
      </c>
      <c r="I69" s="17">
        <v>0.95</v>
      </c>
      <c r="J69" s="17">
        <v>1.7</v>
      </c>
      <c r="K69" s="17">
        <v>0.6</v>
      </c>
      <c r="L69" s="17"/>
      <c r="M69" s="17"/>
      <c r="N69"/>
      <c r="O69"/>
      <c r="P69"/>
      <c r="Q69"/>
    </row>
    <row r="70" spans="1:17" x14ac:dyDescent="0.25">
      <c r="A70" s="17"/>
      <c r="B70" s="17" t="s">
        <v>482</v>
      </c>
      <c r="C70" s="17">
        <v>2</v>
      </c>
      <c r="D70" s="80" t="s">
        <v>486</v>
      </c>
      <c r="E70" s="17">
        <f>Таблица26[[#This Row],[длина, мм]]*Таблица26[[#This Row],[ширина, мм]]*Таблица26[[#This Row],[Количество, шт]]</f>
        <v>800.58240000000001</v>
      </c>
      <c r="F70" s="17">
        <f>Таблица26[[#This Row],[Площадь элементов, мм2]]*Таблица26[[#This Row],[высота, мм]]</f>
        <v>7381.3697280000006</v>
      </c>
      <c r="G70" s="17">
        <v>1.04E-2</v>
      </c>
      <c r="H70" s="17">
        <v>0.8</v>
      </c>
      <c r="I70" s="17">
        <v>59.04</v>
      </c>
      <c r="J70" s="17">
        <v>6.78</v>
      </c>
      <c r="K70" s="17">
        <v>9.2200000000000006</v>
      </c>
      <c r="L70" s="17"/>
      <c r="M70" s="17"/>
      <c r="N70"/>
      <c r="O70"/>
      <c r="P70"/>
      <c r="Q70"/>
    </row>
    <row r="71" spans="1:17" x14ac:dyDescent="0.25">
      <c r="A71" s="17"/>
      <c r="B71" s="17" t="s">
        <v>483</v>
      </c>
      <c r="C71" s="17">
        <v>1</v>
      </c>
      <c r="D71" s="80" t="s">
        <v>485</v>
      </c>
      <c r="E71" s="17">
        <f>Таблица26[[#This Row],[длина, мм]]*Таблица26[[#This Row],[ширина, мм]]*Таблица26[[#This Row],[Количество, шт]]</f>
        <v>182.32500000000002</v>
      </c>
      <c r="F71" s="17">
        <f>Таблица26[[#This Row],[Площадь элементов, мм2]]*Таблица26[[#This Row],[высота, мм]]</f>
        <v>364.65000000000003</v>
      </c>
      <c r="G71" s="17">
        <v>4.1000000000000003E-3</v>
      </c>
      <c r="H71" s="17">
        <v>0.5</v>
      </c>
      <c r="I71" s="17">
        <v>25.5</v>
      </c>
      <c r="J71" s="17">
        <v>7.15</v>
      </c>
      <c r="K71" s="17">
        <v>2</v>
      </c>
      <c r="L71" s="17"/>
      <c r="M71" s="17"/>
      <c r="N71"/>
      <c r="O71"/>
      <c r="P71"/>
      <c r="Q71"/>
    </row>
    <row r="72" spans="1:17" x14ac:dyDescent="0.25">
      <c r="A72" s="17"/>
      <c r="B72" s="17" t="s">
        <v>483</v>
      </c>
      <c r="C72" s="17">
        <v>1</v>
      </c>
      <c r="D72" s="80" t="s">
        <v>494</v>
      </c>
      <c r="E72" s="17">
        <f>Таблица26[[#This Row],[длина, мм]]*Таблица26[[#This Row],[ширина, мм]]*Таблица26[[#This Row],[Количество, шт]]</f>
        <v>102.1515</v>
      </c>
      <c r="F72" s="17">
        <f>Таблица26[[#This Row],[Площадь элементов, мм2]]*Таблица26[[#This Row],[высота, мм]]</f>
        <v>1634.424</v>
      </c>
      <c r="G72" s="17">
        <v>1.04E-2</v>
      </c>
      <c r="H72" s="17">
        <v>0.4</v>
      </c>
      <c r="I72" s="17">
        <v>12.3</v>
      </c>
      <c r="J72" s="17">
        <v>8.3049999999999997</v>
      </c>
      <c r="K72" s="17">
        <v>16</v>
      </c>
      <c r="L72" s="17"/>
      <c r="M72" s="17"/>
      <c r="N72"/>
      <c r="O72"/>
      <c r="P72"/>
      <c r="Q72"/>
    </row>
    <row r="73" spans="1:17" x14ac:dyDescent="0.25">
      <c r="A73" s="17"/>
      <c r="B73" s="17" t="s">
        <v>483</v>
      </c>
      <c r="C73" s="17">
        <v>1</v>
      </c>
      <c r="D73" s="80" t="s">
        <v>490</v>
      </c>
      <c r="E73" s="17">
        <f>Таблица26[[#This Row],[длина, мм]]*Таблица26[[#This Row],[ширина, мм]]*Таблица26[[#This Row],[Количество, шт]]</f>
        <v>112.53</v>
      </c>
      <c r="F73" s="17">
        <f>Таблица26[[#This Row],[Площадь элементов, мм2]]*Таблица26[[#This Row],[высота, мм]]</f>
        <v>1682.3235</v>
      </c>
      <c r="G73" s="17">
        <f>0.2*6</f>
        <v>1.2000000000000002</v>
      </c>
      <c r="H73" s="17">
        <v>0.4</v>
      </c>
      <c r="I73" s="17">
        <v>7.5</v>
      </c>
      <c r="J73" s="17">
        <v>15.004</v>
      </c>
      <c r="K73" s="17">
        <v>14.95</v>
      </c>
      <c r="L73" s="17"/>
      <c r="M73" s="17"/>
      <c r="N73"/>
      <c r="O73"/>
      <c r="P73"/>
      <c r="Q73"/>
    </row>
    <row r="74" spans="1:17" x14ac:dyDescent="0.25">
      <c r="A74" s="17"/>
      <c r="B74" s="17" t="s">
        <v>545</v>
      </c>
      <c r="C74" s="17">
        <v>1</v>
      </c>
      <c r="D74" s="80" t="s">
        <v>70</v>
      </c>
      <c r="E74" s="17">
        <f>Таблица26[[#This Row],[длина, мм]]*Таблица26[[#This Row],[ширина, мм]]*Таблица26[[#This Row],[Количество, шт]]</f>
        <v>17160</v>
      </c>
      <c r="F74" s="17">
        <f>Таблица26[[#This Row],[Площадь элементов, мм2]]*Таблица26[[#This Row],[высота, мм]]</f>
        <v>51480</v>
      </c>
      <c r="G74" s="17">
        <f>(0.00009+0.00017*24+0.000043)</f>
        <v>4.2129999999999997E-3</v>
      </c>
      <c r="H74" s="17">
        <v>0.1</v>
      </c>
      <c r="I74" s="17">
        <v>104</v>
      </c>
      <c r="J74" s="17">
        <v>165</v>
      </c>
      <c r="K74" s="17">
        <v>3</v>
      </c>
      <c r="L74" s="17"/>
      <c r="M74" s="17"/>
      <c r="N74"/>
      <c r="O74"/>
      <c r="P74"/>
      <c r="Q74"/>
    </row>
    <row r="75" spans="1:17" x14ac:dyDescent="0.25">
      <c r="A75" s="17"/>
      <c r="B75" s="17" t="s">
        <v>548</v>
      </c>
      <c r="C75" s="17">
        <v>1</v>
      </c>
      <c r="D75" s="80" t="s">
        <v>550</v>
      </c>
      <c r="E75" s="17"/>
      <c r="F75" s="17">
        <f>Таблица26[[#This Row],[длина, мм]]*Таблица26[[#This Row],[ширина, мм]]*Таблица26[[#This Row],[высота, мм]]</f>
        <v>39102</v>
      </c>
      <c r="G75" s="17">
        <v>0.2</v>
      </c>
      <c r="H75" s="17">
        <v>3</v>
      </c>
      <c r="I75" s="17">
        <v>210</v>
      </c>
      <c r="J75" s="17">
        <v>140</v>
      </c>
      <c r="K75" s="17">
        <v>1.33</v>
      </c>
      <c r="L75" s="17"/>
      <c r="M75" s="17"/>
      <c r="N75"/>
      <c r="O75"/>
      <c r="P75"/>
      <c r="Q75"/>
    </row>
    <row r="76" spans="1:17" x14ac:dyDescent="0.25">
      <c r="A76" s="17"/>
      <c r="B76" s="17" t="s">
        <v>549</v>
      </c>
      <c r="C76" s="17">
        <v>5</v>
      </c>
      <c r="D76" s="80" t="s">
        <v>551</v>
      </c>
      <c r="E76" s="17"/>
      <c r="F76" s="17"/>
      <c r="G76" s="17">
        <v>1E-3</v>
      </c>
      <c r="H76" s="17">
        <v>0.5</v>
      </c>
      <c r="I76" s="17"/>
      <c r="J76" s="17"/>
      <c r="K76" s="17"/>
      <c r="L76" s="17"/>
      <c r="M76" s="17"/>
      <c r="N76"/>
      <c r="O76"/>
      <c r="P76"/>
      <c r="Q76"/>
    </row>
    <row r="77" spans="1:17" x14ac:dyDescent="0.25">
      <c r="A77" s="17"/>
      <c r="B77" s="17"/>
      <c r="C77" s="17"/>
      <c r="D77" s="17">
        <f>SUMPRODUCT((Таблица26[Название в библиотеке]&lt;&gt;"")/COUNTIF(Таблица26[Название в библиотеке], Таблица26[Название в библиотеке]))</f>
        <v>16</v>
      </c>
      <c r="E77" s="17">
        <f>SUBTOTAL(9,Таблица26[Площадь элементов, мм2])</f>
        <v>20537.537</v>
      </c>
      <c r="F77" s="17">
        <f>SUBTOTAL(9,Таблица26[Объём элементов, мм2])</f>
        <v>115943.717628</v>
      </c>
      <c r="G77" s="17">
        <f>SUBTOTAL(9,Таблица26[Интенсивность отказов x 10-6, 1/ч])</f>
        <v>1.607383</v>
      </c>
      <c r="H77" s="17">
        <f>SUBTOTAL(9,Таблица26[Случайное время восстановления, ч])</f>
        <v>9.1999999999999993</v>
      </c>
      <c r="I77" s="17"/>
      <c r="J77" s="17"/>
      <c r="K77" s="17">
        <f>SUBTOTAL(4,Таблица26[высота, мм])</f>
        <v>16</v>
      </c>
      <c r="L77" s="17"/>
      <c r="M77" s="17"/>
      <c r="N77"/>
      <c r="O77"/>
      <c r="P77"/>
      <c r="Q77"/>
    </row>
    <row r="78" spans="1:1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/>
      <c r="O78"/>
      <c r="P78"/>
      <c r="Q78"/>
    </row>
    <row r="79" spans="1:17" x14ac:dyDescent="0.25">
      <c r="A79" s="17" t="s">
        <v>388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/>
      <c r="O79"/>
      <c r="P79"/>
      <c r="Q79"/>
    </row>
    <row r="80" spans="1:17" x14ac:dyDescent="0.25">
      <c r="A80" s="17"/>
      <c r="B80" s="17" t="s">
        <v>230</v>
      </c>
      <c r="C80" s="17" t="s">
        <v>231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/>
      <c r="O80"/>
      <c r="P80"/>
      <c r="Q80"/>
    </row>
    <row r="81" spans="1:17" x14ac:dyDescent="0.25">
      <c r="A81" s="17"/>
      <c r="B81" s="17" t="s">
        <v>292</v>
      </c>
      <c r="C81" s="17">
        <f>Таблица1[[#Totals],[Площадь элементов, мм2]]</f>
        <v>6022.3393420000002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/>
      <c r="O81"/>
      <c r="P81"/>
      <c r="Q81"/>
    </row>
    <row r="82" spans="1:17" x14ac:dyDescent="0.25">
      <c r="A82" s="17"/>
      <c r="B82" s="17" t="s">
        <v>293</v>
      </c>
      <c r="C82" s="17">
        <f>Таблица1[[#Totals],[Объём элементов, мм2]]</f>
        <v>37768.986824160005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/>
      <c r="O82"/>
      <c r="P82"/>
      <c r="Q82"/>
    </row>
    <row r="83" spans="1:17" x14ac:dyDescent="0.25">
      <c r="A83" s="17"/>
      <c r="B83" s="17" t="s">
        <v>294</v>
      </c>
      <c r="C83" s="17">
        <f>J54</f>
        <v>120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/>
      <c r="O83"/>
      <c r="P83"/>
      <c r="Q83"/>
    </row>
    <row r="84" spans="1:17" x14ac:dyDescent="0.25">
      <c r="A84" s="17"/>
      <c r="B84" s="17" t="s">
        <v>295</v>
      </c>
      <c r="C84" s="17">
        <f>I54</f>
        <v>60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/>
      <c r="O84"/>
      <c r="P84"/>
      <c r="Q84"/>
    </row>
    <row r="85" spans="1:17" x14ac:dyDescent="0.25">
      <c r="A85" s="17"/>
      <c r="B85" s="17" t="s">
        <v>297</v>
      </c>
      <c r="C85" s="17">
        <f>Таблица1[[#Totals],[высота, мм]]</f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/>
      <c r="O85"/>
      <c r="P85"/>
      <c r="Q85"/>
    </row>
    <row r="86" spans="1:17" x14ac:dyDescent="0.25">
      <c r="A86" s="17"/>
      <c r="B86" s="17" t="s">
        <v>298</v>
      </c>
      <c r="C86" s="17">
        <v>0.45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/>
      <c r="O86"/>
      <c r="P86"/>
      <c r="Q86"/>
    </row>
    <row r="87" spans="1:17" x14ac:dyDescent="0.25">
      <c r="A87" s="17"/>
      <c r="B87" s="17" t="s">
        <v>607</v>
      </c>
      <c r="C87" s="17">
        <f>C83*C84*2</f>
        <v>14400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/>
      <c r="O87"/>
      <c r="P87"/>
      <c r="Q87"/>
    </row>
    <row r="88" spans="1:17" x14ac:dyDescent="0.25">
      <c r="A88" s="17"/>
      <c r="B88" s="17" t="s">
        <v>299</v>
      </c>
      <c r="C88" s="17">
        <f>C81/C86</f>
        <v>13382.976315555556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/>
      <c r="O88"/>
      <c r="P88"/>
      <c r="Q88"/>
    </row>
    <row r="89" spans="1:17" x14ac:dyDescent="0.25">
      <c r="A89" s="17"/>
      <c r="B89" s="17" t="s">
        <v>296</v>
      </c>
      <c r="C89" s="17">
        <f>C83*C84*C85</f>
        <v>93600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/>
      <c r="O89"/>
      <c r="P89"/>
      <c r="Q89"/>
    </row>
    <row r="90" spans="1:17" x14ac:dyDescent="0.25">
      <c r="A90" s="17"/>
      <c r="B90" s="17" t="s">
        <v>300</v>
      </c>
      <c r="C90" s="17">
        <f>C82/C89</f>
        <v>0.40351481649743598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/>
      <c r="O90"/>
      <c r="P90"/>
      <c r="Q90"/>
    </row>
    <row r="91" spans="1:1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/>
      <c r="O91"/>
      <c r="P91"/>
      <c r="Q91"/>
    </row>
    <row r="92" spans="1:17" x14ac:dyDescent="0.25">
      <c r="A92" s="17" t="s">
        <v>572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/>
      <c r="O92"/>
      <c r="P92"/>
      <c r="Q92"/>
    </row>
    <row r="93" spans="1:17" x14ac:dyDescent="0.25">
      <c r="A93" s="17"/>
      <c r="B93" s="17" t="s">
        <v>230</v>
      </c>
      <c r="C93" s="17" t="s">
        <v>231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/>
      <c r="O93"/>
      <c r="P93"/>
      <c r="Q93"/>
    </row>
    <row r="94" spans="1:17" x14ac:dyDescent="0.25">
      <c r="A94" s="17"/>
      <c r="B94" s="17" t="s">
        <v>292</v>
      </c>
      <c r="C94" s="17">
        <f>Таблица26[[#Totals],[Площадь элементов, мм2]]</f>
        <v>20537.537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/>
      <c r="O94"/>
      <c r="P94"/>
      <c r="Q94"/>
    </row>
    <row r="95" spans="1:17" x14ac:dyDescent="0.25">
      <c r="A95" s="17"/>
      <c r="B95" s="17" t="s">
        <v>293</v>
      </c>
      <c r="C95" s="17">
        <f>Таблица26[[#Totals],[Объём элементов, мм2]]</f>
        <v>115943.717628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/>
      <c r="O95"/>
      <c r="P95"/>
      <c r="Q95"/>
    </row>
    <row r="96" spans="1:17" x14ac:dyDescent="0.25">
      <c r="A96" s="17"/>
      <c r="B96" s="17" t="s">
        <v>294</v>
      </c>
      <c r="C96" s="17">
        <f>I75</f>
        <v>210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/>
      <c r="O96"/>
      <c r="P96"/>
      <c r="Q96"/>
    </row>
    <row r="97" spans="1:17" x14ac:dyDescent="0.25">
      <c r="A97" s="17"/>
      <c r="B97" s="17" t="s">
        <v>295</v>
      </c>
      <c r="C97" s="17">
        <f>J75</f>
        <v>140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/>
      <c r="O97"/>
      <c r="P97"/>
      <c r="Q97"/>
    </row>
    <row r="98" spans="1:17" x14ac:dyDescent="0.25">
      <c r="A98" s="17"/>
      <c r="B98" s="17" t="s">
        <v>297</v>
      </c>
      <c r="C98" s="17">
        <f>Таблица26[[#Totals],[высота, мм]]</f>
        <v>16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/>
      <c r="O98"/>
      <c r="P98"/>
      <c r="Q98"/>
    </row>
    <row r="99" spans="1:17" x14ac:dyDescent="0.25">
      <c r="A99" s="17"/>
      <c r="B99" s="17" t="s">
        <v>298</v>
      </c>
      <c r="C99" s="17">
        <v>0.45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/>
      <c r="O99"/>
      <c r="P99"/>
      <c r="Q99"/>
    </row>
    <row r="100" spans="1:17" x14ac:dyDescent="0.25">
      <c r="A100" s="17"/>
      <c r="B100" s="17" t="s">
        <v>606</v>
      </c>
      <c r="C100" s="17">
        <f>C96*C97</f>
        <v>29400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/>
      <c r="O100"/>
      <c r="P100"/>
      <c r="Q100"/>
    </row>
    <row r="101" spans="1:17" x14ac:dyDescent="0.25">
      <c r="A101" s="17"/>
      <c r="B101" s="17" t="s">
        <v>299</v>
      </c>
      <c r="C101" s="17">
        <f>C94/C99</f>
        <v>45638.97111111111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/>
      <c r="O101"/>
      <c r="P101"/>
      <c r="Q101"/>
    </row>
    <row r="102" spans="1:17" x14ac:dyDescent="0.25">
      <c r="A102" s="17"/>
      <c r="B102" s="17" t="s">
        <v>296</v>
      </c>
      <c r="C102" s="17">
        <f>C96*C97*C98</f>
        <v>470400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/>
      <c r="O102"/>
      <c r="P102"/>
      <c r="Q102"/>
    </row>
    <row r="103" spans="1:17" x14ac:dyDescent="0.25">
      <c r="A103" s="17"/>
      <c r="B103" s="17" t="s">
        <v>300</v>
      </c>
      <c r="C103" s="17">
        <f>C95/C102</f>
        <v>0.24647899155612243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/>
      <c r="O103"/>
      <c r="P103"/>
      <c r="Q103"/>
    </row>
    <row r="104" spans="1:1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/>
      <c r="O104"/>
      <c r="P104"/>
      <c r="Q104"/>
    </row>
    <row r="105" spans="1:17" x14ac:dyDescent="0.25">
      <c r="A105" s="17" t="s">
        <v>283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/>
      <c r="O105"/>
      <c r="P105"/>
      <c r="Q105"/>
    </row>
    <row r="106" spans="1:17" x14ac:dyDescent="0.25">
      <c r="A106" s="17" t="s">
        <v>389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/>
      <c r="O106"/>
      <c r="P106"/>
      <c r="Q106"/>
    </row>
    <row r="107" spans="1:17" x14ac:dyDescent="0.25">
      <c r="A107" s="17"/>
      <c r="B107" s="17" t="s">
        <v>230</v>
      </c>
      <c r="C107" s="17" t="s">
        <v>301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/>
      <c r="O107"/>
      <c r="P107"/>
      <c r="Q107"/>
    </row>
    <row r="108" spans="1:17" x14ac:dyDescent="0.25">
      <c r="A108" s="17"/>
      <c r="B108" s="17" t="s">
        <v>302</v>
      </c>
      <c r="C108" s="17">
        <f>C122+C123+C124</f>
        <v>1.4050966799187812</v>
      </c>
      <c r="D108" s="17" t="s">
        <v>314</v>
      </c>
      <c r="E108" s="17"/>
      <c r="F108" s="17"/>
      <c r="G108" s="17"/>
      <c r="H108" s="17"/>
      <c r="I108" s="17"/>
      <c r="J108" s="17"/>
      <c r="K108" s="17"/>
      <c r="L108" s="17"/>
      <c r="M108" s="17"/>
      <c r="N108"/>
      <c r="O108"/>
      <c r="P108"/>
      <c r="Q108"/>
    </row>
    <row r="109" spans="1:17" x14ac:dyDescent="0.25">
      <c r="A109" s="17"/>
      <c r="B109" s="17" t="s">
        <v>305</v>
      </c>
      <c r="C109" s="17">
        <f>IF(C122 &gt; 1, C122+0.3, C122+0.2)</f>
        <v>1.1050966799187809</v>
      </c>
      <c r="D109" s="17" t="s">
        <v>469</v>
      </c>
      <c r="E109" s="17"/>
      <c r="F109" s="17"/>
      <c r="G109" s="17"/>
      <c r="H109" s="17"/>
      <c r="I109" s="17"/>
      <c r="J109" s="17"/>
      <c r="K109" s="17"/>
      <c r="L109" s="17"/>
      <c r="M109" s="17"/>
      <c r="N109"/>
      <c r="O109"/>
      <c r="P109"/>
      <c r="Q109"/>
    </row>
    <row r="110" spans="1:17" x14ac:dyDescent="0.25">
      <c r="A110" s="17"/>
      <c r="B110" s="17" t="s">
        <v>304</v>
      </c>
      <c r="C110" s="17">
        <f>C109+C125+2*C126+C127+2*C129+SQRT(C130^2+C131^2+C128^2)</f>
        <v>1.4736607445242913</v>
      </c>
      <c r="D110" s="17" t="s">
        <v>329</v>
      </c>
      <c r="E110" s="17"/>
      <c r="F110" s="17"/>
      <c r="G110" s="17"/>
      <c r="H110" s="17"/>
      <c r="I110" s="17"/>
      <c r="J110" s="17"/>
      <c r="K110" s="17"/>
      <c r="L110" s="17"/>
      <c r="M110" s="17"/>
      <c r="N110"/>
      <c r="O110"/>
      <c r="P110"/>
      <c r="Q110"/>
    </row>
    <row r="111" spans="1:17" x14ac:dyDescent="0.25">
      <c r="A111" s="17"/>
      <c r="B111" s="17" t="s">
        <v>303</v>
      </c>
      <c r="C111" s="17">
        <f>C110+0.02</f>
        <v>1.4936607445242913</v>
      </c>
      <c r="D111" s="17" t="s">
        <v>330</v>
      </c>
      <c r="E111" s="17"/>
      <c r="F111" s="17"/>
      <c r="G111" s="17"/>
      <c r="H111" s="17"/>
      <c r="I111" s="17"/>
      <c r="J111" s="17"/>
      <c r="K111" s="17"/>
      <c r="L111" s="17"/>
      <c r="M111" s="17"/>
      <c r="N111"/>
      <c r="O111"/>
      <c r="P111"/>
      <c r="Q111"/>
    </row>
    <row r="112" spans="1:17" x14ac:dyDescent="0.25">
      <c r="A112" s="17"/>
      <c r="B112" s="17" t="s">
        <v>306</v>
      </c>
      <c r="C112" s="17">
        <f>2.54-(C111+2*C132)</f>
        <v>1.0063392554757087</v>
      </c>
      <c r="D112" s="17" t="s">
        <v>331</v>
      </c>
      <c r="E112" s="17"/>
      <c r="F112" s="17"/>
      <c r="G112" s="17"/>
      <c r="H112" s="17"/>
      <c r="I112" s="17"/>
      <c r="J112" s="17"/>
      <c r="K112" s="17"/>
      <c r="L112" s="17"/>
      <c r="M112" s="17"/>
      <c r="N112"/>
      <c r="O112"/>
      <c r="P112"/>
      <c r="Q112"/>
    </row>
    <row r="113" spans="1:17" x14ac:dyDescent="0.25">
      <c r="A113" s="17"/>
      <c r="B113" s="17" t="s">
        <v>307</v>
      </c>
      <c r="C113" s="17">
        <f>2.54-(C111/2 + C133+0.1/2+C132)</f>
        <v>1.6431696277378545</v>
      </c>
      <c r="D113" s="17" t="s">
        <v>334</v>
      </c>
      <c r="E113" s="17"/>
      <c r="F113" s="17"/>
      <c r="G113" s="17"/>
      <c r="H113" s="17"/>
      <c r="I113" s="17"/>
      <c r="J113" s="17"/>
      <c r="K113" s="17"/>
      <c r="L113" s="17"/>
      <c r="M113" s="17"/>
      <c r="N113"/>
      <c r="O113"/>
      <c r="P113"/>
      <c r="Q113"/>
    </row>
    <row r="114" spans="1:17" x14ac:dyDescent="0.25">
      <c r="A114" s="17"/>
      <c r="B114" s="17" t="s">
        <v>339</v>
      </c>
      <c r="C114" s="17">
        <f>2.54-(C111+2*C132)</f>
        <v>1.0063392554757087</v>
      </c>
      <c r="D114" s="17" t="s">
        <v>337</v>
      </c>
      <c r="E114" s="17"/>
      <c r="F114" s="17"/>
      <c r="G114" s="17"/>
      <c r="H114" s="17"/>
      <c r="I114" s="17"/>
      <c r="J114" s="17"/>
      <c r="K114" s="17"/>
      <c r="L114" s="17"/>
      <c r="M114" s="17"/>
      <c r="N114"/>
      <c r="O114"/>
      <c r="P114"/>
      <c r="Q114"/>
    </row>
    <row r="115" spans="1:17" x14ac:dyDescent="0.25">
      <c r="A115" s="17"/>
      <c r="B115" s="17" t="s">
        <v>308</v>
      </c>
      <c r="C115" s="17">
        <f>C134+1.5*C136+0.03</f>
        <v>0.18250000000000002</v>
      </c>
      <c r="D115" s="17" t="s">
        <v>338</v>
      </c>
      <c r="E115" s="17"/>
      <c r="F115" s="17"/>
      <c r="G115" s="17"/>
      <c r="H115" s="17"/>
      <c r="I115" s="17"/>
      <c r="J115" s="17"/>
      <c r="K115" s="17"/>
      <c r="L115" s="17"/>
      <c r="M115" s="17"/>
      <c r="N115"/>
      <c r="O115"/>
      <c r="P115"/>
      <c r="Q115"/>
    </row>
    <row r="116" spans="1:17" x14ac:dyDescent="0.25">
      <c r="A116" s="17"/>
      <c r="B116" s="17" t="s">
        <v>348</v>
      </c>
      <c r="C116" s="17">
        <f>C135+1.5*C136+0.03</f>
        <v>1.0825</v>
      </c>
      <c r="D116" s="17" t="s">
        <v>338</v>
      </c>
      <c r="E116" s="17"/>
      <c r="F116" s="17"/>
      <c r="G116" s="17"/>
      <c r="H116" s="17"/>
      <c r="I116" s="17"/>
      <c r="J116" s="17"/>
      <c r="K116" s="17"/>
      <c r="L116" s="17"/>
      <c r="M116" s="17"/>
      <c r="N116"/>
      <c r="O116"/>
      <c r="P116"/>
      <c r="Q116"/>
    </row>
    <row r="117" spans="1:17" x14ac:dyDescent="0.25">
      <c r="A117" s="17"/>
      <c r="B117" s="17" t="s">
        <v>310</v>
      </c>
      <c r="C117" s="17">
        <f>C137*C115*C136</f>
        <v>0.49822500000000008</v>
      </c>
      <c r="D117" s="17" t="s">
        <v>346</v>
      </c>
      <c r="E117" s="17"/>
      <c r="F117" s="17"/>
      <c r="G117" s="17"/>
      <c r="H117" s="17"/>
      <c r="I117" s="17"/>
      <c r="J117" s="17"/>
      <c r="K117" s="17"/>
      <c r="L117" s="17"/>
      <c r="M117" s="17"/>
      <c r="N117"/>
      <c r="O117"/>
      <c r="P117"/>
      <c r="Q117"/>
    </row>
    <row r="118" spans="1:17" x14ac:dyDescent="0.25">
      <c r="A118" s="17"/>
      <c r="B118" s="17" t="s">
        <v>309</v>
      </c>
      <c r="C118" s="17">
        <f>C137*C116*C136</f>
        <v>2.9552250000000004</v>
      </c>
      <c r="D118" s="17" t="s">
        <v>346</v>
      </c>
      <c r="E118" s="17"/>
      <c r="F118" s="17"/>
      <c r="G118" s="17"/>
      <c r="H118" s="17"/>
      <c r="I118" s="17"/>
      <c r="J118" s="17"/>
      <c r="K118" s="17"/>
      <c r="L118" s="17"/>
      <c r="M118" s="17"/>
      <c r="N118"/>
      <c r="O118"/>
      <c r="P118"/>
      <c r="Q118"/>
    </row>
    <row r="119" spans="1:1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/>
      <c r="O119"/>
      <c r="P119"/>
      <c r="Q119"/>
    </row>
    <row r="120" spans="1:17" x14ac:dyDescent="0.25">
      <c r="A120" s="17" t="s">
        <v>390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/>
      <c r="O120"/>
      <c r="P120"/>
      <c r="Q120"/>
    </row>
    <row r="121" spans="1:17" x14ac:dyDescent="0.25">
      <c r="A121" s="17"/>
      <c r="B121" s="17" t="s">
        <v>230</v>
      </c>
      <c r="C121" s="17" t="s">
        <v>301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/>
      <c r="O121"/>
      <c r="P121"/>
      <c r="Q121"/>
    </row>
    <row r="122" spans="1:17" x14ac:dyDescent="0.25">
      <c r="A122" s="17"/>
      <c r="B122" s="17" t="s">
        <v>312</v>
      </c>
      <c r="C122" s="17">
        <f>0.64*SQRT(2)</f>
        <v>0.90509667991878096</v>
      </c>
      <c r="D122" s="17" t="s">
        <v>470</v>
      </c>
      <c r="E122" s="17"/>
      <c r="F122" s="17"/>
      <c r="G122" s="17"/>
      <c r="H122" s="17"/>
      <c r="I122" s="17"/>
      <c r="J122" s="17"/>
      <c r="K122" s="17"/>
      <c r="L122" s="17"/>
      <c r="M122" s="17"/>
      <c r="N122"/>
      <c r="O122"/>
      <c r="P122"/>
      <c r="Q122"/>
    </row>
    <row r="123" spans="1:17" x14ac:dyDescent="0.25">
      <c r="A123" s="17"/>
      <c r="B123" s="17" t="s">
        <v>313</v>
      </c>
      <c r="C123" s="17">
        <v>0.4</v>
      </c>
      <c r="D123" s="17" t="s">
        <v>315</v>
      </c>
      <c r="E123" s="17"/>
      <c r="F123" s="17"/>
      <c r="G123" s="17"/>
      <c r="H123" s="17"/>
      <c r="I123" s="17"/>
      <c r="J123" s="17"/>
      <c r="K123" s="17"/>
      <c r="L123" s="17"/>
      <c r="M123" s="17"/>
      <c r="N123"/>
      <c r="O123"/>
      <c r="P123"/>
      <c r="Q123"/>
    </row>
    <row r="124" spans="1:17" x14ac:dyDescent="0.25">
      <c r="A124" s="17"/>
      <c r="B124" s="17" t="s">
        <v>311</v>
      </c>
      <c r="C124" s="17">
        <v>0.1</v>
      </c>
      <c r="D124" s="17" t="s">
        <v>471</v>
      </c>
      <c r="E124" s="17"/>
      <c r="F124" s="17"/>
      <c r="G124" s="17"/>
      <c r="H124" s="17"/>
      <c r="I124" s="17"/>
      <c r="J124" s="17"/>
      <c r="K124" s="17"/>
      <c r="L124" s="17"/>
      <c r="M124" s="17"/>
      <c r="N124"/>
      <c r="O124"/>
      <c r="P124"/>
      <c r="Q124"/>
    </row>
    <row r="125" spans="1:17" x14ac:dyDescent="0.25">
      <c r="A125" s="17"/>
      <c r="B125" s="17" t="s">
        <v>316</v>
      </c>
      <c r="C125" s="17">
        <v>0.1</v>
      </c>
      <c r="D125" s="17" t="s">
        <v>317</v>
      </c>
      <c r="E125" s="17"/>
      <c r="F125" s="17"/>
      <c r="G125" s="17"/>
      <c r="H125" s="17"/>
      <c r="I125" s="17"/>
      <c r="J125" s="17"/>
      <c r="K125" s="17"/>
      <c r="L125" s="17"/>
      <c r="M125" s="17"/>
      <c r="N125"/>
      <c r="O125"/>
      <c r="P125"/>
      <c r="Q125"/>
    </row>
    <row r="126" spans="1:17" x14ac:dyDescent="0.25">
      <c r="A126" s="17"/>
      <c r="B126" s="17" t="s">
        <v>318</v>
      </c>
      <c r="C126" s="17">
        <v>2.5000000000000001E-2</v>
      </c>
      <c r="D126" s="17" t="s">
        <v>321</v>
      </c>
      <c r="E126" s="17"/>
      <c r="F126" s="17"/>
      <c r="G126" s="17"/>
      <c r="H126" s="17"/>
      <c r="I126" s="17"/>
      <c r="J126" s="17"/>
      <c r="K126" s="17"/>
      <c r="L126" s="17"/>
      <c r="M126" s="17"/>
      <c r="N126"/>
      <c r="O126"/>
      <c r="P126"/>
      <c r="Q126"/>
    </row>
    <row r="127" spans="1:17" x14ac:dyDescent="0.25">
      <c r="A127" s="17"/>
      <c r="B127" s="17" t="s">
        <v>319</v>
      </c>
      <c r="C127" s="17">
        <v>0.08</v>
      </c>
      <c r="D127" s="17" t="s">
        <v>322</v>
      </c>
      <c r="E127" s="17"/>
      <c r="F127" s="17"/>
      <c r="G127" s="17"/>
      <c r="H127" s="17"/>
      <c r="I127" s="17"/>
      <c r="J127" s="17"/>
      <c r="K127" s="17"/>
      <c r="L127" s="17"/>
      <c r="M127" s="17"/>
      <c r="N127"/>
      <c r="O127"/>
      <c r="P127"/>
      <c r="Q127"/>
    </row>
    <row r="128" spans="1:17" x14ac:dyDescent="0.25">
      <c r="A128" s="17"/>
      <c r="B128" s="17" t="s">
        <v>320</v>
      </c>
      <c r="C128" s="17">
        <v>0.08</v>
      </c>
      <c r="D128" s="17" t="s">
        <v>323</v>
      </c>
      <c r="E128" s="17"/>
      <c r="F128" s="17"/>
      <c r="G128" s="17"/>
      <c r="H128" s="17"/>
      <c r="I128" s="17"/>
      <c r="J128" s="17"/>
      <c r="K128" s="17"/>
      <c r="L128" s="17"/>
      <c r="M128" s="17"/>
      <c r="N128"/>
      <c r="O128"/>
      <c r="P128"/>
      <c r="Q128"/>
    </row>
    <row r="129" spans="1:17" x14ac:dyDescent="0.25">
      <c r="A129" s="17"/>
      <c r="B129" s="17" t="s">
        <v>324</v>
      </c>
      <c r="C129" s="17">
        <v>0</v>
      </c>
      <c r="D129" s="17" t="s">
        <v>472</v>
      </c>
      <c r="E129" s="17"/>
      <c r="F129" s="17"/>
      <c r="G129" s="17"/>
      <c r="H129" s="17"/>
      <c r="I129" s="17"/>
      <c r="J129" s="17"/>
      <c r="K129" s="17"/>
      <c r="L129" s="17"/>
      <c r="M129" s="17"/>
      <c r="N129"/>
      <c r="O129"/>
      <c r="P129"/>
      <c r="Q129"/>
    </row>
    <row r="130" spans="1:17" x14ac:dyDescent="0.25">
      <c r="A130" s="17"/>
      <c r="B130" s="17" t="s">
        <v>325</v>
      </c>
      <c r="C130" s="17">
        <v>0.08</v>
      </c>
      <c r="D130" s="17" t="s">
        <v>326</v>
      </c>
      <c r="E130" s="17"/>
      <c r="F130" s="17"/>
      <c r="G130" s="17"/>
      <c r="H130" s="17"/>
      <c r="I130" s="17"/>
      <c r="J130" s="17"/>
      <c r="K130" s="17"/>
      <c r="L130" s="17"/>
      <c r="M130" s="17"/>
      <c r="N130"/>
      <c r="O130"/>
      <c r="P130"/>
      <c r="Q130"/>
    </row>
    <row r="131" spans="1:17" x14ac:dyDescent="0.25">
      <c r="A131" s="17"/>
      <c r="B131" s="17" t="s">
        <v>328</v>
      </c>
      <c r="C131" s="17">
        <v>0.08</v>
      </c>
      <c r="D131" s="17" t="s">
        <v>327</v>
      </c>
      <c r="E131" s="17"/>
      <c r="F131" s="17"/>
      <c r="G131" s="17"/>
      <c r="H131" s="17"/>
      <c r="I131" s="17"/>
      <c r="J131" s="17"/>
      <c r="K131" s="17"/>
      <c r="L131" s="17"/>
      <c r="M131" s="17"/>
      <c r="N131"/>
      <c r="O131"/>
      <c r="P131"/>
      <c r="Q131"/>
    </row>
    <row r="132" spans="1:17" x14ac:dyDescent="0.25">
      <c r="A132" s="17"/>
      <c r="B132" s="17" t="s">
        <v>332</v>
      </c>
      <c r="C132" s="17">
        <v>0.02</v>
      </c>
      <c r="D132" s="17" t="s">
        <v>333</v>
      </c>
      <c r="E132" s="17"/>
      <c r="F132" s="17"/>
      <c r="G132" s="17"/>
      <c r="H132" s="17"/>
      <c r="I132" s="17"/>
      <c r="J132" s="17"/>
      <c r="K132" s="17"/>
      <c r="L132" s="17"/>
      <c r="M132" s="17"/>
      <c r="N132"/>
      <c r="O132"/>
      <c r="P132"/>
      <c r="Q132"/>
    </row>
    <row r="133" spans="1:17" x14ac:dyDescent="0.25">
      <c r="A133" s="17"/>
      <c r="B133" s="17" t="s">
        <v>336</v>
      </c>
      <c r="C133" s="17">
        <v>0.08</v>
      </c>
      <c r="D133" s="17" t="s">
        <v>335</v>
      </c>
      <c r="E133" s="17"/>
      <c r="F133" s="17"/>
      <c r="G133" s="17"/>
      <c r="H133" s="17"/>
      <c r="I133" s="17"/>
      <c r="J133" s="17"/>
      <c r="K133" s="17"/>
      <c r="L133" s="17"/>
      <c r="M133" s="17"/>
      <c r="N133"/>
      <c r="O133"/>
      <c r="P133"/>
      <c r="Q133"/>
    </row>
    <row r="134" spans="1:17" x14ac:dyDescent="0.25">
      <c r="A134" s="17"/>
      <c r="B134" s="17" t="s">
        <v>341</v>
      </c>
      <c r="C134" s="17">
        <v>0.1</v>
      </c>
      <c r="D134" s="17" t="s">
        <v>340</v>
      </c>
      <c r="E134" s="17"/>
      <c r="F134" s="17"/>
      <c r="G134" s="17"/>
      <c r="H134" s="17"/>
      <c r="I134" s="17"/>
      <c r="J134" s="17"/>
      <c r="K134" s="17"/>
      <c r="L134" s="17"/>
      <c r="M134" s="17"/>
      <c r="N134"/>
      <c r="O134"/>
      <c r="P134"/>
      <c r="Q134"/>
    </row>
    <row r="135" spans="1:17" x14ac:dyDescent="0.25">
      <c r="A135" s="17"/>
      <c r="B135" s="17" t="s">
        <v>347</v>
      </c>
      <c r="C135" s="17">
        <v>1</v>
      </c>
      <c r="D135" s="17" t="s">
        <v>340</v>
      </c>
      <c r="E135" s="17"/>
      <c r="F135" s="17"/>
      <c r="G135" s="17"/>
      <c r="H135" s="17"/>
      <c r="I135" s="17"/>
      <c r="J135" s="17"/>
      <c r="K135" s="17"/>
      <c r="L135" s="17"/>
      <c r="M135" s="17"/>
      <c r="N135"/>
      <c r="O135"/>
      <c r="P135"/>
      <c r="Q135"/>
    </row>
    <row r="136" spans="1:17" x14ac:dyDescent="0.25">
      <c r="A136" s="17"/>
      <c r="B136" s="17" t="s">
        <v>343</v>
      </c>
      <c r="C136" s="17">
        <v>3.5000000000000003E-2</v>
      </c>
      <c r="D136" s="17" t="s">
        <v>342</v>
      </c>
      <c r="E136" s="17"/>
      <c r="F136" s="17"/>
      <c r="G136" s="17"/>
      <c r="H136" s="17"/>
      <c r="I136" s="17"/>
      <c r="J136" s="17"/>
      <c r="K136" s="17"/>
      <c r="L136" s="17"/>
      <c r="M136" s="17"/>
      <c r="N136"/>
      <c r="O136"/>
      <c r="P136"/>
      <c r="Q136"/>
    </row>
    <row r="137" spans="1:17" x14ac:dyDescent="0.25">
      <c r="A137" s="17"/>
      <c r="B137" s="17" t="s">
        <v>344</v>
      </c>
      <c r="C137" s="17">
        <v>78</v>
      </c>
      <c r="D137" s="17" t="s">
        <v>345</v>
      </c>
      <c r="E137" s="17"/>
      <c r="F137" s="17"/>
      <c r="G137" s="17"/>
      <c r="H137" s="17"/>
      <c r="I137" s="17"/>
      <c r="J137" s="17"/>
      <c r="K137" s="17"/>
      <c r="L137" s="17"/>
      <c r="M137" s="17"/>
      <c r="N137"/>
      <c r="O137"/>
      <c r="P137"/>
      <c r="Q137"/>
    </row>
    <row r="138" spans="1:1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/>
      <c r="O138"/>
      <c r="P138"/>
      <c r="Q138"/>
    </row>
    <row r="139" spans="1:17" x14ac:dyDescent="0.25">
      <c r="A139" s="17" t="s">
        <v>284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/>
      <c r="O139"/>
      <c r="P139"/>
      <c r="Q139"/>
    </row>
    <row r="140" spans="1:17" x14ac:dyDescent="0.25">
      <c r="A140" s="17" t="s">
        <v>393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/>
      <c r="O140"/>
      <c r="P140"/>
      <c r="Q140"/>
    </row>
    <row r="141" spans="1:17" x14ac:dyDescent="0.25">
      <c r="A141" s="17"/>
      <c r="B141" s="17" t="s">
        <v>230</v>
      </c>
      <c r="C141" s="17" t="s">
        <v>301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/>
      <c r="O141"/>
      <c r="P141"/>
      <c r="Q141"/>
    </row>
    <row r="142" spans="1:17" x14ac:dyDescent="0.25">
      <c r="A142" s="17"/>
      <c r="B142" s="17" t="s">
        <v>392</v>
      </c>
      <c r="C142" s="17">
        <f>C83/1000</f>
        <v>0.12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/>
      <c r="O142"/>
      <c r="P142"/>
      <c r="Q142"/>
    </row>
    <row r="143" spans="1:17" x14ac:dyDescent="0.25">
      <c r="A143" s="17"/>
      <c r="B143" s="17" t="s">
        <v>362</v>
      </c>
      <c r="C143" s="17">
        <f>C84/1000</f>
        <v>0.06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/>
      <c r="O143"/>
      <c r="P143"/>
      <c r="Q143"/>
    </row>
    <row r="144" spans="1:17" x14ac:dyDescent="0.25">
      <c r="A144" s="17"/>
      <c r="B144" s="17" t="s">
        <v>363</v>
      </c>
      <c r="C144" s="17">
        <f>30/1000</f>
        <v>0.03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/>
      <c r="O144"/>
      <c r="P144"/>
      <c r="Q144"/>
    </row>
    <row r="145" spans="1:17" x14ac:dyDescent="0.25">
      <c r="A145" s="17"/>
      <c r="B145" s="17" t="s">
        <v>359</v>
      </c>
      <c r="C145" s="17">
        <f>C90</f>
        <v>0.40351481649743598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/>
      <c r="O145"/>
      <c r="P145"/>
      <c r="Q145"/>
    </row>
    <row r="146" spans="1:17" x14ac:dyDescent="0.25">
      <c r="A146" s="17"/>
      <c r="B146" s="17" t="s">
        <v>424</v>
      </c>
      <c r="C146" s="17">
        <v>30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/>
      <c r="O146"/>
      <c r="P146"/>
      <c r="Q146"/>
    </row>
    <row r="147" spans="1:17" x14ac:dyDescent="0.25">
      <c r="A147" s="17"/>
      <c r="B147" s="17" t="s">
        <v>425</v>
      </c>
      <c r="C147" s="17">
        <v>100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/>
      <c r="O147"/>
      <c r="P147"/>
      <c r="Q147"/>
    </row>
    <row r="148" spans="1:17" x14ac:dyDescent="0.25">
      <c r="A148" s="17"/>
      <c r="B148" s="17" t="s">
        <v>426</v>
      </c>
      <c r="C148" s="17">
        <v>100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/>
      <c r="O148"/>
      <c r="P148"/>
      <c r="Q148"/>
    </row>
    <row r="149" spans="1:17" x14ac:dyDescent="0.25">
      <c r="A149" s="17"/>
      <c r="B149" s="17" t="s">
        <v>427</v>
      </c>
      <c r="C149" s="17">
        <v>100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/>
      <c r="O149"/>
      <c r="P149"/>
      <c r="Q149"/>
    </row>
    <row r="150" spans="1:17" x14ac:dyDescent="0.25">
      <c r="A150" s="17"/>
      <c r="B150" s="17" t="s">
        <v>428</v>
      </c>
      <c r="C150" s="17">
        <v>100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/>
      <c r="O150"/>
      <c r="P150"/>
      <c r="Q150"/>
    </row>
    <row r="151" spans="1:17" x14ac:dyDescent="0.25">
      <c r="A151" s="17"/>
      <c r="B151" s="17" t="s">
        <v>360</v>
      </c>
      <c r="C151" s="17">
        <f>Таблица2[[#Totals],[Материнская плата, Вт]]+Таблица18[[#Totals],[Pd]]</f>
        <v>12.126829999999998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/>
      <c r="O151"/>
      <c r="P151"/>
      <c r="Q151"/>
    </row>
    <row r="152" spans="1:17" x14ac:dyDescent="0.25">
      <c r="A152" s="17"/>
      <c r="B152" s="17" t="s">
        <v>361</v>
      </c>
      <c r="C152" s="17">
        <f>'Расчёт потребления устройства'!K3</f>
        <v>2.6336999999999997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/>
      <c r="O152"/>
      <c r="P152"/>
      <c r="Q152"/>
    </row>
    <row r="153" spans="1:17" x14ac:dyDescent="0.25">
      <c r="A153" s="17"/>
      <c r="B153" s="17" t="s">
        <v>580</v>
      </c>
      <c r="C153" s="17">
        <f>Таблица1[[#Totals],[Площадь элементов, мм2]]/10^6</f>
        <v>6.0223393420000002E-3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/>
      <c r="O153"/>
      <c r="P153"/>
      <c r="Q153"/>
    </row>
    <row r="154" spans="1:17" x14ac:dyDescent="0.25">
      <c r="A154" s="17"/>
      <c r="B154" s="17" t="s">
        <v>364</v>
      </c>
      <c r="C154" s="17">
        <v>101325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/>
      <c r="O154"/>
      <c r="P154"/>
      <c r="Q154"/>
    </row>
    <row r="155" spans="1:17" x14ac:dyDescent="0.25">
      <c r="A155" s="17"/>
      <c r="B155" s="17" t="s">
        <v>365</v>
      </c>
      <c r="C155" s="17">
        <v>101325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/>
      <c r="O155"/>
      <c r="P155"/>
      <c r="Q155"/>
    </row>
    <row r="156" spans="1:1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/>
      <c r="O156"/>
      <c r="P156"/>
      <c r="Q156"/>
    </row>
    <row r="157" spans="1:17" x14ac:dyDescent="0.25">
      <c r="A157" s="17" t="s">
        <v>394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/>
      <c r="O157"/>
      <c r="P157"/>
      <c r="Q157"/>
    </row>
    <row r="158" spans="1:17" x14ac:dyDescent="0.25">
      <c r="A158" s="17"/>
      <c r="B158" s="17" t="s">
        <v>230</v>
      </c>
      <c r="C158" s="17" t="s">
        <v>301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/>
      <c r="O158"/>
      <c r="P158"/>
      <c r="Q158"/>
    </row>
    <row r="159" spans="1:17" x14ac:dyDescent="0.25">
      <c r="A159" s="17"/>
      <c r="B159" s="17" t="s">
        <v>429</v>
      </c>
      <c r="C159" s="17">
        <v>67.06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/>
      <c r="O159"/>
      <c r="P159"/>
      <c r="Q159"/>
    </row>
    <row r="160" spans="1:17" x14ac:dyDescent="0.25">
      <c r="A160" s="17"/>
      <c r="B160" s="17" t="s">
        <v>430</v>
      </c>
      <c r="C160" s="17">
        <v>67.87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/>
      <c r="O160"/>
      <c r="P160"/>
      <c r="Q160"/>
    </row>
    <row r="161" spans="1:17" x14ac:dyDescent="0.25">
      <c r="A161" s="17"/>
      <c r="B161" s="17" t="s">
        <v>431</v>
      </c>
      <c r="C161" s="17">
        <v>68.680000000000007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/>
      <c r="O161"/>
      <c r="P161"/>
      <c r="Q161"/>
    </row>
    <row r="162" spans="1:17" x14ac:dyDescent="0.25">
      <c r="A162" s="17"/>
      <c r="B162" s="17" t="s">
        <v>432</v>
      </c>
      <c r="C162" s="17">
        <v>64.81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/>
      <c r="O162"/>
      <c r="P162"/>
      <c r="Q162"/>
    </row>
    <row r="163" spans="1:17" x14ac:dyDescent="0.25">
      <c r="A163" s="17"/>
      <c r="B163" s="17" t="s">
        <v>433</v>
      </c>
      <c r="C163" s="17">
        <v>65.55</v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/>
      <c r="O163"/>
      <c r="P163"/>
      <c r="Q163"/>
    </row>
    <row r="164" spans="1:1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/>
      <c r="O164"/>
      <c r="P164"/>
      <c r="Q164"/>
    </row>
    <row r="165" spans="1:17" x14ac:dyDescent="0.25">
      <c r="A165" s="17" t="s">
        <v>582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/>
      <c r="O165"/>
      <c r="P165"/>
      <c r="Q165"/>
    </row>
    <row r="166" spans="1:17" x14ac:dyDescent="0.25">
      <c r="A166" s="17"/>
      <c r="B166" s="17" t="s">
        <v>230</v>
      </c>
      <c r="C166" s="17" t="s">
        <v>301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/>
      <c r="O166"/>
      <c r="P166"/>
      <c r="Q166"/>
    </row>
    <row r="167" spans="1:17" x14ac:dyDescent="0.25">
      <c r="A167" s="17"/>
      <c r="B167" s="17" t="s">
        <v>392</v>
      </c>
      <c r="C167" s="17">
        <f>C96/1000</f>
        <v>0.21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/>
      <c r="O167"/>
      <c r="P167"/>
      <c r="Q167"/>
    </row>
    <row r="168" spans="1:17" x14ac:dyDescent="0.25">
      <c r="A168" s="17"/>
      <c r="B168" s="17" t="s">
        <v>362</v>
      </c>
      <c r="C168" s="17">
        <f t="shared" ref="C168" si="0">C97/1000</f>
        <v>0.14000000000000001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/>
      <c r="O168"/>
      <c r="P168"/>
      <c r="Q168"/>
    </row>
    <row r="169" spans="1:17" x14ac:dyDescent="0.25">
      <c r="A169" s="17"/>
      <c r="B169" s="17" t="s">
        <v>363</v>
      </c>
      <c r="C169" s="17">
        <f>30/1000</f>
        <v>0.03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/>
      <c r="O169"/>
      <c r="P169"/>
      <c r="Q169"/>
    </row>
    <row r="170" spans="1:17" x14ac:dyDescent="0.25">
      <c r="A170" s="17"/>
      <c r="B170" s="17" t="s">
        <v>359</v>
      </c>
      <c r="C170" s="17">
        <f>C103</f>
        <v>0.24647899155612243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/>
      <c r="O170"/>
      <c r="P170"/>
      <c r="Q170"/>
    </row>
    <row r="171" spans="1:17" x14ac:dyDescent="0.25">
      <c r="A171" s="17"/>
      <c r="B171" s="17" t="s">
        <v>424</v>
      </c>
      <c r="C171" s="17">
        <v>30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/>
      <c r="O171"/>
      <c r="P171"/>
      <c r="Q171"/>
    </row>
    <row r="172" spans="1:17" x14ac:dyDescent="0.25">
      <c r="A172" s="17"/>
      <c r="B172" s="17" t="s">
        <v>425</v>
      </c>
      <c r="C172" s="17">
        <v>100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/>
      <c r="O172"/>
      <c r="P172"/>
      <c r="Q172"/>
    </row>
    <row r="173" spans="1:17" x14ac:dyDescent="0.25">
      <c r="A173" s="17"/>
      <c r="B173" s="17" t="s">
        <v>426</v>
      </c>
      <c r="C173" s="17">
        <v>100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/>
      <c r="O173"/>
      <c r="P173"/>
      <c r="Q173"/>
    </row>
    <row r="174" spans="1:17" x14ac:dyDescent="0.25">
      <c r="A174" s="17"/>
      <c r="B174" s="17" t="s">
        <v>427</v>
      </c>
      <c r="C174" s="17">
        <v>100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/>
      <c r="O174"/>
      <c r="P174"/>
      <c r="Q174"/>
    </row>
    <row r="175" spans="1:17" x14ac:dyDescent="0.25">
      <c r="A175" s="17"/>
      <c r="B175" s="17" t="s">
        <v>428</v>
      </c>
      <c r="C175" s="17">
        <v>100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/>
      <c r="O175"/>
      <c r="P175"/>
      <c r="Q175"/>
    </row>
    <row r="176" spans="1:17" x14ac:dyDescent="0.25">
      <c r="A176" s="17"/>
      <c r="B176" s="17" t="s">
        <v>360</v>
      </c>
      <c r="C176" s="17">
        <f>Таблица2[[#Totals],[Панель управления, Вт]]</f>
        <v>1.2845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/>
      <c r="O176"/>
      <c r="P176"/>
      <c r="Q176"/>
    </row>
    <row r="177" spans="1:17" x14ac:dyDescent="0.25">
      <c r="A177" s="17"/>
      <c r="B177" s="17" t="s">
        <v>361</v>
      </c>
      <c r="C177" s="17">
        <f>'Расчёт потребления устройства'!L16</f>
        <v>0.84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/>
      <c r="O177"/>
      <c r="P177"/>
      <c r="Q177"/>
    </row>
    <row r="178" spans="1:17" x14ac:dyDescent="0.25">
      <c r="A178" s="17"/>
      <c r="B178" s="17" t="s">
        <v>580</v>
      </c>
      <c r="C178" s="17">
        <f>Таблица26[[#Totals],[Площадь элементов, мм2]]/10^6</f>
        <v>2.0537537000000002E-2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/>
      <c r="O178"/>
      <c r="P178"/>
      <c r="Q178"/>
    </row>
    <row r="179" spans="1:17" x14ac:dyDescent="0.25">
      <c r="A179" s="17"/>
      <c r="B179" s="17" t="s">
        <v>364</v>
      </c>
      <c r="C179" s="17">
        <v>101325</v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/>
      <c r="O179"/>
      <c r="P179"/>
      <c r="Q179"/>
    </row>
    <row r="180" spans="1:17" x14ac:dyDescent="0.25">
      <c r="A180" s="17"/>
      <c r="B180" s="17" t="s">
        <v>365</v>
      </c>
      <c r="C180" s="17">
        <v>101325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/>
      <c r="O180"/>
      <c r="P180"/>
      <c r="Q180"/>
    </row>
    <row r="181" spans="1:1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/>
      <c r="O181"/>
      <c r="P181"/>
      <c r="Q181"/>
    </row>
    <row r="182" spans="1:17" x14ac:dyDescent="0.25">
      <c r="A182" s="17" t="s">
        <v>583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/>
      <c r="O182"/>
      <c r="P182"/>
      <c r="Q182"/>
    </row>
    <row r="183" spans="1:17" x14ac:dyDescent="0.25">
      <c r="A183" s="17"/>
      <c r="B183" s="17" t="s">
        <v>230</v>
      </c>
      <c r="C183" s="17" t="s">
        <v>301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/>
      <c r="O183"/>
      <c r="P183"/>
      <c r="Q183"/>
    </row>
    <row r="184" spans="1:17" x14ac:dyDescent="0.25">
      <c r="A184" s="17"/>
      <c r="B184" s="17" t="s">
        <v>429</v>
      </c>
      <c r="C184" s="17">
        <v>32.28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/>
      <c r="O184"/>
      <c r="P184"/>
      <c r="Q184"/>
    </row>
    <row r="185" spans="1:17" x14ac:dyDescent="0.25">
      <c r="A185" s="17"/>
      <c r="B185" s="17" t="s">
        <v>430</v>
      </c>
      <c r="C185" s="17">
        <v>32.5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/>
      <c r="O185"/>
      <c r="P185"/>
      <c r="Q185"/>
    </row>
    <row r="186" spans="1:17" x14ac:dyDescent="0.25">
      <c r="A186" s="17"/>
      <c r="B186" s="17" t="s">
        <v>431</v>
      </c>
      <c r="C186" s="17">
        <v>32.729999999999997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/>
      <c r="O186"/>
      <c r="P186"/>
      <c r="Q186"/>
    </row>
    <row r="187" spans="1:17" x14ac:dyDescent="0.25">
      <c r="A187" s="17"/>
      <c r="B187" s="17" t="s">
        <v>432</v>
      </c>
      <c r="C187" s="17">
        <v>33.159999999999997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/>
      <c r="O187"/>
      <c r="P187"/>
      <c r="Q187"/>
    </row>
    <row r="188" spans="1:17" x14ac:dyDescent="0.25">
      <c r="A188" s="17"/>
      <c r="B188" s="17" t="s">
        <v>433</v>
      </c>
      <c r="C188" s="17">
        <v>33.44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/>
      <c r="O188"/>
      <c r="P188"/>
      <c r="Q188"/>
    </row>
    <row r="189" spans="1:1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/>
      <c r="O189"/>
      <c r="P189"/>
      <c r="Q189"/>
    </row>
    <row r="190" spans="1:17" x14ac:dyDescent="0.25">
      <c r="A190" s="17" t="s">
        <v>285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/>
      <c r="O190"/>
      <c r="P190"/>
      <c r="Q190"/>
    </row>
    <row r="191" spans="1:17" x14ac:dyDescent="0.25">
      <c r="A191" s="17" t="s">
        <v>395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/>
      <c r="O191"/>
      <c r="P191"/>
      <c r="Q191"/>
    </row>
    <row r="192" spans="1:17" x14ac:dyDescent="0.25">
      <c r="A192" s="17"/>
      <c r="B192" s="17" t="s">
        <v>230</v>
      </c>
      <c r="C192" s="17" t="s">
        <v>301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/>
      <c r="O192"/>
      <c r="P192"/>
      <c r="Q192"/>
    </row>
    <row r="193" spans="1:17" x14ac:dyDescent="0.25">
      <c r="A193" s="17"/>
      <c r="B193" s="17" t="s">
        <v>349</v>
      </c>
      <c r="C193" s="17">
        <v>3647.5120000000002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/>
      <c r="O193"/>
      <c r="P193"/>
      <c r="Q193"/>
    </row>
    <row r="194" spans="1:17" x14ac:dyDescent="0.25">
      <c r="A194" s="17"/>
      <c r="B194" s="17" t="s">
        <v>350</v>
      </c>
      <c r="C194" s="17">
        <v>3311.4209999999998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/>
      <c r="O194"/>
      <c r="P194"/>
      <c r="Q194"/>
    </row>
    <row r="195" spans="1:17" x14ac:dyDescent="0.25">
      <c r="A195" s="17"/>
      <c r="B195" s="17" t="s">
        <v>351</v>
      </c>
      <c r="C195" s="17">
        <f>C193/C207</f>
        <v>18.237560000000002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/>
      <c r="O195"/>
      <c r="P195"/>
      <c r="Q195"/>
    </row>
    <row r="196" spans="1:1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/>
      <c r="O196"/>
      <c r="P196"/>
      <c r="Q196"/>
    </row>
    <row r="197" spans="1:17" x14ac:dyDescent="0.25">
      <c r="A197" s="17" t="s">
        <v>396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/>
      <c r="O197"/>
      <c r="P197"/>
      <c r="Q197"/>
    </row>
    <row r="198" spans="1:17" x14ac:dyDescent="0.25">
      <c r="A198" s="17"/>
      <c r="B198" s="17" t="s">
        <v>230</v>
      </c>
      <c r="C198" s="17" t="s">
        <v>301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/>
      <c r="O198"/>
      <c r="P198"/>
      <c r="Q198"/>
    </row>
    <row r="199" spans="1:17" x14ac:dyDescent="0.25">
      <c r="A199" s="17"/>
      <c r="B199" s="17" t="s">
        <v>352</v>
      </c>
      <c r="C199" s="17">
        <v>3.02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/>
      <c r="O199"/>
      <c r="P199"/>
      <c r="Q199"/>
    </row>
    <row r="200" spans="1:17" x14ac:dyDescent="0.25">
      <c r="A200" s="17"/>
      <c r="B200" s="17" t="s">
        <v>353</v>
      </c>
      <c r="C200" s="17">
        <v>0.3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/>
      <c r="O200"/>
      <c r="P200"/>
      <c r="Q200"/>
    </row>
    <row r="201" spans="1:17" x14ac:dyDescent="0.25">
      <c r="A201" s="17"/>
      <c r="B201" s="17" t="s">
        <v>354</v>
      </c>
      <c r="C201" s="17">
        <v>1.65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/>
      <c r="O201"/>
      <c r="P201"/>
      <c r="Q201"/>
    </row>
    <row r="202" spans="1:17" x14ac:dyDescent="0.25">
      <c r="A202" s="17"/>
      <c r="B202" s="17" t="s">
        <v>455</v>
      </c>
      <c r="C202" s="17">
        <v>1.2E-2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/>
      <c r="O202"/>
      <c r="P202"/>
      <c r="Q202"/>
    </row>
    <row r="203" spans="1:17" x14ac:dyDescent="0.25">
      <c r="A203" s="17"/>
      <c r="B203" s="17" t="s">
        <v>456</v>
      </c>
      <c r="C203" s="17">
        <v>6.0000000000000001E-3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/>
      <c r="O203"/>
      <c r="P203"/>
      <c r="Q203"/>
    </row>
    <row r="204" spans="1:17" x14ac:dyDescent="0.25">
      <c r="A204" s="17"/>
      <c r="B204" s="17" t="s">
        <v>355</v>
      </c>
      <c r="C204" s="17">
        <v>0.2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/>
      <c r="O204"/>
      <c r="P204"/>
      <c r="Q204"/>
    </row>
    <row r="205" spans="1:17" x14ac:dyDescent="0.25">
      <c r="A205" s="17"/>
      <c r="B205" s="17" t="s">
        <v>356</v>
      </c>
      <c r="C205" s="17">
        <v>4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/>
      <c r="O205"/>
      <c r="P205"/>
      <c r="Q205"/>
    </row>
    <row r="206" spans="1:17" x14ac:dyDescent="0.25">
      <c r="A206" s="17"/>
      <c r="B206" s="17" t="s">
        <v>358</v>
      </c>
      <c r="C206" s="17">
        <v>10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/>
      <c r="O206"/>
      <c r="P206"/>
      <c r="Q206"/>
    </row>
    <row r="207" spans="1:17" x14ac:dyDescent="0.25">
      <c r="A207" s="17"/>
      <c r="B207" s="17" t="s">
        <v>357</v>
      </c>
      <c r="C207" s="17">
        <v>200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/>
      <c r="O207"/>
      <c r="P207"/>
      <c r="Q207"/>
    </row>
    <row r="208" spans="1:1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/>
      <c r="O208"/>
      <c r="P208"/>
      <c r="Q208"/>
    </row>
    <row r="209" spans="1:17" x14ac:dyDescent="0.25">
      <c r="A209" s="17" t="s">
        <v>397</v>
      </c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/>
      <c r="O209"/>
      <c r="P209"/>
      <c r="Q209"/>
    </row>
    <row r="210" spans="1:17" x14ac:dyDescent="0.25">
      <c r="A210" s="17"/>
      <c r="B210" s="17" t="s">
        <v>230</v>
      </c>
      <c r="C210" s="17" t="s">
        <v>301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/>
      <c r="O210"/>
      <c r="P210"/>
      <c r="Q210"/>
    </row>
    <row r="211" spans="1:17" x14ac:dyDescent="0.25">
      <c r="A211" s="17"/>
      <c r="B211" s="17" t="s">
        <v>349</v>
      </c>
      <c r="C211" s="17">
        <v>2064.4140000000002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/>
      <c r="O211"/>
      <c r="P211"/>
      <c r="Q211"/>
    </row>
    <row r="212" spans="1:17" x14ac:dyDescent="0.25">
      <c r="A212" s="17"/>
      <c r="B212" s="17" t="s">
        <v>350</v>
      </c>
      <c r="C212" s="17">
        <v>1882.3330000000001</v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/>
      <c r="O212"/>
      <c r="P212"/>
      <c r="Q212"/>
    </row>
    <row r="213" spans="1:17" x14ac:dyDescent="0.25">
      <c r="A213" s="17"/>
      <c r="B213" s="17" t="s">
        <v>351</v>
      </c>
      <c r="C213" s="17">
        <f>C211/C223</f>
        <v>10.322070000000002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/>
      <c r="O213"/>
      <c r="P213"/>
      <c r="Q213"/>
    </row>
    <row r="214" spans="1:1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/>
      <c r="O214"/>
      <c r="P214"/>
      <c r="Q214"/>
    </row>
    <row r="215" spans="1:17" x14ac:dyDescent="0.25">
      <c r="A215" s="17" t="s">
        <v>398</v>
      </c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/>
      <c r="O215"/>
      <c r="P215"/>
      <c r="Q215"/>
    </row>
    <row r="216" spans="1:17" x14ac:dyDescent="0.25">
      <c r="A216" s="17"/>
      <c r="B216" s="17" t="s">
        <v>230</v>
      </c>
      <c r="C216" s="17" t="s">
        <v>301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/>
      <c r="O216"/>
      <c r="P216"/>
      <c r="Q216"/>
    </row>
    <row r="217" spans="1:17" x14ac:dyDescent="0.25">
      <c r="A217" s="17"/>
      <c r="B217" s="17" t="s">
        <v>354</v>
      </c>
      <c r="C217" s="17">
        <v>1.33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/>
      <c r="O217"/>
      <c r="P217"/>
      <c r="Q217"/>
    </row>
    <row r="218" spans="1:17" x14ac:dyDescent="0.25">
      <c r="A218" s="17"/>
      <c r="B218" s="17" t="s">
        <v>455</v>
      </c>
      <c r="C218" s="17">
        <v>2.1000000000000001E-2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/>
      <c r="O218"/>
      <c r="P218"/>
      <c r="Q218"/>
    </row>
    <row r="219" spans="1:17" x14ac:dyDescent="0.25">
      <c r="A219" s="17"/>
      <c r="B219" s="17" t="s">
        <v>456</v>
      </c>
      <c r="C219" s="17">
        <v>1.4E-2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/>
      <c r="O219"/>
      <c r="P219"/>
      <c r="Q219"/>
    </row>
    <row r="220" spans="1:17" x14ac:dyDescent="0.25">
      <c r="A220" s="17"/>
      <c r="B220" s="17" t="s">
        <v>355</v>
      </c>
      <c r="C220" s="17">
        <v>0.15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/>
      <c r="O220"/>
      <c r="P220"/>
      <c r="Q220"/>
    </row>
    <row r="221" spans="1:17" x14ac:dyDescent="0.25">
      <c r="A221" s="17"/>
      <c r="B221" s="17" t="s">
        <v>356</v>
      </c>
      <c r="C221" s="17">
        <v>5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/>
      <c r="O221"/>
      <c r="P221"/>
      <c r="Q221"/>
    </row>
    <row r="222" spans="1:17" x14ac:dyDescent="0.25">
      <c r="A222" s="17"/>
      <c r="B222" s="17" t="s">
        <v>358</v>
      </c>
      <c r="C222" s="17">
        <v>10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/>
      <c r="O222"/>
      <c r="P222"/>
      <c r="Q222"/>
    </row>
    <row r="223" spans="1:17" x14ac:dyDescent="0.25">
      <c r="A223" s="17"/>
      <c r="B223" s="17" t="s">
        <v>357</v>
      </c>
      <c r="C223" s="17">
        <v>200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/>
      <c r="O223"/>
      <c r="P223"/>
      <c r="Q223"/>
    </row>
    <row r="224" spans="1:1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/>
      <c r="O224"/>
      <c r="P224"/>
      <c r="Q224"/>
    </row>
    <row r="225" spans="1:17" x14ac:dyDescent="0.25">
      <c r="A225" s="17" t="s">
        <v>286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/>
      <c r="O225"/>
      <c r="P225"/>
      <c r="Q225"/>
    </row>
    <row r="226" spans="1:17" x14ac:dyDescent="0.25">
      <c r="A226" s="17" t="s">
        <v>399</v>
      </c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/>
      <c r="O226"/>
      <c r="P226"/>
      <c r="Q226"/>
    </row>
    <row r="227" spans="1:17" x14ac:dyDescent="0.25">
      <c r="A227" s="17"/>
      <c r="B227" s="17" t="s">
        <v>230</v>
      </c>
      <c r="C227" s="17" t="s">
        <v>301</v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/>
      <c r="O227"/>
      <c r="P227"/>
      <c r="Q227"/>
    </row>
    <row r="228" spans="1:17" x14ac:dyDescent="0.25">
      <c r="A228" s="17"/>
      <c r="B228" s="17" t="s">
        <v>366</v>
      </c>
      <c r="C228" s="17">
        <f>1/(C237*10^(-6)*C238)</f>
        <v>111515.7137923274</v>
      </c>
      <c r="D228" s="17" t="s">
        <v>370</v>
      </c>
      <c r="E228" s="17" t="str">
        <f>ROUND(CONVERT(Таблица17[[#This Row],[Значение]],"hr","yr"),0)&amp;" лет до отказа"</f>
        <v>13 лет до отказа</v>
      </c>
      <c r="F228" s="17"/>
      <c r="G228" s="17"/>
      <c r="H228" s="17"/>
      <c r="I228" s="17"/>
      <c r="J228" s="17"/>
      <c r="K228" s="17"/>
      <c r="L228" s="17"/>
      <c r="M228" s="17"/>
      <c r="N228"/>
      <c r="O228"/>
      <c r="P228"/>
      <c r="Q228"/>
    </row>
    <row r="229" spans="1:17" x14ac:dyDescent="0.25">
      <c r="A229" s="17"/>
      <c r="B229" s="17" t="s">
        <v>367</v>
      </c>
      <c r="C229" s="17">
        <f>EXP(-C239/C228)</f>
        <v>0.67518418496056753</v>
      </c>
      <c r="D229" s="17" t="s">
        <v>371</v>
      </c>
      <c r="E229" s="17"/>
      <c r="F229" s="17"/>
      <c r="G229" s="17"/>
      <c r="H229" s="17"/>
      <c r="I229" s="17"/>
      <c r="J229" s="17"/>
      <c r="K229" s="17"/>
      <c r="L229" s="17"/>
      <c r="M229" s="17"/>
      <c r="N229"/>
      <c r="O229"/>
      <c r="P229"/>
      <c r="Q229"/>
    </row>
    <row r="230" spans="1:17" x14ac:dyDescent="0.25">
      <c r="A230" s="17"/>
      <c r="B230" s="17" t="s">
        <v>368</v>
      </c>
      <c r="C230" s="17">
        <f>C240/C241</f>
        <v>0.55576923076923057</v>
      </c>
      <c r="D230" s="17" t="s">
        <v>372</v>
      </c>
      <c r="E230" s="17"/>
      <c r="F230" s="17"/>
      <c r="G230" s="17"/>
      <c r="H230" s="17"/>
      <c r="I230" s="17"/>
      <c r="J230" s="17"/>
      <c r="K230" s="17"/>
      <c r="L230" s="17"/>
      <c r="M230" s="17"/>
      <c r="N230"/>
      <c r="O230"/>
      <c r="P230"/>
      <c r="Q230"/>
    </row>
    <row r="231" spans="1:17" x14ac:dyDescent="0.25">
      <c r="A231" s="17"/>
      <c r="B231" s="17" t="s">
        <v>369</v>
      </c>
      <c r="C231" s="17">
        <f>C228/(C228+C230)</f>
        <v>0.9999950162497997</v>
      </c>
      <c r="D231" s="17" t="s">
        <v>373</v>
      </c>
      <c r="E231" s="17"/>
      <c r="F231" s="17"/>
      <c r="G231" s="17"/>
      <c r="H231" s="17"/>
      <c r="I231" s="17"/>
      <c r="J231" s="17"/>
      <c r="K231" s="17"/>
      <c r="L231" s="17"/>
      <c r="M231" s="17"/>
      <c r="N231"/>
      <c r="O231"/>
      <c r="P231"/>
      <c r="Q231"/>
    </row>
    <row r="232" spans="1:17" x14ac:dyDescent="0.25">
      <c r="A232" s="17"/>
      <c r="B232" s="17" t="s">
        <v>375</v>
      </c>
      <c r="C232" s="17">
        <f>1-C231</f>
        <v>4.9837502003047263E-6</v>
      </c>
      <c r="D232" s="17" t="s">
        <v>374</v>
      </c>
      <c r="E232" s="17"/>
      <c r="F232" s="17"/>
      <c r="G232" s="17"/>
      <c r="H232" s="17"/>
      <c r="I232" s="17"/>
      <c r="J232" s="17"/>
      <c r="K232" s="17"/>
      <c r="L232" s="17"/>
      <c r="M232" s="17"/>
      <c r="N232"/>
      <c r="O232"/>
      <c r="P232"/>
      <c r="Q232"/>
    </row>
    <row r="233" spans="1:17" x14ac:dyDescent="0.25">
      <c r="A233" s="17"/>
      <c r="B233" s="17" t="s">
        <v>376</v>
      </c>
      <c r="C233" s="17">
        <f>C231*EXP(-C239/C228)</f>
        <v>0.67518082001125046</v>
      </c>
      <c r="D233" s="17" t="s">
        <v>377</v>
      </c>
      <c r="E233" s="17"/>
      <c r="F233" s="17"/>
      <c r="G233" s="17"/>
      <c r="H233" s="17"/>
      <c r="I233" s="17"/>
      <c r="J233" s="17"/>
      <c r="K233" s="17"/>
      <c r="L233" s="17"/>
      <c r="M233" s="17"/>
      <c r="N233"/>
      <c r="O233"/>
      <c r="P233"/>
      <c r="Q233"/>
    </row>
    <row r="234" spans="1:1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/>
      <c r="O234"/>
      <c r="P234"/>
      <c r="Q234"/>
    </row>
    <row r="235" spans="1:17" x14ac:dyDescent="0.25">
      <c r="A235" s="17" t="s">
        <v>400</v>
      </c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/>
      <c r="O235"/>
      <c r="P235"/>
      <c r="Q235"/>
    </row>
    <row r="236" spans="1:17" x14ac:dyDescent="0.25">
      <c r="A236" s="17"/>
      <c r="B236" s="17" t="s">
        <v>230</v>
      </c>
      <c r="C236" s="17" t="s">
        <v>301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/>
      <c r="O236"/>
      <c r="P236"/>
      <c r="Q236"/>
    </row>
    <row r="237" spans="1:17" x14ac:dyDescent="0.25">
      <c r="A237" s="17"/>
      <c r="B237" s="17" t="s">
        <v>378</v>
      </c>
      <c r="C237" s="17">
        <f>Таблица1[[#Totals],[Интенсивность отказов x 10-6, 1/ч]]</f>
        <v>8.1521328086899363</v>
      </c>
      <c r="D237" s="17" t="s">
        <v>379</v>
      </c>
      <c r="E237" s="17"/>
      <c r="F237" s="17"/>
      <c r="G237" s="17"/>
      <c r="H237" s="17"/>
      <c r="I237" s="17"/>
      <c r="J237" s="17"/>
      <c r="K237" s="17"/>
      <c r="L237" s="17"/>
      <c r="M237" s="17"/>
      <c r="N237"/>
      <c r="O237"/>
      <c r="P237"/>
      <c r="Q237"/>
    </row>
    <row r="238" spans="1:17" x14ac:dyDescent="0.25">
      <c r="A238" s="17"/>
      <c r="B238" s="17" t="s">
        <v>552</v>
      </c>
      <c r="C238" s="17">
        <v>1.1000000000000001</v>
      </c>
      <c r="D238" s="17" t="s">
        <v>381</v>
      </c>
      <c r="E238" s="17"/>
      <c r="F238" s="17"/>
      <c r="G238" s="17"/>
      <c r="H238" s="17"/>
      <c r="I238" s="17"/>
      <c r="J238" s="17"/>
      <c r="K238" s="17"/>
      <c r="L238" s="17"/>
      <c r="M238" s="17"/>
      <c r="N238"/>
      <c r="O238"/>
      <c r="P238"/>
      <c r="Q238"/>
    </row>
    <row r="239" spans="1:17" x14ac:dyDescent="0.25">
      <c r="A239" s="17"/>
      <c r="B239" s="17" t="s">
        <v>382</v>
      </c>
      <c r="C239" s="17">
        <v>43800</v>
      </c>
      <c r="D239" s="17" t="s">
        <v>383</v>
      </c>
      <c r="E239" s="17" t="str">
        <f>ROUND(CONVERT(Таблица10[[#This Row],[Значение]],"hr","yr"),0)&amp;" лет безотказной работы"</f>
        <v>5 лет безотказной работы</v>
      </c>
      <c r="F239" s="17"/>
      <c r="G239" s="17"/>
      <c r="H239" s="17"/>
      <c r="I239" s="17"/>
      <c r="J239" s="17"/>
      <c r="K239" s="17"/>
      <c r="L239" s="17"/>
      <c r="M239" s="17"/>
      <c r="N239"/>
      <c r="O239"/>
      <c r="P239"/>
      <c r="Q239"/>
    </row>
    <row r="240" spans="1:17" x14ac:dyDescent="0.25">
      <c r="A240" s="17"/>
      <c r="B240" s="17" t="s">
        <v>384</v>
      </c>
      <c r="C240" s="17">
        <f>Таблица1[[#Totals],[Случайное время восстановления, ч]]</f>
        <v>28.899999999999991</v>
      </c>
      <c r="D240" s="17" t="s">
        <v>385</v>
      </c>
      <c r="E240" s="17"/>
      <c r="F240" s="17"/>
      <c r="G240" s="17"/>
      <c r="H240" s="17"/>
      <c r="I240" s="17"/>
      <c r="J240" s="17"/>
      <c r="K240" s="17"/>
      <c r="L240" s="17"/>
      <c r="M240" s="17"/>
      <c r="N240"/>
      <c r="O240"/>
      <c r="P240"/>
      <c r="Q240"/>
    </row>
    <row r="241" spans="1:17" x14ac:dyDescent="0.25">
      <c r="A241" s="17"/>
      <c r="B241" s="17" t="s">
        <v>386</v>
      </c>
      <c r="C241" s="17">
        <f>Таблица1[[#Totals],[Название в библиотеке]]</f>
        <v>52</v>
      </c>
      <c r="D241" s="17" t="s">
        <v>387</v>
      </c>
      <c r="E241" s="17"/>
      <c r="F241" s="17"/>
      <c r="G241" s="17"/>
      <c r="H241" s="17"/>
      <c r="I241" s="17"/>
      <c r="J241" s="17"/>
      <c r="K241" s="17"/>
      <c r="L241" s="17"/>
      <c r="M241" s="17"/>
      <c r="N241"/>
      <c r="O241"/>
      <c r="P241"/>
      <c r="Q241"/>
    </row>
    <row r="242" spans="1:1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/>
      <c r="O242"/>
      <c r="P242"/>
      <c r="Q242"/>
    </row>
    <row r="243" spans="1:17" x14ac:dyDescent="0.25">
      <c r="A243" s="17" t="s">
        <v>401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/>
      <c r="O243"/>
      <c r="P243"/>
      <c r="Q243"/>
    </row>
    <row r="244" spans="1:17" x14ac:dyDescent="0.25">
      <c r="A244" s="17"/>
      <c r="B244" s="17" t="s">
        <v>230</v>
      </c>
      <c r="C244" s="17" t="s">
        <v>301</v>
      </c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/>
      <c r="O244"/>
      <c r="P244"/>
      <c r="Q244"/>
    </row>
    <row r="245" spans="1:17" x14ac:dyDescent="0.25">
      <c r="A245" s="17"/>
      <c r="B245" s="17" t="s">
        <v>366</v>
      </c>
      <c r="C245" s="17">
        <f>1/(C254*10^(-6)*C255)</f>
        <v>565572.05662303814</v>
      </c>
      <c r="D245" s="17" t="s">
        <v>370</v>
      </c>
      <c r="E245" s="17" t="str">
        <f>ROUND(CONVERT(Таблица1721[[#This Row],[Значение]],"hr","yr"),0)&amp;" лет до отказа"</f>
        <v>65 лет до отказа</v>
      </c>
      <c r="F245" s="17"/>
      <c r="G245" s="17"/>
      <c r="H245" s="17"/>
      <c r="I245" s="17"/>
      <c r="J245" s="17"/>
      <c r="K245" s="17"/>
      <c r="L245" s="17"/>
      <c r="M245" s="17"/>
      <c r="N245"/>
      <c r="O245"/>
      <c r="P245"/>
      <c r="Q245"/>
    </row>
    <row r="246" spans="1:17" x14ac:dyDescent="0.25">
      <c r="A246" s="17"/>
      <c r="B246" s="17" t="s">
        <v>367</v>
      </c>
      <c r="C246" s="17">
        <f>EXP(-C256/C245)</f>
        <v>0.92547911542909644</v>
      </c>
      <c r="D246" s="17" t="s">
        <v>371</v>
      </c>
      <c r="E246" s="17"/>
      <c r="F246" s="17"/>
      <c r="G246" s="17"/>
      <c r="H246" s="17"/>
      <c r="I246" s="17"/>
      <c r="J246" s="17"/>
      <c r="K246" s="17"/>
      <c r="L246" s="17"/>
      <c r="M246" s="17"/>
      <c r="N246"/>
      <c r="O246"/>
      <c r="P246"/>
      <c r="Q246"/>
    </row>
    <row r="247" spans="1:17" x14ac:dyDescent="0.25">
      <c r="A247" s="17"/>
      <c r="B247" s="17" t="s">
        <v>368</v>
      </c>
      <c r="C247" s="17">
        <f>C257/C258</f>
        <v>0.57499999999999996</v>
      </c>
      <c r="D247" s="17" t="s">
        <v>372</v>
      </c>
      <c r="E247" s="17"/>
      <c r="F247" s="17"/>
      <c r="G247" s="17"/>
      <c r="H247" s="17"/>
      <c r="I247" s="17"/>
      <c r="J247" s="17"/>
      <c r="K247" s="17"/>
      <c r="L247" s="17"/>
      <c r="M247" s="17"/>
      <c r="N247"/>
      <c r="O247"/>
      <c r="P247"/>
      <c r="Q247"/>
    </row>
    <row r="248" spans="1:17" x14ac:dyDescent="0.25">
      <c r="A248" s="17"/>
      <c r="B248" s="17" t="s">
        <v>369</v>
      </c>
      <c r="C248" s="17">
        <f>C245/(C245+C247)</f>
        <v>0.99999898333128623</v>
      </c>
      <c r="D248" s="17" t="s">
        <v>373</v>
      </c>
      <c r="E248" s="17"/>
      <c r="F248" s="17"/>
      <c r="G248" s="17"/>
      <c r="H248" s="17"/>
      <c r="I248" s="17"/>
      <c r="J248" s="17"/>
      <c r="K248" s="17"/>
      <c r="L248" s="17"/>
      <c r="M248" s="17"/>
      <c r="N248"/>
      <c r="O248"/>
      <c r="P248"/>
      <c r="Q248"/>
    </row>
    <row r="249" spans="1:17" x14ac:dyDescent="0.25">
      <c r="A249" s="17"/>
      <c r="B249" s="17" t="s">
        <v>375</v>
      </c>
      <c r="C249" s="17">
        <f>1-C248</f>
        <v>1.0166687137713737E-6</v>
      </c>
      <c r="D249" s="17" t="s">
        <v>374</v>
      </c>
      <c r="E249" s="17"/>
      <c r="F249" s="17"/>
      <c r="G249" s="17"/>
      <c r="H249" s="17"/>
      <c r="I249" s="17"/>
      <c r="J249" s="17"/>
      <c r="K249" s="17"/>
      <c r="L249" s="17"/>
      <c r="M249" s="17"/>
      <c r="N249"/>
      <c r="O249"/>
      <c r="P249"/>
      <c r="Q249"/>
    </row>
    <row r="250" spans="1:17" x14ac:dyDescent="0.25">
      <c r="A250" s="17"/>
      <c r="B250" s="17" t="s">
        <v>376</v>
      </c>
      <c r="C250" s="17">
        <f>C248*EXP(-C256/C245)</f>
        <v>0.9254781745234345</v>
      </c>
      <c r="D250" s="17" t="s">
        <v>377</v>
      </c>
      <c r="E250" s="17"/>
      <c r="F250" s="17"/>
      <c r="G250" s="17"/>
      <c r="H250" s="17"/>
      <c r="I250" s="17"/>
      <c r="J250" s="17"/>
      <c r="K250" s="17"/>
      <c r="L250" s="17"/>
      <c r="M250" s="17"/>
      <c r="N250"/>
      <c r="O250"/>
      <c r="P250"/>
      <c r="Q250"/>
    </row>
    <row r="251" spans="1:1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/>
      <c r="O251"/>
      <c r="P251"/>
      <c r="Q251"/>
    </row>
    <row r="252" spans="1:17" x14ac:dyDescent="0.25">
      <c r="A252" s="17" t="s">
        <v>402</v>
      </c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/>
      <c r="O252"/>
      <c r="P252"/>
      <c r="Q252"/>
    </row>
    <row r="253" spans="1:17" x14ac:dyDescent="0.25">
      <c r="A253" s="17"/>
      <c r="B253" s="17" t="s">
        <v>230</v>
      </c>
      <c r="C253" s="17" t="s">
        <v>301</v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/>
      <c r="O253"/>
      <c r="P253"/>
      <c r="Q253"/>
    </row>
    <row r="254" spans="1:17" x14ac:dyDescent="0.25">
      <c r="A254" s="17"/>
      <c r="B254" s="17" t="s">
        <v>378</v>
      </c>
      <c r="C254" s="17">
        <f>Таблица26[[#Totals],[Интенсивность отказов x 10-6, 1/ч]]</f>
        <v>1.607383</v>
      </c>
      <c r="D254" s="17" t="s">
        <v>379</v>
      </c>
      <c r="E254" s="17"/>
      <c r="F254" s="17"/>
      <c r="G254" s="17"/>
      <c r="H254" s="17"/>
      <c r="I254" s="17"/>
      <c r="J254" s="17"/>
      <c r="K254" s="17"/>
      <c r="L254" s="17"/>
      <c r="M254" s="17"/>
      <c r="N254"/>
      <c r="O254"/>
      <c r="P254"/>
      <c r="Q254"/>
    </row>
    <row r="255" spans="1:17" x14ac:dyDescent="0.25">
      <c r="A255" s="17"/>
      <c r="B255" s="17" t="s">
        <v>380</v>
      </c>
      <c r="C255" s="17">
        <f>C238</f>
        <v>1.1000000000000001</v>
      </c>
      <c r="D255" s="17" t="s">
        <v>381</v>
      </c>
      <c r="E255" s="17"/>
      <c r="F255" s="17"/>
      <c r="G255" s="17"/>
      <c r="H255" s="17"/>
      <c r="I255" s="17"/>
      <c r="J255" s="17"/>
      <c r="K255" s="17"/>
      <c r="L255" s="17"/>
      <c r="M255" s="17"/>
      <c r="N255"/>
      <c r="O255"/>
      <c r="P255"/>
      <c r="Q255"/>
    </row>
    <row r="256" spans="1:17" x14ac:dyDescent="0.25">
      <c r="A256" s="17"/>
      <c r="B256" s="17" t="s">
        <v>382</v>
      </c>
      <c r="C256" s="17">
        <f>C239</f>
        <v>43800</v>
      </c>
      <c r="D256" s="17" t="s">
        <v>383</v>
      </c>
      <c r="E256" s="17" t="str">
        <f>ROUND(CONVERT(Таблица1022[[#This Row],[Значение]],"hr","yr"),0)&amp;" лет безотказной работы"</f>
        <v>5 лет безотказной работы</v>
      </c>
      <c r="F256" s="17"/>
      <c r="G256" s="17"/>
      <c r="H256" s="17"/>
      <c r="I256" s="17"/>
      <c r="J256" s="17"/>
      <c r="K256" s="17"/>
      <c r="L256" s="17"/>
      <c r="M256" s="17"/>
      <c r="N256"/>
      <c r="O256"/>
      <c r="P256"/>
      <c r="Q256"/>
    </row>
    <row r="257" spans="1:17" x14ac:dyDescent="0.25">
      <c r="A257" s="17"/>
      <c r="B257" s="17" t="s">
        <v>384</v>
      </c>
      <c r="C257" s="17">
        <f>Таблица26[[#Totals],[Случайное время восстановления, ч]]</f>
        <v>9.1999999999999993</v>
      </c>
      <c r="D257" s="17" t="s">
        <v>385</v>
      </c>
      <c r="E257" s="17"/>
      <c r="F257" s="17"/>
      <c r="G257" s="17"/>
      <c r="H257" s="17"/>
      <c r="I257" s="17"/>
      <c r="J257" s="17"/>
      <c r="K257" s="17"/>
      <c r="L257" s="17"/>
      <c r="M257" s="17"/>
      <c r="N257"/>
      <c r="O257"/>
      <c r="P257"/>
      <c r="Q257"/>
    </row>
    <row r="258" spans="1:17" x14ac:dyDescent="0.25">
      <c r="A258" s="17"/>
      <c r="B258" s="17" t="s">
        <v>386</v>
      </c>
      <c r="C258" s="17">
        <f>Таблица26[[#Totals],[Название в библиотеке]]</f>
        <v>16</v>
      </c>
      <c r="D258" s="17" t="s">
        <v>387</v>
      </c>
      <c r="E258" s="17"/>
      <c r="F258" s="17"/>
      <c r="G258" s="17"/>
      <c r="H258" s="17"/>
      <c r="I258" s="17"/>
      <c r="J258" s="17"/>
      <c r="K258" s="17"/>
      <c r="L258" s="17"/>
      <c r="M258" s="17"/>
      <c r="N258"/>
      <c r="O258"/>
      <c r="P258"/>
      <c r="Q258"/>
    </row>
    <row r="259" spans="1:1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/>
      <c r="O259"/>
      <c r="P259"/>
      <c r="Q259"/>
    </row>
    <row r="260" spans="1:17" x14ac:dyDescent="0.25">
      <c r="A260" s="17" t="s">
        <v>287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/>
      <c r="O260"/>
      <c r="P260"/>
      <c r="Q260"/>
    </row>
    <row r="261" spans="1:17" x14ac:dyDescent="0.25">
      <c r="A261" s="17" t="s">
        <v>403</v>
      </c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/>
      <c r="O261"/>
      <c r="P261"/>
      <c r="Q261"/>
    </row>
    <row r="262" spans="1:17" x14ac:dyDescent="0.25">
      <c r="A262" s="17"/>
      <c r="B262" s="17" t="s">
        <v>230</v>
      </c>
      <c r="C262" s="17" t="s">
        <v>301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/>
      <c r="O262"/>
      <c r="P262"/>
      <c r="Q262"/>
    </row>
    <row r="263" spans="1:17" x14ac:dyDescent="0.25">
      <c r="A263" s="17"/>
      <c r="B263" s="17" t="s">
        <v>405</v>
      </c>
      <c r="C263" s="17">
        <f>2*C278*TAN(RADIANS(C279/2))</f>
        <v>0.79999999999999993</v>
      </c>
      <c r="D263" s="17" t="s">
        <v>416</v>
      </c>
      <c r="E263" s="17"/>
      <c r="F263" s="17"/>
      <c r="G263" s="17"/>
      <c r="H263" s="17"/>
      <c r="I263" s="17"/>
      <c r="J263" s="17"/>
      <c r="K263" s="17"/>
      <c r="L263" s="17"/>
      <c r="M263" s="17"/>
      <c r="N263"/>
      <c r="O263"/>
      <c r="P263"/>
      <c r="Q263"/>
    </row>
    <row r="264" spans="1:17" x14ac:dyDescent="0.25">
      <c r="A264" s="17"/>
      <c r="B264" s="17" t="s">
        <v>406</v>
      </c>
      <c r="C264" s="17">
        <f>2*C278*TAN(RADIANS(C280/2))</f>
        <v>0.33137084989847604</v>
      </c>
      <c r="D264" s="17" t="s">
        <v>417</v>
      </c>
      <c r="E264" s="17"/>
      <c r="F264" s="17"/>
      <c r="G264" s="17"/>
      <c r="H264" s="17"/>
      <c r="I264" s="17"/>
      <c r="J264" s="17"/>
      <c r="K264" s="17"/>
      <c r="L264" s="17"/>
      <c r="M264" s="17"/>
      <c r="N264"/>
      <c r="O264"/>
      <c r="P264"/>
      <c r="Q264"/>
    </row>
    <row r="265" spans="1:17" x14ac:dyDescent="0.25">
      <c r="A265" s="17"/>
      <c r="B265" s="17" t="s">
        <v>407</v>
      </c>
      <c r="C265" s="17">
        <f>C264*C263</f>
        <v>0.26509667991878083</v>
      </c>
      <c r="D265" s="17" t="s">
        <v>418</v>
      </c>
      <c r="E265" s="17"/>
      <c r="F265" s="17"/>
      <c r="G265" s="17"/>
      <c r="H265" s="17"/>
      <c r="I265" s="17"/>
      <c r="J265" s="17"/>
      <c r="K265" s="17"/>
      <c r="L265" s="17"/>
      <c r="M265" s="17"/>
      <c r="N265"/>
      <c r="O265"/>
      <c r="P265"/>
      <c r="Q265"/>
    </row>
    <row r="266" spans="1:17" x14ac:dyDescent="0.25">
      <c r="A266" s="17"/>
      <c r="B266" s="17" t="s">
        <v>408</v>
      </c>
      <c r="C266" s="17">
        <f>(2*C278*TAN(RADIANS(C281/2)))^2</f>
        <v>4.8987303971535015E-3</v>
      </c>
      <c r="D266" s="17" t="s">
        <v>419</v>
      </c>
      <c r="E266" s="17"/>
      <c r="F266" s="17"/>
      <c r="G266" s="17"/>
      <c r="H266" s="17"/>
      <c r="I266" s="17"/>
      <c r="J266" s="17"/>
      <c r="K266" s="17"/>
      <c r="L266" s="17"/>
      <c r="M266" s="17"/>
      <c r="N266"/>
      <c r="O266"/>
      <c r="P266"/>
      <c r="Q266"/>
    </row>
    <row r="267" spans="1:17" x14ac:dyDescent="0.25">
      <c r="A267" s="17"/>
      <c r="B267" s="17" t="s">
        <v>409</v>
      </c>
      <c r="C267" s="17">
        <f>C283/4*C266</f>
        <v>2.5718334585055881E-2</v>
      </c>
      <c r="D267" s="17" t="s">
        <v>444</v>
      </c>
      <c r="E267" s="17"/>
      <c r="F267" s="17"/>
      <c r="G267" s="17"/>
      <c r="H267" s="17"/>
      <c r="I267" s="17"/>
      <c r="J267" s="17"/>
      <c r="K267" s="17"/>
      <c r="L267" s="17"/>
      <c r="M267" s="17"/>
      <c r="N267"/>
      <c r="O267"/>
      <c r="P267"/>
      <c r="Q267"/>
    </row>
    <row r="268" spans="1:17" x14ac:dyDescent="0.25">
      <c r="A268" s="17"/>
      <c r="B268" s="17" t="s">
        <v>411</v>
      </c>
      <c r="C268" s="17">
        <f>C284/C285</f>
        <v>8.9511849999999976E-2</v>
      </c>
      <c r="D268" s="17" t="s">
        <v>445</v>
      </c>
      <c r="E268" s="17"/>
      <c r="F268" s="17"/>
      <c r="G268" s="17"/>
      <c r="H268" s="17"/>
      <c r="I268" s="17"/>
      <c r="J268" s="17"/>
      <c r="K268" s="17"/>
      <c r="L268" s="17"/>
      <c r="M268" s="17"/>
      <c r="N268"/>
      <c r="O268"/>
      <c r="P268"/>
      <c r="Q268"/>
    </row>
    <row r="269" spans="1:17" x14ac:dyDescent="0.25">
      <c r="A269" s="17"/>
      <c r="B269" s="17" t="s">
        <v>412</v>
      </c>
      <c r="C269" s="17">
        <f>2*C278*TAN(RADIANS(C282/2/60))*1000</f>
        <v>1.745332021050088</v>
      </c>
      <c r="D269" s="17" t="s">
        <v>420</v>
      </c>
      <c r="E269" s="17"/>
      <c r="F269" s="17"/>
      <c r="G269" s="17"/>
      <c r="H269" s="17"/>
      <c r="I269" s="17"/>
      <c r="J269" s="17"/>
      <c r="K269" s="17"/>
      <c r="L269" s="17"/>
      <c r="M269" s="17"/>
      <c r="N269"/>
      <c r="O269"/>
      <c r="P269"/>
      <c r="Q269"/>
    </row>
    <row r="270" spans="1:17" x14ac:dyDescent="0.25">
      <c r="A270" s="17"/>
      <c r="B270" s="17" t="s">
        <v>413</v>
      </c>
      <c r="C270" s="17">
        <f>2*C269/3</f>
        <v>1.1635546807000587</v>
      </c>
      <c r="D270" s="17" t="s">
        <v>421</v>
      </c>
      <c r="E270" s="17"/>
      <c r="F270" s="17"/>
      <c r="G270" s="17"/>
      <c r="H270" s="17"/>
      <c r="I270" s="17"/>
      <c r="J270" s="17"/>
      <c r="K270" s="17"/>
      <c r="L270" s="17"/>
      <c r="M270" s="17"/>
      <c r="N270"/>
      <c r="O270"/>
      <c r="P270"/>
      <c r="Q270"/>
    </row>
    <row r="271" spans="1:17" x14ac:dyDescent="0.25">
      <c r="A271" s="17"/>
      <c r="B271" s="17" t="s">
        <v>414</v>
      </c>
      <c r="C271" s="17">
        <f>C270/2</f>
        <v>0.58177734035002937</v>
      </c>
      <c r="D271" s="17" t="s">
        <v>453</v>
      </c>
      <c r="E271" s="17"/>
      <c r="F271" s="17"/>
      <c r="G271" s="17"/>
      <c r="H271" s="17"/>
      <c r="I271" s="17"/>
      <c r="J271" s="17"/>
      <c r="K271" s="17"/>
      <c r="L271" s="17"/>
      <c r="M271" s="17"/>
      <c r="N271"/>
      <c r="O271"/>
      <c r="P271"/>
      <c r="Q271"/>
    </row>
    <row r="272" spans="1:17" x14ac:dyDescent="0.25">
      <c r="A272" s="17"/>
      <c r="B272" s="17" t="s">
        <v>415</v>
      </c>
      <c r="C272" s="17">
        <f>C269/2</f>
        <v>0.872666010525044</v>
      </c>
      <c r="D272" s="17" t="s">
        <v>452</v>
      </c>
      <c r="E272" s="17"/>
      <c r="F272" s="17"/>
      <c r="G272" s="17"/>
      <c r="H272" s="17"/>
      <c r="I272" s="17"/>
      <c r="J272" s="17"/>
      <c r="K272" s="17"/>
      <c r="L272" s="17"/>
      <c r="M272" s="17"/>
      <c r="N272"/>
      <c r="O272"/>
      <c r="P272"/>
      <c r="Q272"/>
    </row>
    <row r="273" spans="1:17" x14ac:dyDescent="0.25">
      <c r="A273" s="17"/>
      <c r="B273" s="17" t="s">
        <v>449</v>
      </c>
      <c r="C273" s="17">
        <f>C269</f>
        <v>1.745332021050088</v>
      </c>
      <c r="D273" s="17" t="s">
        <v>451</v>
      </c>
      <c r="E273" s="17"/>
      <c r="F273" s="17"/>
      <c r="G273" s="17"/>
      <c r="H273" s="17"/>
      <c r="I273" s="17"/>
      <c r="J273" s="17"/>
      <c r="K273" s="17"/>
      <c r="L273" s="17"/>
      <c r="M273" s="17"/>
      <c r="N273"/>
      <c r="O273"/>
      <c r="P273"/>
      <c r="Q273"/>
    </row>
    <row r="274" spans="1:17" x14ac:dyDescent="0.25">
      <c r="A274" s="17"/>
      <c r="B274" s="17" t="s">
        <v>450</v>
      </c>
      <c r="C274" s="17">
        <f>C270</f>
        <v>1.1635546807000587</v>
      </c>
      <c r="D274" s="17" t="s">
        <v>454</v>
      </c>
      <c r="E274" s="17"/>
      <c r="F274" s="17"/>
      <c r="G274" s="17"/>
      <c r="H274" s="17"/>
      <c r="I274" s="17"/>
      <c r="J274" s="17"/>
      <c r="K274" s="17"/>
      <c r="L274" s="17"/>
      <c r="M274" s="17"/>
      <c r="N274"/>
      <c r="O274"/>
      <c r="P274"/>
      <c r="Q274"/>
    </row>
    <row r="275" spans="1:1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/>
      <c r="O275"/>
      <c r="P275"/>
      <c r="Q275"/>
    </row>
    <row r="276" spans="1:17" x14ac:dyDescent="0.25">
      <c r="A276" s="17" t="s">
        <v>404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/>
      <c r="O276"/>
      <c r="P276"/>
      <c r="Q276"/>
    </row>
    <row r="277" spans="1:17" x14ac:dyDescent="0.25">
      <c r="A277" s="17"/>
      <c r="B277" s="17" t="s">
        <v>230</v>
      </c>
      <c r="C277" s="17" t="s">
        <v>301</v>
      </c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/>
      <c r="O277"/>
      <c r="P277"/>
      <c r="Q277"/>
    </row>
    <row r="278" spans="1:17" x14ac:dyDescent="0.25">
      <c r="A278" s="17"/>
      <c r="B278" s="17" t="s">
        <v>422</v>
      </c>
      <c r="C278" s="17">
        <v>0.4</v>
      </c>
      <c r="D278" s="17" t="s">
        <v>438</v>
      </c>
      <c r="E278" s="17"/>
      <c r="F278" s="17"/>
      <c r="G278" s="17"/>
      <c r="H278" s="17"/>
      <c r="I278" s="17"/>
      <c r="J278" s="17"/>
      <c r="K278" s="17"/>
      <c r="L278" s="17"/>
      <c r="M278" s="17"/>
      <c r="N278"/>
      <c r="O278"/>
      <c r="P278"/>
      <c r="Q278"/>
    </row>
    <row r="279" spans="1:17" x14ac:dyDescent="0.25">
      <c r="A279" s="17"/>
      <c r="B279" s="17" t="s">
        <v>423</v>
      </c>
      <c r="C279" s="17">
        <v>90</v>
      </c>
      <c r="D279" s="17" t="s">
        <v>439</v>
      </c>
      <c r="E279" s="17"/>
      <c r="F279" s="17"/>
      <c r="G279" s="17"/>
      <c r="H279" s="17"/>
      <c r="I279" s="17"/>
      <c r="J279" s="17"/>
      <c r="K279" s="17"/>
      <c r="L279" s="17"/>
      <c r="M279" s="17"/>
      <c r="N279"/>
      <c r="O279"/>
      <c r="P279"/>
      <c r="Q279"/>
    </row>
    <row r="280" spans="1:17" x14ac:dyDescent="0.25">
      <c r="A280" s="17"/>
      <c r="B280" s="17" t="s">
        <v>434</v>
      </c>
      <c r="C280" s="17">
        <v>45</v>
      </c>
      <c r="D280" s="17" t="s">
        <v>440</v>
      </c>
      <c r="E280" s="17"/>
      <c r="F280" s="17"/>
      <c r="G280" s="17"/>
      <c r="H280" s="17"/>
      <c r="I280" s="17"/>
      <c r="J280" s="17"/>
      <c r="K280" s="17"/>
      <c r="L280" s="17"/>
      <c r="M280" s="17"/>
      <c r="N280"/>
      <c r="O280"/>
      <c r="P280"/>
      <c r="Q280"/>
    </row>
    <row r="281" spans="1:17" x14ac:dyDescent="0.25">
      <c r="A281" s="17"/>
      <c r="B281" s="17" t="s">
        <v>435</v>
      </c>
      <c r="C281" s="17">
        <v>10</v>
      </c>
      <c r="D281" s="17" t="s">
        <v>441</v>
      </c>
      <c r="E281" s="17"/>
      <c r="F281" s="17"/>
      <c r="G281" s="17"/>
      <c r="H281" s="17"/>
      <c r="I281" s="17"/>
      <c r="J281" s="17"/>
      <c r="K281" s="17"/>
      <c r="L281" s="17"/>
      <c r="M281" s="17"/>
      <c r="N281"/>
      <c r="O281"/>
      <c r="P281"/>
      <c r="Q281"/>
    </row>
    <row r="282" spans="1:17" x14ac:dyDescent="0.25">
      <c r="A282" s="17"/>
      <c r="B282" s="17" t="s">
        <v>448</v>
      </c>
      <c r="C282" s="17">
        <v>15</v>
      </c>
      <c r="D282" s="17" t="s">
        <v>447</v>
      </c>
      <c r="E282" s="17"/>
      <c r="F282" s="17"/>
      <c r="G282" s="17"/>
      <c r="H282" s="17"/>
      <c r="I282" s="17"/>
      <c r="J282" s="17"/>
      <c r="K282" s="17"/>
      <c r="L282" s="17"/>
      <c r="M282" s="17"/>
      <c r="N282"/>
      <c r="O282"/>
      <c r="P282"/>
      <c r="Q282"/>
    </row>
    <row r="283" spans="1:17" x14ac:dyDescent="0.25">
      <c r="A283" s="17"/>
      <c r="B283" s="17" t="s">
        <v>436</v>
      </c>
      <c r="C283" s="17">
        <v>21</v>
      </c>
      <c r="D283" s="17" t="s">
        <v>442</v>
      </c>
      <c r="E283" s="17"/>
      <c r="F283" s="17"/>
      <c r="G283" s="17"/>
      <c r="H283" s="17"/>
      <c r="I283" s="17"/>
      <c r="J283" s="17"/>
      <c r="K283" s="17"/>
      <c r="L283" s="17"/>
      <c r="M283" s="17"/>
      <c r="N283"/>
      <c r="O283"/>
      <c r="P283"/>
      <c r="Q283"/>
    </row>
    <row r="284" spans="1:17" x14ac:dyDescent="0.25">
      <c r="A284" s="17"/>
      <c r="B284" s="17" t="s">
        <v>410</v>
      </c>
      <c r="C284" s="17">
        <f>(156.7*89.1 + 16*15*15 + 10*10*2+ 6*6+ 14.5*7.2)/1000000</f>
        <v>1.7902369999999997E-2</v>
      </c>
      <c r="D284" s="17" t="s">
        <v>443</v>
      </c>
      <c r="E284" s="17"/>
      <c r="F284" s="17"/>
      <c r="G284" s="17"/>
      <c r="H284" s="17"/>
      <c r="I284" s="17"/>
      <c r="J284" s="17"/>
      <c r="K284" s="17"/>
      <c r="L284" s="17"/>
      <c r="M284" s="17"/>
      <c r="N284"/>
      <c r="O284"/>
      <c r="P284"/>
      <c r="Q284"/>
    </row>
    <row r="285" spans="1:17" x14ac:dyDescent="0.25">
      <c r="A285" s="17"/>
      <c r="B285" s="17" t="s">
        <v>437</v>
      </c>
      <c r="C285" s="17">
        <v>0.2</v>
      </c>
      <c r="D285" s="17" t="s">
        <v>446</v>
      </c>
      <c r="E285" s="17"/>
      <c r="F285" s="17"/>
      <c r="G285" s="17"/>
      <c r="H285" s="17"/>
      <c r="I285" s="17"/>
      <c r="J285" s="17"/>
      <c r="K285" s="17"/>
      <c r="L285" s="17"/>
      <c r="M285" s="17"/>
      <c r="N285"/>
      <c r="O285"/>
      <c r="P285"/>
      <c r="Q285"/>
    </row>
    <row r="286" spans="1:1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/>
      <c r="O286"/>
      <c r="P286"/>
      <c r="Q286"/>
    </row>
    <row r="287" spans="1:17" x14ac:dyDescent="0.25">
      <c r="A287" s="17" t="s">
        <v>288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/>
      <c r="O287"/>
      <c r="P287"/>
      <c r="Q287"/>
    </row>
    <row r="288" spans="1:17" x14ac:dyDescent="0.25">
      <c r="A288" s="17" t="s">
        <v>457</v>
      </c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/>
      <c r="O288"/>
      <c r="P288"/>
      <c r="Q288"/>
    </row>
    <row r="289" spans="1:17" x14ac:dyDescent="0.25">
      <c r="A289" s="17"/>
      <c r="B289" s="17" t="s">
        <v>230</v>
      </c>
      <c r="C289" s="17" t="s">
        <v>301</v>
      </c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/>
      <c r="O289"/>
      <c r="P289"/>
      <c r="Q289"/>
    </row>
    <row r="290" spans="1:17" x14ac:dyDescent="0.25">
      <c r="A290" s="17"/>
      <c r="B290" s="17" t="s">
        <v>458</v>
      </c>
      <c r="C290" s="17" t="s">
        <v>460</v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/>
      <c r="O290"/>
      <c r="P290"/>
      <c r="Q290"/>
    </row>
    <row r="291" spans="1:17" x14ac:dyDescent="0.25">
      <c r="A291" s="17"/>
      <c r="B291" s="17" t="s">
        <v>468</v>
      </c>
      <c r="C291" s="17">
        <f>(10^(-3)*C298)^2*C292*(1+0.25)</f>
        <v>1.4999999999999998E-2</v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/>
      <c r="O291"/>
      <c r="P291"/>
      <c r="Q291"/>
    </row>
    <row r="292" spans="1:17" x14ac:dyDescent="0.25">
      <c r="A292" s="17"/>
      <c r="B292" s="17" t="s">
        <v>459</v>
      </c>
      <c r="C292" s="17">
        <f>(C296-C297)/C298*1000</f>
        <v>119.99999999999997</v>
      </c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/>
      <c r="O292"/>
      <c r="P292"/>
      <c r="Q292"/>
    </row>
    <row r="293" spans="1:1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/>
      <c r="O293"/>
      <c r="P293"/>
      <c r="Q293"/>
    </row>
    <row r="294" spans="1:17" x14ac:dyDescent="0.25">
      <c r="A294" s="17" t="s">
        <v>461</v>
      </c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/>
      <c r="O294"/>
      <c r="P294"/>
      <c r="Q294"/>
    </row>
    <row r="295" spans="1:17" x14ac:dyDescent="0.25">
      <c r="A295" s="17"/>
      <c r="B295" s="17" t="s">
        <v>230</v>
      </c>
      <c r="C295" s="17" t="s">
        <v>301</v>
      </c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/>
      <c r="O295"/>
      <c r="P295"/>
      <c r="Q295"/>
    </row>
    <row r="296" spans="1:17" x14ac:dyDescent="0.25">
      <c r="A296" s="17"/>
      <c r="B296" s="17" t="s">
        <v>462</v>
      </c>
      <c r="C296" s="17">
        <v>3.3</v>
      </c>
      <c r="D296" s="17" t="s">
        <v>465</v>
      </c>
      <c r="E296" s="17"/>
      <c r="F296" s="17"/>
      <c r="G296" s="17"/>
      <c r="H296" s="17"/>
      <c r="I296" s="17"/>
      <c r="J296" s="17"/>
      <c r="K296" s="17"/>
      <c r="L296" s="17"/>
      <c r="M296" s="17"/>
      <c r="N296"/>
      <c r="O296"/>
      <c r="P296"/>
      <c r="Q296"/>
    </row>
    <row r="297" spans="1:17" x14ac:dyDescent="0.25">
      <c r="A297" s="17"/>
      <c r="B297" s="17" t="s">
        <v>463</v>
      </c>
      <c r="C297" s="17">
        <v>2.1</v>
      </c>
      <c r="D297" s="17" t="s">
        <v>466</v>
      </c>
      <c r="E297" s="17"/>
      <c r="F297" s="17"/>
      <c r="G297" s="17"/>
      <c r="H297" s="17"/>
      <c r="I297" s="17"/>
      <c r="J297" s="17"/>
      <c r="K297" s="17"/>
      <c r="L297" s="17"/>
      <c r="M297" s="17"/>
      <c r="N297"/>
      <c r="O297"/>
      <c r="P297"/>
      <c r="Q297"/>
    </row>
    <row r="298" spans="1:17" x14ac:dyDescent="0.25">
      <c r="A298" s="17"/>
      <c r="B298" s="17" t="s">
        <v>464</v>
      </c>
      <c r="C298" s="17">
        <v>10</v>
      </c>
      <c r="D298" s="17" t="s">
        <v>467</v>
      </c>
      <c r="E298" s="17"/>
      <c r="F298" s="17"/>
      <c r="G298" s="17"/>
      <c r="H298" s="17"/>
      <c r="I298" s="17"/>
      <c r="J298" s="17"/>
      <c r="K298" s="17"/>
      <c r="L298" s="17"/>
      <c r="M298" s="17"/>
      <c r="N298"/>
      <c r="O298"/>
      <c r="P298"/>
      <c r="Q298"/>
    </row>
    <row r="299" spans="1:1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/>
      <c r="O299"/>
      <c r="P299"/>
      <c r="Q299"/>
    </row>
    <row r="300" spans="1:1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/>
      <c r="O300"/>
      <c r="P300"/>
      <c r="Q300"/>
    </row>
    <row r="301" spans="1:1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/>
      <c r="O301"/>
      <c r="P301"/>
      <c r="Q301"/>
    </row>
    <row r="302" spans="1:1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/>
      <c r="O302"/>
      <c r="P302"/>
      <c r="Q302"/>
    </row>
    <row r="303" spans="1:1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/>
      <c r="O303"/>
      <c r="P303"/>
      <c r="Q303"/>
    </row>
  </sheetData>
  <conditionalFormatting sqref="I60:K75">
    <cfRule type="containsBlanks" dxfId="130" priority="2">
      <formula>LEN(TRIM(I60))=0</formula>
    </cfRule>
  </conditionalFormatting>
  <conditionalFormatting sqref="I53:K54 I5:K49">
    <cfRule type="containsBlanks" dxfId="129" priority="1">
      <formula>LEN(TRIM(I5))=0</formula>
    </cfRule>
  </conditionalFormatting>
  <pageMargins left="0.7" right="0.7" top="0.75" bottom="0.75" header="0.3" footer="0.3"/>
  <pageSetup paperSize="9" orientation="portrait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2"/>
  <sheetViews>
    <sheetView topLeftCell="A28" zoomScale="130" zoomScaleNormal="130" workbookViewId="0">
      <selection activeCell="G35" sqref="G35"/>
    </sheetView>
  </sheetViews>
  <sheetFormatPr defaultRowHeight="15" x14ac:dyDescent="0.25"/>
  <cols>
    <col min="1" max="1" width="20.42578125" style="10" bestFit="1" customWidth="1"/>
    <col min="2" max="2" width="10.28515625" style="10" bestFit="1" customWidth="1"/>
    <col min="3" max="3" width="18.28515625" style="11" bestFit="1" customWidth="1"/>
    <col min="4" max="4" width="17.42578125" style="12" bestFit="1" customWidth="1"/>
    <col min="5" max="5" width="9" style="12" bestFit="1" customWidth="1"/>
    <col min="6" max="6" width="15.85546875" style="17" customWidth="1"/>
    <col min="7" max="7" width="37.140625" style="17" customWidth="1"/>
    <col min="8" max="8" width="14.28515625" style="17" bestFit="1" customWidth="1"/>
    <col min="9" max="9" width="17.42578125" style="21" bestFit="1" customWidth="1"/>
    <col min="10" max="10" width="9" style="21" bestFit="1" customWidth="1"/>
    <col min="11" max="11" width="32.85546875" style="10" bestFit="1" customWidth="1"/>
    <col min="12" max="12" width="10.28515625" style="10" bestFit="1" customWidth="1"/>
    <col min="13" max="13" width="10.28515625" style="10" customWidth="1"/>
    <col min="14" max="14" width="17" style="12" customWidth="1"/>
    <col min="15" max="15" width="19.140625" style="12" customWidth="1"/>
    <col min="16" max="16" width="18.85546875" style="12" bestFit="1" customWidth="1"/>
    <col min="17" max="17" width="9.140625" style="21"/>
    <col min="18" max="18" width="11.42578125" style="10" bestFit="1" customWidth="1"/>
    <col min="19" max="19" width="9.140625" style="17"/>
    <col min="20" max="20" width="18" style="21" customWidth="1"/>
    <col min="21" max="21" width="9.140625" style="17"/>
    <col min="22" max="22" width="31.7109375" style="10" bestFit="1" customWidth="1"/>
    <col min="23" max="23" width="12" style="21" bestFit="1" customWidth="1"/>
    <col min="24" max="24" width="14" style="17" bestFit="1" customWidth="1"/>
    <col min="25" max="25" width="19.85546875" style="10" bestFit="1" customWidth="1"/>
    <col min="26" max="26" width="29.7109375" style="10" bestFit="1" customWidth="1"/>
    <col min="27" max="27" width="48.5703125" style="10" bestFit="1" customWidth="1"/>
    <col min="28" max="28" width="11.7109375" style="10" customWidth="1"/>
    <col min="29" max="29" width="26" style="10" bestFit="1" customWidth="1"/>
    <col min="30" max="31" width="11.7109375" style="10" customWidth="1"/>
    <col min="32" max="34" width="11.7109375" style="17" customWidth="1"/>
  </cols>
  <sheetData>
    <row r="1" spans="1:10" ht="30" x14ac:dyDescent="0.25">
      <c r="A1" s="20" t="s">
        <v>76</v>
      </c>
      <c r="B1" s="20" t="s">
        <v>72</v>
      </c>
      <c r="C1" s="19" t="s">
        <v>73</v>
      </c>
      <c r="D1" s="13" t="s">
        <v>258</v>
      </c>
      <c r="E1" s="13" t="s">
        <v>259</v>
      </c>
      <c r="F1" s="17" t="s">
        <v>78</v>
      </c>
    </row>
    <row r="2" spans="1:10" x14ac:dyDescent="0.25">
      <c r="A2" s="20">
        <v>1</v>
      </c>
      <c r="B2" s="20">
        <v>2</v>
      </c>
      <c r="C2" s="20">
        <v>3</v>
      </c>
      <c r="D2" s="22">
        <v>4</v>
      </c>
      <c r="E2" s="22">
        <v>5</v>
      </c>
      <c r="F2" s="17">
        <v>1.8868</v>
      </c>
    </row>
    <row r="3" spans="1:10" x14ac:dyDescent="0.25">
      <c r="A3" s="20" t="s">
        <v>74</v>
      </c>
      <c r="B3" s="20" t="s">
        <v>75</v>
      </c>
      <c r="C3" s="19">
        <v>0.01</v>
      </c>
      <c r="D3" s="13">
        <v>6.6</v>
      </c>
      <c r="E3" s="13">
        <f t="shared" ref="E3:E11" si="0">C3*D3</f>
        <v>6.6000000000000003E-2</v>
      </c>
    </row>
    <row r="4" spans="1:10" x14ac:dyDescent="0.25">
      <c r="A4" s="20" t="s">
        <v>77</v>
      </c>
      <c r="B4" s="20" t="s">
        <v>75</v>
      </c>
      <c r="C4" s="19">
        <v>0.1</v>
      </c>
      <c r="D4" s="13">
        <v>6.6</v>
      </c>
      <c r="E4" s="13">
        <f t="shared" si="0"/>
        <v>0.66</v>
      </c>
    </row>
    <row r="5" spans="1:10" ht="30" x14ac:dyDescent="0.25">
      <c r="A5" s="20" t="s">
        <v>79</v>
      </c>
      <c r="B5" s="20" t="s">
        <v>75</v>
      </c>
      <c r="C5" s="19">
        <v>0.01</v>
      </c>
      <c r="D5" s="13">
        <f>F2*12.48/0.1</f>
        <v>235.47264000000001</v>
      </c>
      <c r="E5" s="13">
        <f t="shared" si="0"/>
        <v>2.3547264000000001</v>
      </c>
    </row>
    <row r="6" spans="1:10" ht="60" x14ac:dyDescent="0.25">
      <c r="A6" s="20" t="s">
        <v>80</v>
      </c>
      <c r="B6" s="20" t="s">
        <v>75</v>
      </c>
      <c r="C6" s="19">
        <v>0.1</v>
      </c>
      <c r="D6" s="13">
        <f>F2*10.49/0.113398</f>
        <v>174.54039753787546</v>
      </c>
      <c r="E6" s="13">
        <f t="shared" si="0"/>
        <v>17.454039753787548</v>
      </c>
    </row>
    <row r="7" spans="1:10" ht="60" x14ac:dyDescent="0.25">
      <c r="A7" s="20" t="s">
        <v>81</v>
      </c>
      <c r="B7" s="20" t="s">
        <v>75</v>
      </c>
      <c r="C7" s="19">
        <v>0.05</v>
      </c>
      <c r="D7" s="13">
        <f>F2*8.79/0.226796</f>
        <v>73.127268558528357</v>
      </c>
      <c r="E7" s="13">
        <f t="shared" si="0"/>
        <v>3.6563634279264181</v>
      </c>
    </row>
    <row r="8" spans="1:10" ht="30" x14ac:dyDescent="0.25">
      <c r="A8" s="20" t="s">
        <v>82</v>
      </c>
      <c r="B8" s="20" t="s">
        <v>75</v>
      </c>
      <c r="C8" s="19">
        <v>0.05</v>
      </c>
      <c r="D8" s="13">
        <f>F2*8/0.02</f>
        <v>754.72</v>
      </c>
      <c r="E8" s="13">
        <f t="shared" si="0"/>
        <v>37.736000000000004</v>
      </c>
    </row>
    <row r="9" spans="1:10" x14ac:dyDescent="0.25">
      <c r="A9" s="20" t="s">
        <v>83</v>
      </c>
      <c r="B9" s="20" t="s">
        <v>75</v>
      </c>
      <c r="C9" s="19">
        <v>0.05</v>
      </c>
      <c r="D9" s="13">
        <v>10.51</v>
      </c>
      <c r="E9" s="13">
        <f t="shared" si="0"/>
        <v>0.52549999999999997</v>
      </c>
    </row>
    <row r="10" spans="1:10" ht="30" x14ac:dyDescent="0.25">
      <c r="A10" s="20" t="s">
        <v>84</v>
      </c>
      <c r="B10" s="20" t="s">
        <v>75</v>
      </c>
      <c r="C10" s="19">
        <v>0.11</v>
      </c>
      <c r="D10" s="13">
        <v>13.4</v>
      </c>
      <c r="E10" s="13">
        <f t="shared" si="0"/>
        <v>1.474</v>
      </c>
    </row>
    <row r="11" spans="1:10" ht="60" x14ac:dyDescent="0.25">
      <c r="A11" s="20" t="s">
        <v>85</v>
      </c>
      <c r="B11" s="20" t="s">
        <v>75</v>
      </c>
      <c r="C11" s="19">
        <v>0.5</v>
      </c>
      <c r="D11" s="13">
        <v>35</v>
      </c>
      <c r="E11" s="13">
        <f t="shared" si="0"/>
        <v>17.5</v>
      </c>
    </row>
    <row r="12" spans="1:10" x14ac:dyDescent="0.25">
      <c r="A12" s="67" t="s">
        <v>86</v>
      </c>
      <c r="B12" s="67"/>
      <c r="C12" s="67"/>
      <c r="D12" s="67"/>
      <c r="E12" s="13">
        <f>SUM(E3:E11)</f>
        <v>81.426629581713968</v>
      </c>
    </row>
    <row r="13" spans="1:10" x14ac:dyDescent="0.25">
      <c r="A13" s="67" t="s">
        <v>87</v>
      </c>
      <c r="B13" s="67"/>
      <c r="C13" s="67"/>
      <c r="D13" s="67"/>
      <c r="E13" s="13">
        <f>E12*1.2</f>
        <v>97.711955498056753</v>
      </c>
    </row>
    <row r="14" spans="1:10" ht="45" x14ac:dyDescent="0.25">
      <c r="F14" s="73" t="s">
        <v>124</v>
      </c>
      <c r="G14" s="20" t="s">
        <v>88</v>
      </c>
      <c r="H14" s="20" t="s">
        <v>89</v>
      </c>
      <c r="I14" s="13" t="s">
        <v>258</v>
      </c>
      <c r="J14" s="13" t="s">
        <v>259</v>
      </c>
    </row>
    <row r="15" spans="1:10" x14ac:dyDescent="0.25">
      <c r="F15" s="73"/>
      <c r="G15" s="20">
        <v>1</v>
      </c>
      <c r="H15" s="20">
        <v>2</v>
      </c>
      <c r="I15" s="20">
        <v>3</v>
      </c>
      <c r="J15" s="20">
        <v>4</v>
      </c>
    </row>
    <row r="16" spans="1:10" x14ac:dyDescent="0.25">
      <c r="F16" s="16">
        <v>2.2360000000000002</v>
      </c>
      <c r="G16" s="20" t="s">
        <v>90</v>
      </c>
      <c r="H16" s="20">
        <v>1</v>
      </c>
      <c r="I16" s="13">
        <f t="shared" ref="I16:I47" si="1">$F$2*F16</f>
        <v>4.2188848000000005</v>
      </c>
      <c r="J16" s="13">
        <f t="shared" ref="J16:J29" si="2">H16*I16</f>
        <v>4.2188848000000005</v>
      </c>
    </row>
    <row r="17" spans="6:10" x14ac:dyDescent="0.25">
      <c r="F17" s="16">
        <v>0.65117000000000003</v>
      </c>
      <c r="G17" s="20" t="s">
        <v>91</v>
      </c>
      <c r="H17" s="20">
        <v>15</v>
      </c>
      <c r="I17" s="13">
        <f t="shared" si="1"/>
        <v>1.2286275560000002</v>
      </c>
      <c r="J17" s="13">
        <f t="shared" si="2"/>
        <v>18.429413340000004</v>
      </c>
    </row>
    <row r="18" spans="6:10" x14ac:dyDescent="0.25">
      <c r="F18" s="16">
        <v>1.8800000000000001E-2</v>
      </c>
      <c r="G18" s="20" t="s">
        <v>92</v>
      </c>
      <c r="H18" s="20">
        <v>4</v>
      </c>
      <c r="I18" s="13">
        <f t="shared" si="1"/>
        <v>3.5471840000000004E-2</v>
      </c>
      <c r="J18" s="13">
        <f t="shared" si="2"/>
        <v>0.14188736000000002</v>
      </c>
    </row>
    <row r="19" spans="6:10" x14ac:dyDescent="0.25">
      <c r="F19" s="16">
        <v>3.4000000000000002E-2</v>
      </c>
      <c r="G19" s="20" t="s">
        <v>93</v>
      </c>
      <c r="H19" s="20">
        <v>3</v>
      </c>
      <c r="I19" s="13">
        <f t="shared" si="1"/>
        <v>6.4151200000000005E-2</v>
      </c>
      <c r="J19" s="13">
        <f t="shared" si="2"/>
        <v>0.1924536</v>
      </c>
    </row>
    <row r="20" spans="6:10" x14ac:dyDescent="0.25">
      <c r="F20" s="16">
        <v>2.6450000000000001E-2</v>
      </c>
      <c r="G20" s="20" t="s">
        <v>95</v>
      </c>
      <c r="H20" s="20">
        <v>1</v>
      </c>
      <c r="I20" s="13">
        <f t="shared" si="1"/>
        <v>4.9905860000000003E-2</v>
      </c>
      <c r="J20" s="13">
        <f t="shared" si="2"/>
        <v>4.9905860000000003E-2</v>
      </c>
    </row>
    <row r="21" spans="6:10" x14ac:dyDescent="0.25">
      <c r="F21" s="16">
        <v>0.83720000000000006</v>
      </c>
      <c r="G21" s="20" t="s">
        <v>194</v>
      </c>
      <c r="H21" s="20">
        <v>16</v>
      </c>
      <c r="I21" s="13">
        <f t="shared" si="1"/>
        <v>1.5796289600000002</v>
      </c>
      <c r="J21" s="13">
        <f t="shared" si="2"/>
        <v>25.274063360000003</v>
      </c>
    </row>
    <row r="22" spans="6:10" ht="30" x14ac:dyDescent="0.25">
      <c r="F22" s="16">
        <v>2.7799999999999999E-3</v>
      </c>
      <c r="G22" s="20" t="s">
        <v>96</v>
      </c>
      <c r="H22" s="20">
        <v>5</v>
      </c>
      <c r="I22" s="13">
        <f t="shared" si="1"/>
        <v>5.2453040000000001E-3</v>
      </c>
      <c r="J22" s="13">
        <f t="shared" si="2"/>
        <v>2.622652E-2</v>
      </c>
    </row>
    <row r="23" spans="6:10" x14ac:dyDescent="0.25">
      <c r="F23" s="16">
        <v>0.98799999999999999</v>
      </c>
      <c r="G23" s="20" t="s">
        <v>97</v>
      </c>
      <c r="H23" s="20">
        <v>1</v>
      </c>
      <c r="I23" s="13">
        <f t="shared" si="1"/>
        <v>1.8641584</v>
      </c>
      <c r="J23" s="13">
        <f t="shared" si="2"/>
        <v>1.8641584</v>
      </c>
    </row>
    <row r="24" spans="6:10" ht="30" x14ac:dyDescent="0.25">
      <c r="F24" s="16">
        <v>3.15E-2</v>
      </c>
      <c r="G24" s="20" t="s">
        <v>98</v>
      </c>
      <c r="H24" s="20">
        <v>16</v>
      </c>
      <c r="I24" s="13">
        <f t="shared" si="1"/>
        <v>5.94342E-2</v>
      </c>
      <c r="J24" s="13">
        <f t="shared" si="2"/>
        <v>0.95094719999999999</v>
      </c>
    </row>
    <row r="25" spans="6:10" ht="30" x14ac:dyDescent="0.25">
      <c r="F25" s="16">
        <v>2.9399999999999999E-2</v>
      </c>
      <c r="G25" s="20" t="s">
        <v>99</v>
      </c>
      <c r="H25" s="20">
        <v>4</v>
      </c>
      <c r="I25" s="13">
        <f t="shared" si="1"/>
        <v>5.5471920000000001E-2</v>
      </c>
      <c r="J25" s="13">
        <f t="shared" si="2"/>
        <v>0.22188768</v>
      </c>
    </row>
    <row r="26" spans="6:10" x14ac:dyDescent="0.25">
      <c r="F26" s="16">
        <v>2.2679999999999998</v>
      </c>
      <c r="G26" s="20" t="s">
        <v>100</v>
      </c>
      <c r="H26" s="20">
        <v>2</v>
      </c>
      <c r="I26" s="13">
        <f t="shared" si="1"/>
        <v>4.2792623999999995</v>
      </c>
      <c r="J26" s="13">
        <f t="shared" si="2"/>
        <v>8.5585247999999989</v>
      </c>
    </row>
    <row r="27" spans="6:10" x14ac:dyDescent="0.25">
      <c r="F27" s="16">
        <v>1.3737600000000001</v>
      </c>
      <c r="G27" s="20" t="s">
        <v>101</v>
      </c>
      <c r="H27" s="20">
        <v>1</v>
      </c>
      <c r="I27" s="13">
        <f t="shared" si="1"/>
        <v>2.5920103680000004</v>
      </c>
      <c r="J27" s="13">
        <f t="shared" si="2"/>
        <v>2.5920103680000004</v>
      </c>
    </row>
    <row r="28" spans="6:10" x14ac:dyDescent="0.25">
      <c r="F28" s="16">
        <v>0.54025999999999996</v>
      </c>
      <c r="G28" s="20" t="s">
        <v>102</v>
      </c>
      <c r="H28" s="20">
        <v>1</v>
      </c>
      <c r="I28" s="13">
        <f t="shared" si="1"/>
        <v>1.019362568</v>
      </c>
      <c r="J28" s="13">
        <f t="shared" si="2"/>
        <v>1.019362568</v>
      </c>
    </row>
    <row r="29" spans="6:10" x14ac:dyDescent="0.25">
      <c r="F29" s="16">
        <v>0.32100000000000001</v>
      </c>
      <c r="G29" s="20" t="s">
        <v>103</v>
      </c>
      <c r="H29" s="20">
        <v>1</v>
      </c>
      <c r="I29" s="13">
        <f t="shared" si="1"/>
        <v>0.60566280000000006</v>
      </c>
      <c r="J29" s="13">
        <f t="shared" si="2"/>
        <v>0.60566280000000006</v>
      </c>
    </row>
    <row r="30" spans="6:10" x14ac:dyDescent="0.25">
      <c r="F30" s="16">
        <v>4.1457499999999996</v>
      </c>
      <c r="G30" s="20" t="s">
        <v>104</v>
      </c>
      <c r="H30" s="20">
        <v>2</v>
      </c>
      <c r="I30" s="13">
        <f t="shared" si="1"/>
        <v>7.8222010999999991</v>
      </c>
      <c r="J30" s="13">
        <f t="shared" ref="J30:J43" si="3">H30*I30</f>
        <v>15.644402199999998</v>
      </c>
    </row>
    <row r="31" spans="6:10" x14ac:dyDescent="0.25">
      <c r="F31" s="16">
        <v>19.271319999999999</v>
      </c>
      <c r="G31" s="20" t="s">
        <v>105</v>
      </c>
      <c r="H31" s="20">
        <v>2</v>
      </c>
      <c r="I31" s="13">
        <f t="shared" si="1"/>
        <v>36.361126575999997</v>
      </c>
      <c r="J31" s="13">
        <f t="shared" si="3"/>
        <v>72.722253151999993</v>
      </c>
    </row>
    <row r="32" spans="6:10" x14ac:dyDescent="0.25">
      <c r="F32" s="16">
        <v>9.9086400000000001</v>
      </c>
      <c r="G32" s="20" t="s">
        <v>106</v>
      </c>
      <c r="H32" s="20">
        <v>1</v>
      </c>
      <c r="I32" s="13">
        <f t="shared" si="1"/>
        <v>18.695621952</v>
      </c>
      <c r="J32" s="13">
        <f t="shared" si="3"/>
        <v>18.695621952</v>
      </c>
    </row>
    <row r="33" spans="6:10" x14ac:dyDescent="0.25">
      <c r="F33" s="16">
        <v>1.92</v>
      </c>
      <c r="G33" s="20" t="s">
        <v>107</v>
      </c>
      <c r="H33" s="20">
        <v>1</v>
      </c>
      <c r="I33" s="13">
        <f t="shared" si="1"/>
        <v>3.6226560000000001</v>
      </c>
      <c r="J33" s="13">
        <f t="shared" si="3"/>
        <v>3.6226560000000001</v>
      </c>
    </row>
    <row r="34" spans="6:10" x14ac:dyDescent="0.25">
      <c r="F34" s="16">
        <v>1.49996</v>
      </c>
      <c r="G34" s="20" t="s">
        <v>108</v>
      </c>
      <c r="H34" s="20">
        <v>2</v>
      </c>
      <c r="I34" s="13">
        <f t="shared" si="1"/>
        <v>2.8301245279999998</v>
      </c>
      <c r="J34" s="13">
        <f t="shared" si="3"/>
        <v>5.6602490559999996</v>
      </c>
    </row>
    <row r="35" spans="6:10" x14ac:dyDescent="0.25">
      <c r="F35" s="16">
        <v>70.2</v>
      </c>
      <c r="G35" s="20" t="s">
        <v>109</v>
      </c>
      <c r="H35" s="20">
        <v>1</v>
      </c>
      <c r="I35" s="13">
        <f t="shared" si="1"/>
        <v>132.45336</v>
      </c>
      <c r="J35" s="13">
        <f t="shared" si="3"/>
        <v>132.45336</v>
      </c>
    </row>
    <row r="36" spans="6:10" x14ac:dyDescent="0.25">
      <c r="F36" s="16">
        <v>2.6450000000000001E-2</v>
      </c>
      <c r="G36" s="20" t="s">
        <v>94</v>
      </c>
      <c r="H36" s="20">
        <v>5</v>
      </c>
      <c r="I36" s="13">
        <f t="shared" si="1"/>
        <v>4.9905860000000003E-2</v>
      </c>
      <c r="J36" s="13">
        <f t="shared" si="3"/>
        <v>0.24952930000000001</v>
      </c>
    </row>
    <row r="37" spans="6:10" x14ac:dyDescent="0.25">
      <c r="F37" s="16">
        <v>0.65117000000000003</v>
      </c>
      <c r="G37" s="20" t="s">
        <v>91</v>
      </c>
      <c r="H37" s="20">
        <v>16</v>
      </c>
      <c r="I37" s="13">
        <f t="shared" si="1"/>
        <v>1.2286275560000002</v>
      </c>
      <c r="J37" s="13">
        <f t="shared" si="3"/>
        <v>19.658040896000003</v>
      </c>
    </row>
    <row r="38" spans="6:10" x14ac:dyDescent="0.25">
      <c r="F38" s="16">
        <v>3.4000000000000002E-2</v>
      </c>
      <c r="G38" s="20" t="s">
        <v>93</v>
      </c>
      <c r="H38" s="20">
        <v>5</v>
      </c>
      <c r="I38" s="13">
        <f t="shared" si="1"/>
        <v>6.4151200000000005E-2</v>
      </c>
      <c r="J38" s="13">
        <f t="shared" si="3"/>
        <v>0.32075600000000004</v>
      </c>
    </row>
    <row r="39" spans="6:10" ht="30" x14ac:dyDescent="0.25">
      <c r="F39" s="16">
        <v>0.15959999999999999</v>
      </c>
      <c r="G39" s="20" t="s">
        <v>110</v>
      </c>
      <c r="H39" s="20">
        <v>1</v>
      </c>
      <c r="I39" s="13">
        <f t="shared" si="1"/>
        <v>0.30113328</v>
      </c>
      <c r="J39" s="13">
        <f t="shared" si="3"/>
        <v>0.30113328</v>
      </c>
    </row>
    <row r="40" spans="6:10" ht="30" x14ac:dyDescent="0.25">
      <c r="F40" s="16">
        <v>0.15959999999999999</v>
      </c>
      <c r="G40" s="20" t="s">
        <v>111</v>
      </c>
      <c r="H40" s="20">
        <v>1</v>
      </c>
      <c r="I40" s="13">
        <f t="shared" si="1"/>
        <v>0.30113328</v>
      </c>
      <c r="J40" s="13">
        <f t="shared" si="3"/>
        <v>0.30113328</v>
      </c>
    </row>
    <row r="41" spans="6:10" ht="30" x14ac:dyDescent="0.25">
      <c r="F41" s="16">
        <v>0.15959999999999999</v>
      </c>
      <c r="G41" s="20" t="s">
        <v>112</v>
      </c>
      <c r="H41" s="20">
        <v>1</v>
      </c>
      <c r="I41" s="13">
        <f t="shared" si="1"/>
        <v>0.30113328</v>
      </c>
      <c r="J41" s="13">
        <f t="shared" si="3"/>
        <v>0.30113328</v>
      </c>
    </row>
    <row r="42" spans="6:10" ht="45" x14ac:dyDescent="0.25">
      <c r="F42" s="16">
        <v>2.4E-2</v>
      </c>
      <c r="G42" s="20" t="s">
        <v>113</v>
      </c>
      <c r="H42" s="20">
        <v>2</v>
      </c>
      <c r="I42" s="13">
        <f t="shared" si="1"/>
        <v>4.5283200000000003E-2</v>
      </c>
      <c r="J42" s="13">
        <f t="shared" si="3"/>
        <v>9.0566400000000005E-2</v>
      </c>
    </row>
    <row r="43" spans="6:10" ht="45" x14ac:dyDescent="0.25">
      <c r="F43" s="16">
        <v>0.10524</v>
      </c>
      <c r="G43" s="20" t="s">
        <v>136</v>
      </c>
      <c r="H43" s="20">
        <v>14</v>
      </c>
      <c r="I43" s="13">
        <f t="shared" si="1"/>
        <v>0.198566832</v>
      </c>
      <c r="J43" s="13">
        <f t="shared" si="3"/>
        <v>2.7799356479999999</v>
      </c>
    </row>
    <row r="44" spans="6:10" ht="30" x14ac:dyDescent="0.25">
      <c r="F44" s="16">
        <v>5.3600000000000002E-3</v>
      </c>
      <c r="G44" s="20" t="s">
        <v>135</v>
      </c>
      <c r="H44" s="20">
        <v>97</v>
      </c>
      <c r="I44" s="13">
        <f t="shared" si="1"/>
        <v>1.0113248E-2</v>
      </c>
      <c r="J44" s="13">
        <f t="shared" ref="J44:J107" si="4">H44*I44</f>
        <v>0.98098505599999997</v>
      </c>
    </row>
    <row r="45" spans="6:10" ht="30" x14ac:dyDescent="0.25">
      <c r="F45" s="16">
        <v>0.26774999999999999</v>
      </c>
      <c r="G45" s="20" t="s">
        <v>134</v>
      </c>
      <c r="H45" s="20">
        <v>3</v>
      </c>
      <c r="I45" s="13">
        <f t="shared" si="1"/>
        <v>0.50519069999999999</v>
      </c>
      <c r="J45" s="13">
        <f t="shared" si="4"/>
        <v>1.5155721</v>
      </c>
    </row>
    <row r="46" spans="6:10" ht="30" x14ac:dyDescent="0.25">
      <c r="F46" s="16">
        <v>1.49E-3</v>
      </c>
      <c r="G46" s="20" t="s">
        <v>133</v>
      </c>
      <c r="H46" s="20">
        <v>1</v>
      </c>
      <c r="I46" s="13">
        <f t="shared" si="1"/>
        <v>2.8113320000000002E-3</v>
      </c>
      <c r="J46" s="13">
        <f t="shared" si="4"/>
        <v>2.8113320000000002E-3</v>
      </c>
    </row>
    <row r="47" spans="6:10" ht="30" x14ac:dyDescent="0.25">
      <c r="F47" s="16">
        <v>1.503E-2</v>
      </c>
      <c r="G47" s="20" t="s">
        <v>132</v>
      </c>
      <c r="H47" s="20">
        <v>11</v>
      </c>
      <c r="I47" s="13">
        <f t="shared" si="1"/>
        <v>2.8358603999999999E-2</v>
      </c>
      <c r="J47" s="13">
        <f t="shared" si="4"/>
        <v>0.31194464399999999</v>
      </c>
    </row>
    <row r="48" spans="6:10" ht="30" x14ac:dyDescent="0.25">
      <c r="F48" s="16">
        <v>1.0710000000000001E-2</v>
      </c>
      <c r="G48" s="20" t="s">
        <v>131</v>
      </c>
      <c r="H48" s="20">
        <v>3</v>
      </c>
      <c r="I48" s="13">
        <f t="shared" ref="I48:I79" si="5">$F$2*F48</f>
        <v>2.0207628000000002E-2</v>
      </c>
      <c r="J48" s="13">
        <f t="shared" si="4"/>
        <v>6.0622884000000002E-2</v>
      </c>
    </row>
    <row r="49" spans="6:10" ht="30" x14ac:dyDescent="0.25">
      <c r="F49" s="16">
        <v>2.31E-3</v>
      </c>
      <c r="G49" s="20" t="s">
        <v>130</v>
      </c>
      <c r="H49" s="20">
        <v>57</v>
      </c>
      <c r="I49" s="13">
        <f t="shared" si="5"/>
        <v>4.3585079999999997E-3</v>
      </c>
      <c r="J49" s="13">
        <f t="shared" si="4"/>
        <v>0.24843495599999998</v>
      </c>
    </row>
    <row r="50" spans="6:10" ht="30" x14ac:dyDescent="0.25">
      <c r="F50" s="16">
        <v>5.2850000000000001E-2</v>
      </c>
      <c r="G50" s="20" t="s">
        <v>129</v>
      </c>
      <c r="H50" s="20">
        <v>27</v>
      </c>
      <c r="I50" s="13">
        <f t="shared" si="5"/>
        <v>9.9717380000000008E-2</v>
      </c>
      <c r="J50" s="13">
        <f t="shared" si="4"/>
        <v>2.6923692600000004</v>
      </c>
    </row>
    <row r="51" spans="6:10" ht="30" x14ac:dyDescent="0.25">
      <c r="F51" s="16">
        <v>3.9480000000000001E-2</v>
      </c>
      <c r="G51" s="20" t="s">
        <v>128</v>
      </c>
      <c r="H51" s="20">
        <v>4</v>
      </c>
      <c r="I51" s="13">
        <f t="shared" si="5"/>
        <v>7.4490864000000004E-2</v>
      </c>
      <c r="J51" s="13">
        <f t="shared" si="4"/>
        <v>0.29796345600000002</v>
      </c>
    </row>
    <row r="52" spans="6:10" ht="30" x14ac:dyDescent="0.25">
      <c r="F52" s="16">
        <v>2.6900000000000001E-3</v>
      </c>
      <c r="G52" s="20" t="s">
        <v>127</v>
      </c>
      <c r="H52" s="20">
        <v>1</v>
      </c>
      <c r="I52" s="13">
        <f t="shared" si="5"/>
        <v>5.075492E-3</v>
      </c>
      <c r="J52" s="13">
        <f t="shared" si="4"/>
        <v>5.075492E-3</v>
      </c>
    </row>
    <row r="53" spans="6:10" ht="30" x14ac:dyDescent="0.25">
      <c r="F53" s="16">
        <v>5.6699999999999997E-3</v>
      </c>
      <c r="G53" s="20" t="s">
        <v>126</v>
      </c>
      <c r="H53" s="20">
        <v>2</v>
      </c>
      <c r="I53" s="13">
        <f t="shared" si="5"/>
        <v>1.0698156E-2</v>
      </c>
      <c r="J53" s="13">
        <f t="shared" si="4"/>
        <v>2.1396312000000001E-2</v>
      </c>
    </row>
    <row r="54" spans="6:10" ht="30" x14ac:dyDescent="0.25">
      <c r="F54" s="16">
        <v>4.5999999999999999E-3</v>
      </c>
      <c r="G54" s="20" t="s">
        <v>125</v>
      </c>
      <c r="H54" s="20">
        <v>1</v>
      </c>
      <c r="I54" s="13">
        <f t="shared" si="5"/>
        <v>8.6792799999999993E-3</v>
      </c>
      <c r="J54" s="13">
        <f t="shared" si="4"/>
        <v>8.6792799999999993E-3</v>
      </c>
    </row>
    <row r="55" spans="6:10" ht="30" x14ac:dyDescent="0.25">
      <c r="F55" s="16">
        <v>3.0899999999999999E-3</v>
      </c>
      <c r="G55" s="20" t="s">
        <v>123</v>
      </c>
      <c r="H55" s="20">
        <v>2</v>
      </c>
      <c r="I55" s="13">
        <f t="shared" si="5"/>
        <v>5.8302119999999995E-3</v>
      </c>
      <c r="J55" s="13">
        <f t="shared" si="4"/>
        <v>1.1660423999999999E-2</v>
      </c>
    </row>
    <row r="56" spans="6:10" ht="30" x14ac:dyDescent="0.25">
      <c r="F56" s="16">
        <v>4.4200000000000003E-3</v>
      </c>
      <c r="G56" s="20" t="s">
        <v>122</v>
      </c>
      <c r="H56" s="20">
        <v>1</v>
      </c>
      <c r="I56" s="13">
        <f t="shared" si="5"/>
        <v>8.3396560000000008E-3</v>
      </c>
      <c r="J56" s="13">
        <f t="shared" si="4"/>
        <v>8.3396560000000008E-3</v>
      </c>
    </row>
    <row r="57" spans="6:10" ht="30" x14ac:dyDescent="0.25">
      <c r="F57" s="16">
        <v>0.11099000000000001</v>
      </c>
      <c r="G57" s="20" t="s">
        <v>121</v>
      </c>
      <c r="H57" s="20">
        <v>4</v>
      </c>
      <c r="I57" s="13">
        <f t="shared" si="5"/>
        <v>0.20941593200000003</v>
      </c>
      <c r="J57" s="13">
        <f t="shared" si="4"/>
        <v>0.83766372800000011</v>
      </c>
    </row>
    <row r="58" spans="6:10" ht="30" x14ac:dyDescent="0.25">
      <c r="F58" s="16">
        <v>1.66E-2</v>
      </c>
      <c r="G58" s="20" t="s">
        <v>120</v>
      </c>
      <c r="H58" s="20">
        <v>2</v>
      </c>
      <c r="I58" s="13">
        <f t="shared" si="5"/>
        <v>3.1320880000000002E-2</v>
      </c>
      <c r="J58" s="13">
        <f t="shared" si="4"/>
        <v>6.2641760000000005E-2</v>
      </c>
    </row>
    <row r="59" spans="6:10" ht="30" x14ac:dyDescent="0.25">
      <c r="F59" s="16">
        <v>0.21976999999999999</v>
      </c>
      <c r="G59" s="20" t="s">
        <v>119</v>
      </c>
      <c r="H59" s="20">
        <v>1</v>
      </c>
      <c r="I59" s="13">
        <f t="shared" si="5"/>
        <v>0.41466203600000001</v>
      </c>
      <c r="J59" s="13">
        <f t="shared" si="4"/>
        <v>0.41466203600000001</v>
      </c>
    </row>
    <row r="60" spans="6:10" ht="45" x14ac:dyDescent="0.25">
      <c r="F60" s="16">
        <v>1.35E-2</v>
      </c>
      <c r="G60" s="20" t="s">
        <v>118</v>
      </c>
      <c r="H60" s="20">
        <v>4</v>
      </c>
      <c r="I60" s="13">
        <f t="shared" si="5"/>
        <v>2.5471799999999999E-2</v>
      </c>
      <c r="J60" s="13">
        <f t="shared" si="4"/>
        <v>0.1018872</v>
      </c>
    </row>
    <row r="61" spans="6:10" ht="30" x14ac:dyDescent="0.25">
      <c r="F61" s="16">
        <v>5.3030000000000001E-2</v>
      </c>
      <c r="G61" s="20" t="s">
        <v>117</v>
      </c>
      <c r="H61" s="20">
        <v>3</v>
      </c>
      <c r="I61" s="13">
        <f t="shared" si="5"/>
        <v>0.100057004</v>
      </c>
      <c r="J61" s="13">
        <f t="shared" si="4"/>
        <v>0.30017101200000001</v>
      </c>
    </row>
    <row r="62" spans="6:10" ht="30" x14ac:dyDescent="0.25">
      <c r="F62" s="16">
        <v>5.74E-2</v>
      </c>
      <c r="G62" s="20" t="s">
        <v>116</v>
      </c>
      <c r="H62" s="20">
        <v>3</v>
      </c>
      <c r="I62" s="13">
        <f t="shared" si="5"/>
        <v>0.10830232000000001</v>
      </c>
      <c r="J62" s="13">
        <f t="shared" si="4"/>
        <v>0.32490696000000002</v>
      </c>
    </row>
    <row r="63" spans="6:10" ht="30" x14ac:dyDescent="0.25">
      <c r="F63" s="16">
        <v>6.2129999999999998E-2</v>
      </c>
      <c r="G63" s="20" t="s">
        <v>115</v>
      </c>
      <c r="H63" s="20">
        <v>3</v>
      </c>
      <c r="I63" s="13">
        <f t="shared" si="5"/>
        <v>0.117226884</v>
      </c>
      <c r="J63" s="13">
        <f t="shared" si="4"/>
        <v>0.35168065199999998</v>
      </c>
    </row>
    <row r="64" spans="6:10" ht="30" x14ac:dyDescent="0.25">
      <c r="F64" s="16">
        <v>6.6119999999999998E-2</v>
      </c>
      <c r="G64" s="20" t="s">
        <v>114</v>
      </c>
      <c r="H64" s="20">
        <v>2</v>
      </c>
      <c r="I64" s="13">
        <f t="shared" si="5"/>
        <v>0.124755216</v>
      </c>
      <c r="J64" s="13">
        <f t="shared" si="4"/>
        <v>0.249510432</v>
      </c>
    </row>
    <row r="65" spans="6:10" x14ac:dyDescent="0.25">
      <c r="F65" s="16">
        <v>0.2</v>
      </c>
      <c r="G65" s="20" t="s">
        <v>137</v>
      </c>
      <c r="H65" s="20">
        <v>1</v>
      </c>
      <c r="I65" s="13">
        <f t="shared" si="5"/>
        <v>0.37736000000000003</v>
      </c>
      <c r="J65" s="13">
        <f t="shared" si="4"/>
        <v>0.37736000000000003</v>
      </c>
    </row>
    <row r="66" spans="6:10" x14ac:dyDescent="0.25">
      <c r="F66" s="16">
        <v>1.1475</v>
      </c>
      <c r="G66" s="20" t="s">
        <v>138</v>
      </c>
      <c r="H66" s="20">
        <v>2</v>
      </c>
      <c r="I66" s="13">
        <f t="shared" si="5"/>
        <v>2.1651029999999998</v>
      </c>
      <c r="J66" s="13">
        <f t="shared" si="4"/>
        <v>4.3302059999999996</v>
      </c>
    </row>
    <row r="67" spans="6:10" x14ac:dyDescent="0.25">
      <c r="F67" s="16">
        <v>0.80730000000000002</v>
      </c>
      <c r="G67" s="20" t="s">
        <v>139</v>
      </c>
      <c r="H67" s="20">
        <v>1</v>
      </c>
      <c r="I67" s="13">
        <f t="shared" si="5"/>
        <v>1.52321364</v>
      </c>
      <c r="J67" s="13">
        <f t="shared" si="4"/>
        <v>1.52321364</v>
      </c>
    </row>
    <row r="68" spans="6:10" x14ac:dyDescent="0.25">
      <c r="F68" s="16">
        <v>16.24812</v>
      </c>
      <c r="G68" s="20" t="s">
        <v>140</v>
      </c>
      <c r="H68" s="20">
        <v>1</v>
      </c>
      <c r="I68" s="13">
        <f t="shared" si="5"/>
        <v>30.656952816</v>
      </c>
      <c r="J68" s="13">
        <f t="shared" si="4"/>
        <v>30.656952816</v>
      </c>
    </row>
    <row r="69" spans="6:10" ht="30" x14ac:dyDescent="0.25">
      <c r="F69" s="16">
        <v>4.9104000000000001</v>
      </c>
      <c r="G69" s="20" t="s">
        <v>141</v>
      </c>
      <c r="H69" s="20">
        <v>2</v>
      </c>
      <c r="I69" s="13">
        <f t="shared" si="5"/>
        <v>9.2649427200000005</v>
      </c>
      <c r="J69" s="13">
        <f t="shared" si="4"/>
        <v>18.529885440000001</v>
      </c>
    </row>
    <row r="70" spans="6:10" x14ac:dyDescent="0.25">
      <c r="F70" s="16">
        <v>15.6492</v>
      </c>
      <c r="G70" s="20" t="s">
        <v>142</v>
      </c>
      <c r="H70" s="20">
        <v>1</v>
      </c>
      <c r="I70" s="13">
        <f t="shared" si="5"/>
        <v>29.526910560000001</v>
      </c>
      <c r="J70" s="13">
        <f t="shared" si="4"/>
        <v>29.526910560000001</v>
      </c>
    </row>
    <row r="71" spans="6:10" x14ac:dyDescent="0.25">
      <c r="F71" s="16">
        <v>6.8114204999999997</v>
      </c>
      <c r="G71" s="20" t="s">
        <v>143</v>
      </c>
      <c r="H71" s="20">
        <v>1</v>
      </c>
      <c r="I71" s="13">
        <f t="shared" si="5"/>
        <v>12.8517881994</v>
      </c>
      <c r="J71" s="13">
        <f t="shared" si="4"/>
        <v>12.8517881994</v>
      </c>
    </row>
    <row r="72" spans="6:10" x14ac:dyDescent="0.25">
      <c r="F72" s="16">
        <v>2.54562</v>
      </c>
      <c r="G72" s="20" t="s">
        <v>144</v>
      </c>
      <c r="H72" s="20">
        <v>1</v>
      </c>
      <c r="I72" s="13">
        <f t="shared" si="5"/>
        <v>4.8030758159999998</v>
      </c>
      <c r="J72" s="13">
        <f t="shared" si="4"/>
        <v>4.8030758159999998</v>
      </c>
    </row>
    <row r="73" spans="6:10" x14ac:dyDescent="0.25">
      <c r="F73" s="16">
        <v>0.64375000000000004</v>
      </c>
      <c r="G73" s="20" t="s">
        <v>145</v>
      </c>
      <c r="H73" s="20">
        <v>3</v>
      </c>
      <c r="I73" s="13">
        <f t="shared" si="5"/>
        <v>1.2146275000000002</v>
      </c>
      <c r="J73" s="13">
        <f t="shared" si="4"/>
        <v>3.6438825000000006</v>
      </c>
    </row>
    <row r="74" spans="6:10" x14ac:dyDescent="0.25">
      <c r="F74" s="16">
        <v>0.12253</v>
      </c>
      <c r="G74" s="20" t="s">
        <v>146</v>
      </c>
      <c r="H74" s="20">
        <v>2</v>
      </c>
      <c r="I74" s="13">
        <f t="shared" si="5"/>
        <v>0.23118960399999999</v>
      </c>
      <c r="J74" s="13">
        <f t="shared" si="4"/>
        <v>0.46237920799999999</v>
      </c>
    </row>
    <row r="75" spans="6:10" x14ac:dyDescent="0.25">
      <c r="F75" s="16">
        <v>1.4250100000000001</v>
      </c>
      <c r="G75" s="20" t="s">
        <v>147</v>
      </c>
      <c r="H75" s="20">
        <v>1</v>
      </c>
      <c r="I75" s="13">
        <f t="shared" si="5"/>
        <v>2.6887088680000004</v>
      </c>
      <c r="J75" s="13">
        <f t="shared" si="4"/>
        <v>2.6887088680000004</v>
      </c>
    </row>
    <row r="76" spans="6:10" x14ac:dyDescent="0.25">
      <c r="F76" s="16">
        <v>21.312000000000001</v>
      </c>
      <c r="G76" s="20" t="s">
        <v>148</v>
      </c>
      <c r="H76" s="20">
        <v>1</v>
      </c>
      <c r="I76" s="13">
        <f t="shared" si="5"/>
        <v>40.211481600000006</v>
      </c>
      <c r="J76" s="13">
        <f t="shared" si="4"/>
        <v>40.211481600000006</v>
      </c>
    </row>
    <row r="77" spans="6:10" ht="30" x14ac:dyDescent="0.25">
      <c r="F77" s="16">
        <v>2.3687999999999998</v>
      </c>
      <c r="G77" s="20" t="s">
        <v>149</v>
      </c>
      <c r="H77" s="20">
        <v>1</v>
      </c>
      <c r="I77" s="13">
        <f t="shared" si="5"/>
        <v>4.4694518399999996</v>
      </c>
      <c r="J77" s="13">
        <f t="shared" si="4"/>
        <v>4.4694518399999996</v>
      </c>
    </row>
    <row r="78" spans="6:10" ht="30" x14ac:dyDescent="0.25">
      <c r="F78" s="16">
        <v>2.0524</v>
      </c>
      <c r="G78" s="20" t="s">
        <v>150</v>
      </c>
      <c r="H78" s="20">
        <v>1</v>
      </c>
      <c r="I78" s="13">
        <f t="shared" si="5"/>
        <v>3.8724683199999999</v>
      </c>
      <c r="J78" s="13">
        <f t="shared" si="4"/>
        <v>3.8724683199999999</v>
      </c>
    </row>
    <row r="79" spans="6:10" ht="30" x14ac:dyDescent="0.25">
      <c r="F79" s="16">
        <v>0.55000000000000004</v>
      </c>
      <c r="G79" s="20" t="s">
        <v>151</v>
      </c>
      <c r="H79" s="20">
        <v>1</v>
      </c>
      <c r="I79" s="13">
        <f t="shared" si="5"/>
        <v>1.0377400000000001</v>
      </c>
      <c r="J79" s="13">
        <f t="shared" si="4"/>
        <v>1.0377400000000001</v>
      </c>
    </row>
    <row r="80" spans="6:10" ht="30" x14ac:dyDescent="0.25">
      <c r="F80" s="16">
        <v>2.29</v>
      </c>
      <c r="G80" s="20" t="s">
        <v>152</v>
      </c>
      <c r="H80" s="20">
        <v>1</v>
      </c>
      <c r="I80" s="13">
        <f t="shared" ref="I80:I111" si="6">$F$2*F80</f>
        <v>4.3207719999999998</v>
      </c>
      <c r="J80" s="13">
        <f t="shared" si="4"/>
        <v>4.3207719999999998</v>
      </c>
    </row>
    <row r="81" spans="6:10" ht="30" x14ac:dyDescent="0.25">
      <c r="F81" s="16">
        <v>1.0125</v>
      </c>
      <c r="G81" s="20" t="s">
        <v>153</v>
      </c>
      <c r="H81" s="20">
        <v>1</v>
      </c>
      <c r="I81" s="13">
        <f t="shared" si="6"/>
        <v>1.910385</v>
      </c>
      <c r="J81" s="13">
        <f t="shared" si="4"/>
        <v>1.910385</v>
      </c>
    </row>
    <row r="82" spans="6:10" ht="30" x14ac:dyDescent="0.25">
      <c r="F82" s="16">
        <v>3.64E-3</v>
      </c>
      <c r="G82" s="20" t="s">
        <v>172</v>
      </c>
      <c r="H82" s="20">
        <v>19</v>
      </c>
      <c r="I82" s="13">
        <f t="shared" si="6"/>
        <v>6.8679520000000001E-3</v>
      </c>
      <c r="J82" s="13">
        <f t="shared" si="4"/>
        <v>0.13049108800000001</v>
      </c>
    </row>
    <row r="83" spans="6:10" ht="30" x14ac:dyDescent="0.25">
      <c r="F83" s="16">
        <v>2.2300000000000002E-3</v>
      </c>
      <c r="G83" s="20" t="s">
        <v>173</v>
      </c>
      <c r="H83" s="20">
        <v>1</v>
      </c>
      <c r="I83" s="13">
        <f t="shared" si="6"/>
        <v>4.2075640000000004E-3</v>
      </c>
      <c r="J83" s="13">
        <f t="shared" si="4"/>
        <v>4.2075640000000004E-3</v>
      </c>
    </row>
    <row r="84" spans="6:10" ht="30" x14ac:dyDescent="0.25">
      <c r="F84" s="16">
        <v>1.7600000000000001E-3</v>
      </c>
      <c r="G84" s="20" t="s">
        <v>174</v>
      </c>
      <c r="H84" s="20">
        <v>39</v>
      </c>
      <c r="I84" s="13">
        <f t="shared" si="6"/>
        <v>3.320768E-3</v>
      </c>
      <c r="J84" s="13">
        <f t="shared" si="4"/>
        <v>0.12950995200000001</v>
      </c>
    </row>
    <row r="85" spans="6:10" ht="30" x14ac:dyDescent="0.25">
      <c r="F85" s="16">
        <v>2.2300000000000002E-3</v>
      </c>
      <c r="G85" s="20" t="s">
        <v>175</v>
      </c>
      <c r="H85" s="20">
        <v>1</v>
      </c>
      <c r="I85" s="13">
        <f t="shared" si="6"/>
        <v>4.2075640000000004E-3</v>
      </c>
      <c r="J85" s="13">
        <f t="shared" si="4"/>
        <v>4.2075640000000004E-3</v>
      </c>
    </row>
    <row r="86" spans="6:10" ht="30" x14ac:dyDescent="0.25">
      <c r="F86" s="16">
        <v>1.7600000000000001E-3</v>
      </c>
      <c r="G86" s="20" t="s">
        <v>179</v>
      </c>
      <c r="H86" s="20">
        <v>11</v>
      </c>
      <c r="I86" s="13">
        <f t="shared" si="6"/>
        <v>3.320768E-3</v>
      </c>
      <c r="J86" s="13">
        <f t="shared" si="4"/>
        <v>3.6528447999999998E-2</v>
      </c>
    </row>
    <row r="87" spans="6:10" ht="30" x14ac:dyDescent="0.25">
      <c r="F87" s="16">
        <v>2.2300000000000002E-3</v>
      </c>
      <c r="G87" s="20" t="s">
        <v>178</v>
      </c>
      <c r="H87" s="20">
        <v>1</v>
      </c>
      <c r="I87" s="13">
        <f t="shared" si="6"/>
        <v>4.2075640000000004E-3</v>
      </c>
      <c r="J87" s="13">
        <f t="shared" si="4"/>
        <v>4.2075640000000004E-3</v>
      </c>
    </row>
    <row r="88" spans="6:10" ht="30" x14ac:dyDescent="0.25">
      <c r="F88" s="16">
        <v>2.2300000000000002E-3</v>
      </c>
      <c r="G88" s="20" t="s">
        <v>171</v>
      </c>
      <c r="H88" s="20">
        <v>1</v>
      </c>
      <c r="I88" s="13">
        <f t="shared" si="6"/>
        <v>4.2075640000000004E-3</v>
      </c>
      <c r="J88" s="13">
        <f t="shared" si="4"/>
        <v>4.2075640000000004E-3</v>
      </c>
    </row>
    <row r="89" spans="6:10" ht="30" x14ac:dyDescent="0.25">
      <c r="F89" s="16">
        <v>1.9599999999999999E-3</v>
      </c>
      <c r="G89" s="20" t="s">
        <v>177</v>
      </c>
      <c r="H89" s="20">
        <v>5</v>
      </c>
      <c r="I89" s="13">
        <f t="shared" si="6"/>
        <v>3.6981279999999997E-3</v>
      </c>
      <c r="J89" s="13">
        <f t="shared" si="4"/>
        <v>1.8490639999999999E-2</v>
      </c>
    </row>
    <row r="90" spans="6:10" ht="30" x14ac:dyDescent="0.25">
      <c r="F90" s="16">
        <v>2.2300000000000002E-3</v>
      </c>
      <c r="G90" s="20" t="s">
        <v>176</v>
      </c>
      <c r="H90" s="20">
        <v>1</v>
      </c>
      <c r="I90" s="13">
        <f t="shared" si="6"/>
        <v>4.2075640000000004E-3</v>
      </c>
      <c r="J90" s="13">
        <f t="shared" si="4"/>
        <v>4.2075640000000004E-3</v>
      </c>
    </row>
    <row r="91" spans="6:10" ht="30" x14ac:dyDescent="0.25">
      <c r="F91" s="16">
        <v>2.2300000000000002E-3</v>
      </c>
      <c r="G91" s="20" t="s">
        <v>170</v>
      </c>
      <c r="H91" s="20">
        <v>1</v>
      </c>
      <c r="I91" s="13">
        <f t="shared" si="6"/>
        <v>4.2075640000000004E-3</v>
      </c>
      <c r="J91" s="13">
        <f t="shared" si="4"/>
        <v>4.2075640000000004E-3</v>
      </c>
    </row>
    <row r="92" spans="6:10" ht="30" x14ac:dyDescent="0.25">
      <c r="F92" s="16">
        <v>2.2300000000000002E-3</v>
      </c>
      <c r="G92" s="20" t="s">
        <v>169</v>
      </c>
      <c r="H92" s="20">
        <v>1</v>
      </c>
      <c r="I92" s="13">
        <f t="shared" si="6"/>
        <v>4.2075640000000004E-3</v>
      </c>
      <c r="J92" s="13">
        <f t="shared" si="4"/>
        <v>4.2075640000000004E-3</v>
      </c>
    </row>
    <row r="93" spans="6:10" ht="30" x14ac:dyDescent="0.25">
      <c r="F93" s="16">
        <v>2.2300000000000002E-3</v>
      </c>
      <c r="G93" s="20" t="s">
        <v>168</v>
      </c>
      <c r="H93" s="20">
        <v>1</v>
      </c>
      <c r="I93" s="13">
        <f t="shared" si="6"/>
        <v>4.2075640000000004E-3</v>
      </c>
      <c r="J93" s="13">
        <f t="shared" si="4"/>
        <v>4.2075640000000004E-3</v>
      </c>
    </row>
    <row r="94" spans="6:10" ht="30" x14ac:dyDescent="0.25">
      <c r="F94" s="16">
        <v>2.2300000000000002E-3</v>
      </c>
      <c r="G94" s="20" t="s">
        <v>167</v>
      </c>
      <c r="H94" s="20">
        <v>1</v>
      </c>
      <c r="I94" s="13">
        <f t="shared" si="6"/>
        <v>4.2075640000000004E-3</v>
      </c>
      <c r="J94" s="13">
        <f t="shared" si="4"/>
        <v>4.2075640000000004E-3</v>
      </c>
    </row>
    <row r="95" spans="6:10" ht="30" x14ac:dyDescent="0.25">
      <c r="F95" s="16">
        <v>2.2300000000000002E-3</v>
      </c>
      <c r="G95" s="20" t="s">
        <v>166</v>
      </c>
      <c r="H95" s="20">
        <v>1</v>
      </c>
      <c r="I95" s="13">
        <f t="shared" si="6"/>
        <v>4.2075640000000004E-3</v>
      </c>
      <c r="J95" s="13">
        <f t="shared" si="4"/>
        <v>4.2075640000000004E-3</v>
      </c>
    </row>
    <row r="96" spans="6:10" ht="30" x14ac:dyDescent="0.25">
      <c r="F96" s="16">
        <v>2.2300000000000002E-3</v>
      </c>
      <c r="G96" s="20" t="s">
        <v>165</v>
      </c>
      <c r="H96" s="20">
        <v>1</v>
      </c>
      <c r="I96" s="13">
        <f t="shared" si="6"/>
        <v>4.2075640000000004E-3</v>
      </c>
      <c r="J96" s="13">
        <f t="shared" si="4"/>
        <v>4.2075640000000004E-3</v>
      </c>
    </row>
    <row r="97" spans="6:10" ht="30" x14ac:dyDescent="0.25">
      <c r="F97" s="16">
        <v>2.2300000000000002E-3</v>
      </c>
      <c r="G97" s="20" t="s">
        <v>164</v>
      </c>
      <c r="H97" s="20">
        <v>1</v>
      </c>
      <c r="I97" s="13">
        <f t="shared" si="6"/>
        <v>4.2075640000000004E-3</v>
      </c>
      <c r="J97" s="13">
        <f t="shared" si="4"/>
        <v>4.2075640000000004E-3</v>
      </c>
    </row>
    <row r="98" spans="6:10" ht="30" x14ac:dyDescent="0.25">
      <c r="F98" s="16">
        <v>2.2300000000000002E-3</v>
      </c>
      <c r="G98" s="20" t="s">
        <v>163</v>
      </c>
      <c r="H98" s="20">
        <v>1</v>
      </c>
      <c r="I98" s="13">
        <f t="shared" si="6"/>
        <v>4.2075640000000004E-3</v>
      </c>
      <c r="J98" s="13">
        <f t="shared" si="4"/>
        <v>4.2075640000000004E-3</v>
      </c>
    </row>
    <row r="99" spans="6:10" ht="30" x14ac:dyDescent="0.25">
      <c r="F99" s="16">
        <v>4.5999999999999999E-3</v>
      </c>
      <c r="G99" s="20" t="s">
        <v>162</v>
      </c>
      <c r="H99" s="20">
        <v>2</v>
      </c>
      <c r="I99" s="13">
        <f t="shared" si="6"/>
        <v>8.6792799999999993E-3</v>
      </c>
      <c r="J99" s="13">
        <f t="shared" si="4"/>
        <v>1.7358559999999999E-2</v>
      </c>
    </row>
    <row r="100" spans="6:10" ht="30" x14ac:dyDescent="0.25">
      <c r="F100" s="16">
        <v>4.5999999999999999E-3</v>
      </c>
      <c r="G100" s="20" t="s">
        <v>161</v>
      </c>
      <c r="H100" s="20">
        <v>1</v>
      </c>
      <c r="I100" s="13">
        <f t="shared" si="6"/>
        <v>8.6792799999999993E-3</v>
      </c>
      <c r="J100" s="13">
        <f t="shared" si="4"/>
        <v>8.6792799999999993E-3</v>
      </c>
    </row>
    <row r="101" spans="6:10" ht="30" x14ac:dyDescent="0.25">
      <c r="F101" s="16">
        <v>3.64E-3</v>
      </c>
      <c r="G101" s="20" t="s">
        <v>160</v>
      </c>
      <c r="H101" s="20">
        <v>24</v>
      </c>
      <c r="I101" s="13">
        <f t="shared" si="6"/>
        <v>6.8679520000000001E-3</v>
      </c>
      <c r="J101" s="13">
        <f t="shared" si="4"/>
        <v>0.164830848</v>
      </c>
    </row>
    <row r="102" spans="6:10" ht="30" x14ac:dyDescent="0.25">
      <c r="F102" s="16">
        <v>4.5999999999999999E-3</v>
      </c>
      <c r="G102" s="20" t="s">
        <v>159</v>
      </c>
      <c r="H102" s="20">
        <v>1</v>
      </c>
      <c r="I102" s="13">
        <f t="shared" si="6"/>
        <v>8.6792799999999993E-3</v>
      </c>
      <c r="J102" s="13">
        <f t="shared" si="4"/>
        <v>8.6792799999999993E-3</v>
      </c>
    </row>
    <row r="103" spans="6:10" ht="30" x14ac:dyDescent="0.25">
      <c r="F103" s="16">
        <v>4.5999999999999999E-3</v>
      </c>
      <c r="G103" s="20" t="s">
        <v>158</v>
      </c>
      <c r="H103" s="20">
        <v>1</v>
      </c>
      <c r="I103" s="13">
        <f t="shared" si="6"/>
        <v>8.6792799999999993E-3</v>
      </c>
      <c r="J103" s="13">
        <f t="shared" si="4"/>
        <v>8.6792799999999993E-3</v>
      </c>
    </row>
    <row r="104" spans="6:10" ht="30" x14ac:dyDescent="0.25">
      <c r="F104" s="16">
        <v>4.5999999999999999E-3</v>
      </c>
      <c r="G104" s="20" t="s">
        <v>157</v>
      </c>
      <c r="H104" s="20">
        <v>1</v>
      </c>
      <c r="I104" s="13">
        <f t="shared" si="6"/>
        <v>8.6792799999999993E-3</v>
      </c>
      <c r="J104" s="13">
        <f t="shared" si="4"/>
        <v>8.6792799999999993E-3</v>
      </c>
    </row>
    <row r="105" spans="6:10" ht="30" x14ac:dyDescent="0.25">
      <c r="F105" s="16">
        <v>4.5999999999999999E-3</v>
      </c>
      <c r="G105" s="20" t="s">
        <v>156</v>
      </c>
      <c r="H105" s="20">
        <v>3</v>
      </c>
      <c r="I105" s="13">
        <f t="shared" si="6"/>
        <v>8.6792799999999993E-3</v>
      </c>
      <c r="J105" s="13">
        <f t="shared" si="4"/>
        <v>2.603784E-2</v>
      </c>
    </row>
    <row r="106" spans="6:10" ht="30" x14ac:dyDescent="0.25">
      <c r="F106" s="16">
        <v>4.5999999999999999E-3</v>
      </c>
      <c r="G106" s="20" t="s">
        <v>155</v>
      </c>
      <c r="H106" s="20">
        <v>2</v>
      </c>
      <c r="I106" s="13">
        <f t="shared" si="6"/>
        <v>8.6792799999999993E-3</v>
      </c>
      <c r="J106" s="13">
        <f t="shared" si="4"/>
        <v>1.7358559999999999E-2</v>
      </c>
    </row>
    <row r="107" spans="6:10" ht="30" x14ac:dyDescent="0.25">
      <c r="F107" s="16">
        <v>4.0499999999999998E-3</v>
      </c>
      <c r="G107" s="20" t="s">
        <v>154</v>
      </c>
      <c r="H107" s="20">
        <v>8</v>
      </c>
      <c r="I107" s="13">
        <f t="shared" si="6"/>
        <v>7.6415399999999996E-3</v>
      </c>
      <c r="J107" s="13">
        <f t="shared" si="4"/>
        <v>6.1132319999999997E-2</v>
      </c>
    </row>
    <row r="108" spans="6:10" ht="30" x14ac:dyDescent="0.25">
      <c r="F108" s="16">
        <v>0.77</v>
      </c>
      <c r="G108" s="20" t="s">
        <v>180</v>
      </c>
      <c r="H108" s="20">
        <v>1</v>
      </c>
      <c r="I108" s="13">
        <f t="shared" si="6"/>
        <v>1.452836</v>
      </c>
      <c r="J108" s="13">
        <f t="shared" ref="J108:J121" si="7">H108*I108</f>
        <v>1.452836</v>
      </c>
    </row>
    <row r="109" spans="6:10" ht="30" x14ac:dyDescent="0.25">
      <c r="F109" s="16">
        <v>0.37554999999999999</v>
      </c>
      <c r="G109" s="20" t="s">
        <v>181</v>
      </c>
      <c r="H109" s="20"/>
      <c r="I109" s="13">
        <f t="shared" si="6"/>
        <v>0.70858774000000002</v>
      </c>
      <c r="J109" s="13">
        <f t="shared" si="7"/>
        <v>0</v>
      </c>
    </row>
    <row r="110" spans="6:10" x14ac:dyDescent="0.25">
      <c r="F110" s="16">
        <v>0.72716000000000003</v>
      </c>
      <c r="G110" s="20" t="s">
        <v>182</v>
      </c>
      <c r="H110" s="20">
        <v>1</v>
      </c>
      <c r="I110" s="13">
        <f t="shared" si="6"/>
        <v>1.3720054880000001</v>
      </c>
      <c r="J110" s="13">
        <f t="shared" si="7"/>
        <v>1.3720054880000001</v>
      </c>
    </row>
    <row r="111" spans="6:10" x14ac:dyDescent="0.25">
      <c r="F111" s="16">
        <v>0.13067999999999999</v>
      </c>
      <c r="G111" s="20" t="s">
        <v>183</v>
      </c>
      <c r="H111" s="20">
        <v>1</v>
      </c>
      <c r="I111" s="13">
        <f t="shared" si="6"/>
        <v>0.246567024</v>
      </c>
      <c r="J111" s="13">
        <f t="shared" si="7"/>
        <v>0.246567024</v>
      </c>
    </row>
    <row r="112" spans="6:10" x14ac:dyDescent="0.25">
      <c r="F112" s="16">
        <v>0.15856000000000001</v>
      </c>
      <c r="G112" s="20" t="s">
        <v>184</v>
      </c>
      <c r="H112" s="20">
        <v>1</v>
      </c>
      <c r="I112" s="13">
        <f t="shared" ref="I112:I121" si="8">$F$2*F112</f>
        <v>0.29917100800000002</v>
      </c>
      <c r="J112" s="13">
        <f t="shared" si="7"/>
        <v>0.29917100800000002</v>
      </c>
    </row>
    <row r="113" spans="6:23" x14ac:dyDescent="0.25">
      <c r="F113" s="16">
        <v>2.2679999999999998</v>
      </c>
      <c r="G113" s="20" t="s">
        <v>100</v>
      </c>
      <c r="H113" s="20">
        <v>2</v>
      </c>
      <c r="I113" s="13">
        <f t="shared" si="8"/>
        <v>4.2792623999999995</v>
      </c>
      <c r="J113" s="13">
        <f t="shared" si="7"/>
        <v>8.5585247999999989</v>
      </c>
    </row>
    <row r="114" spans="6:23" x14ac:dyDescent="0.25">
      <c r="F114" s="16">
        <v>0.70616000000000001</v>
      </c>
      <c r="G114" s="20" t="s">
        <v>185</v>
      </c>
      <c r="H114" s="20">
        <v>1</v>
      </c>
      <c r="I114" s="13">
        <f t="shared" si="8"/>
        <v>1.332382688</v>
      </c>
      <c r="J114" s="13">
        <f t="shared" si="7"/>
        <v>1.332382688</v>
      </c>
    </row>
    <row r="115" spans="6:23" x14ac:dyDescent="0.25">
      <c r="F115" s="16">
        <v>0.50619000000000003</v>
      </c>
      <c r="G115" s="20" t="s">
        <v>186</v>
      </c>
      <c r="H115" s="20">
        <v>2</v>
      </c>
      <c r="I115" s="13">
        <f t="shared" si="8"/>
        <v>0.95507929200000008</v>
      </c>
      <c r="J115" s="13">
        <f t="shared" si="7"/>
        <v>1.9101585840000002</v>
      </c>
    </row>
    <row r="116" spans="6:23" x14ac:dyDescent="0.25">
      <c r="F116" s="16">
        <v>0.74129999999999996</v>
      </c>
      <c r="G116" s="20" t="s">
        <v>187</v>
      </c>
      <c r="H116" s="20">
        <v>1</v>
      </c>
      <c r="I116" s="13">
        <f t="shared" si="8"/>
        <v>1.39868484</v>
      </c>
      <c r="J116" s="13">
        <f t="shared" si="7"/>
        <v>1.39868484</v>
      </c>
    </row>
    <row r="117" spans="6:23" x14ac:dyDescent="0.25">
      <c r="F117" s="16">
        <v>1.22542</v>
      </c>
      <c r="G117" s="20" t="s">
        <v>188</v>
      </c>
      <c r="H117" s="20">
        <v>1</v>
      </c>
      <c r="I117" s="13">
        <f t="shared" si="8"/>
        <v>2.312122456</v>
      </c>
      <c r="J117" s="13">
        <f t="shared" si="7"/>
        <v>2.312122456</v>
      </c>
    </row>
    <row r="118" spans="6:23" x14ac:dyDescent="0.25">
      <c r="F118" s="16">
        <v>0.67859999999999998</v>
      </c>
      <c r="G118" s="20" t="s">
        <v>189</v>
      </c>
      <c r="H118" s="20">
        <v>1</v>
      </c>
      <c r="I118" s="13">
        <f t="shared" si="8"/>
        <v>1.2803824799999999</v>
      </c>
      <c r="J118" s="13">
        <f t="shared" si="7"/>
        <v>1.2803824799999999</v>
      </c>
    </row>
    <row r="119" spans="6:23" x14ac:dyDescent="0.25">
      <c r="F119" s="16">
        <v>0.67859999999999998</v>
      </c>
      <c r="G119" s="20" t="s">
        <v>190</v>
      </c>
      <c r="H119" s="20">
        <v>1</v>
      </c>
      <c r="I119" s="13">
        <f t="shared" si="8"/>
        <v>1.2803824799999999</v>
      </c>
      <c r="J119" s="13">
        <f t="shared" si="7"/>
        <v>1.2803824799999999</v>
      </c>
      <c r="N119" s="21"/>
    </row>
    <row r="120" spans="6:23" x14ac:dyDescent="0.25">
      <c r="F120" s="16">
        <v>1.377</v>
      </c>
      <c r="G120" s="20" t="s">
        <v>191</v>
      </c>
      <c r="H120" s="20">
        <v>1</v>
      </c>
      <c r="I120" s="13">
        <f t="shared" si="8"/>
        <v>2.5981236000000001</v>
      </c>
      <c r="J120" s="13">
        <f t="shared" si="7"/>
        <v>2.5981236000000001</v>
      </c>
      <c r="O120" s="21"/>
    </row>
    <row r="121" spans="6:23" ht="30" x14ac:dyDescent="0.25">
      <c r="F121" s="16">
        <v>6.25E-2</v>
      </c>
      <c r="G121" s="20" t="s">
        <v>192</v>
      </c>
      <c r="H121" s="20">
        <v>8</v>
      </c>
      <c r="I121" s="13">
        <f t="shared" si="8"/>
        <v>0.117925</v>
      </c>
      <c r="J121" s="13">
        <f t="shared" si="7"/>
        <v>0.94340000000000002</v>
      </c>
    </row>
    <row r="122" spans="6:23" x14ac:dyDescent="0.25">
      <c r="G122" s="74" t="s">
        <v>193</v>
      </c>
      <c r="H122" s="74"/>
      <c r="I122" s="74"/>
      <c r="J122" s="15">
        <f>SUM(J16:J121)</f>
        <v>536.64769469540022</v>
      </c>
    </row>
    <row r="123" spans="6:23" x14ac:dyDescent="0.25">
      <c r="G123" s="74" t="s">
        <v>87</v>
      </c>
      <c r="H123" s="74"/>
      <c r="I123" s="74"/>
      <c r="J123" s="15">
        <f>J122*1.2</f>
        <v>643.97723363448029</v>
      </c>
    </row>
    <row r="124" spans="6:23" ht="45" x14ac:dyDescent="0.25">
      <c r="I124" s="17"/>
      <c r="K124" s="20" t="s">
        <v>239</v>
      </c>
      <c r="L124" s="20" t="s">
        <v>204</v>
      </c>
      <c r="M124" s="20" t="s">
        <v>196</v>
      </c>
      <c r="N124" s="13" t="s">
        <v>260</v>
      </c>
      <c r="O124" s="13" t="s">
        <v>195</v>
      </c>
      <c r="P124" s="13" t="s">
        <v>261</v>
      </c>
      <c r="R124" s="20" t="s">
        <v>197</v>
      </c>
      <c r="S124" s="20" t="s">
        <v>198</v>
      </c>
      <c r="T124" s="13" t="s">
        <v>260</v>
      </c>
      <c r="V124" s="18" t="s">
        <v>262</v>
      </c>
      <c r="W124" s="24">
        <v>31</v>
      </c>
    </row>
    <row r="125" spans="6:23" x14ac:dyDescent="0.25">
      <c r="I125" s="17"/>
      <c r="K125" s="20">
        <v>1</v>
      </c>
      <c r="L125" s="20">
        <v>2</v>
      </c>
      <c r="M125" s="20">
        <v>3</v>
      </c>
      <c r="N125" s="20">
        <v>4</v>
      </c>
      <c r="O125" s="20">
        <v>5</v>
      </c>
      <c r="P125" s="20">
        <v>6</v>
      </c>
      <c r="R125" s="20">
        <v>2</v>
      </c>
      <c r="S125" s="14">
        <v>1.1599999999999999</v>
      </c>
      <c r="T125" s="15">
        <f t="shared" ref="T125:T150" si="9">$W$124*S125/$W$130</f>
        <v>0.2136660724896019</v>
      </c>
      <c r="V125" s="20" t="s">
        <v>215</v>
      </c>
      <c r="W125" s="25">
        <v>5</v>
      </c>
    </row>
    <row r="126" spans="6:23" x14ac:dyDescent="0.25">
      <c r="I126" s="27">
        <v>0.05</v>
      </c>
      <c r="K126" s="20" t="s">
        <v>200</v>
      </c>
      <c r="L126" s="25">
        <v>1</v>
      </c>
      <c r="M126" s="20">
        <f t="shared" ref="M126:M144" si="10">CHOOSE(L126,$W$144,$W$145,$W$146,$W$147,$W$148,$W$149,$W$150)</f>
        <v>3</v>
      </c>
      <c r="N126" s="15">
        <f>CHOOSE(M126-1,$T$125,$T$126,$T$127,$T$128,$T$129,$T$130,$T$131,$T$132,$T$133,$T$134,$T$135,$T$136,$T$137,$T$138,$T$139,$T$140,$T$141,$T$142,$T$143,$T$144,$T$145,$T$146,T147,T148,T149,T150)</f>
        <v>0.24866310160427807</v>
      </c>
      <c r="O126" s="13">
        <f t="shared" ref="O126:O144" si="11">CHOOSE(L126, $Z$144,$Z$145,$Z$146,$Z$147,$Z$148,$Z$149,$Z$150)</f>
        <v>6.0540142180094791E-2</v>
      </c>
      <c r="P126" s="13">
        <f t="shared" ref="P126:P144" si="12">N126*O126</f>
        <v>1.5054099526066352E-2</v>
      </c>
      <c r="R126" s="20">
        <v>3</v>
      </c>
      <c r="S126" s="14">
        <v>1.35</v>
      </c>
      <c r="T126" s="15">
        <f t="shared" si="9"/>
        <v>0.24866310160427807</v>
      </c>
      <c r="V126" s="20" t="s">
        <v>216</v>
      </c>
      <c r="W126" s="25">
        <v>40</v>
      </c>
    </row>
    <row r="127" spans="6:23" x14ac:dyDescent="0.25">
      <c r="I127" s="27">
        <v>0.01</v>
      </c>
      <c r="K127" s="20" t="s">
        <v>202</v>
      </c>
      <c r="L127" s="25">
        <v>3</v>
      </c>
      <c r="M127" s="20">
        <f t="shared" si="10"/>
        <v>6</v>
      </c>
      <c r="N127" s="15">
        <f>CHOOSE(M127-1,$T$125,$T$126,$T$127,$T$128,$T$129,$T$130,$T$131,$T$132,$T$133,$T$134,$T$135,$T$136,$T$137,$T$138,$T$139,$T$140,$T$141,$T$142,$T$143,$T$144,$T$145,$T$146,T152,T153,T154,T155)</f>
        <v>0.3499702911467617</v>
      </c>
      <c r="O127" s="13">
        <f t="shared" si="11"/>
        <v>5.6504132701421794E-2</v>
      </c>
      <c r="P127" s="13">
        <f t="shared" si="12"/>
        <v>1.9774767772511845E-2</v>
      </c>
      <c r="R127" s="20">
        <v>4</v>
      </c>
      <c r="S127" s="14">
        <v>1.57</v>
      </c>
      <c r="T127" s="15">
        <f t="shared" si="9"/>
        <v>0.28918597742127156</v>
      </c>
      <c r="V127" s="20" t="s">
        <v>208</v>
      </c>
      <c r="W127" s="25">
        <v>253</v>
      </c>
    </row>
    <row r="128" spans="6:23" x14ac:dyDescent="0.25">
      <c r="I128" s="27">
        <v>0.01</v>
      </c>
      <c r="K128" s="20" t="s">
        <v>203</v>
      </c>
      <c r="L128" s="25">
        <v>3</v>
      </c>
      <c r="M128" s="20">
        <f t="shared" si="10"/>
        <v>6</v>
      </c>
      <c r="N128" s="15">
        <f>CHOOSE(M128-1,$T$125,$T$126,$T$127,$T$128,$T$129,$T$130,$T$131,$T$132,$T$133,$T$134,$T$135,$T$136,$T$137,$T$138,$T$139,$T$140,$T$141,$T$142,$T$143,$T$144,$T$145,$T$146,T155,T156,T157,T158)</f>
        <v>0.3499702911467617</v>
      </c>
      <c r="O128" s="13">
        <f t="shared" si="11"/>
        <v>5.6504132701421794E-2</v>
      </c>
      <c r="P128" s="13">
        <f t="shared" si="12"/>
        <v>1.9774767772511845E-2</v>
      </c>
      <c r="R128" s="20">
        <v>5</v>
      </c>
      <c r="S128" s="14">
        <v>1.74</v>
      </c>
      <c r="T128" s="15">
        <f t="shared" si="9"/>
        <v>0.32049910873440279</v>
      </c>
      <c r="V128" s="20" t="s">
        <v>212</v>
      </c>
      <c r="W128" s="25">
        <v>2019</v>
      </c>
    </row>
    <row r="129" spans="9:26" ht="30" x14ac:dyDescent="0.25">
      <c r="I129" s="27">
        <v>0.04</v>
      </c>
      <c r="K129" s="20" t="s">
        <v>206</v>
      </c>
      <c r="L129" s="25">
        <v>4</v>
      </c>
      <c r="M129" s="20">
        <f t="shared" si="10"/>
        <v>6</v>
      </c>
      <c r="N129" s="15">
        <f>CHOOSE(M129-1,$T$125,$T$126,$T$127,$T$128,$T$129,$T$130,$T$131,$T$132,$T$133,$T$134,$T$135,$T$136,$T$137,$T$138,$T$139,$T$140,$T$141,$T$142,$T$143,$T$144,$T$145,$T$146,T144,T145,T146,T147)</f>
        <v>0.3499702911467617</v>
      </c>
      <c r="O129" s="13">
        <f t="shared" si="11"/>
        <v>6.4576151658767775E-2</v>
      </c>
      <c r="P129" s="13">
        <f t="shared" si="12"/>
        <v>2.2599734597156397E-2</v>
      </c>
      <c r="R129" s="20">
        <v>6</v>
      </c>
      <c r="S129" s="14">
        <v>1.9</v>
      </c>
      <c r="T129" s="15">
        <f t="shared" si="9"/>
        <v>0.3499702911467617</v>
      </c>
      <c r="V129" s="18" t="s">
        <v>207</v>
      </c>
      <c r="W129" s="24">
        <v>21.1</v>
      </c>
    </row>
    <row r="130" spans="9:26" ht="30" x14ac:dyDescent="0.25">
      <c r="I130" s="27">
        <v>0.04</v>
      </c>
      <c r="K130" s="20" t="s">
        <v>241</v>
      </c>
      <c r="L130" s="25">
        <v>4</v>
      </c>
      <c r="M130" s="20">
        <f t="shared" si="10"/>
        <v>6</v>
      </c>
      <c r="N130" s="15">
        <f>CHOOSE(M130-1,$T$125,$T$126,$T$127,$T$128,$T$129,$T$130,$T$131,$T$132,$T$133,$T$134,$T$135,$T$136,$T$137,$T$138,$T$139,$T$140,$T$141,$T$142,$T$143,$T$144,$T$145,$T$146,T148,T149,T150,T152)</f>
        <v>0.3499702911467617</v>
      </c>
      <c r="O130" s="13">
        <f t="shared" si="11"/>
        <v>6.4576151658767775E-2</v>
      </c>
      <c r="P130" s="13">
        <f t="shared" si="12"/>
        <v>2.2599734597156397E-2</v>
      </c>
      <c r="R130" s="20">
        <v>7</v>
      </c>
      <c r="S130" s="14">
        <v>2.0299999999999998</v>
      </c>
      <c r="T130" s="15">
        <f t="shared" si="9"/>
        <v>0.37391562685680324</v>
      </c>
      <c r="V130" s="18" t="s">
        <v>201</v>
      </c>
      <c r="W130" s="24">
        <v>168.3</v>
      </c>
    </row>
    <row r="131" spans="9:26" ht="30" x14ac:dyDescent="0.25">
      <c r="I131" s="27">
        <v>0.05</v>
      </c>
      <c r="K131" s="20" t="s">
        <v>242</v>
      </c>
      <c r="L131" s="25">
        <v>5</v>
      </c>
      <c r="M131" s="20">
        <f t="shared" si="10"/>
        <v>5</v>
      </c>
      <c r="N131" s="15">
        <f>CHOOSE(M131-1,$T$125,$T$126,$T$127,$T$128,$T$129,$T$130,$T$131,$T$132,$T$133,$T$134,$T$135,$T$136,$T$137,$T$138,$T$139,$T$140,$T$141,$T$142,$T$143,$T$144,$T$145,$T$146,T153,T154,T155,T156)</f>
        <v>0.32049910873440279</v>
      </c>
      <c r="O131" s="13">
        <f t="shared" si="11"/>
        <v>2.0180047393364927E-2</v>
      </c>
      <c r="P131" s="13">
        <f t="shared" si="12"/>
        <v>6.4676872037914678E-3</v>
      </c>
      <c r="R131" s="20">
        <v>8</v>
      </c>
      <c r="S131" s="14">
        <v>2.17</v>
      </c>
      <c r="T131" s="15">
        <f t="shared" si="9"/>
        <v>0.39970291146761727</v>
      </c>
      <c r="V131" s="20" t="s">
        <v>213</v>
      </c>
      <c r="W131" s="25">
        <v>5000</v>
      </c>
    </row>
    <row r="132" spans="9:26" ht="30" x14ac:dyDescent="0.25">
      <c r="I132" s="27">
        <v>0.05</v>
      </c>
      <c r="K132" s="20" t="s">
        <v>243</v>
      </c>
      <c r="L132" s="25">
        <v>5</v>
      </c>
      <c r="M132" s="20">
        <f t="shared" si="10"/>
        <v>5</v>
      </c>
      <c r="N132" s="15">
        <f>CHOOSE(M132-1,$T$125,$T$126,$T$127,$T$128,$T$129,$T$130,$T$131,$T$132,$T$133,$T$134,$T$135,$T$136,$T$137,$T$138,$T$139,$T$140,$T$141,$T$142,$T$143,$T$144,$T$145,$T$146,T154,T155,T156,T157)</f>
        <v>0.32049910873440279</v>
      </c>
      <c r="O132" s="13">
        <f t="shared" si="11"/>
        <v>2.0180047393364927E-2</v>
      </c>
      <c r="P132" s="13">
        <f t="shared" si="12"/>
        <v>6.4676872037914678E-3</v>
      </c>
      <c r="R132" s="20">
        <v>9</v>
      </c>
      <c r="S132" s="14">
        <v>2.3199999999999998</v>
      </c>
      <c r="T132" s="15">
        <f t="shared" si="9"/>
        <v>0.4273321449792038</v>
      </c>
      <c r="V132" s="20" t="s">
        <v>214</v>
      </c>
      <c r="W132" s="25">
        <f>$W$131/$W$128*($W$128/$W$127)</f>
        <v>19.762845849802371</v>
      </c>
    </row>
    <row r="133" spans="9:26" x14ac:dyDescent="0.25">
      <c r="I133" s="27">
        <v>0.04</v>
      </c>
      <c r="K133" s="20" t="s">
        <v>244</v>
      </c>
      <c r="L133" s="25">
        <v>6</v>
      </c>
      <c r="M133" s="20">
        <f t="shared" si="10"/>
        <v>7</v>
      </c>
      <c r="N133" s="15">
        <f>CHOOSE(M133-1,$T$125,$T$126,$T$127,$T$128,$T$129,$T$130,$T$131,$T$132,$T$133,$T$134,$T$135,$T$136,$T$137,$T$138,$T$139,$T$140,$T$141,$T$142,$T$143,$T$144,$T$145,$T$146,T154,T155,T156,T157)</f>
        <v>0.37391562685680324</v>
      </c>
      <c r="O133" s="13">
        <f t="shared" si="11"/>
        <v>0.14126033175355451</v>
      </c>
      <c r="P133" s="13">
        <f t="shared" si="12"/>
        <v>5.2819445497630325E-2</v>
      </c>
      <c r="R133" s="20">
        <v>10</v>
      </c>
      <c r="S133" s="14">
        <v>2.48</v>
      </c>
      <c r="T133" s="15">
        <f t="shared" si="9"/>
        <v>0.45680332739156265</v>
      </c>
      <c r="V133" s="20" t="s">
        <v>240</v>
      </c>
      <c r="W133" s="25">
        <f>$W$131/$W$128*($W$128/$W$127)*12</f>
        <v>237.15415019762844</v>
      </c>
    </row>
    <row r="134" spans="9:26" ht="30" x14ac:dyDescent="0.25">
      <c r="I134" s="27">
        <v>0.02</v>
      </c>
      <c r="K134" s="20" t="s">
        <v>245</v>
      </c>
      <c r="L134" s="25">
        <v>6</v>
      </c>
      <c r="M134" s="20">
        <f t="shared" si="10"/>
        <v>7</v>
      </c>
      <c r="N134" s="15">
        <f>CHOOSE(M134-1,$T$125,$T$126,$T$127,$T$128,$T$129,$T$130,$T$131,$T$132,$T$133,$T$134,$T$135,$T$136,$T$137,$T$138,$T$139,$T$140,$T$141,$T$142,$T$143,$T$144,$T$145,$T$146,T149,T150,T152,T153)</f>
        <v>0.37391562685680324</v>
      </c>
      <c r="O134" s="13">
        <f t="shared" si="11"/>
        <v>0.14126033175355451</v>
      </c>
      <c r="P134" s="13">
        <f t="shared" si="12"/>
        <v>5.2819445497630325E-2</v>
      </c>
      <c r="R134" s="20">
        <v>11</v>
      </c>
      <c r="S134" s="14">
        <v>2.65</v>
      </c>
      <c r="T134" s="15">
        <f t="shared" si="9"/>
        <v>0.48811645870469389</v>
      </c>
    </row>
    <row r="135" spans="9:26" x14ac:dyDescent="0.25">
      <c r="I135" s="27">
        <v>0.06</v>
      </c>
      <c r="K135" s="20" t="s">
        <v>246</v>
      </c>
      <c r="L135" s="25">
        <v>6</v>
      </c>
      <c r="M135" s="20">
        <f t="shared" si="10"/>
        <v>7</v>
      </c>
      <c r="N135" s="15">
        <f>CHOOSE(M135-1,$T$125,$T$126,$T$127,$T$128,$T$129,$T$130,$T$131,$T$132,$T$133,$T$134,$T$135,$T$136,$T$137,$T$138,$T$139,$T$140,$T$141,$T$142,$T$143,$T$144,$T$145,$T$146,T150,T152,T153,T154)</f>
        <v>0.37391562685680324</v>
      </c>
      <c r="O135" s="13">
        <f t="shared" si="11"/>
        <v>0.14126033175355451</v>
      </c>
      <c r="P135" s="13">
        <f t="shared" si="12"/>
        <v>5.2819445497630325E-2</v>
      </c>
      <c r="R135" s="20">
        <v>12</v>
      </c>
      <c r="S135" s="14">
        <v>2.84</v>
      </c>
      <c r="T135" s="15">
        <f t="shared" si="9"/>
        <v>0.52311348781937006</v>
      </c>
    </row>
    <row r="136" spans="9:26" x14ac:dyDescent="0.25">
      <c r="I136" s="27">
        <v>0.06</v>
      </c>
      <c r="K136" s="20" t="s">
        <v>247</v>
      </c>
      <c r="L136" s="25">
        <v>7</v>
      </c>
      <c r="M136" s="20">
        <f t="shared" si="10"/>
        <v>8</v>
      </c>
      <c r="N136" s="15">
        <f>CHOOSE(M136-1,$T$125,$T$126,$T$127,$T$128,$T$129,$T$130,$T$131,$T$132,$T$133,$T$134,$T$135,$T$136,$T$137,$T$138,$T$139,$T$140,$T$141,$T$142,$T$143,$T$144,$T$145,$T$146,T156,T157,T158,T159)</f>
        <v>0.39970291146761727</v>
      </c>
      <c r="O136" s="13">
        <f t="shared" si="11"/>
        <v>4.0360094786729854E-2</v>
      </c>
      <c r="P136" s="13">
        <f t="shared" si="12"/>
        <v>1.6132047393364924E-2</v>
      </c>
      <c r="R136" s="20">
        <v>13</v>
      </c>
      <c r="S136" s="14">
        <v>3.04</v>
      </c>
      <c r="T136" s="15">
        <f t="shared" si="9"/>
        <v>0.55995246583481872</v>
      </c>
    </row>
    <row r="137" spans="9:26" x14ac:dyDescent="0.25">
      <c r="I137" s="27">
        <v>0.04</v>
      </c>
      <c r="K137" s="20" t="s">
        <v>248</v>
      </c>
      <c r="L137" s="25">
        <v>7</v>
      </c>
      <c r="M137" s="20">
        <f t="shared" si="10"/>
        <v>8</v>
      </c>
      <c r="N137" s="15">
        <f>CHOOSE(M137-1,$T$125,$T$126,$T$127,$T$128,$T$129,$T$130,$T$131,$T$132,$T$133,$T$134,$T$135,$T$136,$T$137,$T$138,$T$139,$T$140,$T$141,$T$142,$T$143,$T$144,$T$145,$T$146,T157,T158,T159,T160)</f>
        <v>0.39970291146761727</v>
      </c>
      <c r="O137" s="13">
        <f t="shared" si="11"/>
        <v>4.0360094786729854E-2</v>
      </c>
      <c r="P137" s="13">
        <f t="shared" si="12"/>
        <v>1.6132047393364924E-2</v>
      </c>
      <c r="R137" s="20">
        <v>14</v>
      </c>
      <c r="S137" s="14">
        <v>3.25</v>
      </c>
      <c r="T137" s="15">
        <f t="shared" si="9"/>
        <v>0.59863339275103977</v>
      </c>
    </row>
    <row r="138" spans="9:26" x14ac:dyDescent="0.25">
      <c r="I138" s="27">
        <v>1.4999999999999999E-2</v>
      </c>
      <c r="K138" s="20" t="s">
        <v>249</v>
      </c>
      <c r="L138" s="25">
        <v>4</v>
      </c>
      <c r="M138" s="20">
        <f t="shared" si="10"/>
        <v>6</v>
      </c>
      <c r="N138" s="15">
        <f>CHOOSE(M138-1,$T$125,$T$126,$T$127,$T$128,$T$129,$T$130,$T$131,$T$132,$T$133,$T$134,$T$135,$T$136,$T$137,$T$138,$T$139,$T$140,$T$141,$T$142,$T$143,$T$144,$T$145,$T$146,T158,T159,T160,T161)</f>
        <v>0.3499702911467617</v>
      </c>
      <c r="O138" s="13">
        <f t="shared" si="11"/>
        <v>6.4576151658767775E-2</v>
      </c>
      <c r="P138" s="13">
        <f t="shared" si="12"/>
        <v>2.2599734597156397E-2</v>
      </c>
      <c r="R138" s="20">
        <v>15</v>
      </c>
      <c r="S138" s="14">
        <v>3.48</v>
      </c>
      <c r="T138" s="15">
        <f t="shared" si="9"/>
        <v>0.64099821746880559</v>
      </c>
    </row>
    <row r="139" spans="9:26" ht="30" x14ac:dyDescent="0.25">
      <c r="I139" s="27">
        <v>0.5</v>
      </c>
      <c r="K139" s="20" t="s">
        <v>250</v>
      </c>
      <c r="L139" s="25">
        <v>3</v>
      </c>
      <c r="M139" s="20">
        <f t="shared" si="10"/>
        <v>6</v>
      </c>
      <c r="N139" s="15">
        <f>CHOOSE(M139-1,$T$125,$T$126,$T$127,$T$128,$T$129,$T$130,$T$131,$T$132,$T$133,$T$134,$T$135,$T$136,$T$137,$T$138,$T$139,$T$140,$T$141,$T$142,$T$143,$T$144,$T$145,$T$146,T160,T161,T162,#REF!)</f>
        <v>0.3499702911467617</v>
      </c>
      <c r="O139" s="13">
        <f t="shared" si="11"/>
        <v>5.6504132701421794E-2</v>
      </c>
      <c r="P139" s="13">
        <f t="shared" si="12"/>
        <v>1.9774767772511845E-2</v>
      </c>
      <c r="R139" s="20">
        <v>16</v>
      </c>
      <c r="S139" s="14">
        <v>3.72</v>
      </c>
      <c r="T139" s="15">
        <f t="shared" si="9"/>
        <v>0.68520499108734401</v>
      </c>
    </row>
    <row r="140" spans="9:26" ht="30" x14ac:dyDescent="0.25">
      <c r="I140" s="27">
        <v>0.5</v>
      </c>
      <c r="K140" s="20" t="s">
        <v>251</v>
      </c>
      <c r="L140" s="25">
        <v>3</v>
      </c>
      <c r="M140" s="20">
        <f t="shared" si="10"/>
        <v>6</v>
      </c>
      <c r="N140" s="15">
        <f>CHOOSE(M140-1,$T$125,$T$126,$T$127,$T$128,$T$129,$T$130,$T$131,$T$132,$T$133,$T$134,$T$135,$T$136,$T$137,$T$138,$T$139,$T$140,$T$141,$T$142,$T$143,$T$144,$T$145,$T$146,T161,T162,#REF!,T164)</f>
        <v>0.3499702911467617</v>
      </c>
      <c r="O140" s="13">
        <f t="shared" si="11"/>
        <v>5.6504132701421794E-2</v>
      </c>
      <c r="P140" s="13">
        <f t="shared" si="12"/>
        <v>1.9774767772511845E-2</v>
      </c>
      <c r="R140" s="20">
        <v>17</v>
      </c>
      <c r="S140" s="14">
        <v>3.98</v>
      </c>
      <c r="T140" s="15">
        <f t="shared" si="9"/>
        <v>0.73309566250742708</v>
      </c>
    </row>
    <row r="141" spans="9:26" x14ac:dyDescent="0.25">
      <c r="I141" s="27">
        <v>0.5</v>
      </c>
      <c r="K141" s="20" t="s">
        <v>252</v>
      </c>
      <c r="L141" s="25">
        <v>6</v>
      </c>
      <c r="M141" s="20">
        <f t="shared" si="10"/>
        <v>7</v>
      </c>
      <c r="N141" s="15">
        <f>CHOOSE(M141-1,$T$125,$T$126,$T$127,$T$128,$T$129,$T$130,$T$131,$T$132,$T$133,$T$134,$T$135,$T$136,$T$137,$T$138,$T$139,$T$140,$T$141,$T$142,$T$143,$T$144,$T$145,$T$146,T162,#REF!,T164,T165)</f>
        <v>0.37391562685680324</v>
      </c>
      <c r="O141" s="13">
        <f t="shared" si="11"/>
        <v>0.14126033175355451</v>
      </c>
      <c r="P141" s="13">
        <f t="shared" si="12"/>
        <v>5.2819445497630325E-2</v>
      </c>
      <c r="R141" s="20">
        <v>18</v>
      </c>
      <c r="S141" s="14">
        <v>4.26</v>
      </c>
      <c r="T141" s="15">
        <f t="shared" si="9"/>
        <v>0.78467023172905526</v>
      </c>
    </row>
    <row r="142" spans="9:26" x14ac:dyDescent="0.25">
      <c r="I142" s="27">
        <v>0.2</v>
      </c>
      <c r="K142" s="20" t="s">
        <v>253</v>
      </c>
      <c r="L142" s="25">
        <v>7</v>
      </c>
      <c r="M142" s="20">
        <f t="shared" si="10"/>
        <v>8</v>
      </c>
      <c r="N142" s="15">
        <f>CHOOSE(M142-1,$T$125,$T$126,$T$127,$T$128,$T$129,$T$130,$T$131,$T$132,$T$133,$T$134,$T$135,$T$136,$T$137,$T$138,$T$139,$T$140,$T$141,$T$142,$T$143,$T$144,$T$145,$T$146,#REF!,T164,T165,T166)</f>
        <v>0.39970291146761727</v>
      </c>
      <c r="O142" s="13">
        <f t="shared" si="11"/>
        <v>4.0360094786729854E-2</v>
      </c>
      <c r="P142" s="13">
        <f t="shared" si="12"/>
        <v>1.6132047393364924E-2</v>
      </c>
      <c r="R142" s="20">
        <v>19</v>
      </c>
      <c r="S142" s="14">
        <v>4.5599999999999996</v>
      </c>
      <c r="T142" s="15">
        <f t="shared" si="9"/>
        <v>0.83992869875222798</v>
      </c>
    </row>
    <row r="143" spans="9:26" ht="30" x14ac:dyDescent="0.25">
      <c r="I143" s="27">
        <v>0.01</v>
      </c>
      <c r="K143" s="20" t="s">
        <v>254</v>
      </c>
      <c r="L143" s="25">
        <v>4</v>
      </c>
      <c r="M143" s="20">
        <f t="shared" si="10"/>
        <v>6</v>
      </c>
      <c r="N143" s="15">
        <f>CHOOSE(M143-1,$T$125,$T$126,$T$127,$T$128,$T$129,$T$130,$T$131,$T$132,$T$133,$T$134,$T$135,$T$136,$T$137,$T$138,$T$139,$T$140,$T$141,$T$142,$T$143,$T$144,$T$145,$T$146,T164,T165,T166,T167)</f>
        <v>0.3499702911467617</v>
      </c>
      <c r="O143" s="13">
        <f t="shared" si="11"/>
        <v>6.4576151658767775E-2</v>
      </c>
      <c r="P143" s="13">
        <f t="shared" si="12"/>
        <v>2.2599734597156397E-2</v>
      </c>
      <c r="R143" s="20">
        <v>20</v>
      </c>
      <c r="S143" s="14">
        <v>4.88</v>
      </c>
      <c r="T143" s="15">
        <f t="shared" si="9"/>
        <v>0.89887106357694591</v>
      </c>
      <c r="V143" s="18" t="s">
        <v>204</v>
      </c>
      <c r="W143" s="18" t="s">
        <v>205</v>
      </c>
      <c r="X143" s="18" t="s">
        <v>209</v>
      </c>
      <c r="Y143" s="23" t="s">
        <v>210</v>
      </c>
      <c r="Z143" s="23" t="s">
        <v>211</v>
      </c>
    </row>
    <row r="144" spans="9:26" x14ac:dyDescent="0.25">
      <c r="I144" s="27">
        <v>0.05</v>
      </c>
      <c r="K144" s="20" t="s">
        <v>255</v>
      </c>
      <c r="L144" s="25">
        <v>5</v>
      </c>
      <c r="M144" s="20">
        <f t="shared" si="10"/>
        <v>5</v>
      </c>
      <c r="N144" s="15">
        <f>CHOOSE(M144-1,$T$125,$T$126,$T$127,$T$128,$T$129,$T$130,$T$131,$T$132,$T$133,$T$134,$T$135,$T$136,$T$137,$T$138,$T$139,$T$140,$T$141,$T$142,$T$143,$T$144,$T$145,$T$146,T165,T166,T167,T168)</f>
        <v>0.32049910873440279</v>
      </c>
      <c r="O144" s="13">
        <f t="shared" si="11"/>
        <v>2.0180047393364927E-2</v>
      </c>
      <c r="P144" s="13">
        <f t="shared" si="12"/>
        <v>6.4676872037914678E-3</v>
      </c>
      <c r="R144" s="20">
        <v>21</v>
      </c>
      <c r="S144" s="14">
        <v>5.22</v>
      </c>
      <c r="T144" s="15">
        <f t="shared" si="9"/>
        <v>0.96149732620320849</v>
      </c>
      <c r="V144" s="20" t="s">
        <v>232</v>
      </c>
      <c r="W144" s="20">
        <v>3</v>
      </c>
      <c r="X144" s="20">
        <v>15</v>
      </c>
      <c r="Y144" s="13">
        <f t="shared" ref="Y144:Y150" si="13">$W$130*$X144/100/$W$129</f>
        <v>1.1964454976303318</v>
      </c>
      <c r="Z144" s="13">
        <f t="shared" ref="Z144:Z150" si="14">Y144/$W$132</f>
        <v>6.0540142180094791E-2</v>
      </c>
    </row>
    <row r="145" spans="11:28" x14ac:dyDescent="0.25">
      <c r="K145" s="67" t="s">
        <v>193</v>
      </c>
      <c r="L145" s="67"/>
      <c r="M145" s="67"/>
      <c r="N145" s="67"/>
      <c r="O145" s="67"/>
      <c r="P145" s="13">
        <f>SUM(P126:P144)</f>
        <v>0.46362909478672992</v>
      </c>
      <c r="R145" s="20">
        <v>22</v>
      </c>
      <c r="S145" s="14">
        <v>5.59</v>
      </c>
      <c r="T145" s="15">
        <f t="shared" si="9"/>
        <v>1.0296494355317884</v>
      </c>
      <c r="V145" s="20" t="s">
        <v>233</v>
      </c>
      <c r="W145" s="20">
        <v>5</v>
      </c>
      <c r="X145" s="20">
        <v>5</v>
      </c>
      <c r="Y145" s="13">
        <f t="shared" si="13"/>
        <v>0.39881516587677718</v>
      </c>
      <c r="Z145" s="13">
        <f t="shared" si="14"/>
        <v>2.0180047393364927E-2</v>
      </c>
    </row>
    <row r="146" spans="11:28" x14ac:dyDescent="0.25">
      <c r="K146" s="67" t="s">
        <v>199</v>
      </c>
      <c r="L146" s="67"/>
      <c r="M146" s="67"/>
      <c r="N146" s="67"/>
      <c r="O146" s="67"/>
      <c r="P146" s="13">
        <f>P145*1.4</f>
        <v>0.64908073270142186</v>
      </c>
      <c r="R146" s="20">
        <v>23</v>
      </c>
      <c r="S146" s="14">
        <v>5.98</v>
      </c>
      <c r="T146" s="15">
        <f t="shared" si="9"/>
        <v>1.1014854426619134</v>
      </c>
      <c r="V146" s="20" t="s">
        <v>234</v>
      </c>
      <c r="W146" s="20">
        <v>6</v>
      </c>
      <c r="X146" s="20">
        <v>14</v>
      </c>
      <c r="Y146" s="13">
        <f t="shared" si="13"/>
        <v>1.1166824644549762</v>
      </c>
      <c r="Z146" s="13">
        <f t="shared" si="14"/>
        <v>5.6504132701421794E-2</v>
      </c>
    </row>
    <row r="147" spans="11:28" ht="30" x14ac:dyDescent="0.25">
      <c r="R147" s="20">
        <v>24</v>
      </c>
      <c r="S147" s="14">
        <v>6.4</v>
      </c>
      <c r="T147" s="15">
        <f t="shared" si="9"/>
        <v>1.1788472964943553</v>
      </c>
      <c r="V147" s="20" t="s">
        <v>235</v>
      </c>
      <c r="W147" s="20">
        <v>6</v>
      </c>
      <c r="X147" s="20">
        <v>16</v>
      </c>
      <c r="Y147" s="13">
        <f t="shared" si="13"/>
        <v>1.2762085308056872</v>
      </c>
      <c r="Z147" s="13">
        <f t="shared" si="14"/>
        <v>6.4576151658767775E-2</v>
      </c>
    </row>
    <row r="148" spans="11:28" ht="30" x14ac:dyDescent="0.25">
      <c r="R148" s="20">
        <v>25</v>
      </c>
      <c r="S148" s="14">
        <v>6.85</v>
      </c>
      <c r="T148" s="15">
        <f t="shared" si="9"/>
        <v>1.2617349970291145</v>
      </c>
      <c r="V148" s="20" t="s">
        <v>236</v>
      </c>
      <c r="W148" s="20">
        <v>5</v>
      </c>
      <c r="X148" s="20">
        <v>5</v>
      </c>
      <c r="Y148" s="13">
        <f t="shared" si="13"/>
        <v>0.39881516587677718</v>
      </c>
      <c r="Z148" s="13">
        <f t="shared" si="14"/>
        <v>2.0180047393364927E-2</v>
      </c>
    </row>
    <row r="149" spans="11:28" x14ac:dyDescent="0.25">
      <c r="R149" s="20">
        <v>26</v>
      </c>
      <c r="S149" s="14">
        <v>7.33</v>
      </c>
      <c r="T149" s="15">
        <f t="shared" si="9"/>
        <v>1.3501485442661911</v>
      </c>
      <c r="V149" s="20" t="s">
        <v>237</v>
      </c>
      <c r="W149" s="20">
        <v>7</v>
      </c>
      <c r="X149" s="20">
        <v>35</v>
      </c>
      <c r="Y149" s="13">
        <f t="shared" si="13"/>
        <v>2.7917061611374407</v>
      </c>
      <c r="Z149" s="13">
        <f t="shared" si="14"/>
        <v>0.14126033175355451</v>
      </c>
    </row>
    <row r="150" spans="11:28" ht="30" x14ac:dyDescent="0.25">
      <c r="R150" s="20">
        <v>27</v>
      </c>
      <c r="S150" s="20">
        <v>7.84</v>
      </c>
      <c r="T150" s="15">
        <f t="shared" si="9"/>
        <v>1.4440879382055851</v>
      </c>
      <c r="V150" s="20" t="s">
        <v>238</v>
      </c>
      <c r="W150" s="20">
        <v>8</v>
      </c>
      <c r="X150" s="20">
        <v>10</v>
      </c>
      <c r="Y150" s="13">
        <f t="shared" si="13"/>
        <v>0.79763033175355436</v>
      </c>
      <c r="Z150" s="13">
        <f t="shared" si="14"/>
        <v>4.0360094786729854E-2</v>
      </c>
    </row>
    <row r="151" spans="11:28" x14ac:dyDescent="0.25">
      <c r="R151" s="29"/>
      <c r="S151" s="29"/>
      <c r="T151" s="30"/>
      <c r="V151" s="29"/>
      <c r="W151" s="29"/>
      <c r="X151" s="29"/>
      <c r="Y151" s="31"/>
      <c r="Z151" s="31"/>
      <c r="AA151" s="20" t="s">
        <v>230</v>
      </c>
      <c r="AB151" s="20" t="s">
        <v>231</v>
      </c>
    </row>
    <row r="152" spans="11:28" x14ac:dyDescent="0.25">
      <c r="AA152" s="20" t="s">
        <v>225</v>
      </c>
      <c r="AB152" s="20">
        <v>10</v>
      </c>
    </row>
    <row r="153" spans="11:28" x14ac:dyDescent="0.25">
      <c r="AA153" s="20" t="s">
        <v>226</v>
      </c>
      <c r="AB153" s="20">
        <f>34+0.6</f>
        <v>34.6</v>
      </c>
    </row>
    <row r="154" spans="11:28" x14ac:dyDescent="0.25">
      <c r="AA154" s="20" t="s">
        <v>227</v>
      </c>
      <c r="AB154" s="20">
        <v>200</v>
      </c>
    </row>
    <row r="155" spans="11:28" x14ac:dyDescent="0.25">
      <c r="AA155" s="20" t="s">
        <v>217</v>
      </c>
      <c r="AB155" s="20">
        <v>14</v>
      </c>
    </row>
    <row r="156" spans="11:28" x14ac:dyDescent="0.25">
      <c r="AA156" s="20" t="s">
        <v>228</v>
      </c>
      <c r="AB156" s="20">
        <v>20</v>
      </c>
    </row>
    <row r="157" spans="11:28" x14ac:dyDescent="0.25">
      <c r="AA157" s="20" t="s">
        <v>218</v>
      </c>
      <c r="AB157" s="20">
        <v>18</v>
      </c>
    </row>
    <row r="158" spans="11:28" x14ac:dyDescent="0.25">
      <c r="AA158" s="20" t="s">
        <v>219</v>
      </c>
      <c r="AB158" s="20">
        <v>14</v>
      </c>
    </row>
    <row r="159" spans="11:28" x14ac:dyDescent="0.25">
      <c r="AB159" s="12"/>
    </row>
    <row r="160" spans="11:28" x14ac:dyDescent="0.25">
      <c r="AA160" s="20" t="s">
        <v>230</v>
      </c>
      <c r="AB160" s="20" t="s">
        <v>231</v>
      </c>
    </row>
    <row r="161" spans="20:34" x14ac:dyDescent="0.25">
      <c r="AA161" s="20" t="s">
        <v>263</v>
      </c>
      <c r="AB161" s="13">
        <f>E13</f>
        <v>97.711955498056753</v>
      </c>
    </row>
    <row r="162" spans="20:34" x14ac:dyDescent="0.25">
      <c r="V162"/>
      <c r="W162"/>
      <c r="X162"/>
      <c r="Y162"/>
      <c r="Z162"/>
      <c r="AA162" s="20" t="s">
        <v>264</v>
      </c>
      <c r="AB162" s="13">
        <f>J123</f>
        <v>643.97723363448029</v>
      </c>
    </row>
    <row r="163" spans="20:34" x14ac:dyDescent="0.25">
      <c r="T163" s="17"/>
      <c r="W163"/>
      <c r="X163"/>
      <c r="Y163"/>
      <c r="Z163"/>
      <c r="AA163" s="20" t="s">
        <v>265</v>
      </c>
      <c r="AB163" s="13">
        <f>P146</f>
        <v>0.64908073270142186</v>
      </c>
    </row>
    <row r="164" spans="20:34" x14ac:dyDescent="0.25">
      <c r="W164"/>
      <c r="X164" s="32"/>
      <c r="Y164"/>
      <c r="Z164"/>
      <c r="AA164" s="20" t="s">
        <v>266</v>
      </c>
      <c r="AB164" s="13">
        <f>AB163*AB152/100</f>
        <v>6.4908073270142183E-2</v>
      </c>
    </row>
    <row r="165" spans="20:34" x14ac:dyDescent="0.25">
      <c r="W165"/>
      <c r="X165"/>
      <c r="Y165"/>
      <c r="Z165"/>
      <c r="AA165" s="20" t="s">
        <v>267</v>
      </c>
      <c r="AB165" s="13">
        <f>(AB163+AB164*AB153)/100</f>
        <v>2.8949000678483414E-2</v>
      </c>
    </row>
    <row r="166" spans="20:34" x14ac:dyDescent="0.25">
      <c r="W166"/>
      <c r="X166"/>
      <c r="Y166"/>
      <c r="Z166"/>
      <c r="AA166" s="20" t="s">
        <v>268</v>
      </c>
      <c r="AB166" s="13">
        <f>AB163*AB154/100</f>
        <v>1.2981614654028437</v>
      </c>
    </row>
    <row r="167" spans="20:34" x14ac:dyDescent="0.25">
      <c r="W167"/>
      <c r="X167"/>
      <c r="Y167"/>
      <c r="Z167"/>
      <c r="AA167" s="20" t="s">
        <v>269</v>
      </c>
      <c r="AB167" s="13">
        <f>AB161+AB162+AB163+AB164+AB165+AB166</f>
        <v>743.73028840458994</v>
      </c>
    </row>
    <row r="168" spans="20:34" x14ac:dyDescent="0.25">
      <c r="V168"/>
      <c r="W168"/>
      <c r="X168"/>
      <c r="Y168"/>
      <c r="Z168"/>
      <c r="AA168" s="20" t="s">
        <v>270</v>
      </c>
      <c r="AB168" s="13">
        <f>AB167*AB169/100</f>
        <v>208.24448075328516</v>
      </c>
    </row>
    <row r="169" spans="20:34" x14ac:dyDescent="0.25">
      <c r="V169"/>
      <c r="W169"/>
      <c r="X169"/>
      <c r="Y169"/>
      <c r="Z169"/>
      <c r="AA169" s="20" t="s">
        <v>229</v>
      </c>
      <c r="AB169" s="13">
        <f>AB155*2</f>
        <v>28</v>
      </c>
    </row>
    <row r="170" spans="20:34" x14ac:dyDescent="0.25">
      <c r="V170"/>
      <c r="W170"/>
      <c r="X170"/>
      <c r="Y170"/>
      <c r="Z170"/>
      <c r="AA170" s="20" t="s">
        <v>271</v>
      </c>
      <c r="AB170" s="13">
        <f>(AB167+AB168)*AB156/100</f>
        <v>190.39495383157504</v>
      </c>
    </row>
    <row r="171" spans="20:34" x14ac:dyDescent="0.25">
      <c r="V171"/>
      <c r="W171"/>
      <c r="X171"/>
      <c r="Y171"/>
      <c r="Z171"/>
      <c r="AA171" s="20" t="s">
        <v>272</v>
      </c>
      <c r="AB171" s="13">
        <f>AB167+AB168+AB170</f>
        <v>1142.3697229894501</v>
      </c>
    </row>
    <row r="172" spans="20:34" x14ac:dyDescent="0.25">
      <c r="V172"/>
      <c r="W172"/>
      <c r="X172"/>
      <c r="Y172"/>
      <c r="Z172"/>
      <c r="AA172" s="20" t="s">
        <v>273</v>
      </c>
      <c r="AB172" s="13">
        <f>W131*AB168*(1-AB157/100)</f>
        <v>853802.37108846917</v>
      </c>
    </row>
    <row r="173" spans="20:34" x14ac:dyDescent="0.25">
      <c r="V173"/>
      <c r="W173"/>
      <c r="X173"/>
      <c r="Y173"/>
      <c r="Z173"/>
      <c r="AA173" s="20" t="s">
        <v>274</v>
      </c>
      <c r="AB173" s="13">
        <v>3000</v>
      </c>
    </row>
    <row r="174" spans="20:34" x14ac:dyDescent="0.25">
      <c r="V174"/>
      <c r="W174"/>
      <c r="X174"/>
      <c r="Y174"/>
      <c r="Z174"/>
      <c r="AC174" s="78" t="s">
        <v>220</v>
      </c>
      <c r="AD174" s="75" t="s">
        <v>221</v>
      </c>
      <c r="AE174" s="76"/>
      <c r="AF174" s="76"/>
      <c r="AG174" s="76"/>
      <c r="AH174" s="77"/>
    </row>
    <row r="175" spans="20:34" x14ac:dyDescent="0.25">
      <c r="V175"/>
      <c r="W175"/>
      <c r="X175"/>
      <c r="Y175"/>
      <c r="Z175"/>
      <c r="AC175" s="79"/>
      <c r="AD175" s="20">
        <v>2017</v>
      </c>
      <c r="AE175" s="20">
        <v>2018</v>
      </c>
      <c r="AF175" s="20">
        <v>2019</v>
      </c>
      <c r="AG175" s="20">
        <v>2020</v>
      </c>
      <c r="AH175" s="20">
        <v>2021</v>
      </c>
    </row>
    <row r="176" spans="20:34" x14ac:dyDescent="0.25">
      <c r="V176"/>
      <c r="W176"/>
      <c r="X176"/>
      <c r="Y176"/>
      <c r="Z176"/>
      <c r="AC176" s="20">
        <v>1</v>
      </c>
      <c r="AD176" s="20">
        <v>2</v>
      </c>
      <c r="AE176" s="20">
        <v>3</v>
      </c>
      <c r="AF176" s="20">
        <v>4</v>
      </c>
      <c r="AG176" s="20">
        <v>5</v>
      </c>
      <c r="AH176" s="20">
        <v>6</v>
      </c>
    </row>
    <row r="177" spans="11:34" x14ac:dyDescent="0.25">
      <c r="O177" s="28"/>
      <c r="P177" s="28"/>
      <c r="Q177" s="28"/>
      <c r="R177" s="28"/>
      <c r="S177" s="28"/>
      <c r="T177" s="28"/>
      <c r="V177"/>
      <c r="W177"/>
      <c r="X177"/>
      <c r="Y177"/>
      <c r="Z177"/>
      <c r="AC177" s="20" t="s">
        <v>256</v>
      </c>
      <c r="AD177" s="20" t="s">
        <v>224</v>
      </c>
      <c r="AE177" s="20">
        <f>$W$131</f>
        <v>5000</v>
      </c>
      <c r="AF177" s="20">
        <f t="shared" ref="AF177:AH177" si="15">$W$131</f>
        <v>5000</v>
      </c>
      <c r="AG177" s="20">
        <f t="shared" si="15"/>
        <v>5000</v>
      </c>
      <c r="AH177" s="20">
        <f t="shared" si="15"/>
        <v>5000</v>
      </c>
    </row>
    <row r="178" spans="11:34" x14ac:dyDescent="0.25">
      <c r="O178" s="28"/>
      <c r="P178" s="28"/>
      <c r="Q178" s="28"/>
      <c r="R178" s="28"/>
      <c r="S178" s="28"/>
      <c r="T178" s="28"/>
      <c r="V178"/>
      <c r="W178"/>
      <c r="X178"/>
      <c r="Y178"/>
      <c r="Z178"/>
      <c r="AC178" s="20" t="s">
        <v>257</v>
      </c>
      <c r="AD178" s="20" t="s">
        <v>224</v>
      </c>
      <c r="AE178" s="13">
        <f>$AB$172</f>
        <v>853802.37108846917</v>
      </c>
      <c r="AF178" s="13">
        <f>$AB$172</f>
        <v>853802.37108846917</v>
      </c>
      <c r="AG178" s="13">
        <f>$AB$172</f>
        <v>853802.37108846917</v>
      </c>
      <c r="AH178" s="13">
        <f>$AB$172</f>
        <v>853802.37108846917</v>
      </c>
    </row>
    <row r="179" spans="11:34" ht="30" x14ac:dyDescent="0.25">
      <c r="O179" s="28"/>
      <c r="P179" s="28"/>
      <c r="Q179" s="28"/>
      <c r="R179" s="28"/>
      <c r="S179" s="28"/>
      <c r="T179" s="28"/>
      <c r="V179"/>
      <c r="W179"/>
      <c r="X179"/>
      <c r="Y179"/>
      <c r="Z179"/>
      <c r="AC179" s="20" t="s">
        <v>275</v>
      </c>
      <c r="AD179" s="20" t="s">
        <v>224</v>
      </c>
      <c r="AE179" s="13">
        <f>AE178*AE187</f>
        <v>748949.4483232185</v>
      </c>
      <c r="AF179" s="13">
        <f>AF178*AF187</f>
        <v>656973.20028352493</v>
      </c>
      <c r="AG179" s="13">
        <f>AG178*AG187</f>
        <v>576292.28095046047</v>
      </c>
      <c r="AH179" s="13">
        <f>AH178*AH187</f>
        <v>505519.54469338624</v>
      </c>
    </row>
    <row r="180" spans="11:34" x14ac:dyDescent="0.25">
      <c r="O180" s="28"/>
      <c r="P180" s="28"/>
      <c r="Q180" s="28"/>
      <c r="R180" s="28"/>
      <c r="S180" s="28"/>
      <c r="T180" s="28"/>
      <c r="V180"/>
      <c r="W180"/>
      <c r="X180"/>
      <c r="Y180"/>
      <c r="Z180"/>
      <c r="AC180" s="75" t="s">
        <v>222</v>
      </c>
      <c r="AD180" s="76"/>
      <c r="AE180" s="76"/>
      <c r="AF180" s="76"/>
      <c r="AG180" s="76"/>
      <c r="AH180" s="77"/>
    </row>
    <row r="181" spans="11:34" ht="30" x14ac:dyDescent="0.25">
      <c r="O181" s="28"/>
      <c r="P181" s="28"/>
      <c r="Q181" s="28"/>
      <c r="R181" s="28"/>
      <c r="S181" s="28"/>
      <c r="T181" s="28"/>
      <c r="V181"/>
      <c r="W181"/>
      <c r="X181"/>
      <c r="Y181"/>
      <c r="Z181"/>
      <c r="AC181" s="20" t="s">
        <v>276</v>
      </c>
      <c r="AD181" s="13">
        <f>AB173</f>
        <v>3000</v>
      </c>
      <c r="AE181" s="20" t="s">
        <v>224</v>
      </c>
      <c r="AF181" s="20" t="s">
        <v>224</v>
      </c>
      <c r="AG181" s="20" t="s">
        <v>224</v>
      </c>
      <c r="AH181" s="20" t="s">
        <v>224</v>
      </c>
    </row>
    <row r="182" spans="11:34" ht="30" x14ac:dyDescent="0.25">
      <c r="O182" s="28"/>
      <c r="P182" s="28"/>
      <c r="Q182" s="28"/>
      <c r="R182" s="28"/>
      <c r="S182" s="28"/>
      <c r="T182" s="28"/>
      <c r="V182"/>
      <c r="W182"/>
      <c r="X182"/>
      <c r="Y182"/>
      <c r="Z182"/>
      <c r="AC182" s="20" t="s">
        <v>277</v>
      </c>
      <c r="AD182" s="13">
        <v>0</v>
      </c>
      <c r="AE182" s="20" t="s">
        <v>224</v>
      </c>
      <c r="AF182" s="20" t="s">
        <v>224</v>
      </c>
      <c r="AG182" s="20" t="s">
        <v>224</v>
      </c>
      <c r="AH182" s="20" t="s">
        <v>224</v>
      </c>
    </row>
    <row r="183" spans="11:34" x14ac:dyDescent="0.25">
      <c r="O183" s="28"/>
      <c r="P183" s="28"/>
      <c r="Q183" s="28"/>
      <c r="R183" s="28"/>
      <c r="S183" s="28"/>
      <c r="T183" s="28"/>
      <c r="V183"/>
      <c r="W183"/>
      <c r="X183"/>
      <c r="Y183"/>
      <c r="Z183"/>
      <c r="AC183" s="20" t="s">
        <v>278</v>
      </c>
      <c r="AD183" s="13">
        <f>SUM(AD181:AD182)</f>
        <v>3000</v>
      </c>
      <c r="AE183" s="20" t="s">
        <v>224</v>
      </c>
      <c r="AF183" s="20" t="s">
        <v>224</v>
      </c>
      <c r="AG183" s="20" t="s">
        <v>224</v>
      </c>
      <c r="AH183" s="20" t="s">
        <v>224</v>
      </c>
    </row>
    <row r="184" spans="11:34" ht="30" x14ac:dyDescent="0.25">
      <c r="S184" s="21"/>
      <c r="V184"/>
      <c r="W184"/>
      <c r="X184"/>
      <c r="Y184"/>
      <c r="Z184"/>
      <c r="AC184" s="20" t="s">
        <v>279</v>
      </c>
      <c r="AD184" s="13">
        <f>AD183*AD187</f>
        <v>3000</v>
      </c>
      <c r="AE184" s="20" t="s">
        <v>224</v>
      </c>
      <c r="AF184" s="20" t="s">
        <v>224</v>
      </c>
      <c r="AG184" s="20" t="s">
        <v>224</v>
      </c>
      <c r="AH184" s="20" t="s">
        <v>224</v>
      </c>
    </row>
    <row r="185" spans="11:34" x14ac:dyDescent="0.25">
      <c r="V185"/>
      <c r="W185"/>
      <c r="X185"/>
      <c r="Y185"/>
      <c r="Z185"/>
      <c r="AC185" s="20" t="s">
        <v>280</v>
      </c>
      <c r="AD185" s="13">
        <f>-AD184</f>
        <v>-3000</v>
      </c>
      <c r="AE185" s="13">
        <f>AE179</f>
        <v>748949.4483232185</v>
      </c>
      <c r="AF185" s="13">
        <f t="shared" ref="AF185:AH185" si="16">AF179</f>
        <v>656973.20028352493</v>
      </c>
      <c r="AG185" s="13">
        <f t="shared" si="16"/>
        <v>576292.28095046047</v>
      </c>
      <c r="AH185" s="13">
        <f t="shared" si="16"/>
        <v>505519.54469338624</v>
      </c>
    </row>
    <row r="186" spans="11:34" ht="30" x14ac:dyDescent="0.25">
      <c r="K186" s="29"/>
      <c r="L186" s="29"/>
      <c r="M186" s="29"/>
      <c r="N186" s="31"/>
      <c r="O186" s="31"/>
      <c r="P186" s="31"/>
      <c r="Q186" s="30"/>
      <c r="V186"/>
      <c r="W186"/>
      <c r="X186"/>
      <c r="Y186"/>
      <c r="Z186"/>
      <c r="AC186" s="20" t="s">
        <v>281</v>
      </c>
      <c r="AD186" s="20" t="s">
        <v>224</v>
      </c>
      <c r="AE186" s="13">
        <f>SUM(AD185:AE185)</f>
        <v>745949.4483232185</v>
      </c>
      <c r="AF186" s="13">
        <f>SUM(AD185:AF185)</f>
        <v>1402922.6486067434</v>
      </c>
      <c r="AG186" s="13">
        <f>SUM(AD185:AG185)</f>
        <v>1979214.9295572038</v>
      </c>
      <c r="AH186" s="13">
        <f>SUM(AD185:AH185)</f>
        <v>2484734.47425059</v>
      </c>
    </row>
    <row r="187" spans="11:34" ht="30" x14ac:dyDescent="0.25">
      <c r="K187" s="29"/>
      <c r="L187" s="29"/>
      <c r="M187" s="29"/>
      <c r="N187" s="31"/>
      <c r="O187" s="31"/>
      <c r="P187" s="31"/>
      <c r="Q187" s="30"/>
      <c r="V187"/>
      <c r="W187"/>
      <c r="X187"/>
      <c r="Y187"/>
      <c r="Z187"/>
      <c r="AC187" s="20" t="s">
        <v>223</v>
      </c>
      <c r="AD187" s="26">
        <f>1/((1+$AB$158/100)^(1-1))</f>
        <v>1</v>
      </c>
      <c r="AE187" s="26">
        <f>1/((1+$AB$158/100)^(2-1))</f>
        <v>0.8771929824561403</v>
      </c>
      <c r="AF187" s="26">
        <f>1/((1+$AB$158/100)^(3-1))</f>
        <v>0.76946752847029842</v>
      </c>
      <c r="AG187" s="26">
        <f>1/((1+$AB$158/100)^(4-1))</f>
        <v>0.67497151620201612</v>
      </c>
      <c r="AH187" s="26">
        <f>1/((1+$AB$158/100)^(5-1))</f>
        <v>0.59208027737018942</v>
      </c>
    </row>
    <row r="188" spans="11:34" x14ac:dyDescent="0.25">
      <c r="K188" s="29"/>
      <c r="L188" s="33"/>
      <c r="M188" s="29"/>
      <c r="N188" s="30"/>
      <c r="O188" s="31"/>
      <c r="P188" s="31"/>
      <c r="Q188" s="30"/>
    </row>
    <row r="189" spans="11:34" x14ac:dyDescent="0.25">
      <c r="K189" s="29"/>
      <c r="L189" s="33"/>
      <c r="M189" s="29"/>
      <c r="N189" s="30"/>
      <c r="O189" s="31"/>
      <c r="P189" s="31"/>
      <c r="Q189" s="30"/>
    </row>
    <row r="190" spans="11:34" x14ac:dyDescent="0.25">
      <c r="K190" s="29"/>
      <c r="L190" s="33"/>
      <c r="M190" s="29"/>
      <c r="N190" s="30"/>
      <c r="O190" s="31"/>
      <c r="P190" s="31"/>
      <c r="Q190" s="30"/>
    </row>
    <row r="191" spans="11:34" x14ac:dyDescent="0.25">
      <c r="K191" s="29"/>
      <c r="L191" s="33"/>
      <c r="M191" s="29"/>
      <c r="N191" s="30"/>
      <c r="O191" s="31"/>
      <c r="P191" s="31"/>
      <c r="Q191" s="30"/>
    </row>
    <row r="192" spans="11:34" x14ac:dyDescent="0.25">
      <c r="K192" s="29"/>
      <c r="L192" s="33"/>
      <c r="M192" s="29"/>
      <c r="N192" s="30"/>
      <c r="O192" s="31"/>
      <c r="P192" s="31"/>
      <c r="Q192" s="30"/>
    </row>
    <row r="193" spans="11:17" x14ac:dyDescent="0.25">
      <c r="K193" s="29"/>
      <c r="L193" s="33"/>
      <c r="M193" s="29"/>
      <c r="N193" s="30"/>
      <c r="O193" s="31"/>
      <c r="P193" s="31"/>
      <c r="Q193" s="30"/>
    </row>
    <row r="194" spans="11:17" x14ac:dyDescent="0.25">
      <c r="K194" s="29"/>
      <c r="L194" s="33"/>
      <c r="M194" s="29"/>
      <c r="N194" s="30"/>
      <c r="O194" s="31"/>
      <c r="P194" s="31"/>
      <c r="Q194" s="30"/>
    </row>
    <row r="195" spans="11:17" x14ac:dyDescent="0.25">
      <c r="K195" s="29"/>
      <c r="L195" s="33"/>
      <c r="M195" s="29"/>
      <c r="N195" s="30"/>
      <c r="O195" s="31"/>
      <c r="P195" s="31"/>
      <c r="Q195" s="30"/>
    </row>
    <row r="196" spans="11:17" x14ac:dyDescent="0.25">
      <c r="K196" s="29"/>
      <c r="L196" s="33"/>
      <c r="M196" s="29"/>
      <c r="N196" s="30"/>
      <c r="O196" s="31"/>
      <c r="P196" s="31"/>
      <c r="Q196" s="30"/>
    </row>
    <row r="197" spans="11:17" x14ac:dyDescent="0.25">
      <c r="K197" s="29"/>
      <c r="L197" s="33"/>
      <c r="M197" s="29"/>
      <c r="N197" s="30"/>
      <c r="O197" s="31"/>
      <c r="P197" s="31"/>
      <c r="Q197" s="30"/>
    </row>
    <row r="198" spans="11:17" x14ac:dyDescent="0.25">
      <c r="K198" s="29"/>
      <c r="L198" s="33"/>
      <c r="M198" s="29"/>
      <c r="N198" s="30"/>
      <c r="O198" s="31"/>
      <c r="P198" s="31"/>
      <c r="Q198" s="30"/>
    </row>
    <row r="199" spans="11:17" x14ac:dyDescent="0.25">
      <c r="K199" s="29"/>
      <c r="L199" s="33"/>
      <c r="M199" s="29"/>
      <c r="N199" s="30"/>
      <c r="O199" s="31"/>
      <c r="P199" s="31"/>
      <c r="Q199" s="30"/>
    </row>
    <row r="200" spans="11:17" x14ac:dyDescent="0.25">
      <c r="K200" s="29"/>
      <c r="L200" s="33"/>
      <c r="M200" s="29"/>
      <c r="N200" s="30"/>
      <c r="O200" s="31"/>
      <c r="P200" s="31"/>
      <c r="Q200" s="30"/>
    </row>
    <row r="201" spans="11:17" x14ac:dyDescent="0.25">
      <c r="K201" s="29"/>
      <c r="L201" s="33"/>
      <c r="M201" s="29"/>
      <c r="N201" s="30"/>
      <c r="O201" s="31"/>
      <c r="P201" s="31"/>
      <c r="Q201" s="30"/>
    </row>
    <row r="202" spans="11:17" x14ac:dyDescent="0.25">
      <c r="K202" s="29"/>
      <c r="L202" s="33"/>
      <c r="M202" s="29"/>
      <c r="N202" s="30"/>
      <c r="O202" s="31"/>
      <c r="P202" s="31"/>
      <c r="Q202" s="30"/>
    </row>
    <row r="203" spans="11:17" x14ac:dyDescent="0.25">
      <c r="K203" s="29"/>
      <c r="L203" s="33"/>
      <c r="M203" s="29"/>
      <c r="N203" s="30"/>
      <c r="O203" s="31"/>
      <c r="P203" s="31"/>
      <c r="Q203" s="30"/>
    </row>
    <row r="204" spans="11:17" x14ac:dyDescent="0.25">
      <c r="K204" s="29"/>
      <c r="L204" s="33"/>
      <c r="M204" s="29"/>
      <c r="N204" s="30"/>
      <c r="O204" s="31"/>
      <c r="P204" s="31"/>
      <c r="Q204" s="30"/>
    </row>
    <row r="205" spans="11:17" x14ac:dyDescent="0.25">
      <c r="K205" s="29"/>
      <c r="L205" s="33"/>
      <c r="M205" s="29"/>
      <c r="N205" s="30"/>
      <c r="O205" s="31"/>
      <c r="P205" s="31"/>
      <c r="Q205" s="30"/>
    </row>
    <row r="206" spans="11:17" x14ac:dyDescent="0.25">
      <c r="K206" s="29"/>
      <c r="L206" s="33"/>
      <c r="M206" s="29"/>
      <c r="N206" s="30"/>
      <c r="O206" s="31"/>
      <c r="P206" s="31"/>
      <c r="Q206" s="30"/>
    </row>
    <row r="207" spans="11:17" x14ac:dyDescent="0.25">
      <c r="K207" s="72"/>
      <c r="L207" s="72"/>
      <c r="M207" s="72"/>
      <c r="N207" s="72"/>
      <c r="O207" s="72"/>
      <c r="P207" s="72"/>
      <c r="Q207" s="30"/>
    </row>
    <row r="208" spans="11:17" x14ac:dyDescent="0.25">
      <c r="K208" s="72"/>
      <c r="L208" s="72"/>
      <c r="M208" s="72"/>
      <c r="N208" s="72"/>
      <c r="O208" s="72"/>
      <c r="P208" s="72"/>
      <c r="Q208" s="30"/>
    </row>
    <row r="209" spans="11:17" x14ac:dyDescent="0.25">
      <c r="K209" s="29"/>
      <c r="L209" s="29"/>
      <c r="M209" s="29"/>
      <c r="N209" s="31"/>
      <c r="O209" s="31"/>
      <c r="P209" s="31"/>
      <c r="Q209" s="30"/>
    </row>
    <row r="210" spans="11:17" x14ac:dyDescent="0.25">
      <c r="K210" s="29"/>
      <c r="L210" s="29"/>
      <c r="M210" s="29"/>
      <c r="N210" s="31"/>
      <c r="O210" s="31"/>
      <c r="P210" s="31"/>
      <c r="Q210" s="30"/>
    </row>
    <row r="211" spans="11:17" x14ac:dyDescent="0.25">
      <c r="K211" s="29"/>
      <c r="L211" s="29"/>
      <c r="M211" s="29"/>
      <c r="N211" s="31"/>
      <c r="O211" s="31"/>
      <c r="P211" s="31"/>
      <c r="Q211" s="30"/>
    </row>
    <row r="212" spans="11:17" x14ac:dyDescent="0.25">
      <c r="K212" s="29"/>
      <c r="L212" s="29"/>
      <c r="M212" s="29"/>
      <c r="N212" s="31"/>
      <c r="O212" s="31"/>
      <c r="P212" s="31"/>
      <c r="Q212" s="30"/>
    </row>
  </sheetData>
  <mergeCells count="12">
    <mergeCell ref="AC180:AH180"/>
    <mergeCell ref="AD174:AH174"/>
    <mergeCell ref="AC174:AC175"/>
    <mergeCell ref="K145:O145"/>
    <mergeCell ref="K146:O146"/>
    <mergeCell ref="K207:P207"/>
    <mergeCell ref="K208:P208"/>
    <mergeCell ref="A12:D12"/>
    <mergeCell ref="A13:D13"/>
    <mergeCell ref="F14:F15"/>
    <mergeCell ref="G122:I122"/>
    <mergeCell ref="G123:I1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22" zoomScale="145" zoomScaleNormal="145" workbookViewId="0">
      <selection activeCell="A5" sqref="A5"/>
    </sheetView>
  </sheetViews>
  <sheetFormatPr defaultRowHeight="15" x14ac:dyDescent="0.25"/>
  <cols>
    <col min="1" max="1" width="12.28515625" style="1" bestFit="1" customWidth="1"/>
    <col min="2" max="2" width="116.28515625" bestFit="1" customWidth="1"/>
  </cols>
  <sheetData>
    <row r="1" spans="1:2" x14ac:dyDescent="0.25">
      <c r="A1" s="1" t="s">
        <v>23</v>
      </c>
      <c r="B1" t="s">
        <v>24</v>
      </c>
    </row>
    <row r="2" spans="1:2" x14ac:dyDescent="0.25">
      <c r="A2" s="2">
        <v>42766</v>
      </c>
      <c r="B2" t="s">
        <v>42</v>
      </c>
    </row>
    <row r="3" spans="1:2" x14ac:dyDescent="0.25">
      <c r="A3" s="2">
        <v>42767</v>
      </c>
      <c r="B3" t="s">
        <v>43</v>
      </c>
    </row>
    <row r="4" spans="1:2" x14ac:dyDescent="0.25">
      <c r="A4" s="2">
        <v>42768</v>
      </c>
      <c r="B4" t="s">
        <v>44</v>
      </c>
    </row>
    <row r="5" spans="1:2" x14ac:dyDescent="0.25">
      <c r="A5" s="2">
        <v>42769</v>
      </c>
      <c r="B5" t="s">
        <v>28</v>
      </c>
    </row>
    <row r="6" spans="1:2" x14ac:dyDescent="0.25">
      <c r="A6" s="5">
        <v>42772</v>
      </c>
      <c r="B6" t="s">
        <v>28</v>
      </c>
    </row>
    <row r="7" spans="1:2" x14ac:dyDescent="0.25">
      <c r="A7" s="5">
        <v>42773</v>
      </c>
      <c r="B7" t="s">
        <v>28</v>
      </c>
    </row>
    <row r="8" spans="1:2" x14ac:dyDescent="0.25">
      <c r="A8" s="5">
        <v>42774</v>
      </c>
      <c r="B8" t="s">
        <v>28</v>
      </c>
    </row>
    <row r="9" spans="1:2" x14ac:dyDescent="0.25">
      <c r="A9" s="5">
        <v>42775</v>
      </c>
      <c r="B9" t="s">
        <v>28</v>
      </c>
    </row>
    <row r="10" spans="1:2" x14ac:dyDescent="0.25">
      <c r="A10" s="5">
        <v>42776</v>
      </c>
      <c r="B10" t="s">
        <v>28</v>
      </c>
    </row>
    <row r="11" spans="1:2" x14ac:dyDescent="0.25">
      <c r="A11" s="4">
        <v>42779</v>
      </c>
      <c r="B11" t="s">
        <v>29</v>
      </c>
    </row>
    <row r="12" spans="1:2" x14ac:dyDescent="0.25">
      <c r="A12" s="4">
        <v>42780</v>
      </c>
      <c r="B12" t="s">
        <v>30</v>
      </c>
    </row>
    <row r="13" spans="1:2" x14ac:dyDescent="0.25">
      <c r="A13" s="4">
        <v>42781</v>
      </c>
      <c r="B13" t="s">
        <v>31</v>
      </c>
    </row>
    <row r="14" spans="1:2" x14ac:dyDescent="0.25">
      <c r="A14" s="4">
        <v>42782</v>
      </c>
      <c r="B14" t="s">
        <v>32</v>
      </c>
    </row>
    <row r="15" spans="1:2" x14ac:dyDescent="0.25">
      <c r="A15" s="4">
        <v>42783</v>
      </c>
      <c r="B15" t="s">
        <v>33</v>
      </c>
    </row>
    <row r="16" spans="1:2" x14ac:dyDescent="0.25">
      <c r="A16" s="3">
        <v>42786</v>
      </c>
      <c r="B16" t="s">
        <v>35</v>
      </c>
    </row>
    <row r="17" spans="1:2" x14ac:dyDescent="0.25">
      <c r="A17" s="3">
        <v>42787</v>
      </c>
      <c r="B17" t="s">
        <v>36</v>
      </c>
    </row>
    <row r="18" spans="1:2" x14ac:dyDescent="0.25">
      <c r="A18" s="3">
        <v>42788</v>
      </c>
      <c r="B18" t="s">
        <v>36</v>
      </c>
    </row>
    <row r="19" spans="1:2" x14ac:dyDescent="0.25">
      <c r="A19" s="3">
        <v>42789</v>
      </c>
      <c r="B19" t="s">
        <v>36</v>
      </c>
    </row>
    <row r="20" spans="1:2" x14ac:dyDescent="0.25">
      <c r="A20" s="3">
        <v>42790</v>
      </c>
      <c r="B20" t="s">
        <v>37</v>
      </c>
    </row>
    <row r="21" spans="1:2" x14ac:dyDescent="0.25">
      <c r="A21" s="6">
        <v>42793</v>
      </c>
      <c r="B21" t="s">
        <v>38</v>
      </c>
    </row>
    <row r="22" spans="1:2" x14ac:dyDescent="0.25">
      <c r="A22" s="6">
        <v>42794</v>
      </c>
      <c r="B22" t="s">
        <v>39</v>
      </c>
    </row>
    <row r="23" spans="1:2" x14ac:dyDescent="0.25">
      <c r="A23" s="6">
        <v>42795</v>
      </c>
      <c r="B23" t="s">
        <v>39</v>
      </c>
    </row>
    <row r="24" spans="1:2" x14ac:dyDescent="0.25">
      <c r="A24" s="6">
        <v>42796</v>
      </c>
      <c r="B24" t="s">
        <v>39</v>
      </c>
    </row>
    <row r="25" spans="1:2" x14ac:dyDescent="0.25">
      <c r="A25" s="6">
        <v>42797</v>
      </c>
      <c r="B25" t="s">
        <v>39</v>
      </c>
    </row>
    <row r="26" spans="1:2" x14ac:dyDescent="0.25">
      <c r="A26" s="7">
        <v>42800</v>
      </c>
      <c r="B26" t="s">
        <v>39</v>
      </c>
    </row>
    <row r="27" spans="1:2" x14ac:dyDescent="0.25">
      <c r="A27" s="7">
        <v>42801</v>
      </c>
      <c r="B27" t="s">
        <v>39</v>
      </c>
    </row>
    <row r="28" spans="1:2" x14ac:dyDescent="0.25">
      <c r="A28" s="7">
        <v>42802</v>
      </c>
      <c r="B28" t="s">
        <v>39</v>
      </c>
    </row>
    <row r="29" spans="1:2" x14ac:dyDescent="0.25">
      <c r="A29" s="7">
        <v>42803</v>
      </c>
      <c r="B29" t="s">
        <v>39</v>
      </c>
    </row>
    <row r="30" spans="1:2" x14ac:dyDescent="0.25">
      <c r="A30" s="7">
        <v>42804</v>
      </c>
      <c r="B30" t="s">
        <v>39</v>
      </c>
    </row>
    <row r="31" spans="1:2" x14ac:dyDescent="0.25">
      <c r="A31" s="8">
        <v>42807</v>
      </c>
      <c r="B31" t="s">
        <v>39</v>
      </c>
    </row>
    <row r="32" spans="1:2" x14ac:dyDescent="0.25">
      <c r="A32" s="8">
        <v>42808</v>
      </c>
      <c r="B32" t="s">
        <v>39</v>
      </c>
    </row>
    <row r="33" spans="1:2" x14ac:dyDescent="0.25">
      <c r="A33" s="8">
        <v>42809</v>
      </c>
      <c r="B33" t="s">
        <v>39</v>
      </c>
    </row>
    <row r="34" spans="1:2" x14ac:dyDescent="0.25">
      <c r="A34" s="8">
        <v>42810</v>
      </c>
      <c r="B34" t="s">
        <v>39</v>
      </c>
    </row>
    <row r="35" spans="1:2" x14ac:dyDescent="0.25">
      <c r="A35" s="8">
        <v>42811</v>
      </c>
      <c r="B35" t="s">
        <v>39</v>
      </c>
    </row>
    <row r="36" spans="1:2" x14ac:dyDescent="0.25">
      <c r="A36" s="9">
        <v>42814</v>
      </c>
      <c r="B36" t="s">
        <v>40</v>
      </c>
    </row>
    <row r="37" spans="1:2" x14ac:dyDescent="0.25">
      <c r="A37" s="9">
        <v>42815</v>
      </c>
      <c r="B37" t="s">
        <v>71</v>
      </c>
    </row>
    <row r="38" spans="1:2" x14ac:dyDescent="0.25">
      <c r="A38" s="9">
        <v>42816</v>
      </c>
      <c r="B38" t="s">
        <v>71</v>
      </c>
    </row>
    <row r="39" spans="1:2" x14ac:dyDescent="0.25">
      <c r="A39" s="9">
        <v>42817</v>
      </c>
      <c r="B39" t="s"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Расчёт потребления устройства</vt:lpstr>
      <vt:lpstr>Конструкторские расчёты</vt:lpstr>
      <vt:lpstr>ТЭО</vt:lpstr>
      <vt:lpstr>Программа практики</vt:lpstr>
      <vt:lpstr>'Конструкторские расчёты'!toppp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2017-04-28T14:49:20Z</dcterms:modified>
</cp:coreProperties>
</file>