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proyectosGit\checkpoint\Gestion del Proyecto\Estimacion\Estimacion por CU\Estimaciones\3 ra Estimacion\"/>
    </mc:Choice>
  </mc:AlternateContent>
  <bookViews>
    <workbookView xWindow="0" yWindow="0" windowWidth="28800" windowHeight="12435" firstSheet="2" activeTab="3"/>
  </bookViews>
  <sheets>
    <sheet name="PCU" sheetId="2" r:id="rId1"/>
    <sheet name="Casos De Uso" sheetId="4" r:id="rId2"/>
    <sheet name="Actores" sheetId="5" r:id="rId3"/>
    <sheet name="Estimacion h-h" sheetId="6" r:id="rId4"/>
  </sheets>
  <definedNames>
    <definedName name="AUCP">#REF!</definedName>
    <definedName name="EF">#REF!</definedName>
    <definedName name="estimacionEsfuerzo">#REF!</definedName>
    <definedName name="TAW">#REF!</definedName>
    <definedName name="TBF">#REF!</definedName>
    <definedName name="TCF">#REF!</definedName>
    <definedName name="UAW">#REF!</definedName>
    <definedName name="UUCP">#REF!</definedName>
  </definedNames>
  <calcPr calcId="152511"/>
</workbook>
</file>

<file path=xl/calcChain.xml><?xml version="1.0" encoding="utf-8"?>
<calcChain xmlns="http://schemas.openxmlformats.org/spreadsheetml/2006/main">
  <c r="F7" i="2" l="1"/>
  <c r="F23" i="4" l="1"/>
  <c r="E23" i="4"/>
  <c r="D17" i="6" l="1"/>
  <c r="D16" i="6"/>
  <c r="D11" i="6"/>
  <c r="D12" i="6"/>
  <c r="D13" i="6"/>
  <c r="D14" i="6"/>
  <c r="D15" i="6"/>
  <c r="D10" i="6"/>
  <c r="D18" i="6" l="1"/>
  <c r="E4" i="4"/>
  <c r="D20" i="6" l="1"/>
  <c r="E6" i="5"/>
  <c r="G6" i="5" s="1"/>
  <c r="E5" i="5"/>
  <c r="G5" i="5" s="1"/>
  <c r="E4" i="5"/>
  <c r="G4" i="5" s="1"/>
  <c r="E3" i="5"/>
  <c r="G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F3" i="4"/>
  <c r="E3" i="4"/>
  <c r="F25" i="4" l="1"/>
  <c r="G7" i="5"/>
  <c r="F6" i="2" s="1"/>
  <c r="H40" i="2"/>
  <c r="H39" i="2"/>
  <c r="H38" i="2"/>
  <c r="H37" i="2"/>
  <c r="H36" i="2"/>
  <c r="H35" i="2"/>
  <c r="H34" i="2"/>
  <c r="H33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H41" i="2" l="1"/>
  <c r="H42" i="2" s="1"/>
  <c r="G28" i="2"/>
  <c r="G29" i="2" s="1"/>
  <c r="F10" i="2" l="1"/>
  <c r="H45" i="2" s="1"/>
  <c r="D23" i="6" l="1"/>
  <c r="D30" i="6" l="1"/>
  <c r="D29" i="6"/>
  <c r="D26" i="6"/>
  <c r="D27" i="6"/>
  <c r="K39" i="6"/>
  <c r="I39" i="6"/>
  <c r="D28" i="6"/>
  <c r="D31" i="6" l="1"/>
  <c r="I28" i="6" s="1"/>
  <c r="I40" i="6"/>
  <c r="I41" i="6" s="1"/>
  <c r="I42" i="6" s="1"/>
  <c r="I43" i="6" s="1"/>
  <c r="J40" i="6"/>
  <c r="J41" i="6" s="1"/>
  <c r="L40" i="6"/>
  <c r="L41" i="6" s="1"/>
  <c r="L42" i="6" s="1"/>
  <c r="L43" i="6" s="1"/>
  <c r="K40" i="6"/>
  <c r="K41" i="6" s="1"/>
  <c r="I29" i="6" l="1"/>
  <c r="I30" i="6" s="1"/>
  <c r="I31" i="6" s="1"/>
  <c r="I32" i="6" s="1"/>
  <c r="J29" i="6"/>
  <c r="J30" i="6" s="1"/>
  <c r="J31" i="6" s="1"/>
  <c r="J32" i="6" s="1"/>
  <c r="K28" i="6"/>
  <c r="J42" i="6"/>
  <c r="J43" i="6" s="1"/>
  <c r="K42" i="6"/>
  <c r="K43" i="6" s="1"/>
  <c r="K29" i="6" l="1"/>
  <c r="K30" i="6" s="1"/>
  <c r="K31" i="6" s="1"/>
  <c r="K32" i="6" s="1"/>
  <c r="L29" i="6"/>
  <c r="L30" i="6" s="1"/>
  <c r="L31" i="6" s="1"/>
  <c r="L32" i="6" s="1"/>
</calcChain>
</file>

<file path=xl/comments1.xml><?xml version="1.0" encoding="utf-8"?>
<comments xmlns="http://schemas.openxmlformats.org/spreadsheetml/2006/main">
  <authors>
    <author>Leonardo G A</author>
  </authors>
  <commentList>
    <comment ref="D14" authorId="0" shape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G32" authorId="0" shape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</commentList>
</comments>
</file>

<file path=xl/comments2.xml><?xml version="1.0" encoding="utf-8"?>
<comments xmlns="http://schemas.openxmlformats.org/spreadsheetml/2006/main">
  <authors>
    <author>Leonardo G A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CU01: "…"
CU02: "…"
CU..: "…"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Contar las transacciones de acuerdo a la bibliografía.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Leonardo G A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Actor1,
Actor 2,
...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</commentList>
</comments>
</file>

<file path=xl/sharedStrings.xml><?xml version="1.0" encoding="utf-8"?>
<sst xmlns="http://schemas.openxmlformats.org/spreadsheetml/2006/main" count="248" uniqueCount="180">
  <si>
    <t>Descripción</t>
  </si>
  <si>
    <t>Peso</t>
  </si>
  <si>
    <t>Valor ponderado</t>
  </si>
  <si>
    <t>Comentario</t>
  </si>
  <si>
    <t>Razón</t>
  </si>
  <si>
    <t>Factor de Peso Actores</t>
  </si>
  <si>
    <t>Escala de 0 a 5</t>
  </si>
  <si>
    <t>0=no importante  5=esencial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</si>
  <si>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</si>
  <si>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</si>
  <si>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</si>
  <si>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</si>
  <si>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</si>
  <si>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</si>
  <si>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</si>
  <si>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</si>
  <si>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</si>
  <si>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Factor de Complejidad Técnica (TCF) = 0,06 + 0,01*Factores Técnicos</t>
  </si>
  <si>
    <t>Características especiales</t>
  </si>
  <si>
    <t>Impacto</t>
  </si>
  <si>
    <t>0=0% tiempo parcial, 1=h/10% t. parcial, 2=h/20% t. parcial, 3=h/40% t. parcial, 4=h/60% t. paricial, 5= más de 60% t. parcial</t>
  </si>
  <si>
    <t xml:space="preserve">Peso Total Actores, sin ajustar (UAW) </t>
  </si>
  <si>
    <t xml:space="preserve">Peso Total CU, sin ajustar (UUCW) </t>
  </si>
  <si>
    <t>Puntos de CU No Ajustados (UUCP) = UAW + UUCW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</si>
  <si>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</si>
  <si>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</si>
  <si>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Entradas</t>
  </si>
  <si>
    <t>Cálculos</t>
  </si>
  <si>
    <t>Salidas</t>
  </si>
  <si>
    <t>Factor de Entorno (EF) = 1.4 + (-0.03*EFactor)</t>
  </si>
  <si>
    <t>EFactor</t>
  </si>
  <si>
    <t>TFactor</t>
  </si>
  <si>
    <t>Gestor de Proyecto: GP</t>
  </si>
  <si>
    <t>Factor Técnico</t>
  </si>
  <si>
    <t>Factor de Entorno</t>
  </si>
  <si>
    <t>Evaluación (Tlevel)</t>
  </si>
  <si>
    <t>Evaluación (Elevel)</t>
  </si>
  <si>
    <t>Puntos de Casos de Uso Ajustados  (UCP) = UUCP * TCF * EF</t>
  </si>
  <si>
    <t>Complejo</t>
  </si>
  <si>
    <t>CU01</t>
  </si>
  <si>
    <t>CU02</t>
  </si>
  <si>
    <t>CU03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</si>
  <si>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</si>
  <si>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</si>
  <si>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</si>
  <si>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</si>
  <si>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</si>
  <si>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</si>
  <si>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</si>
  <si>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</si>
  <si>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</si>
  <si>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T12</t>
  </si>
  <si>
    <t>T10</t>
  </si>
  <si>
    <t>T11</t>
  </si>
  <si>
    <t>T13</t>
  </si>
  <si>
    <t>Sistema Distribuido</t>
  </si>
  <si>
    <t>Objetivos de Desempeño o Tiempo de Respuesta</t>
  </si>
  <si>
    <t>Eficiencia Usuario Final</t>
  </si>
  <si>
    <t>Procesamiento Interno Complejo</t>
  </si>
  <si>
    <t>Código Debe Ser Reusable</t>
  </si>
  <si>
    <t>Facilidad de Instalación</t>
  </si>
  <si>
    <t>Facilidad de Uso</t>
  </si>
  <si>
    <t>Portabilidad</t>
  </si>
  <si>
    <t>Facilidad de Cambio</t>
  </si>
  <si>
    <t>Incluye Características Especiales de Seguridad</t>
  </si>
  <si>
    <t>Concurrencia</t>
  </si>
  <si>
    <t>Provee Acceso Directo a Terceros</t>
  </si>
  <si>
    <t xml:space="preserve">Se Requieren Ayudas Especiales de Entrenamiento de Usuarios </t>
  </si>
  <si>
    <t>E1</t>
  </si>
  <si>
    <t>E2</t>
  </si>
  <si>
    <t>E3</t>
  </si>
  <si>
    <t>E4</t>
  </si>
  <si>
    <t>E5</t>
  </si>
  <si>
    <t>E6</t>
  </si>
  <si>
    <t>E7</t>
  </si>
  <si>
    <t>E8</t>
  </si>
  <si>
    <t>Familiaridad con un Proceso Definido</t>
  </si>
  <si>
    <t>Experiencia en el Dominio de Aplicación</t>
  </si>
  <si>
    <t>Experiencia en Orientación a Objetos</t>
  </si>
  <si>
    <t>Capacidad de Liderazgo de Analistas</t>
  </si>
  <si>
    <t>Motivación</t>
  </si>
  <si>
    <t>Requerimientos Estables</t>
  </si>
  <si>
    <t>Miembros a Tiempo Parcial</t>
  </si>
  <si>
    <t>Dificultad con el lenguaje de Programación</t>
  </si>
  <si>
    <t>No posee un procesamiento complejo.</t>
  </si>
  <si>
    <t>Según el tipo de desarrollo del proyecto, el software desarrollado debe de ser reusable.</t>
  </si>
  <si>
    <t>El sisteme debe ser confiable para el usuario valorador.</t>
  </si>
  <si>
    <t>Arquitectura Cliente-Servidor.</t>
  </si>
  <si>
    <t>No debe de presentar dificultad en su operación.</t>
  </si>
  <si>
    <t>El sistema debe de presentar una considerable facilidad al cambio y agregado de características y funcionalidades.</t>
  </si>
  <si>
    <t>El sistema poseerá una concurrencia moderada.</t>
  </si>
  <si>
    <t>No posee grandes consideraciones en lo que refiere a la seguridad.</t>
  </si>
  <si>
    <t>Las características principales de la aplicación están enfocadas un usuario ajeno a la empresa del cliente.</t>
  </si>
  <si>
    <t>El sistema no debe de requerir ayuda especial de entrenamiento para poder ser usado.</t>
  </si>
  <si>
    <t>Solo conocimientos teóricos.</t>
  </si>
  <si>
    <t>Nunca se realizao una aplicación en el dominio</t>
  </si>
  <si>
    <t>Alta experiencia en la Orientacion de Objetos.</t>
  </si>
  <si>
    <t>Alta motivacion por parte de los miembros del grupo.</t>
  </si>
  <si>
    <t>Requerimientos principales ya definidos.</t>
  </si>
  <si>
    <t>No se posee gran cantidad de experiencia real en el lenguaje a utilizar.</t>
  </si>
  <si>
    <t>Esta característica ya es gestionada por el entorno de programación elegido.</t>
  </si>
  <si>
    <t>El sistema debe ser confiable y debe de contar con un tiempo de desempeño corto. Sin ser un requerimiento critico.</t>
  </si>
  <si>
    <t>La aplicación debe de poder usarse en diferentes equipos moviles. Esta carcateristica ya es gestionada por el entorno de desarrollo elegido. No significa trabajo de desarrollo adicional.</t>
  </si>
  <si>
    <t>Líder sin experiencia en el liderazgo. Pero grupo gran capacidad de entedimiento en el trabajo.</t>
  </si>
  <si>
    <t>Todos los miembros del equipo trabajan a tiempo parcial. En un futuro se dedicara mas tiempo para el desarrollo.</t>
  </si>
  <si>
    <t>Refinamiento Calculo Horas-Hombre</t>
  </si>
  <si>
    <t>Si Valor Extremos de Entorno &lt; 3</t>
  </si>
  <si>
    <t>Condición</t>
  </si>
  <si>
    <t>Multiplicador de Ajuste</t>
  </si>
  <si>
    <t>Si Valor Extremos de Entorno &gt;2 y &lt; 5</t>
  </si>
  <si>
    <t>Si Valor Extremos de Entorno &gt;4</t>
  </si>
  <si>
    <t>Calculo Valores Extremo</t>
  </si>
  <si>
    <t>Factor</t>
  </si>
  <si>
    <t>Contar</t>
  </si>
  <si>
    <t>Valor Total</t>
  </si>
  <si>
    <t>Refinamiento a Usar</t>
  </si>
  <si>
    <t>Calculo Estimación Horas-Hombre ( PCU * Refinamiento )</t>
  </si>
  <si>
    <t>Actividad</t>
  </si>
  <si>
    <t>Porcentaje</t>
  </si>
  <si>
    <t>Valor h-h</t>
  </si>
  <si>
    <t>Esfuerzo total h-h del Proyecto</t>
  </si>
  <si>
    <t>Análisis</t>
  </si>
  <si>
    <t>Diseño</t>
  </si>
  <si>
    <t>Programación</t>
  </si>
  <si>
    <t>Pruebas</t>
  </si>
  <si>
    <t>Sobrecarga (Otras Actividades)</t>
  </si>
  <si>
    <t>TRABAJANDO 4 Hs</t>
  </si>
  <si>
    <t>TRABAJANDO 8 Hs</t>
  </si>
  <si>
    <t>DÍAS:</t>
  </si>
  <si>
    <t>MESES:</t>
  </si>
  <si>
    <t>AÑOS:</t>
  </si>
  <si>
    <t>AÑOS/INTEGRANTES:</t>
  </si>
  <si>
    <t>DE LUN-VIE</t>
  </si>
  <si>
    <t>DE LUN-SAB</t>
  </si>
  <si>
    <t>/12 MESES</t>
  </si>
  <si>
    <t>Integrantes del equipo:</t>
  </si>
  <si>
    <t>-</t>
  </si>
  <si>
    <t>MESES EQUIVALENTES:</t>
  </si>
  <si>
    <t>Calculo solo de la programación</t>
  </si>
  <si>
    <t>Calculo todas etapas del proyecto</t>
  </si>
  <si>
    <t>Valorador</t>
  </si>
  <si>
    <t>GUI - (App Movil)</t>
  </si>
  <si>
    <t>AdministradorSistema</t>
  </si>
  <si>
    <t>GUI - (App Web)</t>
  </si>
  <si>
    <t>EncargadoServicio</t>
  </si>
  <si>
    <t>ConsultorEstadistico</t>
  </si>
  <si>
    <t>(3-4), (5).</t>
  </si>
  <si>
    <t>(2), (3).</t>
  </si>
  <si>
    <t>CU04</t>
  </si>
  <si>
    <t>(2), (4-5), (6).</t>
  </si>
  <si>
    <t>CU05</t>
  </si>
  <si>
    <t>CU06</t>
  </si>
  <si>
    <t>CU07</t>
  </si>
  <si>
    <t>CU08</t>
  </si>
  <si>
    <t>CU09</t>
  </si>
  <si>
    <t>CU10</t>
  </si>
  <si>
    <t>(3), (4), (5).</t>
  </si>
  <si>
    <t>CU11</t>
  </si>
  <si>
    <t>CU12</t>
  </si>
  <si>
    <t>CU13</t>
  </si>
  <si>
    <t>(2), (3) + ( [CU14] = (2-3) )</t>
  </si>
  <si>
    <t>CU14</t>
  </si>
  <si>
    <t>CU15</t>
  </si>
  <si>
    <t>CU16</t>
  </si>
  <si>
    <t>CU17</t>
  </si>
  <si>
    <t>(2-3), (4).</t>
  </si>
  <si>
    <t>CU18</t>
  </si>
  <si>
    <t>CU19</t>
  </si>
  <si>
    <t>(3), (4).</t>
  </si>
  <si>
    <t>CU20</t>
  </si>
  <si>
    <t>CU21</t>
  </si>
  <si>
    <t>CU22</t>
  </si>
  <si>
    <t>Estado</t>
  </si>
  <si>
    <t>Haciendo</t>
  </si>
  <si>
    <t>Hecho</t>
  </si>
  <si>
    <t>(2-3).</t>
  </si>
  <si>
    <t>(3), (4), (5)</t>
  </si>
  <si>
    <t xml:space="preserve">(3), (4), (5) </t>
  </si>
  <si>
    <t>(3), (4), (5), (6)</t>
  </si>
  <si>
    <t>Proyecto: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</si>
</sst>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142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6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5" fillId="0" borderId="8" xfId="0" applyNumberFormat="1" applyFont="1" applyBorder="1" applyAlignment="1" applyProtection="1">
      <alignment vertical="center" wrapText="1"/>
    </xf>
    <xf numFmtId="0" fontId="5" fillId="5" borderId="8" xfId="0" applyFont="1" applyFill="1" applyBorder="1" applyAlignment="1" applyProtection="1">
      <alignment vertical="center" wrapText="1"/>
      <protection locked="0"/>
    </xf>
    <xf numFmtId="49" fontId="5" fillId="4" borderId="8" xfId="0" applyNumberFormat="1" applyFont="1" applyFill="1" applyBorder="1" applyAlignment="1">
      <alignment horizontal="center" vertical="center" wrapText="1"/>
    </xf>
    <xf numFmtId="0" fontId="7" fillId="2" borderId="8" xfId="1" applyFont="1" applyBorder="1" applyAlignment="1" applyProtection="1">
      <alignment horizontal="center" vertical="center" wrapText="1"/>
      <protection locked="0"/>
    </xf>
    <xf numFmtId="0" fontId="1" fillId="2" borderId="9" xfId="1" applyBorder="1" applyAlignment="1" applyProtection="1">
      <alignment horizontal="center" vertical="top"/>
    </xf>
    <xf numFmtId="0" fontId="4" fillId="6" borderId="9" xfId="3" applyBorder="1" applyAlignment="1" applyProtection="1">
      <alignment horizontal="center" vertical="center"/>
    </xf>
    <xf numFmtId="0" fontId="3" fillId="6" borderId="10" xfId="2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2" borderId="1" xfId="1" applyFont="1" applyBorder="1" applyAlignment="1" applyProtection="1">
      <alignment horizontal="center" vertical="center"/>
    </xf>
    <xf numFmtId="0" fontId="6" fillId="6" borderId="11" xfId="3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 applyProtection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17" xfId="0" applyFont="1" applyBorder="1" applyAlignment="1"/>
    <xf numFmtId="0" fontId="13" fillId="0" borderId="0" xfId="0" applyFont="1" applyBorder="1" applyAlignment="1"/>
    <xf numFmtId="0" fontId="13" fillId="0" borderId="19" xfId="0" applyFont="1" applyBorder="1" applyAlignment="1"/>
    <xf numFmtId="0" fontId="14" fillId="4" borderId="21" xfId="0" applyFont="1" applyFill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6" borderId="28" xfId="3" applyFont="1" applyBorder="1" applyAlignment="1">
      <alignment horizontal="center" vertical="center"/>
    </xf>
    <xf numFmtId="0" fontId="6" fillId="6" borderId="29" xfId="3" applyFont="1" applyBorder="1" applyAlignment="1">
      <alignment horizontal="center" vertical="center"/>
    </xf>
    <xf numFmtId="0" fontId="6" fillId="4" borderId="11" xfId="0" applyFont="1" applyFill="1" applyBorder="1" applyAlignment="1"/>
    <xf numFmtId="0" fontId="6" fillId="4" borderId="11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5" fillId="0" borderId="25" xfId="0" applyNumberFormat="1" applyFont="1" applyBorder="1"/>
    <xf numFmtId="0" fontId="5" fillId="0" borderId="26" xfId="0" applyNumberFormat="1" applyFont="1" applyBorder="1"/>
    <xf numFmtId="0" fontId="5" fillId="0" borderId="27" xfId="0" applyNumberFormat="1" applyFont="1" applyBorder="1"/>
    <xf numFmtId="9" fontId="5" fillId="0" borderId="25" xfId="0" applyNumberFormat="1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9" fontId="5" fillId="0" borderId="27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6" borderId="30" xfId="3" applyFont="1" applyBorder="1" applyAlignment="1">
      <alignment horizontal="center" vertical="center"/>
    </xf>
    <xf numFmtId="0" fontId="0" fillId="0" borderId="11" xfId="0" applyBorder="1"/>
    <xf numFmtId="0" fontId="15" fillId="0" borderId="11" xfId="0" applyFont="1" applyBorder="1"/>
    <xf numFmtId="0" fontId="16" fillId="3" borderId="11" xfId="0" applyFont="1" applyFill="1" applyBorder="1"/>
    <xf numFmtId="0" fontId="16" fillId="3" borderId="25" xfId="0" applyFont="1" applyFill="1" applyBorder="1"/>
    <xf numFmtId="0" fontId="17" fillId="0" borderId="11" xfId="0" applyFont="1" applyBorder="1"/>
    <xf numFmtId="0" fontId="1" fillId="2" borderId="11" xfId="1" applyBorder="1">
      <alignment vertical="top"/>
    </xf>
    <xf numFmtId="0" fontId="15" fillId="0" borderId="11" xfId="0" applyFont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4" borderId="13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6" fillId="6" borderId="20" xfId="3" applyFont="1" applyBorder="1" applyAlignment="1">
      <alignment horizontal="center" vertical="center"/>
    </xf>
    <xf numFmtId="0" fontId="6" fillId="6" borderId="21" xfId="3" applyFont="1" applyBorder="1" applyAlignment="1">
      <alignment horizontal="center" vertical="center"/>
    </xf>
    <xf numFmtId="0" fontId="6" fillId="6" borderId="13" xfId="3" applyFont="1" applyBorder="1" applyAlignment="1">
      <alignment horizontal="center" vertical="center"/>
    </xf>
    <xf numFmtId="0" fontId="6" fillId="6" borderId="15" xfId="3" applyFont="1" applyBorder="1" applyAlignment="1">
      <alignment horizontal="center" vertical="center"/>
    </xf>
    <xf numFmtId="0" fontId="6" fillId="6" borderId="14" xfId="3" applyFont="1" applyBorder="1" applyAlignment="1">
      <alignment horizontal="center" vertical="center"/>
    </xf>
    <xf numFmtId="0" fontId="6" fillId="4" borderId="14" xfId="0" applyFont="1" applyFill="1" applyBorder="1" applyAlignment="1">
      <alignment horizontal="right"/>
    </xf>
    <xf numFmtId="0" fontId="14" fillId="4" borderId="13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center" vertical="top"/>
    </xf>
    <xf numFmtId="0" fontId="16" fillId="3" borderId="14" xfId="0" applyFont="1" applyFill="1" applyBorder="1" applyAlignment="1">
      <alignment horizontal="center" vertical="top"/>
    </xf>
    <xf numFmtId="0" fontId="16" fillId="3" borderId="14" xfId="0" applyFont="1" applyFill="1" applyBorder="1" applyAlignment="1">
      <alignment horizontal="center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5"/>
  <sheetViews>
    <sheetView topLeftCell="D23" zoomScale="55" zoomScaleNormal="55" workbookViewId="0">
      <selection activeCell="G24" sqref="G24"/>
    </sheetView>
  </sheetViews>
  <sheetFormatPr baseColWidth="10" defaultColWidth="9.140625" defaultRowHeight="15.75" x14ac:dyDescent="0.2"/>
  <cols>
    <col min="1" max="1" width="9.140625" style="1"/>
    <col min="2" max="2" width="4.28515625" style="1" customWidth="1"/>
    <col min="3" max="3" width="67.140625" style="1" customWidth="1"/>
    <col min="4" max="4" width="41.28515625" style="2" customWidth="1"/>
    <col min="5" max="5" width="38.5703125" style="3" bestFit="1" customWidth="1"/>
    <col min="6" max="6" width="13.5703125" style="4" bestFit="1" customWidth="1"/>
    <col min="7" max="7" width="16.140625" style="5" bestFit="1" customWidth="1"/>
    <col min="8" max="8" width="16.7109375" style="1" bestFit="1" customWidth="1"/>
    <col min="9" max="9" width="34.42578125" style="5" customWidth="1"/>
    <col min="10" max="10" width="9.140625" style="1"/>
    <col min="11" max="11" width="13.7109375" style="1" bestFit="1" customWidth="1"/>
    <col min="12" max="16384" width="9.140625" style="1"/>
  </cols>
  <sheetData>
    <row r="2" spans="2:11" s="42" customFormat="1" x14ac:dyDescent="0.2">
      <c r="C2" s="57" t="s">
        <v>25</v>
      </c>
      <c r="D2" s="58"/>
      <c r="E2" s="54" t="s">
        <v>26</v>
      </c>
      <c r="G2" s="41"/>
      <c r="H2" s="41"/>
      <c r="I2" s="41"/>
    </row>
    <row r="3" spans="2:11" s="42" customFormat="1" x14ac:dyDescent="0.2">
      <c r="C3" s="59" t="s">
        <v>179</v>
      </c>
      <c r="D3" s="58"/>
      <c r="E3" s="55" t="s">
        <v>27</v>
      </c>
      <c r="G3" s="43"/>
      <c r="H3" s="43"/>
      <c r="I3" s="43"/>
    </row>
    <row r="4" spans="2:11" s="42" customFormat="1" x14ac:dyDescent="0.2">
      <c r="C4" s="59" t="s">
        <v>32</v>
      </c>
      <c r="D4" s="58"/>
      <c r="E4" s="56" t="s">
        <v>28</v>
      </c>
      <c r="G4" s="43"/>
      <c r="H4" s="43"/>
      <c r="I4" s="43"/>
    </row>
    <row r="5" spans="2:11" s="42" customFormat="1" x14ac:dyDescent="0.2">
      <c r="C5" s="47"/>
      <c r="D5" s="47"/>
      <c r="E5" s="46"/>
      <c r="F5" s="47"/>
      <c r="G5" s="43"/>
      <c r="H5" s="43"/>
      <c r="I5" s="43"/>
    </row>
    <row r="6" spans="2:11" ht="15.75" customHeight="1" x14ac:dyDescent="0.2">
      <c r="C6" s="103" t="s">
        <v>21</v>
      </c>
      <c r="D6" s="104"/>
      <c r="E6" s="104"/>
      <c r="F6" s="19">
        <f>Actores!G7</f>
        <v>12</v>
      </c>
      <c r="G6" s="14"/>
      <c r="I6" s="1"/>
    </row>
    <row r="7" spans="2:11" s="15" customFormat="1" x14ac:dyDescent="0.2">
      <c r="C7" s="103" t="s">
        <v>22</v>
      </c>
      <c r="D7" s="104"/>
      <c r="E7" s="104"/>
      <c r="F7" s="35">
        <f>'Casos De Uso'!F25 -12</f>
        <v>33</v>
      </c>
      <c r="H7" s="14"/>
      <c r="K7" s="16"/>
    </row>
    <row r="8" spans="2:11" x14ac:dyDescent="0.2">
      <c r="I8" s="20"/>
    </row>
    <row r="9" spans="2:11" x14ac:dyDescent="0.2">
      <c r="I9" s="20"/>
    </row>
    <row r="10" spans="2:11" x14ac:dyDescent="0.2">
      <c r="C10" s="100" t="s">
        <v>23</v>
      </c>
      <c r="D10" s="105"/>
      <c r="E10" s="105"/>
      <c r="F10" s="19">
        <f>F6+F7</f>
        <v>45</v>
      </c>
      <c r="G10" s="1"/>
      <c r="H10" s="14"/>
      <c r="I10" s="1"/>
    </row>
    <row r="11" spans="2:11" x14ac:dyDescent="0.2">
      <c r="C11" s="23"/>
      <c r="D11" s="24"/>
      <c r="E11" s="24"/>
      <c r="F11" s="5"/>
      <c r="G11" s="1"/>
      <c r="H11" s="14"/>
      <c r="I11" s="1"/>
    </row>
    <row r="12" spans="2:11" x14ac:dyDescent="0.2">
      <c r="C12" s="45" t="s">
        <v>11</v>
      </c>
      <c r="D12" s="48" t="s">
        <v>7</v>
      </c>
    </row>
    <row r="14" spans="2:11" s="9" customFormat="1" ht="31.5" x14ac:dyDescent="0.2">
      <c r="B14" s="101" t="s">
        <v>33</v>
      </c>
      <c r="C14" s="101"/>
      <c r="D14" s="28" t="s">
        <v>18</v>
      </c>
      <c r="E14" s="27" t="s">
        <v>1</v>
      </c>
      <c r="F14" s="27" t="s">
        <v>35</v>
      </c>
      <c r="G14" s="27" t="s">
        <v>19</v>
      </c>
    </row>
    <row r="15" spans="2:11" ht="15.75" customHeight="1" x14ac:dyDescent="0.2">
      <c r="B15" s="49" t="s">
        <v>42</v>
      </c>
      <c r="C15" s="17" t="s">
        <v>55</v>
      </c>
      <c r="D15" s="12" t="s">
        <v>87</v>
      </c>
      <c r="E15" s="29">
        <v>2</v>
      </c>
      <c r="F15" s="25">
        <v>0</v>
      </c>
      <c r="G15" s="31">
        <f t="shared" ref="G15:G27" si="0">E15*F15</f>
        <v>0</v>
      </c>
      <c r="I15" s="1"/>
    </row>
    <row r="16" spans="2:11" ht="47.25" customHeight="1" x14ac:dyDescent="0.2">
      <c r="B16" s="49" t="s">
        <v>43</v>
      </c>
      <c r="C16" s="17" t="s">
        <v>56</v>
      </c>
      <c r="D16" s="12" t="s">
        <v>101</v>
      </c>
      <c r="E16" s="30">
        <v>2</v>
      </c>
      <c r="F16" s="25">
        <v>3</v>
      </c>
      <c r="G16" s="31">
        <f t="shared" si="0"/>
        <v>6</v>
      </c>
      <c r="I16" s="1"/>
    </row>
    <row r="17" spans="2:9" ht="31.5" x14ac:dyDescent="0.2">
      <c r="B17" s="49" t="s">
        <v>44</v>
      </c>
      <c r="C17" s="17" t="s">
        <v>57</v>
      </c>
      <c r="D17" s="12" t="s">
        <v>86</v>
      </c>
      <c r="E17" s="30">
        <v>1</v>
      </c>
      <c r="F17" s="25">
        <v>4</v>
      </c>
      <c r="G17" s="31">
        <f t="shared" si="0"/>
        <v>4</v>
      </c>
      <c r="I17" s="1"/>
    </row>
    <row r="18" spans="2:9" x14ac:dyDescent="0.2">
      <c r="B18" s="49" t="s">
        <v>45</v>
      </c>
      <c r="C18" s="17" t="s">
        <v>58</v>
      </c>
      <c r="D18" s="12" t="s">
        <v>84</v>
      </c>
      <c r="E18" s="30">
        <v>1</v>
      </c>
      <c r="F18" s="25">
        <v>2</v>
      </c>
      <c r="G18" s="31">
        <f t="shared" si="0"/>
        <v>2</v>
      </c>
      <c r="I18" s="1"/>
    </row>
    <row r="19" spans="2:9" ht="47.25" x14ac:dyDescent="0.2">
      <c r="B19" s="49" t="s">
        <v>46</v>
      </c>
      <c r="C19" s="17" t="s">
        <v>59</v>
      </c>
      <c r="D19" s="12" t="s">
        <v>85</v>
      </c>
      <c r="E19" s="29">
        <v>1</v>
      </c>
      <c r="F19" s="25">
        <v>3</v>
      </c>
      <c r="G19" s="31">
        <f t="shared" si="0"/>
        <v>3</v>
      </c>
      <c r="I19" s="1"/>
    </row>
    <row r="20" spans="2:9" ht="31.5" x14ac:dyDescent="0.2">
      <c r="B20" s="49" t="s">
        <v>47</v>
      </c>
      <c r="C20" s="17" t="s">
        <v>60</v>
      </c>
      <c r="D20" s="12" t="s">
        <v>100</v>
      </c>
      <c r="E20" s="29">
        <v>0.5</v>
      </c>
      <c r="F20" s="25">
        <v>1</v>
      </c>
      <c r="G20" s="31">
        <f t="shared" si="0"/>
        <v>0.5</v>
      </c>
      <c r="I20" s="1"/>
    </row>
    <row r="21" spans="2:9" ht="31.5" x14ac:dyDescent="0.2">
      <c r="B21" s="49" t="s">
        <v>48</v>
      </c>
      <c r="C21" s="17" t="s">
        <v>61</v>
      </c>
      <c r="D21" s="12" t="s">
        <v>88</v>
      </c>
      <c r="E21" s="29">
        <v>0.5</v>
      </c>
      <c r="F21" s="25">
        <v>5</v>
      </c>
      <c r="G21" s="31">
        <f t="shared" si="0"/>
        <v>2.5</v>
      </c>
      <c r="I21" s="1"/>
    </row>
    <row r="22" spans="2:9" ht="78.75" x14ac:dyDescent="0.2">
      <c r="B22" s="49" t="s">
        <v>49</v>
      </c>
      <c r="C22" s="17" t="s">
        <v>62</v>
      </c>
      <c r="D22" s="12" t="s">
        <v>102</v>
      </c>
      <c r="E22" s="29">
        <v>2</v>
      </c>
      <c r="F22" s="25">
        <v>1</v>
      </c>
      <c r="G22" s="31">
        <f t="shared" si="0"/>
        <v>2</v>
      </c>
      <c r="I22" s="1"/>
    </row>
    <row r="23" spans="2:9" ht="63" x14ac:dyDescent="0.2">
      <c r="B23" s="49" t="s">
        <v>50</v>
      </c>
      <c r="C23" s="17" t="s">
        <v>63</v>
      </c>
      <c r="D23" s="12" t="s">
        <v>89</v>
      </c>
      <c r="E23" s="29">
        <v>1</v>
      </c>
      <c r="F23" s="25">
        <v>2</v>
      </c>
      <c r="G23" s="31">
        <f t="shared" si="0"/>
        <v>2</v>
      </c>
      <c r="I23" s="1"/>
    </row>
    <row r="24" spans="2:9" ht="31.5" x14ac:dyDescent="0.2">
      <c r="B24" s="49" t="s">
        <v>52</v>
      </c>
      <c r="C24" s="17" t="s">
        <v>65</v>
      </c>
      <c r="D24" s="12" t="s">
        <v>90</v>
      </c>
      <c r="E24" s="29">
        <v>1</v>
      </c>
      <c r="F24" s="25">
        <v>0</v>
      </c>
      <c r="G24" s="31">
        <f t="shared" si="0"/>
        <v>0</v>
      </c>
      <c r="I24" s="1"/>
    </row>
    <row r="25" spans="2:9" ht="31.5" x14ac:dyDescent="0.2">
      <c r="B25" s="49" t="s">
        <v>53</v>
      </c>
      <c r="C25" s="17" t="s">
        <v>64</v>
      </c>
      <c r="D25" s="12" t="s">
        <v>91</v>
      </c>
      <c r="E25" s="30">
        <v>1</v>
      </c>
      <c r="F25" s="25">
        <v>0</v>
      </c>
      <c r="G25" s="31">
        <f t="shared" si="0"/>
        <v>0</v>
      </c>
      <c r="I25" s="1"/>
    </row>
    <row r="26" spans="2:9" ht="47.25" x14ac:dyDescent="0.2">
      <c r="B26" s="49" t="s">
        <v>51</v>
      </c>
      <c r="C26" s="17" t="s">
        <v>66</v>
      </c>
      <c r="D26" s="12" t="s">
        <v>92</v>
      </c>
      <c r="E26" s="30">
        <v>1</v>
      </c>
      <c r="F26" s="25">
        <v>3</v>
      </c>
      <c r="G26" s="31">
        <f t="shared" si="0"/>
        <v>3</v>
      </c>
      <c r="I26" s="1"/>
    </row>
    <row r="27" spans="2:9" ht="47.25" x14ac:dyDescent="0.2">
      <c r="B27" s="49" t="s">
        <v>54</v>
      </c>
      <c r="C27" s="17" t="s">
        <v>67</v>
      </c>
      <c r="D27" s="12" t="s">
        <v>93</v>
      </c>
      <c r="E27" s="29">
        <v>1</v>
      </c>
      <c r="F27" s="25">
        <v>0</v>
      </c>
      <c r="G27" s="31">
        <f t="shared" si="0"/>
        <v>0</v>
      </c>
      <c r="I27" s="1"/>
    </row>
    <row r="28" spans="2:9" x14ac:dyDescent="0.2">
      <c r="B28" s="100" t="s">
        <v>31</v>
      </c>
      <c r="C28" s="100"/>
      <c r="D28" s="100"/>
      <c r="E28" s="100"/>
      <c r="F28" s="100"/>
      <c r="G28" s="32">
        <f>SUM(G15:G27)</f>
        <v>25</v>
      </c>
      <c r="I28" s="1"/>
    </row>
    <row r="29" spans="2:9" ht="15.75" customHeight="1" x14ac:dyDescent="0.2">
      <c r="B29" s="100" t="s">
        <v>17</v>
      </c>
      <c r="C29" s="100"/>
      <c r="D29" s="100"/>
      <c r="E29" s="100"/>
      <c r="F29" s="100"/>
      <c r="G29" s="27">
        <f>0.6+(0.01*G28)</f>
        <v>0.85</v>
      </c>
      <c r="I29" s="1"/>
    </row>
    <row r="30" spans="2:9" x14ac:dyDescent="0.2">
      <c r="C30" s="23"/>
      <c r="D30" s="44"/>
      <c r="E30" s="44"/>
      <c r="F30" s="44"/>
      <c r="G30" s="44"/>
      <c r="I30" s="1"/>
    </row>
    <row r="31" spans="2:9" x14ac:dyDescent="0.2">
      <c r="C31" s="36"/>
      <c r="D31" s="37"/>
      <c r="E31" s="38"/>
      <c r="F31" s="36"/>
      <c r="G31" s="39"/>
      <c r="H31" s="36"/>
    </row>
    <row r="32" spans="2:9" s="9" customFormat="1" ht="31.5" x14ac:dyDescent="0.2">
      <c r="B32" s="101" t="s">
        <v>34</v>
      </c>
      <c r="C32" s="101"/>
      <c r="D32" s="26" t="s">
        <v>6</v>
      </c>
      <c r="E32" s="28" t="s">
        <v>4</v>
      </c>
      <c r="F32" s="27" t="s">
        <v>1</v>
      </c>
      <c r="G32" s="27" t="s">
        <v>36</v>
      </c>
      <c r="H32" s="27" t="s">
        <v>19</v>
      </c>
    </row>
    <row r="33" spans="2:8" x14ac:dyDescent="0.2">
      <c r="B33" s="49" t="s">
        <v>68</v>
      </c>
      <c r="C33" s="18" t="s">
        <v>76</v>
      </c>
      <c r="D33" s="17" t="s">
        <v>8</v>
      </c>
      <c r="E33" s="12" t="s">
        <v>94</v>
      </c>
      <c r="F33" s="29">
        <v>1.5</v>
      </c>
      <c r="G33" s="25">
        <v>5</v>
      </c>
      <c r="H33" s="31">
        <f t="shared" ref="H33:H40" si="1">F33*G33</f>
        <v>7.5</v>
      </c>
    </row>
    <row r="34" spans="2:8" ht="31.5" x14ac:dyDescent="0.2">
      <c r="B34" s="49" t="s">
        <v>69</v>
      </c>
      <c r="C34" s="18" t="s">
        <v>77</v>
      </c>
      <c r="D34" s="17" t="s">
        <v>8</v>
      </c>
      <c r="E34" s="12" t="s">
        <v>95</v>
      </c>
      <c r="F34" s="29">
        <v>0.5</v>
      </c>
      <c r="G34" s="25">
        <v>4</v>
      </c>
      <c r="H34" s="31">
        <f t="shared" si="1"/>
        <v>2</v>
      </c>
    </row>
    <row r="35" spans="2:8" ht="31.5" x14ac:dyDescent="0.2">
      <c r="B35" s="49" t="s">
        <v>70</v>
      </c>
      <c r="C35" s="18" t="s">
        <v>78</v>
      </c>
      <c r="D35" s="17" t="s">
        <v>8</v>
      </c>
      <c r="E35" s="12" t="s">
        <v>96</v>
      </c>
      <c r="F35" s="29">
        <v>1</v>
      </c>
      <c r="G35" s="25">
        <v>4</v>
      </c>
      <c r="H35" s="31">
        <f t="shared" si="1"/>
        <v>4</v>
      </c>
    </row>
    <row r="36" spans="2:8" ht="47.25" x14ac:dyDescent="0.2">
      <c r="B36" s="49" t="s">
        <v>71</v>
      </c>
      <c r="C36" s="18" t="s">
        <v>79</v>
      </c>
      <c r="D36" s="17" t="s">
        <v>8</v>
      </c>
      <c r="E36" s="12" t="s">
        <v>103</v>
      </c>
      <c r="F36" s="29">
        <v>0.5</v>
      </c>
      <c r="G36" s="25">
        <v>4</v>
      </c>
      <c r="H36" s="31">
        <f t="shared" si="1"/>
        <v>2</v>
      </c>
    </row>
    <row r="37" spans="2:8" ht="31.5" x14ac:dyDescent="0.2">
      <c r="B37" s="49" t="s">
        <v>72</v>
      </c>
      <c r="C37" s="18" t="s">
        <v>80</v>
      </c>
      <c r="D37" s="17" t="s">
        <v>9</v>
      </c>
      <c r="E37" s="12" t="s">
        <v>97</v>
      </c>
      <c r="F37" s="29">
        <v>1</v>
      </c>
      <c r="G37" s="25">
        <v>5</v>
      </c>
      <c r="H37" s="31">
        <f t="shared" si="1"/>
        <v>5</v>
      </c>
    </row>
    <row r="38" spans="2:8" ht="31.5" x14ac:dyDescent="0.2">
      <c r="B38" s="49" t="s">
        <v>73</v>
      </c>
      <c r="C38" s="18" t="s">
        <v>81</v>
      </c>
      <c r="D38" s="17" t="s">
        <v>10</v>
      </c>
      <c r="E38" s="12" t="s">
        <v>98</v>
      </c>
      <c r="F38" s="29">
        <v>2</v>
      </c>
      <c r="G38" s="25">
        <v>5</v>
      </c>
      <c r="H38" s="31">
        <f t="shared" si="1"/>
        <v>10</v>
      </c>
    </row>
    <row r="39" spans="2:8" ht="63" x14ac:dyDescent="0.2">
      <c r="B39" s="49" t="s">
        <v>74</v>
      </c>
      <c r="C39" s="18" t="s">
        <v>82</v>
      </c>
      <c r="D39" s="17" t="s">
        <v>20</v>
      </c>
      <c r="E39" s="12" t="s">
        <v>104</v>
      </c>
      <c r="F39" s="29">
        <v>-1</v>
      </c>
      <c r="G39" s="25">
        <v>5</v>
      </c>
      <c r="H39" s="31">
        <f t="shared" si="1"/>
        <v>-5</v>
      </c>
    </row>
    <row r="40" spans="2:8" ht="78.75" x14ac:dyDescent="0.2">
      <c r="B40" s="49" t="s">
        <v>75</v>
      </c>
      <c r="C40" s="18" t="s">
        <v>83</v>
      </c>
      <c r="D40" s="50" t="s">
        <v>24</v>
      </c>
      <c r="E40" s="51" t="s">
        <v>99</v>
      </c>
      <c r="F40" s="52">
        <v>-1</v>
      </c>
      <c r="G40" s="53">
        <v>1</v>
      </c>
      <c r="H40" s="31">
        <f t="shared" si="1"/>
        <v>-1</v>
      </c>
    </row>
    <row r="41" spans="2:8" x14ac:dyDescent="0.2">
      <c r="B41" s="100" t="s">
        <v>30</v>
      </c>
      <c r="C41" s="100"/>
      <c r="D41" s="100"/>
      <c r="E41" s="100"/>
      <c r="F41" s="100"/>
      <c r="G41" s="100"/>
      <c r="H41" s="32">
        <f>SUM(H33:H40)</f>
        <v>24.5</v>
      </c>
    </row>
    <row r="42" spans="2:8" x14ac:dyDescent="0.2">
      <c r="B42" s="100" t="s">
        <v>29</v>
      </c>
      <c r="C42" s="100"/>
      <c r="D42" s="100"/>
      <c r="E42" s="100"/>
      <c r="F42" s="100"/>
      <c r="G42" s="100"/>
      <c r="H42" s="27">
        <f>1.4 + (-0.03*H41)</f>
        <v>0.66499999999999992</v>
      </c>
    </row>
    <row r="43" spans="2:8" x14ac:dyDescent="0.2">
      <c r="C43" s="23"/>
      <c r="D43" s="24"/>
      <c r="E43" s="24"/>
      <c r="F43" s="24"/>
      <c r="G43" s="24"/>
    </row>
    <row r="45" spans="2:8" x14ac:dyDescent="0.2">
      <c r="B45" s="102" t="s">
        <v>37</v>
      </c>
      <c r="C45" s="102"/>
      <c r="D45" s="102"/>
      <c r="E45" s="102"/>
      <c r="F45" s="102"/>
      <c r="G45" s="102"/>
      <c r="H45" s="40">
        <f>F10*G29*H42</f>
        <v>25.436249999999998</v>
      </c>
    </row>
  </sheetData>
  <mergeCells count="10">
    <mergeCell ref="C6:E6"/>
    <mergeCell ref="B14:C14"/>
    <mergeCell ref="C7:E7"/>
    <mergeCell ref="C10:E10"/>
    <mergeCell ref="B28:F28"/>
    <mergeCell ref="B29:F29"/>
    <mergeCell ref="B32:C32"/>
    <mergeCell ref="B41:G41"/>
    <mergeCell ref="B42:G42"/>
    <mergeCell ref="B45:G4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5"/>
  <sheetViews>
    <sheetView zoomScaleNormal="100" workbookViewId="0">
      <selection activeCell="C35" sqref="C35"/>
    </sheetView>
  </sheetViews>
  <sheetFormatPr baseColWidth="10" defaultRowHeight="12.75" x14ac:dyDescent="0.2"/>
  <cols>
    <col min="2" max="2" width="19.140625" customWidth="1"/>
    <col min="3" max="3" width="45.140625" customWidth="1"/>
    <col min="4" max="4" width="27.85546875" customWidth="1"/>
    <col min="5" max="5" width="18.7109375" customWidth="1"/>
    <col min="6" max="6" width="10.85546875" customWidth="1"/>
  </cols>
  <sheetData>
    <row r="2" spans="1:6" ht="16.5" customHeight="1" x14ac:dyDescent="0.2">
      <c r="A2" s="6" t="s">
        <v>172</v>
      </c>
      <c r="B2" s="6" t="s">
        <v>15</v>
      </c>
      <c r="C2" s="6" t="s">
        <v>3</v>
      </c>
      <c r="D2" s="7" t="s">
        <v>14</v>
      </c>
      <c r="E2" s="7" t="s">
        <v>16</v>
      </c>
      <c r="F2" s="8" t="s">
        <v>1</v>
      </c>
    </row>
    <row r="3" spans="1:6" ht="15.75" x14ac:dyDescent="0.2">
      <c r="A3" s="98" t="s">
        <v>174</v>
      </c>
      <c r="B3" s="60" t="s">
        <v>39</v>
      </c>
      <c r="C3" s="25" t="s">
        <v>146</v>
      </c>
      <c r="D3" s="33"/>
      <c r="E3" s="22" t="str">
        <f>IF($D3&gt;0,IF($D3&lt;=3,"Simple",IF(AND($D3&gt;3,$D3&lt;7),"Intermedio",IF($D3&gt;=7,"Complejo","error"))),"-")</f>
        <v>-</v>
      </c>
      <c r="F3" s="22">
        <f>IF($D3&gt;0,IF($D3&lt;=3,5,IF(AND($D3&gt;3,$D3&lt;7),10,IF($D3&gt;=7,15,"error"))),0)</f>
        <v>0</v>
      </c>
    </row>
    <row r="4" spans="1:6" ht="15.75" x14ac:dyDescent="0.2">
      <c r="A4" s="98" t="s">
        <v>174</v>
      </c>
      <c r="B4" s="60" t="s">
        <v>40</v>
      </c>
      <c r="C4" s="25" t="s">
        <v>165</v>
      </c>
      <c r="D4" s="33"/>
      <c r="E4" s="22" t="str">
        <f>IF($D4&gt;0,IF($D4&lt;=3,"Simple",IF(AND($D4&gt;3,$D4&lt;7),"Intermedio",IF($D4&gt;=7,"Complejo","error"))),"-")</f>
        <v>-</v>
      </c>
      <c r="F4" s="22">
        <f t="shared" ref="F4:F24" si="0">IF($D4&gt;0,IF($D4&lt;=3,5,IF(AND($D4&gt;3,$D4&lt;7),10,IF($D4&gt;=7,15,"error"))),0)</f>
        <v>0</v>
      </c>
    </row>
    <row r="5" spans="1:6" ht="15.75" x14ac:dyDescent="0.2">
      <c r="A5" s="98" t="s">
        <v>174</v>
      </c>
      <c r="B5" s="60" t="s">
        <v>41</v>
      </c>
      <c r="C5" s="25" t="s">
        <v>147</v>
      </c>
      <c r="D5" s="33"/>
      <c r="E5" s="22" t="str">
        <f t="shared" ref="E5:E24" si="1">IF($D5&gt;0,IF($D5&lt;=3,"Simple",IF(AND($D5&gt;3,$D5&lt;7),"Intermedio",IF($D5&gt;=7,"Complejo","error"))),"-")</f>
        <v>-</v>
      </c>
      <c r="F5" s="22">
        <f t="shared" si="0"/>
        <v>0</v>
      </c>
    </row>
    <row r="6" spans="1:6" ht="15.75" x14ac:dyDescent="0.2">
      <c r="A6" s="98" t="s">
        <v>174</v>
      </c>
      <c r="B6" s="60" t="s">
        <v>148</v>
      </c>
      <c r="C6" s="25" t="s">
        <v>149</v>
      </c>
      <c r="D6" s="33"/>
      <c r="E6" s="22" t="str">
        <f t="shared" si="1"/>
        <v>-</v>
      </c>
      <c r="F6" s="22">
        <f t="shared" si="0"/>
        <v>0</v>
      </c>
    </row>
    <row r="7" spans="1:6" ht="15.75" x14ac:dyDescent="0.2">
      <c r="A7" s="98" t="s">
        <v>174</v>
      </c>
      <c r="B7" s="60" t="s">
        <v>150</v>
      </c>
      <c r="C7" s="25" t="s">
        <v>147</v>
      </c>
      <c r="D7" s="33"/>
      <c r="E7" s="22" t="str">
        <f t="shared" si="1"/>
        <v>-</v>
      </c>
      <c r="F7" s="22">
        <f t="shared" si="0"/>
        <v>0</v>
      </c>
    </row>
    <row r="8" spans="1:6" ht="15.75" x14ac:dyDescent="0.2">
      <c r="A8" s="98" t="s">
        <v>174</v>
      </c>
      <c r="B8" s="60" t="s">
        <v>151</v>
      </c>
      <c r="C8" s="25" t="s">
        <v>178</v>
      </c>
      <c r="D8" s="33"/>
      <c r="E8" s="22" t="str">
        <f t="shared" si="1"/>
        <v>-</v>
      </c>
      <c r="F8" s="22">
        <f t="shared" si="0"/>
        <v>0</v>
      </c>
    </row>
    <row r="9" spans="1:6" ht="15.75" x14ac:dyDescent="0.2">
      <c r="A9" s="98" t="s">
        <v>174</v>
      </c>
      <c r="B9" s="60" t="s">
        <v>152</v>
      </c>
      <c r="C9" s="25" t="s">
        <v>147</v>
      </c>
      <c r="D9" s="33"/>
      <c r="E9" s="22" t="str">
        <f t="shared" si="1"/>
        <v>-</v>
      </c>
      <c r="F9" s="22">
        <f t="shared" si="0"/>
        <v>0</v>
      </c>
    </row>
    <row r="10" spans="1:6" ht="15.75" x14ac:dyDescent="0.2">
      <c r="A10" s="99"/>
      <c r="B10" s="60" t="s">
        <v>153</v>
      </c>
      <c r="C10" s="25" t="s">
        <v>149</v>
      </c>
      <c r="D10" s="33">
        <v>3</v>
      </c>
      <c r="E10" s="22" t="str">
        <f t="shared" si="1"/>
        <v>Simple</v>
      </c>
      <c r="F10" s="22">
        <f t="shared" si="0"/>
        <v>5</v>
      </c>
    </row>
    <row r="11" spans="1:6" ht="15.75" x14ac:dyDescent="0.2">
      <c r="A11" s="97"/>
      <c r="B11" s="60" t="s">
        <v>154</v>
      </c>
      <c r="C11" s="25" t="s">
        <v>147</v>
      </c>
      <c r="D11" s="33">
        <v>2</v>
      </c>
      <c r="E11" s="22" t="str">
        <f t="shared" si="1"/>
        <v>Simple</v>
      </c>
      <c r="F11" s="22">
        <f t="shared" si="0"/>
        <v>5</v>
      </c>
    </row>
    <row r="12" spans="1:6" ht="15.75" x14ac:dyDescent="0.2">
      <c r="A12" s="99" t="s">
        <v>173</v>
      </c>
      <c r="B12" s="60" t="s">
        <v>155</v>
      </c>
      <c r="C12" s="25" t="s">
        <v>156</v>
      </c>
      <c r="D12" s="33">
        <v>3</v>
      </c>
      <c r="E12" s="22" t="str">
        <f t="shared" si="1"/>
        <v>Simple</v>
      </c>
      <c r="F12" s="22">
        <f t="shared" si="0"/>
        <v>5</v>
      </c>
    </row>
    <row r="13" spans="1:6" ht="15.75" x14ac:dyDescent="0.2">
      <c r="A13" s="99" t="s">
        <v>173</v>
      </c>
      <c r="B13" s="60" t="s">
        <v>157</v>
      </c>
      <c r="C13" s="25" t="s">
        <v>149</v>
      </c>
      <c r="D13" s="33">
        <v>3</v>
      </c>
      <c r="E13" s="22" t="str">
        <f t="shared" si="1"/>
        <v>Simple</v>
      </c>
      <c r="F13" s="22">
        <f t="shared" si="0"/>
        <v>5</v>
      </c>
    </row>
    <row r="14" spans="1:6" ht="15.75" x14ac:dyDescent="0.2">
      <c r="A14" s="99" t="s">
        <v>173</v>
      </c>
      <c r="B14" s="60" t="s">
        <v>158</v>
      </c>
      <c r="C14" s="25" t="s">
        <v>147</v>
      </c>
      <c r="D14" s="33">
        <v>2</v>
      </c>
      <c r="E14" s="22" t="str">
        <f t="shared" si="1"/>
        <v>Simple</v>
      </c>
      <c r="F14" s="22">
        <f t="shared" si="0"/>
        <v>5</v>
      </c>
    </row>
    <row r="15" spans="1:6" ht="15.75" x14ac:dyDescent="0.2">
      <c r="A15" s="97"/>
      <c r="B15" s="60" t="s">
        <v>159</v>
      </c>
      <c r="C15" s="25" t="s">
        <v>160</v>
      </c>
      <c r="D15" s="33">
        <v>3</v>
      </c>
      <c r="E15" s="22" t="str">
        <f t="shared" si="1"/>
        <v>Simple</v>
      </c>
      <c r="F15" s="22">
        <f t="shared" si="0"/>
        <v>5</v>
      </c>
    </row>
    <row r="16" spans="1:6" ht="15.75" x14ac:dyDescent="0.2">
      <c r="A16" s="97"/>
      <c r="B16" s="60" t="s">
        <v>161</v>
      </c>
      <c r="C16" s="25" t="s">
        <v>175</v>
      </c>
      <c r="D16" s="33">
        <v>2</v>
      </c>
      <c r="E16" s="22" t="str">
        <f t="shared" si="1"/>
        <v>Simple</v>
      </c>
      <c r="F16" s="22">
        <f t="shared" si="0"/>
        <v>5</v>
      </c>
    </row>
    <row r="17" spans="1:6" ht="15.75" x14ac:dyDescent="0.2">
      <c r="A17" s="99" t="s">
        <v>173</v>
      </c>
      <c r="B17" s="60" t="s">
        <v>162</v>
      </c>
      <c r="C17" s="25" t="s">
        <v>176</v>
      </c>
      <c r="D17" s="33">
        <v>3</v>
      </c>
      <c r="E17" s="22" t="str">
        <f t="shared" si="1"/>
        <v>Simple</v>
      </c>
      <c r="F17" s="22">
        <f t="shared" si="0"/>
        <v>5</v>
      </c>
    </row>
    <row r="18" spans="1:6" ht="15.75" x14ac:dyDescent="0.2">
      <c r="A18" s="98" t="s">
        <v>174</v>
      </c>
      <c r="B18" s="60" t="s">
        <v>163</v>
      </c>
      <c r="C18" s="25" t="s">
        <v>146</v>
      </c>
      <c r="D18" s="33"/>
      <c r="E18" s="22" t="str">
        <f t="shared" si="1"/>
        <v>-</v>
      </c>
      <c r="F18" s="22">
        <f t="shared" si="0"/>
        <v>0</v>
      </c>
    </row>
    <row r="19" spans="1:6" ht="15.75" x14ac:dyDescent="0.2">
      <c r="A19" s="98" t="s">
        <v>174</v>
      </c>
      <c r="B19" s="60" t="s">
        <v>164</v>
      </c>
      <c r="C19" s="25" t="s">
        <v>165</v>
      </c>
      <c r="D19" s="33"/>
      <c r="E19" s="22" t="str">
        <f t="shared" si="1"/>
        <v>-</v>
      </c>
      <c r="F19" s="22">
        <f t="shared" si="0"/>
        <v>0</v>
      </c>
    </row>
    <row r="20" spans="1:6" ht="15.75" x14ac:dyDescent="0.2">
      <c r="A20" s="98" t="s">
        <v>174</v>
      </c>
      <c r="B20" s="60" t="s">
        <v>166</v>
      </c>
      <c r="C20" s="25" t="s">
        <v>147</v>
      </c>
      <c r="D20" s="33"/>
      <c r="E20" s="22" t="str">
        <f t="shared" si="1"/>
        <v>-</v>
      </c>
      <c r="F20" s="22">
        <f t="shared" si="0"/>
        <v>0</v>
      </c>
    </row>
    <row r="21" spans="1:6" ht="15.75" x14ac:dyDescent="0.2">
      <c r="A21" s="98" t="s">
        <v>174</v>
      </c>
      <c r="B21" s="60" t="s">
        <v>167</v>
      </c>
      <c r="C21" s="25" t="s">
        <v>168</v>
      </c>
      <c r="D21" s="33"/>
      <c r="E21" s="22" t="str">
        <f t="shared" si="1"/>
        <v>-</v>
      </c>
      <c r="F21" s="22">
        <f t="shared" si="0"/>
        <v>0</v>
      </c>
    </row>
    <row r="22" spans="1:6" ht="15.75" x14ac:dyDescent="0.2">
      <c r="A22" s="98" t="s">
        <v>174</v>
      </c>
      <c r="B22" s="60" t="s">
        <v>169</v>
      </c>
      <c r="C22" s="25" t="s">
        <v>168</v>
      </c>
      <c r="D22" s="33"/>
      <c r="E22" s="22" t="str">
        <f t="shared" si="1"/>
        <v>-</v>
      </c>
      <c r="F22" s="22">
        <f t="shared" si="0"/>
        <v>0</v>
      </c>
    </row>
    <row r="23" spans="1:6" ht="15.75" x14ac:dyDescent="0.2">
      <c r="A23" s="97"/>
      <c r="B23" s="60" t="s">
        <v>170</v>
      </c>
      <c r="C23" s="25" t="s">
        <v>168</v>
      </c>
      <c r="D23" s="33">
        <v>2</v>
      </c>
      <c r="E23" s="22" t="str">
        <f t="shared" si="1"/>
        <v>Simple</v>
      </c>
      <c r="F23" s="22">
        <f t="shared" si="0"/>
        <v>5</v>
      </c>
    </row>
    <row r="24" spans="1:6" ht="15.75" x14ac:dyDescent="0.2">
      <c r="A24" s="98" t="s">
        <v>174</v>
      </c>
      <c r="B24" s="60" t="s">
        <v>171</v>
      </c>
      <c r="C24" s="25" t="s">
        <v>177</v>
      </c>
      <c r="D24" s="33"/>
      <c r="E24" s="22" t="str">
        <f t="shared" si="1"/>
        <v>-</v>
      </c>
      <c r="F24" s="22">
        <f t="shared" si="0"/>
        <v>0</v>
      </c>
    </row>
    <row r="25" spans="1:6" ht="15.75" x14ac:dyDescent="0.2">
      <c r="B25" s="34"/>
      <c r="C25" s="103" t="s">
        <v>22</v>
      </c>
      <c r="D25" s="104"/>
      <c r="E25" s="104"/>
      <c r="F25" s="35">
        <f>SUM(F3:F24)</f>
        <v>45</v>
      </c>
    </row>
  </sheetData>
  <mergeCells count="1">
    <mergeCell ref="C25:E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topLeftCell="C1" workbookViewId="0">
      <selection activeCell="F15" sqref="F15"/>
    </sheetView>
  </sheetViews>
  <sheetFormatPr baseColWidth="10" defaultRowHeight="12.75" x14ac:dyDescent="0.2"/>
  <cols>
    <col min="2" max="2" width="41.28515625" customWidth="1"/>
    <col min="3" max="3" width="25" customWidth="1"/>
    <col min="4" max="4" width="29.28515625" customWidth="1"/>
    <col min="5" max="5" width="9.7109375" customWidth="1"/>
    <col min="6" max="6" width="17.85546875" customWidth="1"/>
    <col min="7" max="7" width="19.28515625" customWidth="1"/>
  </cols>
  <sheetData>
    <row r="2" spans="2:7" ht="15.75" customHeight="1" x14ac:dyDescent="0.2">
      <c r="B2" s="6" t="s">
        <v>12</v>
      </c>
      <c r="C2" s="7" t="s">
        <v>5</v>
      </c>
      <c r="D2" s="7" t="s">
        <v>0</v>
      </c>
      <c r="E2" s="8" t="s">
        <v>1</v>
      </c>
      <c r="F2" s="6" t="s">
        <v>13</v>
      </c>
      <c r="G2" s="8" t="s">
        <v>2</v>
      </c>
    </row>
    <row r="3" spans="2:7" ht="15.75" x14ac:dyDescent="0.2">
      <c r="B3" s="10" t="s">
        <v>140</v>
      </c>
      <c r="C3" s="21" t="s">
        <v>38</v>
      </c>
      <c r="D3" s="11" t="s">
        <v>141</v>
      </c>
      <c r="E3" s="22">
        <f>IF(C3="Simple",1,IF(C3="Intermedio",2,IF(C3="Complejo",3,"error")))</f>
        <v>3</v>
      </c>
      <c r="F3" s="25">
        <v>1</v>
      </c>
      <c r="G3" s="22">
        <f>E3*F3</f>
        <v>3</v>
      </c>
    </row>
    <row r="4" spans="2:7" ht="15.75" x14ac:dyDescent="0.2">
      <c r="B4" s="10" t="s">
        <v>142</v>
      </c>
      <c r="C4" s="21" t="s">
        <v>38</v>
      </c>
      <c r="D4" s="11" t="s">
        <v>143</v>
      </c>
      <c r="E4" s="22">
        <f>IF(C4="Simple",1,IF(C4="Intermedio",2,IF(C4="Complejo",3,"error")))</f>
        <v>3</v>
      </c>
      <c r="F4" s="25">
        <v>1</v>
      </c>
      <c r="G4" s="22">
        <f>E4*F4</f>
        <v>3</v>
      </c>
    </row>
    <row r="5" spans="2:7" ht="15.75" x14ac:dyDescent="0.2">
      <c r="B5" s="10" t="s">
        <v>144</v>
      </c>
      <c r="C5" s="21" t="s">
        <v>38</v>
      </c>
      <c r="D5" s="11" t="s">
        <v>143</v>
      </c>
      <c r="E5" s="22">
        <f>IF(C5="Simple",1,IF(C5="Intermedio",2,IF(C5="Complejo",3,"error")))</f>
        <v>3</v>
      </c>
      <c r="F5" s="25">
        <v>1</v>
      </c>
      <c r="G5" s="22">
        <f>E5*F5</f>
        <v>3</v>
      </c>
    </row>
    <row r="6" spans="2:7" ht="15.75" x14ac:dyDescent="0.2">
      <c r="B6" s="10" t="s">
        <v>145</v>
      </c>
      <c r="C6" s="21" t="s">
        <v>38</v>
      </c>
      <c r="D6" s="11" t="s">
        <v>143</v>
      </c>
      <c r="E6" s="22">
        <f>IF(C6="Simple",1,IF(C6="Intermedio",2,IF(C6="Complejo",3,"error")))</f>
        <v>3</v>
      </c>
      <c r="F6" s="25">
        <v>1</v>
      </c>
      <c r="G6" s="22">
        <f>E6*F6</f>
        <v>3</v>
      </c>
    </row>
    <row r="7" spans="2:7" ht="15.75" x14ac:dyDescent="0.2">
      <c r="B7" s="13"/>
      <c r="C7" s="100" t="s">
        <v>21</v>
      </c>
      <c r="D7" s="105"/>
      <c r="E7" s="105"/>
      <c r="F7" s="105"/>
      <c r="G7" s="19">
        <f>SUM(G3:G6)</f>
        <v>12</v>
      </c>
    </row>
  </sheetData>
  <mergeCells count="1">
    <mergeCell ref="C7:F7"/>
  </mergeCells>
  <dataValidations count="1">
    <dataValidation type="list" allowBlank="1" showInputMessage="1" showErrorMessage="1" sqref="C3:C6">
      <formula1>"Simple,Intermedio,Complejo"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abSelected="1" topLeftCell="C1" zoomScale="85" zoomScaleNormal="85" workbookViewId="0">
      <selection activeCell="D23" sqref="D23"/>
    </sheetView>
  </sheetViews>
  <sheetFormatPr baseColWidth="10" defaultRowHeight="12.75" x14ac:dyDescent="0.2"/>
  <cols>
    <col min="2" max="2" width="7.28515625" customWidth="1"/>
    <col min="3" max="3" width="63" customWidth="1"/>
    <col min="4" max="4" width="32.28515625" customWidth="1"/>
    <col min="5" max="5" width="19" customWidth="1"/>
    <col min="8" max="8" width="13.42578125" customWidth="1"/>
  </cols>
  <sheetData>
    <row r="1" spans="2:9" ht="13.5" thickBot="1" x14ac:dyDescent="0.25"/>
    <row r="2" spans="2:9" ht="13.5" customHeight="1" thickBot="1" x14ac:dyDescent="0.25">
      <c r="B2" s="129" t="s">
        <v>105</v>
      </c>
      <c r="C2" s="130"/>
      <c r="D2" s="131"/>
    </row>
    <row r="3" spans="2:9" ht="16.5" thickBot="1" x14ac:dyDescent="0.25">
      <c r="B3" s="127" t="s">
        <v>107</v>
      </c>
      <c r="C3" s="128"/>
      <c r="D3" s="61" t="s">
        <v>108</v>
      </c>
    </row>
    <row r="4" spans="2:9" ht="15.75" x14ac:dyDescent="0.2">
      <c r="B4" s="125" t="s">
        <v>106</v>
      </c>
      <c r="C4" s="126"/>
      <c r="D4" s="89">
        <v>20</v>
      </c>
    </row>
    <row r="5" spans="2:9" ht="15.75" x14ac:dyDescent="0.2">
      <c r="B5" s="123" t="s">
        <v>109</v>
      </c>
      <c r="C5" s="124"/>
      <c r="D5" s="75">
        <v>28</v>
      </c>
    </row>
    <row r="6" spans="2:9" ht="16.5" thickBot="1" x14ac:dyDescent="0.25">
      <c r="B6" s="137" t="s">
        <v>110</v>
      </c>
      <c r="C6" s="138"/>
      <c r="D6" s="76">
        <v>36</v>
      </c>
    </row>
    <row r="7" spans="2:9" ht="13.5" thickBot="1" x14ac:dyDescent="0.25"/>
    <row r="8" spans="2:9" ht="16.5" thickBot="1" x14ac:dyDescent="0.3">
      <c r="B8" s="133" t="s">
        <v>111</v>
      </c>
      <c r="C8" s="134"/>
      <c r="D8" s="135"/>
    </row>
    <row r="9" spans="2:9" ht="16.5" thickBot="1" x14ac:dyDescent="0.3">
      <c r="B9" s="133" t="s">
        <v>112</v>
      </c>
      <c r="C9" s="136"/>
      <c r="D9" s="70" t="s">
        <v>113</v>
      </c>
    </row>
    <row r="10" spans="2:9" ht="15.75" x14ac:dyDescent="0.25">
      <c r="B10" s="64" t="s">
        <v>68</v>
      </c>
      <c r="C10" s="67" t="s">
        <v>76</v>
      </c>
      <c r="D10" s="71">
        <f>IF(PCU!G33&lt;3,1,0)</f>
        <v>0</v>
      </c>
    </row>
    <row r="11" spans="2:9" ht="15.75" x14ac:dyDescent="0.25">
      <c r="B11" s="65" t="s">
        <v>69</v>
      </c>
      <c r="C11" s="68" t="s">
        <v>77</v>
      </c>
      <c r="D11" s="72">
        <f>IF(PCU!G34&lt;3,1,0)</f>
        <v>0</v>
      </c>
    </row>
    <row r="12" spans="2:9" ht="16.5" thickBot="1" x14ac:dyDescent="0.3">
      <c r="B12" s="65" t="s">
        <v>70</v>
      </c>
      <c r="C12" s="68" t="s">
        <v>78</v>
      </c>
      <c r="D12" s="72">
        <f>IF(PCU!G35&lt;3,1,0)</f>
        <v>0</v>
      </c>
    </row>
    <row r="13" spans="2:9" ht="16.5" thickBot="1" x14ac:dyDescent="0.3">
      <c r="B13" s="65" t="s">
        <v>71</v>
      </c>
      <c r="C13" s="68" t="s">
        <v>79</v>
      </c>
      <c r="D13" s="72">
        <f>IF(PCU!G36&lt;3,1,0)</f>
        <v>0</v>
      </c>
      <c r="G13" s="108" t="s">
        <v>135</v>
      </c>
      <c r="H13" s="141"/>
      <c r="I13" s="95">
        <v>3</v>
      </c>
    </row>
    <row r="14" spans="2:9" ht="15.75" x14ac:dyDescent="0.25">
      <c r="B14" s="65" t="s">
        <v>72</v>
      </c>
      <c r="C14" s="68" t="s">
        <v>80</v>
      </c>
      <c r="D14" s="72">
        <f>IF(PCU!G37&lt;3,1,0)</f>
        <v>0</v>
      </c>
    </row>
    <row r="15" spans="2:9" ht="15.75" x14ac:dyDescent="0.25">
      <c r="B15" s="65" t="s">
        <v>73</v>
      </c>
      <c r="C15" s="68" t="s">
        <v>81</v>
      </c>
      <c r="D15" s="72">
        <f>IF(PCU!G38&lt;3,1,0)</f>
        <v>0</v>
      </c>
    </row>
    <row r="16" spans="2:9" ht="15.75" x14ac:dyDescent="0.25">
      <c r="B16" s="65" t="s">
        <v>74</v>
      </c>
      <c r="C16" s="68" t="s">
        <v>82</v>
      </c>
      <c r="D16" s="72">
        <f>IF(PCU!G39&gt;3,1,0)</f>
        <v>1</v>
      </c>
    </row>
    <row r="17" spans="2:12" ht="16.5" thickBot="1" x14ac:dyDescent="0.3">
      <c r="B17" s="66" t="s">
        <v>75</v>
      </c>
      <c r="C17" s="69" t="s">
        <v>83</v>
      </c>
      <c r="D17" s="73">
        <f>IF(PCU!G40&gt;3,1,0)</f>
        <v>0</v>
      </c>
    </row>
    <row r="18" spans="2:12" ht="16.5" thickBot="1" x14ac:dyDescent="0.3">
      <c r="B18" s="113" t="s">
        <v>114</v>
      </c>
      <c r="C18" s="132"/>
      <c r="D18" s="74">
        <f>SUM(D10:D17)</f>
        <v>1</v>
      </c>
      <c r="H18" s="92" t="s">
        <v>128</v>
      </c>
      <c r="I18" s="106" t="s">
        <v>126</v>
      </c>
      <c r="J18" s="107"/>
      <c r="K18" s="106" t="s">
        <v>127</v>
      </c>
      <c r="L18" s="107"/>
    </row>
    <row r="19" spans="2:12" ht="13.5" thickBot="1" x14ac:dyDescent="0.25">
      <c r="H19" s="92" t="s">
        <v>129</v>
      </c>
      <c r="I19" s="94" t="s">
        <v>132</v>
      </c>
      <c r="J19" s="94" t="s">
        <v>133</v>
      </c>
      <c r="K19" s="94" t="s">
        <v>132</v>
      </c>
      <c r="L19" s="94" t="s">
        <v>133</v>
      </c>
    </row>
    <row r="20" spans="2:12" ht="16.5" thickBot="1" x14ac:dyDescent="0.3">
      <c r="B20" s="113" t="s">
        <v>115</v>
      </c>
      <c r="C20" s="114"/>
      <c r="D20" s="77">
        <f>IF($D18&lt;3,20,IF(AND($D18&gt;2,$D18&lt;5),28,IF($D18&gt;4,36,"error")))</f>
        <v>20</v>
      </c>
      <c r="H20" s="93" t="s">
        <v>130</v>
      </c>
      <c r="I20" s="91" t="s">
        <v>134</v>
      </c>
      <c r="J20" s="90" t="s">
        <v>134</v>
      </c>
      <c r="K20" s="90" t="s">
        <v>134</v>
      </c>
      <c r="L20" s="90" t="s">
        <v>134</v>
      </c>
    </row>
    <row r="21" spans="2:12" ht="13.5" thickBot="1" x14ac:dyDescent="0.25">
      <c r="G21" s="139" t="s">
        <v>131</v>
      </c>
      <c r="H21" s="140"/>
      <c r="I21" s="96" t="s">
        <v>136</v>
      </c>
      <c r="J21" s="96" t="s">
        <v>136</v>
      </c>
      <c r="K21" s="96" t="s">
        <v>136</v>
      </c>
      <c r="L21" s="96" t="s">
        <v>136</v>
      </c>
    </row>
    <row r="22" spans="2:12" ht="13.5" thickBot="1" x14ac:dyDescent="0.25">
      <c r="B22" s="62"/>
      <c r="C22" s="62"/>
      <c r="D22" s="62"/>
      <c r="G22" s="108" t="s">
        <v>137</v>
      </c>
      <c r="H22" s="110"/>
      <c r="I22" s="96" t="s">
        <v>136</v>
      </c>
      <c r="J22" s="96" t="s">
        <v>136</v>
      </c>
      <c r="K22" s="96" t="s">
        <v>136</v>
      </c>
      <c r="L22" s="96" t="s">
        <v>136</v>
      </c>
    </row>
    <row r="23" spans="2:12" ht="16.5" thickBot="1" x14ac:dyDescent="0.3">
      <c r="B23" s="113" t="s">
        <v>116</v>
      </c>
      <c r="C23" s="114"/>
      <c r="D23" s="77">
        <f>PCU!H45*'Estimacion h-h'!D20</f>
        <v>508.72499999999997</v>
      </c>
    </row>
    <row r="24" spans="2:12" ht="16.5" thickBot="1" x14ac:dyDescent="0.25">
      <c r="B24" s="62"/>
      <c r="C24" s="63"/>
      <c r="D24" s="62"/>
    </row>
    <row r="25" spans="2:12" ht="16.5" thickBot="1" x14ac:dyDescent="0.3">
      <c r="B25" s="119" t="s">
        <v>117</v>
      </c>
      <c r="C25" s="120"/>
      <c r="D25" s="79" t="s">
        <v>119</v>
      </c>
      <c r="E25" s="78" t="s">
        <v>118</v>
      </c>
    </row>
    <row r="26" spans="2:12" ht="15.75" customHeight="1" thickBot="1" x14ac:dyDescent="0.3">
      <c r="B26" s="121" t="s">
        <v>121</v>
      </c>
      <c r="C26" s="122"/>
      <c r="D26" s="80">
        <f xml:space="preserve"> ( (( D23*100 ) / 40)*10 ) / 100</f>
        <v>127.18125000000001</v>
      </c>
      <c r="E26" s="83">
        <v>0.1</v>
      </c>
    </row>
    <row r="27" spans="2:12" ht="16.5" thickBot="1" x14ac:dyDescent="0.3">
      <c r="B27" s="117" t="s">
        <v>122</v>
      </c>
      <c r="C27" s="118"/>
      <c r="D27" s="81">
        <f xml:space="preserve"> ( (( D23*100 ) / 40)*20 ) / 100</f>
        <v>254.36250000000001</v>
      </c>
      <c r="E27" s="84">
        <v>0.2</v>
      </c>
      <c r="I27" s="108" t="s">
        <v>139</v>
      </c>
      <c r="J27" s="109"/>
      <c r="K27" s="109"/>
      <c r="L27" s="110"/>
    </row>
    <row r="28" spans="2:12" ht="16.5" thickBot="1" x14ac:dyDescent="0.3">
      <c r="B28" s="117" t="s">
        <v>123</v>
      </c>
      <c r="C28" s="118"/>
      <c r="D28" s="81">
        <f>D23</f>
        <v>508.72499999999997</v>
      </c>
      <c r="E28" s="84">
        <v>0.4</v>
      </c>
      <c r="I28" s="106">
        <f>(D31)/4</f>
        <v>222.56718749999999</v>
      </c>
      <c r="J28" s="107"/>
      <c r="K28" s="106">
        <f>(D31)/8</f>
        <v>111.28359374999999</v>
      </c>
      <c r="L28" s="107"/>
    </row>
    <row r="29" spans="2:12" ht="15.75" x14ac:dyDescent="0.25">
      <c r="B29" s="117" t="s">
        <v>124</v>
      </c>
      <c r="C29" s="118"/>
      <c r="D29" s="81">
        <f xml:space="preserve"> ( (( D23*100 ) / 40)*15 ) / 100</f>
        <v>190.77187499999999</v>
      </c>
      <c r="E29" s="84">
        <v>0.15</v>
      </c>
      <c r="I29" s="86">
        <f>I28/22</f>
        <v>10.11669034090909</v>
      </c>
      <c r="J29" s="86">
        <f>I28/26</f>
        <v>8.5602764423076927</v>
      </c>
      <c r="K29" s="86">
        <f>K28/22</f>
        <v>5.0583451704545448</v>
      </c>
      <c r="L29" s="86">
        <f>K28/26</f>
        <v>4.2801382211538463</v>
      </c>
    </row>
    <row r="30" spans="2:12" ht="16.5" thickBot="1" x14ac:dyDescent="0.3">
      <c r="B30" s="111" t="s">
        <v>125</v>
      </c>
      <c r="C30" s="112"/>
      <c r="D30" s="82">
        <f xml:space="preserve"> ( (( D23*100 ) / 40)*15 ) / 100</f>
        <v>190.77187499999999</v>
      </c>
      <c r="E30" s="85">
        <v>0.15</v>
      </c>
      <c r="I30" s="87">
        <f>I29/12</f>
        <v>0.84305752840909076</v>
      </c>
      <c r="J30" s="87">
        <f>J29/12</f>
        <v>0.71335637019230769</v>
      </c>
      <c r="K30" s="87">
        <f>K29/12</f>
        <v>0.42152876420454538</v>
      </c>
      <c r="L30" s="87">
        <f>L29/12</f>
        <v>0.35667818509615384</v>
      </c>
    </row>
    <row r="31" spans="2:12" ht="16.5" thickBot="1" x14ac:dyDescent="0.3">
      <c r="B31" s="113" t="s">
        <v>120</v>
      </c>
      <c r="C31" s="114"/>
      <c r="D31" s="115">
        <f xml:space="preserve"> SUM( D28:D30 )</f>
        <v>890.26874999999995</v>
      </c>
      <c r="E31" s="116"/>
      <c r="I31" s="88">
        <f>I30/I13</f>
        <v>0.28101917613636357</v>
      </c>
      <c r="J31" s="88">
        <f>J30/I13</f>
        <v>0.23778545673076923</v>
      </c>
      <c r="K31" s="88">
        <f>K30/I13</f>
        <v>0.14050958806818178</v>
      </c>
      <c r="L31" s="88">
        <f>L30/I13</f>
        <v>0.11889272836538461</v>
      </c>
    </row>
    <row r="32" spans="2:12" ht="13.5" thickBot="1" x14ac:dyDescent="0.25">
      <c r="I32" s="90">
        <f t="shared" ref="I32:K32" si="0">12*I31</f>
        <v>3.3722301136363626</v>
      </c>
      <c r="J32" s="90">
        <f t="shared" si="0"/>
        <v>2.8534254807692307</v>
      </c>
      <c r="K32" s="90">
        <f t="shared" si="0"/>
        <v>1.6861150568181813</v>
      </c>
      <c r="L32" s="90">
        <f>12*L31</f>
        <v>1.4267127403846154</v>
      </c>
    </row>
    <row r="37" spans="9:12" ht="13.5" thickBot="1" x14ac:dyDescent="0.25"/>
    <row r="38" spans="9:12" ht="13.5" thickBot="1" x14ac:dyDescent="0.25">
      <c r="I38" s="108" t="s">
        <v>138</v>
      </c>
      <c r="J38" s="109"/>
      <c r="K38" s="109"/>
      <c r="L38" s="110"/>
    </row>
    <row r="39" spans="9:12" ht="13.5" thickBot="1" x14ac:dyDescent="0.25">
      <c r="I39" s="106">
        <f>(D23)/4</f>
        <v>127.18124999999999</v>
      </c>
      <c r="J39" s="107"/>
      <c r="K39" s="106">
        <f>(D23)/8</f>
        <v>63.590624999999996</v>
      </c>
      <c r="L39" s="107"/>
    </row>
    <row r="40" spans="9:12" x14ac:dyDescent="0.2">
      <c r="I40" s="86">
        <f>I39/22</f>
        <v>5.7809659090909085</v>
      </c>
      <c r="J40" s="86">
        <f>I39/26</f>
        <v>4.8915865384615378</v>
      </c>
      <c r="K40" s="86">
        <f>K39/22</f>
        <v>2.8904829545454542</v>
      </c>
      <c r="L40" s="86">
        <f>K39/26</f>
        <v>2.4457932692307689</v>
      </c>
    </row>
    <row r="41" spans="9:12" x14ac:dyDescent="0.2">
      <c r="I41" s="87">
        <f>I40/12</f>
        <v>0.48174715909090904</v>
      </c>
      <c r="J41" s="87">
        <f>J40/12</f>
        <v>0.40763221153846146</v>
      </c>
      <c r="K41" s="87">
        <f>K40/12</f>
        <v>0.24087357954545452</v>
      </c>
      <c r="L41" s="87">
        <f>L40/12</f>
        <v>0.20381610576923073</v>
      </c>
    </row>
    <row r="42" spans="9:12" ht="13.5" thickBot="1" x14ac:dyDescent="0.25">
      <c r="I42" s="88">
        <f>I41/I13</f>
        <v>0.16058238636363634</v>
      </c>
      <c r="J42" s="88">
        <f>J41/I13</f>
        <v>0.13587740384615382</v>
      </c>
      <c r="K42" s="88">
        <f>K41/I13</f>
        <v>8.0291193181818168E-2</v>
      </c>
      <c r="L42" s="88">
        <f>L41/I13</f>
        <v>6.7938701923076911E-2</v>
      </c>
    </row>
    <row r="43" spans="9:12" ht="13.5" thickBot="1" x14ac:dyDescent="0.25">
      <c r="I43" s="90">
        <f t="shared" ref="I43:K43" si="1">12*I42</f>
        <v>1.9269886363636362</v>
      </c>
      <c r="J43" s="90">
        <f t="shared" si="1"/>
        <v>1.6305288461538459</v>
      </c>
      <c r="K43" s="90">
        <f t="shared" si="1"/>
        <v>0.96349431818181808</v>
      </c>
      <c r="L43" s="90">
        <f>12*L42</f>
        <v>0.81526442307692293</v>
      </c>
    </row>
  </sheetData>
  <mergeCells count="29">
    <mergeCell ref="B5:C5"/>
    <mergeCell ref="B4:C4"/>
    <mergeCell ref="B3:C3"/>
    <mergeCell ref="B2:D2"/>
    <mergeCell ref="K28:L28"/>
    <mergeCell ref="I28:J28"/>
    <mergeCell ref="B18:C18"/>
    <mergeCell ref="B20:C20"/>
    <mergeCell ref="B8:D8"/>
    <mergeCell ref="B9:C9"/>
    <mergeCell ref="B6:C6"/>
    <mergeCell ref="I18:J18"/>
    <mergeCell ref="K18:L18"/>
    <mergeCell ref="G21:H21"/>
    <mergeCell ref="G13:H13"/>
    <mergeCell ref="G22:H22"/>
    <mergeCell ref="B23:C23"/>
    <mergeCell ref="B25:C25"/>
    <mergeCell ref="B26:C26"/>
    <mergeCell ref="B27:C27"/>
    <mergeCell ref="B28:C28"/>
    <mergeCell ref="I39:J39"/>
    <mergeCell ref="K39:L39"/>
    <mergeCell ref="I38:L38"/>
    <mergeCell ref="I27:L27"/>
    <mergeCell ref="B30:C30"/>
    <mergeCell ref="B31:C31"/>
    <mergeCell ref="D31:E31"/>
    <mergeCell ref="B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PCU</vt:lpstr>
      <vt:lpstr>Casos De Uso</vt:lpstr>
      <vt:lpstr>Actores</vt:lpstr>
      <vt:lpstr>Estimacion h-h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creator>LGA</dc:creator>
  <cp:lastModifiedBy>Full name</cp:lastModifiedBy>
  <dcterms:created xsi:type="dcterms:W3CDTF">2000-05-31T23:05:17Z</dcterms:created>
  <dcterms:modified xsi:type="dcterms:W3CDTF">2018-04-20T18:12:03Z</dcterms:modified>
  <cp:category>Template</cp:category>
</cp:coreProperties>
</file>