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UNPA\3° Año\Laboratorio de Desarrollo de Software\Estimacion por CU\"/>
    </mc:Choice>
  </mc:AlternateContent>
  <bookViews>
    <workbookView xWindow="0" yWindow="0" windowWidth="28800" windowHeight="12435" activeTab="1"/>
  </bookViews>
  <sheets>
    <sheet name="PCU" sheetId="2" r:id="rId1"/>
    <sheet name="Casos De Uso" sheetId="4" r:id="rId2"/>
    <sheet name="Actores" sheetId="5" r:id="rId3"/>
    <sheet name="Estimacion h-h" sheetId="6" r:id="rId4"/>
  </sheets>
  <definedNames>
    <definedName name="AUCP">#REF!</definedName>
    <definedName name="EF">#REF!</definedName>
    <definedName name="estimacionEsfuerzo">#REF!</definedName>
    <definedName name="TAW">#REF!</definedName>
    <definedName name="TBF">#REF!</definedName>
    <definedName name="TCF">#REF!</definedName>
    <definedName name="UAW">#REF!</definedName>
    <definedName name="UUCP">#REF!</definedName>
  </definedNames>
  <calcPr calcId="152511"/>
</workbook>
</file>

<file path=xl/calcChain.xml><?xml version="1.0" encoding="utf-8"?>
<calcChain xmlns="http://schemas.openxmlformats.org/spreadsheetml/2006/main">
  <c r="H35" i="6" l="1"/>
  <c r="H36" i="6"/>
  <c r="I28" i="6"/>
  <c r="I36" i="6" l="1"/>
  <c r="H37" i="6"/>
  <c r="F24" i="4"/>
  <c r="L34" i="6"/>
  <c r="L33" i="6"/>
  <c r="D17" i="6"/>
  <c r="D18" i="6"/>
  <c r="D16" i="6"/>
  <c r="D11" i="6"/>
  <c r="D12" i="6"/>
  <c r="D13" i="6"/>
  <c r="D14" i="6"/>
  <c r="D15" i="6"/>
  <c r="D10" i="6"/>
  <c r="E4" i="4" l="1"/>
  <c r="D20" i="6" l="1"/>
  <c r="E6" i="5"/>
  <c r="G6" i="5" s="1"/>
  <c r="E5" i="5"/>
  <c r="G5" i="5" s="1"/>
  <c r="E4" i="5"/>
  <c r="G4" i="5" s="1"/>
  <c r="E3" i="5"/>
  <c r="G3" i="5" s="1"/>
  <c r="G7" i="5" s="1"/>
  <c r="F6" i="2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F3" i="4"/>
  <c r="E3" i="4"/>
  <c r="H40" i="2" l="1"/>
  <c r="H39" i="2"/>
  <c r="H38" i="2"/>
  <c r="H37" i="2"/>
  <c r="H36" i="2"/>
  <c r="H35" i="2"/>
  <c r="H34" i="2"/>
  <c r="H33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H41" i="2" l="1"/>
  <c r="H42" i="2" s="1"/>
  <c r="G28" i="2"/>
  <c r="G29" i="2" s="1"/>
  <c r="F7" i="2" l="1"/>
  <c r="F10" i="2" s="1"/>
  <c r="H45" i="2" s="1"/>
  <c r="D23" i="6" l="1"/>
  <c r="D28" i="6" s="1"/>
  <c r="D31" i="6" s="1"/>
  <c r="K28" i="6" l="1"/>
  <c r="D30" i="6"/>
  <c r="D26" i="6"/>
  <c r="D29" i="6"/>
  <c r="D27" i="6"/>
  <c r="J29" i="6" l="1"/>
  <c r="J30" i="6" s="1"/>
  <c r="J31" i="6" s="1"/>
  <c r="I29" i="6"/>
  <c r="I30" i="6" s="1"/>
  <c r="I31" i="6" s="1"/>
  <c r="L29" i="6"/>
  <c r="L30" i="6" s="1"/>
  <c r="L31" i="6" s="1"/>
  <c r="K29" i="6"/>
  <c r="K30" i="6" s="1"/>
  <c r="K31" i="6" s="1"/>
</calcChain>
</file>

<file path=xl/comments1.xml><?xml version="1.0" encoding="utf-8"?>
<comments xmlns="http://schemas.openxmlformats.org/spreadsheetml/2006/main">
  <authors>
    <author>Leonardo G A</author>
  </authors>
  <commentList>
    <comment ref="D14" authorId="0" shapeId="0">
      <text>
        <r>
          <rPr>
            <sz val="9"/>
            <color indexed="81"/>
            <rFont val="Tahoma"/>
            <family val="2"/>
          </rPr>
          <t>Completar conforme al conocimiento del problema.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 xml:space="preserve">NO TOCAR
</t>
        </r>
      </text>
    </comment>
    <comment ref="F14" authorId="0" shapeId="0">
      <text>
        <r>
          <rPr>
            <sz val="9"/>
            <color indexed="81"/>
            <rFont val="Tahoma"/>
            <family val="2"/>
          </rPr>
          <t xml:space="preserve">Completar conforme al conocimiento del problema.
</t>
        </r>
      </text>
    </comment>
    <comment ref="E32" authorId="0" shapeId="0">
      <text>
        <r>
          <rPr>
            <sz val="9"/>
            <color indexed="81"/>
            <rFont val="Tahoma"/>
            <family val="2"/>
          </rPr>
          <t>Completar conforme al conocimiento del problema.</t>
        </r>
      </text>
    </comment>
    <comment ref="F32" authorId="0" shapeId="0">
      <text>
        <r>
          <rPr>
            <sz val="9"/>
            <color indexed="81"/>
            <rFont val="Tahoma"/>
            <family val="2"/>
          </rPr>
          <t xml:space="preserve">NO TOCAR
</t>
        </r>
      </text>
    </comment>
    <comment ref="G32" authorId="0" shapeId="0">
      <text>
        <r>
          <rPr>
            <sz val="9"/>
            <color indexed="81"/>
            <rFont val="Tahoma"/>
            <family val="2"/>
          </rPr>
          <t xml:space="preserve">Completar conforme al conocimiento del problema.
</t>
        </r>
      </text>
    </comment>
  </commentList>
</comments>
</file>

<file path=xl/comments2.xml><?xml version="1.0" encoding="utf-8"?>
<comments xmlns="http://schemas.openxmlformats.org/spreadsheetml/2006/main">
  <authors>
    <author>Leonardo G A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CU01: "…"
CU02: "…"
CU..: "…"</t>
        </r>
      </text>
    </comment>
    <comment ref="C2" authorId="0" shapeId="0">
      <text>
        <r>
          <rPr>
            <sz val="9"/>
            <color indexed="81"/>
            <rFont val="Tahoma"/>
            <family val="2"/>
          </rPr>
          <t xml:space="preserve">Pasos: 1, 2, … ,n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Contar las transacciones de acuerdo a la bibliografía.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Leonardo G A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 xml:space="preserve">Actor1,
Actor 2,
...
</t>
        </r>
      </text>
    </comment>
    <comment ref="C2" authorId="0" shapeId="0">
      <text>
        <r>
          <rPr>
            <sz val="9"/>
            <color indexed="81"/>
            <rFont val="Tahoma"/>
            <family val="2"/>
          </rPr>
          <t xml:space="preserve">Simple: 1
  - Otro sistema a través de una API 
Intermedio: 2 
  - Otro sistema a través de un protocolo 
  - Operador humano a través de interfaz de comandos de texto
Complejo: 3
  - Operador a través de GUI
 </t>
        </r>
      </text>
    </comment>
  </commentList>
</comments>
</file>

<file path=xl/sharedStrings.xml><?xml version="1.0" encoding="utf-8"?>
<sst xmlns="http://schemas.openxmlformats.org/spreadsheetml/2006/main" count="202" uniqueCount="161">
  <si>
    <t>Descripción</t>
  </si>
  <si>
    <t>Peso</t>
  </si>
  <si>
    <t>Valor ponderado</t>
  </si>
  <si>
    <t>Comentario</t>
  </si>
  <si>
    <t>Razón</t>
  </si>
  <si>
    <t>Factor de Peso Actores</t>
  </si>
  <si>
    <t>Escala de 0 a 5</t>
  </si>
  <si>
    <t>0=no importante  5=esencial</t>
  </si>
  <si>
    <t>0 = sin experiencia, 3=media, 5=experto</t>
  </si>
  <si>
    <t>0=sin, 3=media, 5=alta</t>
  </si>
  <si>
    <t>0=extremadamente inestable, 5=no cambian</t>
  </si>
  <si>
    <t>Escala de asignación</t>
  </si>
  <si>
    <t>Actor</t>
  </si>
  <si>
    <t>Número actores</t>
  </si>
  <si>
    <t>Número de transacciones</t>
  </si>
  <si>
    <t>Casos de Uso</t>
  </si>
  <si>
    <t>Complejidad</t>
  </si>
  <si>
    <t>Factor de Complejidad Técnica (TCF) = 0,06 + 0,01*Factores Técnicos</t>
  </si>
  <si>
    <t>Características especiales</t>
  </si>
  <si>
    <t>Impacto</t>
  </si>
  <si>
    <t>0=0% tiempo parcial, 1=h/10% t. parcial, 2=h/20% t. parcial, 3=h/40% t. parcial, 4=h/60% t. paricial, 5= más de 60% t. parcial</t>
  </si>
  <si>
    <t xml:space="preserve">Peso Total Actores, sin ajustar (UAW) </t>
  </si>
  <si>
    <t xml:space="preserve">Peso Total CU, sin ajustar (UUCW) </t>
  </si>
  <si>
    <t>Puntos de CU No Ajustados (UUCP) = UAW + UUCW</t>
  </si>
  <si>
    <t>0=todos miembros muy experimentados. 1= Mayoría +2años experiencia. 2. Todos +18 meses experiencia 3. Mayoría +18 meses experiencia 4. Pocos hasta 1 año experiencia 5. Ninguno experiencia</t>
  </si>
  <si>
    <t>ESTIMACIÓN PUNTOS CASO DE USO</t>
  </si>
  <si>
    <t>Entradas</t>
  </si>
  <si>
    <t>Cálculos</t>
  </si>
  <si>
    <t>Salidas</t>
  </si>
  <si>
    <t>Factor de Entorno (EF) = 1.4 + (-0.03*EFactor)</t>
  </si>
  <si>
    <t>EFactor</t>
  </si>
  <si>
    <t>TFactor</t>
  </si>
  <si>
    <t>Gestor de Proyecto: GP</t>
  </si>
  <si>
    <t>Proyecto: PPPPPPPP</t>
  </si>
  <si>
    <t>Factor Técnico</t>
  </si>
  <si>
    <t>Factor de Entorno</t>
  </si>
  <si>
    <t>Evaluación (Tlevel)</t>
  </si>
  <si>
    <t>Evaluación (Elevel)</t>
  </si>
  <si>
    <t>Puntos de Casos de Uso Ajustados  (UCP) = UUCP * TCF * EF</t>
  </si>
  <si>
    <t>Complejo</t>
  </si>
  <si>
    <t>CU01</t>
  </si>
  <si>
    <t>CU02</t>
  </si>
  <si>
    <t>CU03</t>
  </si>
  <si>
    <t>CU04</t>
  </si>
  <si>
    <t>CU05</t>
  </si>
  <si>
    <t>CU06</t>
  </si>
  <si>
    <t>CU07</t>
  </si>
  <si>
    <t>CU08</t>
  </si>
  <si>
    <t>CU09</t>
  </si>
  <si>
    <t>CU10</t>
  </si>
  <si>
    <t>CU11</t>
  </si>
  <si>
    <t>CU12</t>
  </si>
  <si>
    <t>CU13</t>
  </si>
  <si>
    <t>CU14</t>
  </si>
  <si>
    <t>CU15</t>
  </si>
  <si>
    <t>CU16</t>
  </si>
  <si>
    <t>CU17</t>
  </si>
  <si>
    <t>CU18</t>
  </si>
  <si>
    <t>CU19</t>
  </si>
  <si>
    <t>CU20</t>
  </si>
  <si>
    <t>CU21</t>
  </si>
  <si>
    <t>(3-4), (5).</t>
  </si>
  <si>
    <t>(3), (4), (5).</t>
  </si>
  <si>
    <t>(2), (3).</t>
  </si>
  <si>
    <t>(2), (4-5), (6).</t>
  </si>
  <si>
    <t>(3), (4).</t>
  </si>
  <si>
    <t>(2-3), (4).</t>
  </si>
  <si>
    <t>Valorador</t>
  </si>
  <si>
    <t>AdministradorSistema</t>
  </si>
  <si>
    <t>EncargadoServicio</t>
  </si>
  <si>
    <t>ConsultorEstadistico</t>
  </si>
  <si>
    <t>GUI - (App Movil)</t>
  </si>
  <si>
    <t>GUI - (App Web)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</si>
  <si>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</si>
  <si>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</si>
  <si>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</si>
  <si>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</si>
  <si>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</si>
  <si>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</si>
  <si>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</si>
  <si>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</si>
  <si>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</si>
  <si>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T12</t>
  </si>
  <si>
    <t>T10</t>
  </si>
  <si>
    <t>T11</t>
  </si>
  <si>
    <t>T13</t>
  </si>
  <si>
    <t>Sistema Distribuido</t>
  </si>
  <si>
    <t>Objetivos de Desempeño o Tiempo de Respuesta</t>
  </si>
  <si>
    <t>Eficiencia Usuario Final</t>
  </si>
  <si>
    <t>Procesamiento Interno Complejo</t>
  </si>
  <si>
    <t>Código Debe Ser Reusable</t>
  </si>
  <si>
    <t>Facilidad de Instalación</t>
  </si>
  <si>
    <t>Facilidad de Uso</t>
  </si>
  <si>
    <t>Portabilidad</t>
  </si>
  <si>
    <t>Facilidad de Cambio</t>
  </si>
  <si>
    <t>Incluye Características Especiales de Seguridad</t>
  </si>
  <si>
    <t>Concurrencia</t>
  </si>
  <si>
    <t>Provee Acceso Directo a Terceros</t>
  </si>
  <si>
    <t xml:space="preserve">Se Requieren Ayudas Especiales de Entrenamiento de Usuarios </t>
  </si>
  <si>
    <t>E1</t>
  </si>
  <si>
    <t>E2</t>
  </si>
  <si>
    <t>E3</t>
  </si>
  <si>
    <t>E4</t>
  </si>
  <si>
    <t>E5</t>
  </si>
  <si>
    <t>E6</t>
  </si>
  <si>
    <t>E7</t>
  </si>
  <si>
    <t>E8</t>
  </si>
  <si>
    <t>Familiaridad con un Proceso Definido</t>
  </si>
  <si>
    <t>Experiencia en el Dominio de Aplicación</t>
  </si>
  <si>
    <t>Experiencia en Orientación a Objetos</t>
  </si>
  <si>
    <t>Capacidad de Liderazgo de Analistas</t>
  </si>
  <si>
    <t>Motivación</t>
  </si>
  <si>
    <t>Requerimientos Estables</t>
  </si>
  <si>
    <t>Miembros a Tiempo Parcial</t>
  </si>
  <si>
    <t>Dificultad con el lenguaje de Programación</t>
  </si>
  <si>
    <t>No posee un procesamiento complejo.</t>
  </si>
  <si>
    <t>Según el tipo de desarrollo del proyecto, el software desarrollado debe de ser reusable.</t>
  </si>
  <si>
    <t>El sisteme debe ser confiable para el usuario valorador.</t>
  </si>
  <si>
    <t>Arquitectura Cliente-Servidor.</t>
  </si>
  <si>
    <t>No debe de presentar dificultad en su operación.</t>
  </si>
  <si>
    <t>El sistema debe de presentar una considerable facilidad al cambio y agregado de características y funcionalidades.</t>
  </si>
  <si>
    <t>El sistema poseerá una concurrencia moderada.</t>
  </si>
  <si>
    <t>No posee grandes consideraciones en lo que refiere a la seguridad.</t>
  </si>
  <si>
    <t>Las características principales de la aplicación están enfocadas un usuario ajeno a la empresa del cliente.</t>
  </si>
  <si>
    <t>El sistema no debe de requerir ayuda especial de entrenamiento para poder ser usado.</t>
  </si>
  <si>
    <t>Solo conocimientos teóricos.</t>
  </si>
  <si>
    <t>Nunca se realizao una aplicación en el dominio</t>
  </si>
  <si>
    <t>Alta experiencia en la Orientacion de Objetos.</t>
  </si>
  <si>
    <t>Alta motivacion por parte de los miembros del grupo.</t>
  </si>
  <si>
    <t>Requerimientos principales ya definidos.</t>
  </si>
  <si>
    <t>No se posee gran cantidad de experiencia real en el lenguaje a utilizar.</t>
  </si>
  <si>
    <t>(3), (4), (5) + ( [CU01] = (3-4), (5) ) + ( [CU03] = (2), (3) )</t>
  </si>
  <si>
    <t>(3), (4), (5), (6) + ( [CU07] = (2), (3) )</t>
  </si>
  <si>
    <t>(2), (3) + ( [CU14] = (2-3) )</t>
  </si>
  <si>
    <t>(3), (4), (5) + ( [CU16] = (3-4), (5) + ( [CU17] = (2-3), (4) ) ) + ( [CU18] = (2-3) ) + ( [CU19] = (3-4) ) + ( [CU20] = (3-4) )</t>
  </si>
  <si>
    <t>Esta característica ya es gestionada por el entorno de programación elegido.</t>
  </si>
  <si>
    <t>El sistema debe ser confiable y debe de contar con un tiempo de desempeño corto. Sin ser un requerimiento critico.</t>
  </si>
  <si>
    <t>La aplicación debe de poder usarse en diferentes equipos moviles. Esta carcateristica ya es gestionada por el entorno de desarrollo elegido. No significa trabajo de desarrollo adicional.</t>
  </si>
  <si>
    <t>Líder sin experiencia en el liderazgo. Pero grupo gran capacidad de entedimiento en el trabajo.</t>
  </si>
  <si>
    <t>Todos los miembros del equipo trabajan a tiempo parcial. En un futuro se dedicara mas tiempo para el desarrollo.</t>
  </si>
  <si>
    <t>Refinamiento Calculo Horas-Hombre</t>
  </si>
  <si>
    <t>Si Valor Extremos de Entorno &lt; 3</t>
  </si>
  <si>
    <t>Condición</t>
  </si>
  <si>
    <t>Multiplicador de Ajuste</t>
  </si>
  <si>
    <t>Si Valor Extremos de Entorno &gt;2 y &lt; 5</t>
  </si>
  <si>
    <t>Si Valor Extremos de Entorno &gt;4</t>
  </si>
  <si>
    <t>Calculo Valores Extremo</t>
  </si>
  <si>
    <t>Factor</t>
  </si>
  <si>
    <t>Contar</t>
  </si>
  <si>
    <t>Valor Total</t>
  </si>
  <si>
    <t>Refinamiento a Usar</t>
  </si>
  <si>
    <t>Calculo Estimación Horas-Hombre ( PCU * Refinamiento )</t>
  </si>
  <si>
    <t>Actividad</t>
  </si>
  <si>
    <t>Porcentaje</t>
  </si>
  <si>
    <t>Valor h-h</t>
  </si>
  <si>
    <t>Esfuerzo total h-h del Proyecto</t>
  </si>
  <si>
    <t>Análisis</t>
  </si>
  <si>
    <t>Diseño</t>
  </si>
  <si>
    <t>Programación</t>
  </si>
  <si>
    <t>Pruebas</t>
  </si>
  <si>
    <t>Sobrecarga (Otras Actividades)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</si>
</sst>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0"/>
      <name val="Arial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0" fontId="1" fillId="2" borderId="3" applyNumberFormat="0" applyProtection="0">
      <alignment vertical="top"/>
    </xf>
    <xf numFmtId="0" fontId="3" fillId="6" borderId="4" applyNumberFormat="0" applyAlignment="0" applyProtection="0"/>
    <xf numFmtId="0" fontId="4" fillId="6" borderId="3" applyNumberFormat="0" applyAlignment="0" applyProtection="0"/>
  </cellStyleXfs>
  <cellXfs count="124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 applyProtection="1">
      <alignment vertical="center" wrapText="1"/>
    </xf>
    <xf numFmtId="49" fontId="5" fillId="0" borderId="0" xfId="0" applyNumberFormat="1" applyFont="1" applyAlignment="1" applyProtection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Fill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2" borderId="1" xfId="1" applyFont="1" applyBorder="1" applyAlignment="1" applyProtection="1">
      <alignment vertical="center"/>
    </xf>
    <xf numFmtId="0" fontId="7" fillId="2" borderId="1" xfId="1" applyFont="1" applyBorder="1" applyAlignment="1" applyProtection="1">
      <alignment vertical="center" wrapText="1"/>
      <protection locked="0"/>
    </xf>
    <xf numFmtId="0" fontId="5" fillId="5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5" fillId="0" borderId="0" xfId="0" applyFont="1" applyFill="1" applyAlignment="1">
      <alignment vertical="center" wrapText="1"/>
    </xf>
    <xf numFmtId="49" fontId="6" fillId="0" borderId="0" xfId="0" applyNumberFormat="1" applyFont="1" applyFill="1" applyBorder="1" applyAlignment="1" applyProtection="1">
      <alignment vertical="center"/>
    </xf>
    <xf numFmtId="49" fontId="5" fillId="0" borderId="1" xfId="0" applyNumberFormat="1" applyFont="1" applyBorder="1" applyAlignment="1" applyProtection="1">
      <alignment vertical="center" wrapText="1"/>
    </xf>
    <xf numFmtId="0" fontId="5" fillId="0" borderId="1" xfId="0" applyFont="1" applyBorder="1" applyAlignment="1" applyProtection="1">
      <alignment vertical="center" wrapText="1"/>
    </xf>
    <xf numFmtId="0" fontId="9" fillId="6" borderId="1" xfId="2" applyFont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vertical="center" wrapText="1"/>
      <protection locked="0"/>
    </xf>
    <xf numFmtId="49" fontId="7" fillId="2" borderId="1" xfId="1" applyNumberFormat="1" applyFont="1" applyBorder="1" applyAlignment="1" applyProtection="1">
      <alignment vertical="center"/>
    </xf>
    <xf numFmtId="0" fontId="8" fillId="6" borderId="1" xfId="3" applyFont="1" applyBorder="1" applyAlignment="1">
      <alignment horizontal="center" vertical="center" wrapText="1"/>
    </xf>
    <xf numFmtId="49" fontId="6" fillId="0" borderId="0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7" fillId="2" borderId="1" xfId="1" applyFont="1" applyBorder="1" applyAlignment="1" applyProtection="1">
      <alignment horizontal="center" vertical="center" wrapText="1"/>
      <protection locked="0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6" borderId="1" xfId="3" applyFont="1" applyBorder="1" applyAlignment="1">
      <alignment horizontal="center" vertical="center" wrapText="1"/>
    </xf>
    <xf numFmtId="0" fontId="7" fillId="2" borderId="1" xfId="1" applyFont="1" applyBorder="1" applyAlignment="1">
      <alignment horizontal="center" vertical="center"/>
    </xf>
    <xf numFmtId="0" fontId="6" fillId="0" borderId="2" xfId="0" applyFont="1" applyFill="1" applyBorder="1" applyAlignment="1" applyProtection="1">
      <alignment vertical="center" wrapText="1"/>
    </xf>
    <xf numFmtId="0" fontId="9" fillId="6" borderId="6" xfId="2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49" fontId="5" fillId="0" borderId="0" xfId="0" applyNumberFormat="1" applyFont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  <protection locked="0"/>
    </xf>
    <xf numFmtId="164" fontId="6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 applyProtection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5" xfId="0" applyFont="1" applyFill="1" applyBorder="1" applyAlignment="1" applyProtection="1">
      <alignment horizontal="left" vertical="center"/>
    </xf>
    <xf numFmtId="0" fontId="6" fillId="0" borderId="7" xfId="0" applyFont="1" applyFill="1" applyBorder="1" applyAlignment="1" applyProtection="1">
      <alignment horizontal="left" vertical="center"/>
    </xf>
    <xf numFmtId="49" fontId="5" fillId="0" borderId="1" xfId="0" applyNumberFormat="1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49" fontId="5" fillId="0" borderId="8" xfId="0" applyNumberFormat="1" applyFont="1" applyBorder="1" applyAlignment="1" applyProtection="1">
      <alignment vertical="center" wrapText="1"/>
    </xf>
    <xf numFmtId="0" fontId="5" fillId="5" borderId="8" xfId="0" applyFont="1" applyFill="1" applyBorder="1" applyAlignment="1" applyProtection="1">
      <alignment vertical="center" wrapText="1"/>
      <protection locked="0"/>
    </xf>
    <xf numFmtId="49" fontId="5" fillId="4" borderId="8" xfId="0" applyNumberFormat="1" applyFont="1" applyFill="1" applyBorder="1" applyAlignment="1">
      <alignment horizontal="center" vertical="center" wrapText="1"/>
    </xf>
    <xf numFmtId="0" fontId="7" fillId="2" borderId="8" xfId="1" applyFont="1" applyBorder="1" applyAlignment="1" applyProtection="1">
      <alignment horizontal="center" vertical="center" wrapText="1"/>
      <protection locked="0"/>
    </xf>
    <xf numFmtId="0" fontId="1" fillId="2" borderId="9" xfId="1" applyBorder="1" applyAlignment="1" applyProtection="1">
      <alignment horizontal="center" vertical="top"/>
    </xf>
    <xf numFmtId="0" fontId="4" fillId="6" borderId="9" xfId="3" applyBorder="1" applyAlignment="1" applyProtection="1">
      <alignment horizontal="center" vertical="center"/>
    </xf>
    <xf numFmtId="0" fontId="3" fillId="6" borderId="10" xfId="2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12" fillId="2" borderId="1" xfId="1" applyFont="1" applyBorder="1" applyAlignment="1" applyProtection="1">
      <alignment horizontal="center" vertical="center"/>
    </xf>
    <xf numFmtId="0" fontId="6" fillId="6" borderId="11" xfId="3" applyFont="1" applyBorder="1" applyAlignment="1">
      <alignment horizontal="center" vertical="center"/>
    </xf>
    <xf numFmtId="0" fontId="0" fillId="0" borderId="0" xfId="0" applyBorder="1"/>
    <xf numFmtId="0" fontId="5" fillId="0" borderId="0" xfId="0" applyFont="1" applyBorder="1" applyAlignment="1" applyProtection="1">
      <alignment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3" fillId="0" borderId="17" xfId="0" applyFont="1" applyBorder="1" applyAlignment="1"/>
    <xf numFmtId="0" fontId="13" fillId="0" borderId="0" xfId="0" applyFont="1" applyBorder="1" applyAlignment="1"/>
    <xf numFmtId="0" fontId="13" fillId="0" borderId="19" xfId="0" applyFont="1" applyBorder="1" applyAlignment="1"/>
    <xf numFmtId="0" fontId="14" fillId="4" borderId="21" xfId="0" applyFont="1" applyFill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6" borderId="28" xfId="3" applyFont="1" applyBorder="1" applyAlignment="1">
      <alignment horizontal="center" vertical="center"/>
    </xf>
    <xf numFmtId="0" fontId="6" fillId="6" borderId="29" xfId="3" applyFont="1" applyBorder="1" applyAlignment="1">
      <alignment horizontal="center" vertical="center"/>
    </xf>
    <xf numFmtId="0" fontId="6" fillId="6" borderId="30" xfId="3" applyFont="1" applyBorder="1" applyAlignment="1">
      <alignment horizontal="center" vertical="center"/>
    </xf>
    <xf numFmtId="0" fontId="6" fillId="4" borderId="11" xfId="0" applyFont="1" applyFill="1" applyBorder="1" applyAlignment="1"/>
    <xf numFmtId="0" fontId="6" fillId="4" borderId="11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0" fontId="5" fillId="0" borderId="25" xfId="0" applyNumberFormat="1" applyFont="1" applyBorder="1"/>
    <xf numFmtId="0" fontId="5" fillId="0" borderId="26" xfId="0" applyNumberFormat="1" applyFont="1" applyBorder="1"/>
    <xf numFmtId="0" fontId="5" fillId="0" borderId="27" xfId="0" applyNumberFormat="1" applyFont="1" applyBorder="1"/>
    <xf numFmtId="9" fontId="5" fillId="0" borderId="25" xfId="0" applyNumberFormat="1" applyFont="1" applyBorder="1" applyAlignment="1">
      <alignment horizontal="center"/>
    </xf>
    <xf numFmtId="9" fontId="5" fillId="0" borderId="26" xfId="0" applyNumberFormat="1" applyFont="1" applyBorder="1" applyAlignment="1">
      <alignment horizontal="center"/>
    </xf>
    <xf numFmtId="9" fontId="5" fillId="0" borderId="27" xfId="0" applyNumberFormat="1" applyFont="1" applyBorder="1" applyAlignment="1">
      <alignment horizontal="center"/>
    </xf>
    <xf numFmtId="49" fontId="6" fillId="0" borderId="1" xfId="0" applyNumberFormat="1" applyFont="1" applyFill="1" applyBorder="1" applyAlignment="1" applyProtection="1">
      <alignment horizontal="right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right" vertical="center" wrapText="1"/>
    </xf>
    <xf numFmtId="49" fontId="6" fillId="0" borderId="2" xfId="0" applyNumberFormat="1" applyFont="1" applyFill="1" applyBorder="1" applyAlignment="1" applyProtection="1">
      <alignment horizontal="right" vertical="center" wrapText="1"/>
    </xf>
    <xf numFmtId="0" fontId="5" fillId="0" borderId="2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5" fillId="0" borderId="12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6" fillId="4" borderId="13" xfId="0" applyFont="1" applyFill="1" applyBorder="1" applyAlignment="1">
      <alignment horizontal="right"/>
    </xf>
    <xf numFmtId="0" fontId="6" fillId="4" borderId="15" xfId="0" applyFont="1" applyFill="1" applyBorder="1" applyAlignment="1">
      <alignment horizontal="right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4" borderId="14" xfId="0" applyFont="1" applyFill="1" applyBorder="1" applyAlignment="1">
      <alignment horizontal="right"/>
    </xf>
    <xf numFmtId="0" fontId="14" fillId="4" borderId="13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0" fontId="14" fillId="4" borderId="18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6" fillId="6" borderId="13" xfId="3" applyFont="1" applyBorder="1" applyAlignment="1">
      <alignment horizontal="center" vertical="center"/>
    </xf>
    <xf numFmtId="0" fontId="6" fillId="6" borderId="14" xfId="3" applyFont="1" applyBorder="1" applyAlignment="1">
      <alignment horizontal="center" vertical="center"/>
    </xf>
    <xf numFmtId="0" fontId="6" fillId="6" borderId="15" xfId="3" applyFont="1" applyBorder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">
    <cellStyle name="Cálculo" xfId="3" builtinId="22"/>
    <cellStyle name="Entrada" xfId="1" builtinId="20" customBuiltin="1"/>
    <cellStyle name="Normal" xfId="0" builtinId="0"/>
    <cellStyle name="Salida" xfId="2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45"/>
  <sheetViews>
    <sheetView topLeftCell="B34" zoomScale="55" zoomScaleNormal="55" workbookViewId="0">
      <selection activeCell="G40" sqref="G40"/>
    </sheetView>
  </sheetViews>
  <sheetFormatPr baseColWidth="10" defaultColWidth="9.140625" defaultRowHeight="15.75" x14ac:dyDescent="0.2"/>
  <cols>
    <col min="1" max="1" width="9.140625" style="1"/>
    <col min="2" max="2" width="4.28515625" style="1" customWidth="1"/>
    <col min="3" max="3" width="67.140625" style="1" customWidth="1"/>
    <col min="4" max="4" width="41.28515625" style="2" customWidth="1"/>
    <col min="5" max="5" width="38.5703125" style="3" bestFit="1" customWidth="1"/>
    <col min="6" max="6" width="13.5703125" style="4" bestFit="1" customWidth="1"/>
    <col min="7" max="7" width="16.140625" style="5" bestFit="1" customWidth="1"/>
    <col min="8" max="8" width="16.7109375" style="1" bestFit="1" customWidth="1"/>
    <col min="9" max="9" width="34.42578125" style="5" customWidth="1"/>
    <col min="10" max="10" width="9.140625" style="1"/>
    <col min="11" max="11" width="13.7109375" style="1" bestFit="1" customWidth="1"/>
    <col min="12" max="16384" width="9.140625" style="1"/>
  </cols>
  <sheetData>
    <row r="2" spans="2:11" s="42" customFormat="1" x14ac:dyDescent="0.2">
      <c r="C2" s="57" t="s">
        <v>25</v>
      </c>
      <c r="D2" s="58"/>
      <c r="E2" s="54" t="s">
        <v>26</v>
      </c>
      <c r="G2" s="41"/>
      <c r="H2" s="41"/>
      <c r="I2" s="41"/>
    </row>
    <row r="3" spans="2:11" s="42" customFormat="1" x14ac:dyDescent="0.2">
      <c r="C3" s="59" t="s">
        <v>33</v>
      </c>
      <c r="D3" s="58"/>
      <c r="E3" s="55" t="s">
        <v>27</v>
      </c>
      <c r="G3" s="43"/>
      <c r="H3" s="43"/>
      <c r="I3" s="43"/>
    </row>
    <row r="4" spans="2:11" s="42" customFormat="1" x14ac:dyDescent="0.2">
      <c r="C4" s="59" t="s">
        <v>32</v>
      </c>
      <c r="D4" s="58"/>
      <c r="E4" s="56" t="s">
        <v>28</v>
      </c>
      <c r="G4" s="43"/>
      <c r="H4" s="43"/>
      <c r="I4" s="43"/>
    </row>
    <row r="5" spans="2:11" s="42" customFormat="1" x14ac:dyDescent="0.2">
      <c r="C5" s="47"/>
      <c r="D5" s="47"/>
      <c r="E5" s="46"/>
      <c r="F5" s="47"/>
      <c r="G5" s="43"/>
      <c r="H5" s="43"/>
      <c r="I5" s="43"/>
    </row>
    <row r="6" spans="2:11" ht="15.75" customHeight="1" x14ac:dyDescent="0.2">
      <c r="C6" s="90" t="s">
        <v>21</v>
      </c>
      <c r="D6" s="91"/>
      <c r="E6" s="91"/>
      <c r="F6" s="19">
        <f>Actores!G7</f>
        <v>12</v>
      </c>
      <c r="G6" s="14"/>
      <c r="I6" s="1"/>
    </row>
    <row r="7" spans="2:11" s="15" customFormat="1" x14ac:dyDescent="0.2">
      <c r="C7" s="90" t="s">
        <v>22</v>
      </c>
      <c r="D7" s="91"/>
      <c r="E7" s="91"/>
      <c r="F7" s="35">
        <f>'Casos De Uso'!F24</f>
        <v>85</v>
      </c>
      <c r="H7" s="14"/>
      <c r="K7" s="16"/>
    </row>
    <row r="8" spans="2:11" x14ac:dyDescent="0.2">
      <c r="I8" s="20"/>
    </row>
    <row r="9" spans="2:11" x14ac:dyDescent="0.2">
      <c r="I9" s="20"/>
    </row>
    <row r="10" spans="2:11" x14ac:dyDescent="0.2">
      <c r="C10" s="87" t="s">
        <v>23</v>
      </c>
      <c r="D10" s="92"/>
      <c r="E10" s="92"/>
      <c r="F10" s="19">
        <f>F6+F7</f>
        <v>97</v>
      </c>
      <c r="G10" s="1"/>
      <c r="H10" s="14"/>
      <c r="I10" s="1"/>
    </row>
    <row r="11" spans="2:11" x14ac:dyDescent="0.2">
      <c r="C11" s="23"/>
      <c r="D11" s="24"/>
      <c r="E11" s="24"/>
      <c r="F11" s="5"/>
      <c r="G11" s="1"/>
      <c r="H11" s="14"/>
      <c r="I11" s="1"/>
    </row>
    <row r="12" spans="2:11" x14ac:dyDescent="0.2">
      <c r="C12" s="45" t="s">
        <v>11</v>
      </c>
      <c r="D12" s="48" t="s">
        <v>7</v>
      </c>
    </row>
    <row r="14" spans="2:11" s="9" customFormat="1" ht="31.5" x14ac:dyDescent="0.2">
      <c r="B14" s="88" t="s">
        <v>34</v>
      </c>
      <c r="C14" s="88"/>
      <c r="D14" s="28" t="s">
        <v>18</v>
      </c>
      <c r="E14" s="27" t="s">
        <v>1</v>
      </c>
      <c r="F14" s="27" t="s">
        <v>36</v>
      </c>
      <c r="G14" s="27" t="s">
        <v>19</v>
      </c>
    </row>
    <row r="15" spans="2:11" ht="15.75" customHeight="1" x14ac:dyDescent="0.2">
      <c r="B15" s="49" t="s">
        <v>73</v>
      </c>
      <c r="C15" s="17" t="s">
        <v>86</v>
      </c>
      <c r="D15" s="12" t="s">
        <v>118</v>
      </c>
      <c r="E15" s="29">
        <v>2</v>
      </c>
      <c r="F15" s="25">
        <v>0</v>
      </c>
      <c r="G15" s="31">
        <f t="shared" ref="G15:G27" si="0">E15*F15</f>
        <v>0</v>
      </c>
      <c r="I15" s="1"/>
    </row>
    <row r="16" spans="2:11" ht="47.25" customHeight="1" x14ac:dyDescent="0.2">
      <c r="B16" s="49" t="s">
        <v>74</v>
      </c>
      <c r="C16" s="17" t="s">
        <v>87</v>
      </c>
      <c r="D16" s="12" t="s">
        <v>136</v>
      </c>
      <c r="E16" s="30">
        <v>2</v>
      </c>
      <c r="F16" s="25">
        <v>3</v>
      </c>
      <c r="G16" s="31">
        <f t="shared" si="0"/>
        <v>6</v>
      </c>
      <c r="I16" s="1"/>
    </row>
    <row r="17" spans="2:9" ht="31.5" x14ac:dyDescent="0.2">
      <c r="B17" s="49" t="s">
        <v>75</v>
      </c>
      <c r="C17" s="17" t="s">
        <v>88</v>
      </c>
      <c r="D17" s="12" t="s">
        <v>117</v>
      </c>
      <c r="E17" s="30">
        <v>1</v>
      </c>
      <c r="F17" s="25">
        <v>4</v>
      </c>
      <c r="G17" s="31">
        <f t="shared" si="0"/>
        <v>4</v>
      </c>
      <c r="I17" s="1"/>
    </row>
    <row r="18" spans="2:9" x14ac:dyDescent="0.2">
      <c r="B18" s="49" t="s">
        <v>76</v>
      </c>
      <c r="C18" s="17" t="s">
        <v>89</v>
      </c>
      <c r="D18" s="12" t="s">
        <v>115</v>
      </c>
      <c r="E18" s="30">
        <v>1</v>
      </c>
      <c r="F18" s="25">
        <v>2</v>
      </c>
      <c r="G18" s="31">
        <f t="shared" si="0"/>
        <v>2</v>
      </c>
      <c r="I18" s="1"/>
    </row>
    <row r="19" spans="2:9" ht="47.25" x14ac:dyDescent="0.2">
      <c r="B19" s="49" t="s">
        <v>77</v>
      </c>
      <c r="C19" s="17" t="s">
        <v>90</v>
      </c>
      <c r="D19" s="12" t="s">
        <v>116</v>
      </c>
      <c r="E19" s="29">
        <v>1</v>
      </c>
      <c r="F19" s="25">
        <v>4</v>
      </c>
      <c r="G19" s="31">
        <f t="shared" si="0"/>
        <v>4</v>
      </c>
      <c r="I19" s="1"/>
    </row>
    <row r="20" spans="2:9" ht="31.5" x14ac:dyDescent="0.2">
      <c r="B20" s="49" t="s">
        <v>78</v>
      </c>
      <c r="C20" s="17" t="s">
        <v>91</v>
      </c>
      <c r="D20" s="12" t="s">
        <v>135</v>
      </c>
      <c r="E20" s="29">
        <v>0.5</v>
      </c>
      <c r="F20" s="25">
        <v>1</v>
      </c>
      <c r="G20" s="31">
        <f t="shared" si="0"/>
        <v>0.5</v>
      </c>
      <c r="I20" s="1"/>
    </row>
    <row r="21" spans="2:9" ht="31.5" x14ac:dyDescent="0.2">
      <c r="B21" s="49" t="s">
        <v>79</v>
      </c>
      <c r="C21" s="17" t="s">
        <v>92</v>
      </c>
      <c r="D21" s="12" t="s">
        <v>119</v>
      </c>
      <c r="E21" s="29">
        <v>0.5</v>
      </c>
      <c r="F21" s="25">
        <v>5</v>
      </c>
      <c r="G21" s="31">
        <f t="shared" si="0"/>
        <v>2.5</v>
      </c>
      <c r="I21" s="1"/>
    </row>
    <row r="22" spans="2:9" ht="78.75" x14ac:dyDescent="0.2">
      <c r="B22" s="49" t="s">
        <v>80</v>
      </c>
      <c r="C22" s="17" t="s">
        <v>93</v>
      </c>
      <c r="D22" s="12" t="s">
        <v>137</v>
      </c>
      <c r="E22" s="29">
        <v>2</v>
      </c>
      <c r="F22" s="25">
        <v>1</v>
      </c>
      <c r="G22" s="31">
        <f t="shared" si="0"/>
        <v>2</v>
      </c>
      <c r="I22" s="1"/>
    </row>
    <row r="23" spans="2:9" ht="63" x14ac:dyDescent="0.2">
      <c r="B23" s="49" t="s">
        <v>81</v>
      </c>
      <c r="C23" s="17" t="s">
        <v>94</v>
      </c>
      <c r="D23" s="12" t="s">
        <v>120</v>
      </c>
      <c r="E23" s="29">
        <v>1</v>
      </c>
      <c r="F23" s="25">
        <v>4</v>
      </c>
      <c r="G23" s="31">
        <f t="shared" si="0"/>
        <v>4</v>
      </c>
      <c r="I23" s="1"/>
    </row>
    <row r="24" spans="2:9" ht="31.5" x14ac:dyDescent="0.2">
      <c r="B24" s="49" t="s">
        <v>83</v>
      </c>
      <c r="C24" s="17" t="s">
        <v>96</v>
      </c>
      <c r="D24" s="12" t="s">
        <v>121</v>
      </c>
      <c r="E24" s="29">
        <v>1</v>
      </c>
      <c r="F24" s="25">
        <v>3</v>
      </c>
      <c r="G24" s="31">
        <f t="shared" si="0"/>
        <v>3</v>
      </c>
      <c r="I24" s="1"/>
    </row>
    <row r="25" spans="2:9" ht="31.5" x14ac:dyDescent="0.2">
      <c r="B25" s="49" t="s">
        <v>84</v>
      </c>
      <c r="C25" s="17" t="s">
        <v>95</v>
      </c>
      <c r="D25" s="12" t="s">
        <v>122</v>
      </c>
      <c r="E25" s="30">
        <v>1</v>
      </c>
      <c r="F25" s="25">
        <v>1</v>
      </c>
      <c r="G25" s="31">
        <f t="shared" si="0"/>
        <v>1</v>
      </c>
      <c r="I25" s="1"/>
    </row>
    <row r="26" spans="2:9" ht="47.25" x14ac:dyDescent="0.2">
      <c r="B26" s="49" t="s">
        <v>82</v>
      </c>
      <c r="C26" s="17" t="s">
        <v>97</v>
      </c>
      <c r="D26" s="12" t="s">
        <v>123</v>
      </c>
      <c r="E26" s="30">
        <v>1</v>
      </c>
      <c r="F26" s="25">
        <v>4</v>
      </c>
      <c r="G26" s="31">
        <f t="shared" si="0"/>
        <v>4</v>
      </c>
      <c r="I26" s="1"/>
    </row>
    <row r="27" spans="2:9" ht="47.25" x14ac:dyDescent="0.2">
      <c r="B27" s="49" t="s">
        <v>85</v>
      </c>
      <c r="C27" s="17" t="s">
        <v>98</v>
      </c>
      <c r="D27" s="12" t="s">
        <v>124</v>
      </c>
      <c r="E27" s="29">
        <v>1</v>
      </c>
      <c r="F27" s="25">
        <v>1</v>
      </c>
      <c r="G27" s="31">
        <f t="shared" si="0"/>
        <v>1</v>
      </c>
      <c r="I27" s="1"/>
    </row>
    <row r="28" spans="2:9" x14ac:dyDescent="0.2">
      <c r="B28" s="87" t="s">
        <v>31</v>
      </c>
      <c r="C28" s="87"/>
      <c r="D28" s="87"/>
      <c r="E28" s="87"/>
      <c r="F28" s="87"/>
      <c r="G28" s="32">
        <f>SUM(G15:G27)</f>
        <v>34</v>
      </c>
      <c r="I28" s="1"/>
    </row>
    <row r="29" spans="2:9" ht="15.75" customHeight="1" x14ac:dyDescent="0.2">
      <c r="B29" s="87" t="s">
        <v>17</v>
      </c>
      <c r="C29" s="87"/>
      <c r="D29" s="87"/>
      <c r="E29" s="87"/>
      <c r="F29" s="87"/>
      <c r="G29" s="27">
        <f>0.6+(0.01*G28)</f>
        <v>0.94</v>
      </c>
      <c r="I29" s="1"/>
    </row>
    <row r="30" spans="2:9" x14ac:dyDescent="0.2">
      <c r="C30" s="23"/>
      <c r="D30" s="44"/>
      <c r="E30" s="44"/>
      <c r="F30" s="44"/>
      <c r="G30" s="44"/>
      <c r="I30" s="1"/>
    </row>
    <row r="31" spans="2:9" x14ac:dyDescent="0.2">
      <c r="C31" s="36"/>
      <c r="D31" s="37"/>
      <c r="E31" s="38"/>
      <c r="F31" s="36"/>
      <c r="G31" s="39"/>
      <c r="H31" s="36"/>
    </row>
    <row r="32" spans="2:9" s="9" customFormat="1" ht="31.5" x14ac:dyDescent="0.2">
      <c r="B32" s="88" t="s">
        <v>35</v>
      </c>
      <c r="C32" s="88"/>
      <c r="D32" s="26" t="s">
        <v>6</v>
      </c>
      <c r="E32" s="28" t="s">
        <v>4</v>
      </c>
      <c r="F32" s="27" t="s">
        <v>1</v>
      </c>
      <c r="G32" s="27" t="s">
        <v>37</v>
      </c>
      <c r="H32" s="27" t="s">
        <v>19</v>
      </c>
    </row>
    <row r="33" spans="2:8" x14ac:dyDescent="0.2">
      <c r="B33" s="49" t="s">
        <v>99</v>
      </c>
      <c r="C33" s="18" t="s">
        <v>107</v>
      </c>
      <c r="D33" s="17" t="s">
        <v>8</v>
      </c>
      <c r="E33" s="12" t="s">
        <v>125</v>
      </c>
      <c r="F33" s="29">
        <v>1.5</v>
      </c>
      <c r="G33" s="25">
        <v>2</v>
      </c>
      <c r="H33" s="31">
        <f t="shared" ref="H33:H40" si="1">F33*G33</f>
        <v>3</v>
      </c>
    </row>
    <row r="34" spans="2:8" ht="31.5" x14ac:dyDescent="0.2">
      <c r="B34" s="49" t="s">
        <v>100</v>
      </c>
      <c r="C34" s="18" t="s">
        <v>108</v>
      </c>
      <c r="D34" s="17" t="s">
        <v>8</v>
      </c>
      <c r="E34" s="12" t="s">
        <v>126</v>
      </c>
      <c r="F34" s="29">
        <v>0.5</v>
      </c>
      <c r="G34" s="25">
        <v>0</v>
      </c>
      <c r="H34" s="31">
        <f t="shared" si="1"/>
        <v>0</v>
      </c>
    </row>
    <row r="35" spans="2:8" ht="31.5" x14ac:dyDescent="0.2">
      <c r="B35" s="49" t="s">
        <v>101</v>
      </c>
      <c r="C35" s="18" t="s">
        <v>109</v>
      </c>
      <c r="D35" s="17" t="s">
        <v>8</v>
      </c>
      <c r="E35" s="12" t="s">
        <v>127</v>
      </c>
      <c r="F35" s="29">
        <v>1</v>
      </c>
      <c r="G35" s="25">
        <v>4</v>
      </c>
      <c r="H35" s="31">
        <f t="shared" si="1"/>
        <v>4</v>
      </c>
    </row>
    <row r="36" spans="2:8" ht="47.25" x14ac:dyDescent="0.2">
      <c r="B36" s="49" t="s">
        <v>102</v>
      </c>
      <c r="C36" s="18" t="s">
        <v>110</v>
      </c>
      <c r="D36" s="17" t="s">
        <v>8</v>
      </c>
      <c r="E36" s="12" t="s">
        <v>138</v>
      </c>
      <c r="F36" s="29">
        <v>0.5</v>
      </c>
      <c r="G36" s="25">
        <v>2</v>
      </c>
      <c r="H36" s="31">
        <f t="shared" si="1"/>
        <v>1</v>
      </c>
    </row>
    <row r="37" spans="2:8" ht="31.5" x14ac:dyDescent="0.2">
      <c r="B37" s="49" t="s">
        <v>103</v>
      </c>
      <c r="C37" s="18" t="s">
        <v>111</v>
      </c>
      <c r="D37" s="17" t="s">
        <v>9</v>
      </c>
      <c r="E37" s="12" t="s">
        <v>128</v>
      </c>
      <c r="F37" s="29">
        <v>1</v>
      </c>
      <c r="G37" s="25">
        <v>5</v>
      </c>
      <c r="H37" s="31">
        <f t="shared" si="1"/>
        <v>5</v>
      </c>
    </row>
    <row r="38" spans="2:8" ht="31.5" x14ac:dyDescent="0.2">
      <c r="B38" s="49" t="s">
        <v>104</v>
      </c>
      <c r="C38" s="18" t="s">
        <v>112</v>
      </c>
      <c r="D38" s="17" t="s">
        <v>10</v>
      </c>
      <c r="E38" s="12" t="s">
        <v>129</v>
      </c>
      <c r="F38" s="29">
        <v>2</v>
      </c>
      <c r="G38" s="25">
        <v>4</v>
      </c>
      <c r="H38" s="31">
        <f t="shared" si="1"/>
        <v>8</v>
      </c>
    </row>
    <row r="39" spans="2:8" ht="63" x14ac:dyDescent="0.2">
      <c r="B39" s="49" t="s">
        <v>105</v>
      </c>
      <c r="C39" s="18" t="s">
        <v>113</v>
      </c>
      <c r="D39" s="17" t="s">
        <v>20</v>
      </c>
      <c r="E39" s="12" t="s">
        <v>139</v>
      </c>
      <c r="F39" s="29">
        <v>-1</v>
      </c>
      <c r="G39" s="25">
        <v>4</v>
      </c>
      <c r="H39" s="31">
        <f t="shared" si="1"/>
        <v>-4</v>
      </c>
    </row>
    <row r="40" spans="2:8" ht="78.75" x14ac:dyDescent="0.2">
      <c r="B40" s="49" t="s">
        <v>106</v>
      </c>
      <c r="C40" s="18" t="s">
        <v>114</v>
      </c>
      <c r="D40" s="50" t="s">
        <v>24</v>
      </c>
      <c r="E40" s="51" t="s">
        <v>130</v>
      </c>
      <c r="F40" s="52">
        <v>-1</v>
      </c>
      <c r="G40" s="53">
        <v>3</v>
      </c>
      <c r="H40" s="31">
        <f t="shared" si="1"/>
        <v>-3</v>
      </c>
    </row>
    <row r="41" spans="2:8" x14ac:dyDescent="0.2">
      <c r="B41" s="87" t="s">
        <v>30</v>
      </c>
      <c r="C41" s="87"/>
      <c r="D41" s="87"/>
      <c r="E41" s="87"/>
      <c r="F41" s="87"/>
      <c r="G41" s="87"/>
      <c r="H41" s="32">
        <f>SUM(H33:H40)</f>
        <v>14</v>
      </c>
    </row>
    <row r="42" spans="2:8" x14ac:dyDescent="0.2">
      <c r="B42" s="87" t="s">
        <v>29</v>
      </c>
      <c r="C42" s="87"/>
      <c r="D42" s="87"/>
      <c r="E42" s="87"/>
      <c r="F42" s="87"/>
      <c r="G42" s="87"/>
      <c r="H42" s="27">
        <f>1.4 + (-0.03*H41)</f>
        <v>0.98</v>
      </c>
    </row>
    <row r="43" spans="2:8" x14ac:dyDescent="0.2">
      <c r="C43" s="23"/>
      <c r="D43" s="24"/>
      <c r="E43" s="24"/>
      <c r="F43" s="24"/>
      <c r="G43" s="24"/>
    </row>
    <row r="45" spans="2:8" x14ac:dyDescent="0.2">
      <c r="B45" s="89" t="s">
        <v>38</v>
      </c>
      <c r="C45" s="89"/>
      <c r="D45" s="89"/>
      <c r="E45" s="89"/>
      <c r="F45" s="89"/>
      <c r="G45" s="89"/>
      <c r="H45" s="40">
        <f>F10*G29*H42</f>
        <v>89.356399999999994</v>
      </c>
    </row>
  </sheetData>
  <mergeCells count="10">
    <mergeCell ref="C6:E6"/>
    <mergeCell ref="B14:C14"/>
    <mergeCell ref="C7:E7"/>
    <mergeCell ref="C10:E10"/>
    <mergeCell ref="B28:F28"/>
    <mergeCell ref="B29:F29"/>
    <mergeCell ref="B32:C32"/>
    <mergeCell ref="B41:G41"/>
    <mergeCell ref="B42:G42"/>
    <mergeCell ref="B45:G4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F24"/>
  <sheetViews>
    <sheetView tabSelected="1" zoomScale="70" zoomScaleNormal="70" workbookViewId="0">
      <selection activeCell="D4" sqref="D4"/>
    </sheetView>
  </sheetViews>
  <sheetFormatPr baseColWidth="10" defaultRowHeight="12.75" x14ac:dyDescent="0.2"/>
  <cols>
    <col min="2" max="2" width="19.140625" customWidth="1"/>
    <col min="3" max="3" width="45.140625" customWidth="1"/>
    <col min="4" max="4" width="27.85546875" customWidth="1"/>
    <col min="5" max="5" width="18.7109375" customWidth="1"/>
    <col min="6" max="6" width="10.85546875" customWidth="1"/>
  </cols>
  <sheetData>
    <row r="2" spans="2:6" ht="16.5" customHeight="1" x14ac:dyDescent="0.2">
      <c r="B2" s="6" t="s">
        <v>15</v>
      </c>
      <c r="C2" s="6" t="s">
        <v>3</v>
      </c>
      <c r="D2" s="7" t="s">
        <v>14</v>
      </c>
      <c r="E2" s="7" t="s">
        <v>16</v>
      </c>
      <c r="F2" s="8" t="s">
        <v>1</v>
      </c>
    </row>
    <row r="3" spans="2:6" ht="15.75" x14ac:dyDescent="0.2">
      <c r="B3" s="60" t="s">
        <v>40</v>
      </c>
      <c r="C3" s="25" t="s">
        <v>61</v>
      </c>
      <c r="D3" s="33">
        <v>0</v>
      </c>
      <c r="E3" s="22" t="str">
        <f>IF($D3&gt;0,IF($D3&lt;=3,"Simple",IF(AND($D3&gt;3,$D3&lt;7),"Intermedio",IF($D3&gt;=7,"Complejo","error"))),"-")</f>
        <v>-</v>
      </c>
      <c r="F3" s="22">
        <f>IF($D3&gt;0,IF($D3&lt;=3,5,IF(AND($D3&gt;3,$D3&lt;7),10,IF($D3&gt;=7,15,"error"))),0)</f>
        <v>0</v>
      </c>
    </row>
    <row r="4" spans="2:6" ht="31.5" x14ac:dyDescent="0.2">
      <c r="B4" s="60" t="s">
        <v>41</v>
      </c>
      <c r="C4" s="25" t="s">
        <v>131</v>
      </c>
      <c r="D4" s="33">
        <v>7</v>
      </c>
      <c r="E4" s="22" t="str">
        <f>IF($D4&gt;0,IF($D4&lt;=3,"Simple",IF(AND($D4&gt;3,$D4&lt;7),"Intermedio",IF($D4&gt;=7,"Complejo","error"))),"-")</f>
        <v>Complejo</v>
      </c>
      <c r="F4" s="22">
        <f t="shared" ref="F4:F23" si="0">IF($D4&gt;0,IF($D4&lt;=3,5,IF(AND($D4&gt;3,$D4&lt;7),10,IF($D4&gt;=7,15,"error"))),0)</f>
        <v>15</v>
      </c>
    </row>
    <row r="5" spans="2:6" ht="15.75" x14ac:dyDescent="0.2">
      <c r="B5" s="60" t="s">
        <v>42</v>
      </c>
      <c r="C5" s="25" t="s">
        <v>63</v>
      </c>
      <c r="D5" s="33"/>
      <c r="E5" s="22" t="str">
        <f t="shared" ref="E5:E23" si="1">IF($D5&gt;0,IF($D5&lt;=3,"Simple",IF(AND($D5&gt;3,$D5&lt;7),"Intermedio",IF($D5&gt;=7,"Complejo","error"))),"-")</f>
        <v>-</v>
      </c>
      <c r="F5" s="22">
        <f t="shared" si="0"/>
        <v>0</v>
      </c>
    </row>
    <row r="6" spans="2:6" ht="15.75" x14ac:dyDescent="0.2">
      <c r="B6" s="60" t="s">
        <v>43</v>
      </c>
      <c r="C6" s="25" t="s">
        <v>64</v>
      </c>
      <c r="D6" s="33">
        <v>3</v>
      </c>
      <c r="E6" s="22" t="str">
        <f t="shared" si="1"/>
        <v>Simple</v>
      </c>
      <c r="F6" s="22">
        <f t="shared" si="0"/>
        <v>5</v>
      </c>
    </row>
    <row r="7" spans="2:6" ht="15.75" x14ac:dyDescent="0.2">
      <c r="B7" s="60" t="s">
        <v>44</v>
      </c>
      <c r="C7" s="25" t="s">
        <v>63</v>
      </c>
      <c r="D7" s="33">
        <v>2</v>
      </c>
      <c r="E7" s="22" t="str">
        <f t="shared" si="1"/>
        <v>Simple</v>
      </c>
      <c r="F7" s="22">
        <f t="shared" si="0"/>
        <v>5</v>
      </c>
    </row>
    <row r="8" spans="2:6" ht="15.75" x14ac:dyDescent="0.2">
      <c r="B8" s="60" t="s">
        <v>45</v>
      </c>
      <c r="C8" s="25" t="s">
        <v>132</v>
      </c>
      <c r="D8" s="33">
        <v>6</v>
      </c>
      <c r="E8" s="22" t="str">
        <f t="shared" si="1"/>
        <v>Intermedio</v>
      </c>
      <c r="F8" s="22">
        <f t="shared" si="0"/>
        <v>10</v>
      </c>
    </row>
    <row r="9" spans="2:6" ht="15.75" x14ac:dyDescent="0.2">
      <c r="B9" s="60" t="s">
        <v>46</v>
      </c>
      <c r="C9" s="25" t="s">
        <v>63</v>
      </c>
      <c r="D9" s="33"/>
      <c r="E9" s="22" t="str">
        <f t="shared" si="1"/>
        <v>-</v>
      </c>
      <c r="F9" s="22">
        <f t="shared" si="0"/>
        <v>0</v>
      </c>
    </row>
    <row r="10" spans="2:6" ht="15.75" x14ac:dyDescent="0.2">
      <c r="B10" s="60" t="s">
        <v>47</v>
      </c>
      <c r="C10" s="25" t="s">
        <v>64</v>
      </c>
      <c r="D10" s="33">
        <v>3</v>
      </c>
      <c r="E10" s="22" t="str">
        <f t="shared" si="1"/>
        <v>Simple</v>
      </c>
      <c r="F10" s="22">
        <f t="shared" si="0"/>
        <v>5</v>
      </c>
    </row>
    <row r="11" spans="2:6" ht="15.75" x14ac:dyDescent="0.2">
      <c r="B11" s="60" t="s">
        <v>48</v>
      </c>
      <c r="C11" s="25" t="s">
        <v>63</v>
      </c>
      <c r="D11" s="33">
        <v>2</v>
      </c>
      <c r="E11" s="22" t="str">
        <f t="shared" si="1"/>
        <v>Simple</v>
      </c>
      <c r="F11" s="22">
        <f t="shared" si="0"/>
        <v>5</v>
      </c>
    </row>
    <row r="12" spans="2:6" ht="15.75" x14ac:dyDescent="0.2">
      <c r="B12" s="60" t="s">
        <v>49</v>
      </c>
      <c r="C12" s="25" t="s">
        <v>62</v>
      </c>
      <c r="D12" s="33">
        <v>3</v>
      </c>
      <c r="E12" s="22" t="str">
        <f t="shared" si="1"/>
        <v>Simple</v>
      </c>
      <c r="F12" s="22">
        <f t="shared" si="0"/>
        <v>5</v>
      </c>
    </row>
    <row r="13" spans="2:6" ht="15.75" x14ac:dyDescent="0.2">
      <c r="B13" s="60" t="s">
        <v>50</v>
      </c>
      <c r="C13" s="25" t="s">
        <v>64</v>
      </c>
      <c r="D13" s="33">
        <v>3</v>
      </c>
      <c r="E13" s="22" t="str">
        <f t="shared" si="1"/>
        <v>Simple</v>
      </c>
      <c r="F13" s="22">
        <f t="shared" si="0"/>
        <v>5</v>
      </c>
    </row>
    <row r="14" spans="2:6" ht="15.75" x14ac:dyDescent="0.2">
      <c r="B14" s="60" t="s">
        <v>51</v>
      </c>
      <c r="C14" s="25" t="s">
        <v>63</v>
      </c>
      <c r="D14" s="33">
        <v>2</v>
      </c>
      <c r="E14" s="22" t="str">
        <f t="shared" si="1"/>
        <v>Simple</v>
      </c>
      <c r="F14" s="22">
        <f t="shared" si="0"/>
        <v>5</v>
      </c>
    </row>
    <row r="15" spans="2:6" ht="15.75" x14ac:dyDescent="0.2">
      <c r="B15" s="60" t="s">
        <v>52</v>
      </c>
      <c r="C15" s="25" t="s">
        <v>133</v>
      </c>
      <c r="D15" s="33">
        <v>3</v>
      </c>
      <c r="E15" s="22" t="str">
        <f t="shared" si="1"/>
        <v>Simple</v>
      </c>
      <c r="F15" s="22">
        <f t="shared" si="0"/>
        <v>5</v>
      </c>
    </row>
    <row r="16" spans="2:6" ht="15.75" x14ac:dyDescent="0.2">
      <c r="B16" s="60" t="s">
        <v>53</v>
      </c>
      <c r="C16" s="25" t="s">
        <v>63</v>
      </c>
      <c r="D16" s="33"/>
      <c r="E16" s="22" t="str">
        <f t="shared" si="1"/>
        <v>-</v>
      </c>
      <c r="F16" s="22">
        <f t="shared" si="0"/>
        <v>0</v>
      </c>
    </row>
    <row r="17" spans="2:6" ht="47.25" x14ac:dyDescent="0.2">
      <c r="B17" s="60" t="s">
        <v>54</v>
      </c>
      <c r="C17" s="25" t="s">
        <v>134</v>
      </c>
      <c r="D17" s="33">
        <v>10</v>
      </c>
      <c r="E17" s="22" t="str">
        <f t="shared" si="1"/>
        <v>Complejo</v>
      </c>
      <c r="F17" s="22">
        <f t="shared" si="0"/>
        <v>15</v>
      </c>
    </row>
    <row r="18" spans="2:6" ht="15.75" x14ac:dyDescent="0.2">
      <c r="B18" s="60" t="s">
        <v>55</v>
      </c>
      <c r="C18" s="25" t="s">
        <v>61</v>
      </c>
      <c r="D18" s="33"/>
      <c r="E18" s="22" t="str">
        <f t="shared" si="1"/>
        <v>-</v>
      </c>
      <c r="F18" s="22">
        <f t="shared" si="0"/>
        <v>0</v>
      </c>
    </row>
    <row r="19" spans="2:6" ht="15.75" x14ac:dyDescent="0.2">
      <c r="B19" s="60" t="s">
        <v>56</v>
      </c>
      <c r="C19" s="25" t="s">
        <v>66</v>
      </c>
      <c r="D19" s="33"/>
      <c r="E19" s="22" t="str">
        <f t="shared" si="1"/>
        <v>-</v>
      </c>
      <c r="F19" s="22">
        <f t="shared" si="0"/>
        <v>0</v>
      </c>
    </row>
    <row r="20" spans="2:6" ht="15.75" x14ac:dyDescent="0.2">
      <c r="B20" s="60" t="s">
        <v>57</v>
      </c>
      <c r="C20" s="25" t="s">
        <v>63</v>
      </c>
      <c r="D20" s="33"/>
      <c r="E20" s="22" t="str">
        <f t="shared" si="1"/>
        <v>-</v>
      </c>
      <c r="F20" s="22">
        <f t="shared" si="0"/>
        <v>0</v>
      </c>
    </row>
    <row r="21" spans="2:6" ht="15.75" x14ac:dyDescent="0.2">
      <c r="B21" s="60" t="s">
        <v>58</v>
      </c>
      <c r="C21" s="25" t="s">
        <v>65</v>
      </c>
      <c r="D21" s="33"/>
      <c r="E21" s="22" t="str">
        <f t="shared" si="1"/>
        <v>-</v>
      </c>
      <c r="F21" s="22">
        <f t="shared" si="0"/>
        <v>0</v>
      </c>
    </row>
    <row r="22" spans="2:6" ht="15.75" x14ac:dyDescent="0.2">
      <c r="B22" s="60" t="s">
        <v>59</v>
      </c>
      <c r="C22" s="25" t="s">
        <v>65</v>
      </c>
      <c r="D22" s="33"/>
      <c r="E22" s="22" t="str">
        <f t="shared" si="1"/>
        <v>-</v>
      </c>
      <c r="F22" s="22">
        <f t="shared" si="0"/>
        <v>0</v>
      </c>
    </row>
    <row r="23" spans="2:6" ht="15.75" x14ac:dyDescent="0.2">
      <c r="B23" s="60" t="s">
        <v>60</v>
      </c>
      <c r="C23" s="25" t="s">
        <v>65</v>
      </c>
      <c r="D23" s="33">
        <v>2</v>
      </c>
      <c r="E23" s="22" t="str">
        <f t="shared" si="1"/>
        <v>Simple</v>
      </c>
      <c r="F23" s="22">
        <f t="shared" si="0"/>
        <v>5</v>
      </c>
    </row>
    <row r="24" spans="2:6" ht="15.75" x14ac:dyDescent="0.2">
      <c r="B24" s="34"/>
      <c r="C24" s="90" t="s">
        <v>22</v>
      </c>
      <c r="D24" s="91"/>
      <c r="E24" s="91"/>
      <c r="F24" s="35">
        <f>SUM(F3:F23)</f>
        <v>85</v>
      </c>
    </row>
  </sheetData>
  <mergeCells count="1">
    <mergeCell ref="C24:E2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7"/>
  <sheetViews>
    <sheetView topLeftCell="B1" workbookViewId="0">
      <selection activeCell="C7" sqref="C7:F7"/>
    </sheetView>
  </sheetViews>
  <sheetFormatPr baseColWidth="10" defaultRowHeight="12.75" x14ac:dyDescent="0.2"/>
  <cols>
    <col min="2" max="2" width="26.42578125" customWidth="1"/>
    <col min="3" max="3" width="25" customWidth="1"/>
    <col min="4" max="4" width="29.28515625" customWidth="1"/>
    <col min="5" max="5" width="9.7109375" customWidth="1"/>
    <col min="6" max="6" width="17.85546875" customWidth="1"/>
    <col min="7" max="7" width="19.28515625" customWidth="1"/>
  </cols>
  <sheetData>
    <row r="2" spans="2:7" ht="15.75" customHeight="1" x14ac:dyDescent="0.2">
      <c r="B2" s="6" t="s">
        <v>12</v>
      </c>
      <c r="C2" s="7" t="s">
        <v>5</v>
      </c>
      <c r="D2" s="7" t="s">
        <v>0</v>
      </c>
      <c r="E2" s="8" t="s">
        <v>1</v>
      </c>
      <c r="F2" s="6" t="s">
        <v>13</v>
      </c>
      <c r="G2" s="8" t="s">
        <v>2</v>
      </c>
    </row>
    <row r="3" spans="2:7" ht="15.75" x14ac:dyDescent="0.2">
      <c r="B3" s="10" t="s">
        <v>67</v>
      </c>
      <c r="C3" s="21" t="s">
        <v>39</v>
      </c>
      <c r="D3" s="11" t="s">
        <v>71</v>
      </c>
      <c r="E3" s="22">
        <f>IF(C3="Simple",1,IF(C3="Intermedio",2,IF(C3="Complejo",3,"error")))</f>
        <v>3</v>
      </c>
      <c r="F3" s="25">
        <v>1</v>
      </c>
      <c r="G3" s="22">
        <f>E3*F3</f>
        <v>3</v>
      </c>
    </row>
    <row r="4" spans="2:7" ht="15.75" x14ac:dyDescent="0.2">
      <c r="B4" s="10" t="s">
        <v>68</v>
      </c>
      <c r="C4" s="21" t="s">
        <v>39</v>
      </c>
      <c r="D4" s="11" t="s">
        <v>72</v>
      </c>
      <c r="E4" s="22">
        <f>IF(C4="Simple",1,IF(C4="Intermedio",2,IF(C4="Complejo",3,"error")))</f>
        <v>3</v>
      </c>
      <c r="F4" s="25">
        <v>1</v>
      </c>
      <c r="G4" s="22">
        <f>E4*F4</f>
        <v>3</v>
      </c>
    </row>
    <row r="5" spans="2:7" ht="15.75" x14ac:dyDescent="0.2">
      <c r="B5" s="10" t="s">
        <v>69</v>
      </c>
      <c r="C5" s="21" t="s">
        <v>39</v>
      </c>
      <c r="D5" s="11" t="s">
        <v>72</v>
      </c>
      <c r="E5" s="22">
        <f>IF(C5="Simple",1,IF(C5="Intermedio",2,IF(C5="Complejo",3,"error")))</f>
        <v>3</v>
      </c>
      <c r="F5" s="25">
        <v>1</v>
      </c>
      <c r="G5" s="22">
        <f>E5*F5</f>
        <v>3</v>
      </c>
    </row>
    <row r="6" spans="2:7" ht="15.75" x14ac:dyDescent="0.2">
      <c r="B6" s="10" t="s">
        <v>70</v>
      </c>
      <c r="C6" s="21" t="s">
        <v>39</v>
      </c>
      <c r="D6" s="11" t="s">
        <v>72</v>
      </c>
      <c r="E6" s="22">
        <f>IF(C6="Simple",1,IF(C6="Intermedio",2,IF(C6="Complejo",3,"error")))</f>
        <v>3</v>
      </c>
      <c r="F6" s="25">
        <v>1</v>
      </c>
      <c r="G6" s="22">
        <f>E6*F6</f>
        <v>3</v>
      </c>
    </row>
    <row r="7" spans="2:7" ht="15.75" x14ac:dyDescent="0.2">
      <c r="B7" s="13"/>
      <c r="C7" s="87" t="s">
        <v>21</v>
      </c>
      <c r="D7" s="92"/>
      <c r="E7" s="92"/>
      <c r="F7" s="92"/>
      <c r="G7" s="19">
        <f>SUM(G3:G6)</f>
        <v>12</v>
      </c>
    </row>
  </sheetData>
  <mergeCells count="1">
    <mergeCell ref="C7:F7"/>
  </mergeCells>
  <dataValidations count="1">
    <dataValidation type="list" allowBlank="1" showInputMessage="1" showErrorMessage="1" sqref="C3:C6">
      <formula1>"Simple,Intermedio,Complejo"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topLeftCell="C7" zoomScale="70" zoomScaleNormal="70" workbookViewId="0">
      <selection activeCell="H36" sqref="H36"/>
    </sheetView>
  </sheetViews>
  <sheetFormatPr baseColWidth="10" defaultRowHeight="12.75" x14ac:dyDescent="0.2"/>
  <cols>
    <col min="2" max="2" width="7.28515625" customWidth="1"/>
    <col min="3" max="3" width="63" customWidth="1"/>
    <col min="4" max="4" width="32.28515625" customWidth="1"/>
    <col min="5" max="5" width="19" customWidth="1"/>
  </cols>
  <sheetData>
    <row r="1" spans="2:4" ht="13.5" thickBot="1" x14ac:dyDescent="0.25"/>
    <row r="2" spans="2:4" ht="13.5" customHeight="1" thickBot="1" x14ac:dyDescent="0.25">
      <c r="B2" s="114" t="s">
        <v>140</v>
      </c>
      <c r="C2" s="116"/>
      <c r="D2" s="115"/>
    </row>
    <row r="3" spans="2:4" ht="16.5" thickBot="1" x14ac:dyDescent="0.25">
      <c r="B3" s="114" t="s">
        <v>142</v>
      </c>
      <c r="C3" s="115"/>
      <c r="D3" s="61" t="s">
        <v>143</v>
      </c>
    </row>
    <row r="4" spans="2:4" ht="16.5" thickBot="1" x14ac:dyDescent="0.25">
      <c r="B4" s="117" t="s">
        <v>141</v>
      </c>
      <c r="C4" s="118"/>
      <c r="D4" s="75">
        <v>20</v>
      </c>
    </row>
    <row r="5" spans="2:4" ht="15.75" x14ac:dyDescent="0.2">
      <c r="B5" s="112" t="s">
        <v>144</v>
      </c>
      <c r="C5" s="113"/>
      <c r="D5" s="76">
        <v>28</v>
      </c>
    </row>
    <row r="6" spans="2:4" ht="16.5" thickBot="1" x14ac:dyDescent="0.25">
      <c r="B6" s="110" t="s">
        <v>145</v>
      </c>
      <c r="C6" s="111"/>
      <c r="D6" s="77">
        <v>36</v>
      </c>
    </row>
    <row r="7" spans="2:4" ht="13.5" thickBot="1" x14ac:dyDescent="0.25"/>
    <row r="8" spans="2:4" ht="16.5" thickBot="1" x14ac:dyDescent="0.3">
      <c r="B8" s="106" t="s">
        <v>146</v>
      </c>
      <c r="C8" s="107"/>
      <c r="D8" s="108"/>
    </row>
    <row r="9" spans="2:4" ht="16.5" thickBot="1" x14ac:dyDescent="0.3">
      <c r="B9" s="106" t="s">
        <v>147</v>
      </c>
      <c r="C9" s="109"/>
      <c r="D9" s="70" t="s">
        <v>148</v>
      </c>
    </row>
    <row r="10" spans="2:4" ht="15.75" x14ac:dyDescent="0.25">
      <c r="B10" s="64" t="s">
        <v>99</v>
      </c>
      <c r="C10" s="67" t="s">
        <v>107</v>
      </c>
      <c r="D10" s="71">
        <f>IF(PCU!G33&lt;3,1,0)</f>
        <v>1</v>
      </c>
    </row>
    <row r="11" spans="2:4" ht="15.75" x14ac:dyDescent="0.25">
      <c r="B11" s="65" t="s">
        <v>100</v>
      </c>
      <c r="C11" s="68" t="s">
        <v>108</v>
      </c>
      <c r="D11" s="72">
        <f>IF(PCU!G34&lt;3,1,0)</f>
        <v>1</v>
      </c>
    </row>
    <row r="12" spans="2:4" ht="15.75" x14ac:dyDescent="0.25">
      <c r="B12" s="65" t="s">
        <v>101</v>
      </c>
      <c r="C12" s="68" t="s">
        <v>109</v>
      </c>
      <c r="D12" s="72">
        <f>IF(PCU!G35&lt;3,1,0)</f>
        <v>0</v>
      </c>
    </row>
    <row r="13" spans="2:4" ht="15.75" x14ac:dyDescent="0.25">
      <c r="B13" s="65" t="s">
        <v>102</v>
      </c>
      <c r="C13" s="68" t="s">
        <v>110</v>
      </c>
      <c r="D13" s="72">
        <f>IF(PCU!G36&lt;3,1,0)</f>
        <v>1</v>
      </c>
    </row>
    <row r="14" spans="2:4" ht="15.75" x14ac:dyDescent="0.25">
      <c r="B14" s="65" t="s">
        <v>103</v>
      </c>
      <c r="C14" s="68" t="s">
        <v>111</v>
      </c>
      <c r="D14" s="72">
        <f>IF(PCU!G37&lt;3,1,0)</f>
        <v>0</v>
      </c>
    </row>
    <row r="15" spans="2:4" ht="15.75" x14ac:dyDescent="0.25">
      <c r="B15" s="65" t="s">
        <v>104</v>
      </c>
      <c r="C15" s="68" t="s">
        <v>112</v>
      </c>
      <c r="D15" s="72">
        <f>IF(PCU!G38&lt;3,1,0)</f>
        <v>0</v>
      </c>
    </row>
    <row r="16" spans="2:4" ht="15.75" x14ac:dyDescent="0.25">
      <c r="B16" s="65" t="s">
        <v>105</v>
      </c>
      <c r="C16" s="68" t="s">
        <v>113</v>
      </c>
      <c r="D16" s="72">
        <f>IF(PCU!G39&gt;3,1,0)</f>
        <v>1</v>
      </c>
    </row>
    <row r="17" spans="2:12" ht="16.5" thickBot="1" x14ac:dyDescent="0.3">
      <c r="B17" s="66" t="s">
        <v>106</v>
      </c>
      <c r="C17" s="69" t="s">
        <v>114</v>
      </c>
      <c r="D17" s="73">
        <f>IF(PCU!G40&gt;3,1,0)</f>
        <v>0</v>
      </c>
    </row>
    <row r="18" spans="2:12" ht="16.5" thickBot="1" x14ac:dyDescent="0.3">
      <c r="B18" s="95" t="s">
        <v>149</v>
      </c>
      <c r="C18" s="105"/>
      <c r="D18" s="74">
        <f>SUM(D10:D17)</f>
        <v>4</v>
      </c>
    </row>
    <row r="19" spans="2:12" ht="13.5" thickBot="1" x14ac:dyDescent="0.25"/>
    <row r="20" spans="2:12" ht="16.5" thickBot="1" x14ac:dyDescent="0.3">
      <c r="B20" s="95" t="s">
        <v>150</v>
      </c>
      <c r="C20" s="96"/>
      <c r="D20" s="78">
        <f>IF($D18&lt;3,20,IF(AND($D18&gt;2,$D18&lt;5),28,IF($D18&gt;4,36,"error")))</f>
        <v>28</v>
      </c>
    </row>
    <row r="22" spans="2:12" ht="13.5" thickBot="1" x14ac:dyDescent="0.25">
      <c r="B22" s="62"/>
      <c r="C22" s="62"/>
      <c r="D22" s="62"/>
    </row>
    <row r="23" spans="2:12" ht="16.5" thickBot="1" x14ac:dyDescent="0.3">
      <c r="B23" s="95" t="s">
        <v>151</v>
      </c>
      <c r="C23" s="96"/>
      <c r="D23" s="78">
        <f>PCU!H45*'Estimacion h-h'!D20</f>
        <v>2501.9791999999998</v>
      </c>
    </row>
    <row r="24" spans="2:12" ht="16.5" thickBot="1" x14ac:dyDescent="0.25">
      <c r="B24" s="62"/>
      <c r="C24" s="63"/>
      <c r="D24" s="62"/>
    </row>
    <row r="25" spans="2:12" ht="16.5" thickBot="1" x14ac:dyDescent="0.3">
      <c r="B25" s="99" t="s">
        <v>152</v>
      </c>
      <c r="C25" s="100"/>
      <c r="D25" s="80" t="s">
        <v>154</v>
      </c>
      <c r="E25" s="79" t="s">
        <v>153</v>
      </c>
    </row>
    <row r="26" spans="2:12" ht="15.75" customHeight="1" x14ac:dyDescent="0.25">
      <c r="B26" s="101" t="s">
        <v>156</v>
      </c>
      <c r="C26" s="102"/>
      <c r="D26" s="81">
        <f xml:space="preserve"> ( D31*10 ) / 100</f>
        <v>625.49479999999994</v>
      </c>
      <c r="E26" s="84">
        <v>0.1</v>
      </c>
    </row>
    <row r="27" spans="2:12" ht="16.5" thickBot="1" x14ac:dyDescent="0.3">
      <c r="B27" s="103" t="s">
        <v>157</v>
      </c>
      <c r="C27" s="104"/>
      <c r="D27" s="82">
        <f xml:space="preserve"> ( D31*20 ) / 100</f>
        <v>1250.9895999999999</v>
      </c>
      <c r="E27" s="85">
        <v>0.2</v>
      </c>
    </row>
    <row r="28" spans="2:12" ht="16.5" thickBot="1" x14ac:dyDescent="0.3">
      <c r="B28" s="103" t="s">
        <v>158</v>
      </c>
      <c r="C28" s="104"/>
      <c r="D28" s="82">
        <f>D23</f>
        <v>2501.9791999999998</v>
      </c>
      <c r="E28" s="85">
        <v>0.4</v>
      </c>
      <c r="I28" s="122">
        <f>(D31)/4</f>
        <v>1563.7369999999999</v>
      </c>
      <c r="J28" s="123"/>
      <c r="K28" s="122">
        <f>(D31)/8</f>
        <v>781.86849999999993</v>
      </c>
      <c r="L28" s="123"/>
    </row>
    <row r="29" spans="2:12" ht="15.75" x14ac:dyDescent="0.25">
      <c r="B29" s="103" t="s">
        <v>159</v>
      </c>
      <c r="C29" s="104"/>
      <c r="D29" s="82">
        <f xml:space="preserve"> ( D31*15 ) / 100</f>
        <v>938.24219999999991</v>
      </c>
      <c r="E29" s="85">
        <v>0.15</v>
      </c>
      <c r="I29" s="119">
        <f>I28/22</f>
        <v>71.078954545454536</v>
      </c>
      <c r="J29" s="119">
        <f>I28/26</f>
        <v>60.143730769230764</v>
      </c>
      <c r="K29" s="119">
        <f>K28/22</f>
        <v>35.539477272727268</v>
      </c>
      <c r="L29" s="119">
        <f>K28/26</f>
        <v>30.071865384615382</v>
      </c>
    </row>
    <row r="30" spans="2:12" ht="16.5" thickBot="1" x14ac:dyDescent="0.3">
      <c r="B30" s="93" t="s">
        <v>160</v>
      </c>
      <c r="C30" s="94"/>
      <c r="D30" s="83">
        <f xml:space="preserve"> ( D31*15 ) / 100</f>
        <v>938.24219999999991</v>
      </c>
      <c r="E30" s="86">
        <v>0.15</v>
      </c>
      <c r="I30" s="120">
        <f>I29/12</f>
        <v>5.9232462121212111</v>
      </c>
      <c r="J30" s="120">
        <f>J29/12</f>
        <v>5.0119775641025637</v>
      </c>
      <c r="K30" s="120">
        <f>K29/12</f>
        <v>2.9616231060606055</v>
      </c>
      <c r="L30" s="120">
        <f>L29/12</f>
        <v>2.5059887820512818</v>
      </c>
    </row>
    <row r="31" spans="2:12" ht="16.5" thickBot="1" x14ac:dyDescent="0.3">
      <c r="B31" s="95" t="s">
        <v>155</v>
      </c>
      <c r="C31" s="96"/>
      <c r="D31" s="97">
        <f xml:space="preserve"> ( D28*100 ) / 40</f>
        <v>6254.9479999999994</v>
      </c>
      <c r="E31" s="98"/>
      <c r="I31" s="121">
        <f>I30/3</f>
        <v>1.9744154040404036</v>
      </c>
      <c r="J31" s="121">
        <f>J30/3</f>
        <v>1.6706591880341879</v>
      </c>
      <c r="K31" s="121">
        <f>K30/3</f>
        <v>0.9872077020202018</v>
      </c>
      <c r="L31" s="121">
        <f>L30/3</f>
        <v>0.83532959401709395</v>
      </c>
    </row>
    <row r="33" spans="8:12" x14ac:dyDescent="0.2">
      <c r="L33">
        <f>12/5</f>
        <v>2.4</v>
      </c>
    </row>
    <row r="34" spans="8:12" x14ac:dyDescent="0.2">
      <c r="L34">
        <f>2.4*4</f>
        <v>9.6</v>
      </c>
    </row>
    <row r="35" spans="8:12" x14ac:dyDescent="0.2">
      <c r="H35">
        <f>D23/6</f>
        <v>416.99653333333328</v>
      </c>
    </row>
    <row r="36" spans="8:12" x14ac:dyDescent="0.2">
      <c r="H36">
        <f>H35/22</f>
        <v>18.954387878787877</v>
      </c>
      <c r="I36">
        <f>H36/3</f>
        <v>6.3181292929292923</v>
      </c>
    </row>
    <row r="37" spans="8:12" x14ac:dyDescent="0.2">
      <c r="H37">
        <f>H36/12</f>
        <v>1.5795323232323231</v>
      </c>
    </row>
  </sheetData>
  <mergeCells count="20">
    <mergeCell ref="B5:C5"/>
    <mergeCell ref="B4:C4"/>
    <mergeCell ref="B3:C3"/>
    <mergeCell ref="B2:D2"/>
    <mergeCell ref="K28:L28"/>
    <mergeCell ref="I28:J28"/>
    <mergeCell ref="B18:C18"/>
    <mergeCell ref="B20:C20"/>
    <mergeCell ref="B8:D8"/>
    <mergeCell ref="B9:C9"/>
    <mergeCell ref="B6:C6"/>
    <mergeCell ref="B30:C30"/>
    <mergeCell ref="B31:C31"/>
    <mergeCell ref="D31:E31"/>
    <mergeCell ref="B23:C23"/>
    <mergeCell ref="B25:C25"/>
    <mergeCell ref="B26:C26"/>
    <mergeCell ref="B27:C27"/>
    <mergeCell ref="B28:C28"/>
    <mergeCell ref="B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PCU</vt:lpstr>
      <vt:lpstr>Casos De Uso</vt:lpstr>
      <vt:lpstr>Actores</vt:lpstr>
      <vt:lpstr>Estimacion h-h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Esfuerzo Puntos Casos de Uso</dc:title>
  <dc:creator>LGA</dc:creator>
  <cp:lastModifiedBy>alumno</cp:lastModifiedBy>
  <dcterms:created xsi:type="dcterms:W3CDTF">2000-05-31T23:05:17Z</dcterms:created>
  <dcterms:modified xsi:type="dcterms:W3CDTF">2017-10-03T21:52:57Z</dcterms:modified>
  <cp:category>Template</cp:category>
</cp:coreProperties>
</file>