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ione\OneDrive\Documents\Personal\Business\Madeya Wealth Stewards\Fx\Python\Accounting Planner\"/>
    </mc:Choice>
  </mc:AlternateContent>
  <xr:revisionPtr revIDLastSave="431" documentId="8_{98F52CA8-49BE-464A-8EBD-51DCDD342B84}" xr6:coauthVersionLast="44" xr6:coauthVersionMax="44" xr10:uidLastSave="{283B29AB-63F0-46B1-8E71-6675D7F3576B}"/>
  <bookViews>
    <workbookView xWindow="-120" yWindow="-120" windowWidth="29040" windowHeight="15840" activeTab="1" xr2:uid="{49175D00-0DFE-4568-BFF5-D1D2A9A88593}"/>
  </bookViews>
  <sheets>
    <sheet name="Summary" sheetId="5" r:id="rId1"/>
    <sheet name="Model"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0" i="6" l="1"/>
  <c r="X11" i="6"/>
  <c r="X12" i="6"/>
  <c r="X13" i="6"/>
  <c r="X14" i="6"/>
  <c r="X9" i="6"/>
  <c r="U9" i="6"/>
  <c r="U10" i="6"/>
  <c r="U11" i="6"/>
  <c r="U12" i="6"/>
  <c r="U13" i="6"/>
  <c r="U15" i="6"/>
  <c r="U16" i="6"/>
  <c r="U8" i="6"/>
  <c r="F22" i="6"/>
  <c r="J18" i="6" l="1"/>
  <c r="L18" i="6"/>
  <c r="J19" i="6"/>
  <c r="L19" i="6"/>
  <c r="J20" i="6"/>
  <c r="L20" i="6"/>
  <c r="J21" i="6"/>
  <c r="L21" i="6"/>
  <c r="J22" i="6"/>
  <c r="L22" i="6"/>
  <c r="J23" i="6"/>
  <c r="L23" i="6"/>
  <c r="J25" i="6"/>
  <c r="L25" i="6"/>
  <c r="J26" i="6"/>
  <c r="J39" i="6" s="1"/>
  <c r="L26" i="6"/>
  <c r="L39" i="6" s="1"/>
  <c r="K26" i="6"/>
  <c r="K25" i="6"/>
  <c r="K23" i="6"/>
  <c r="K22" i="6"/>
  <c r="K21" i="6"/>
  <c r="K20" i="6"/>
  <c r="K18" i="6"/>
  <c r="K19" i="6"/>
  <c r="F26" i="6"/>
  <c r="F25" i="6"/>
  <c r="F23" i="6"/>
  <c r="F21" i="6"/>
  <c r="F20" i="6"/>
  <c r="F19" i="6"/>
  <c r="F18" i="6"/>
  <c r="V20" i="6"/>
  <c r="L47" i="6" l="1"/>
  <c r="F39" i="6"/>
  <c r="K39" i="6"/>
  <c r="J47" i="6"/>
  <c r="F47" i="6"/>
  <c r="K47" i="6"/>
  <c r="F11" i="6"/>
  <c r="U14" i="6" s="1"/>
  <c r="J24" i="6" l="1"/>
  <c r="K24" i="6"/>
  <c r="L24" i="6"/>
  <c r="L33" i="6" s="1"/>
  <c r="F24" i="6"/>
  <c r="L34" i="6" l="1"/>
  <c r="L45" i="6" s="1"/>
  <c r="L43" i="6"/>
  <c r="L54" i="6" s="1"/>
  <c r="L35" i="6"/>
  <c r="F43" i="6"/>
  <c r="F54" i="6" s="1"/>
  <c r="F35" i="6"/>
  <c r="F46" i="6" s="1"/>
  <c r="F33" i="6"/>
  <c r="U21" i="6" s="1"/>
  <c r="F34" i="6"/>
  <c r="F45" i="6" s="1"/>
  <c r="K33" i="6"/>
  <c r="K35" i="6"/>
  <c r="K43" i="6"/>
  <c r="K54" i="6" s="1"/>
  <c r="K34" i="6"/>
  <c r="K45" i="6" s="1"/>
  <c r="J34" i="6"/>
  <c r="J45" i="6" s="1"/>
  <c r="J33" i="6"/>
  <c r="J35" i="6"/>
  <c r="J43" i="6"/>
  <c r="J54" i="6" s="1"/>
  <c r="Y30" i="6"/>
  <c r="L38" i="6" l="1"/>
  <c r="L46" i="6"/>
  <c r="J38" i="6"/>
  <c r="K38" i="6"/>
  <c r="J42" i="6"/>
  <c r="J37" i="6"/>
  <c r="K37" i="6"/>
  <c r="K42" i="6"/>
  <c r="K40" i="6"/>
  <c r="K48" i="6" s="1"/>
  <c r="K36" i="6"/>
  <c r="K41" i="6"/>
  <c r="J41" i="6"/>
  <c r="J36" i="6"/>
  <c r="J40" i="6"/>
  <c r="J48" i="6" s="1"/>
  <c r="L41" i="6"/>
  <c r="L36" i="6"/>
  <c r="L40" i="6"/>
  <c r="L48" i="6" s="1"/>
  <c r="J44" i="6"/>
  <c r="F41" i="6"/>
  <c r="F40" i="6"/>
  <c r="F48" i="6" s="1"/>
  <c r="F36" i="6"/>
  <c r="J46" i="6"/>
  <c r="K44" i="6"/>
  <c r="F44" i="6"/>
  <c r="K46" i="6"/>
  <c r="F42" i="6"/>
  <c r="F37" i="6"/>
  <c r="F38" i="6"/>
  <c r="L44" i="6"/>
  <c r="L42" i="6"/>
  <c r="L37" i="6"/>
  <c r="U28" i="6"/>
  <c r="T36" i="6" s="1"/>
  <c r="Y27" i="6"/>
  <c r="T23" i="6"/>
  <c r="T22" i="6"/>
  <c r="T21" i="6"/>
  <c r="J49" i="6" l="1"/>
  <c r="J52" i="6" s="1"/>
  <c r="F55" i="6"/>
  <c r="F51" i="6"/>
  <c r="F49" i="6"/>
  <c r="F50" i="6" s="1"/>
  <c r="K51" i="6"/>
  <c r="K55" i="6"/>
  <c r="L55" i="6"/>
  <c r="L51" i="6"/>
  <c r="L49" i="6"/>
  <c r="L50" i="6" s="1"/>
  <c r="K49" i="6"/>
  <c r="J51" i="6"/>
  <c r="J55" i="6"/>
  <c r="U53" i="6"/>
  <c r="S36" i="6"/>
  <c r="U36" i="6" s="1"/>
  <c r="U46" i="6"/>
  <c r="X20" i="6"/>
  <c r="Y20" i="6" s="1"/>
  <c r="W20" i="6"/>
  <c r="U40" i="6"/>
  <c r="J56" i="6" l="1"/>
  <c r="J50" i="6"/>
  <c r="J53" i="6" s="1"/>
  <c r="F56" i="6"/>
  <c r="F52" i="6"/>
  <c r="F57" i="6"/>
  <c r="F53" i="6"/>
  <c r="K52" i="6"/>
  <c r="K56" i="6"/>
  <c r="L57" i="6"/>
  <c r="L53" i="6"/>
  <c r="K50" i="6"/>
  <c r="L56" i="6"/>
  <c r="L52" i="6"/>
  <c r="U23" i="6"/>
  <c r="X21" i="6"/>
  <c r="W38" i="6"/>
  <c r="U29" i="6"/>
  <c r="V41" i="6" s="1"/>
  <c r="U22" i="6"/>
  <c r="F58" i="6" l="1"/>
  <c r="J57" i="6"/>
  <c r="J58" i="6" s="1"/>
  <c r="L58" i="6"/>
  <c r="K53" i="6"/>
  <c r="K57" i="6"/>
  <c r="K58" i="6" s="1"/>
  <c r="U30" i="6"/>
  <c r="V40" i="6"/>
  <c r="W40" i="6" s="1"/>
  <c r="T41" i="6"/>
  <c r="T40" i="6"/>
  <c r="W51" i="6"/>
  <c r="X23" i="6"/>
  <c r="W44" i="6"/>
  <c r="U31" i="6"/>
  <c r="X22" i="6"/>
  <c r="V21" i="6"/>
  <c r="V56" i="6" l="1"/>
  <c r="T46" i="6"/>
  <c r="T47" i="6"/>
  <c r="V48" i="6"/>
  <c r="T48" i="6"/>
  <c r="V47" i="6"/>
  <c r="V46" i="6"/>
  <c r="W46" i="6" s="1"/>
  <c r="X24" i="6"/>
  <c r="T54" i="6"/>
  <c r="T53" i="6"/>
  <c r="T56" i="6"/>
  <c r="T55" i="6"/>
  <c r="V53" i="6"/>
  <c r="W53" i="6" s="1"/>
  <c r="V54" i="6"/>
  <c r="U41" i="6"/>
  <c r="W41" i="6" s="1"/>
  <c r="W42" i="6" s="1"/>
  <c r="Y21" i="6"/>
  <c r="U47" i="6"/>
  <c r="W21" i="6"/>
  <c r="U54" i="6"/>
  <c r="V22" i="6"/>
  <c r="V23" i="6" s="1"/>
  <c r="V55" i="6"/>
  <c r="W47" i="6" l="1"/>
  <c r="W54" i="6"/>
  <c r="W22" i="6"/>
  <c r="U55" i="6"/>
  <c r="W55" i="6" s="1"/>
  <c r="Y22" i="6"/>
  <c r="U48" i="6"/>
  <c r="W48" i="6" s="1"/>
  <c r="W49" i="6" l="1"/>
  <c r="U56" i="6"/>
  <c r="W56" i="6" s="1"/>
  <c r="W57" i="6" s="1"/>
  <c r="Y23" i="6"/>
  <c r="Y24" i="6" s="1"/>
  <c r="Y32" i="6" s="1"/>
  <c r="W2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tc={8693E25C-9890-42B1-9282-C74C142AAFF5}</author>
    <author>tc={06A0FA55-654F-4573-9AF9-E44150F471FD}</author>
    <author>tc={C0927D50-59D1-4853-8BCF-12389B856605}</author>
    <author>tc={C2981E03-6021-45B1-B4B7-DD1BD48718CD}</author>
    <author>tc={4D04C134-F2C2-440E-9AD9-1E870B1084A5}</author>
    <author>tc={80041B53-702F-4251-9530-E181B2F23563}</author>
    <author>tc={12F349A5-8615-4722-998E-5BC1A4F92A7A}</author>
    <author>tc={A0657D2D-CDC4-4ED5-94A9-4ACAAC1EE513}</author>
    <author>tc={CE0D61E6-9448-4824-B311-DDC5A430F0BB}</author>
    <author>tc={C9E202E7-FB9D-4C07-8495-64CC45E6C638}</author>
    <author>tc={6D59A900-2E3A-4474-9DCD-7639E5D5B58D}</author>
    <author>tc={318845DF-0DAF-4700-A15F-2DB47C76F2CC}</author>
    <author>tc={31EC9727-2AF3-454A-9196-ABC0504AF2AF}</author>
    <author>tc={A8DAB0E7-F2BB-42B3-B148-923E9B66EA35}</author>
    <author>tc={B5DC11AF-A1A5-4AF4-BBFC-D57271A151AD}</author>
    <author>tc={1CD3EA90-6021-4C7D-9C4E-91FBBB50360B}</author>
    <author>tc={33808F65-A2B6-4559-86A1-98D7687010C2}</author>
    <author>tc={29092998-9A4D-4F4F-A78C-B57D975605F1}</author>
    <author>tc={4720D7AB-7AFA-4B19-AFF4-428C4868D161}</author>
    <author>tc={667B9C3D-669E-4E44-9123-238BA196E3F6}</author>
    <author>tc={448F2BC4-84E5-4BDB-AAE4-ED1A15DAAA44}</author>
    <author>tc={3B5730B2-BD64-4016-B3DC-29A3B8DDC699}</author>
    <author>tc={C6534344-7613-4084-A403-7A1C2596ECA4}</author>
    <author>tc={DE5EFFBB-BF03-4BFF-98E2-58D2D3F3E431}</author>
    <author>tc={1B907A34-C5BB-47C8-B82C-5F0112C5511A}</author>
    <author>tc={8DFC21DD-EC07-432E-ACBE-E112DC0C0D6A}</author>
    <author>tc={40ECD107-FD09-4557-8AE3-00682A9D38EA}</author>
    <author>tc={238AF6B1-9C46-481C-B7A9-0B8EC0DE6C63}</author>
    <author>tc={F8D6EB82-E10B-4FA5-8905-6FD04FBC8194}</author>
  </authors>
  <commentList>
    <comment ref="F9" authorId="0" shapeId="0" xr:uid="{8693E25C-9890-42B1-9282-C74C142AAFF5}">
      <text>
        <t>[Threaded comment]
Your version of Excel allows you to read this threaded comment; however, any edits to it will get removed if the file is opened in a newer version of Excel. Learn more: https://go.microsoft.com/fwlink/?linkid=870924
Comment:
    Iteration from 90 to 1,000+</t>
      </text>
    </comment>
    <comment ref="V20" authorId="1" shapeId="0" xr:uid="{06A0FA55-654F-4573-9AF9-E44150F471FD}">
      <text>
        <t>[Threaded comment]
Your version of Excel allows you to read this threaded comment; however, any edits to it will get removed if the file is opened in a newer version of Excel. Learn more: https://go.microsoft.com/fwlink/?linkid=870924
Comment:
    Output 15</t>
      </text>
    </comment>
    <comment ref="X20" authorId="2" shapeId="0" xr:uid="{C0927D50-59D1-4853-8BCF-12389B856605}">
      <text>
        <t>[Threaded comment]
Your version of Excel allows you to read this threaded comment; however, any edits to it will get removed if the file is opened in a newer version of Excel. Learn more: https://go.microsoft.com/fwlink/?linkid=870924
Comment:
    Output 11</t>
      </text>
    </comment>
    <comment ref="U21" authorId="3" shapeId="0" xr:uid="{C2981E03-6021-45B1-B4B7-DD1BD48718CD}">
      <text>
        <t>[Threaded comment]
Your version of Excel allows you to read this threaded comment; however, any edits to it will get removed if the file is opened in a newer version of Excel. Learn more: https://go.microsoft.com/fwlink/?linkid=870924
Comment:
    Output 1</t>
      </text>
    </comment>
    <comment ref="V21" authorId="4" shapeId="0" xr:uid="{4D04C134-F2C2-440E-9AD9-1E870B1084A5}">
      <text>
        <t>[Threaded comment]
Your version of Excel allows you to read this threaded comment; however, any edits to it will get removed if the file is opened in a newer version of Excel. Learn more: https://go.microsoft.com/fwlink/?linkid=870924
Comment:
    Output 16</t>
      </text>
    </comment>
    <comment ref="W21" authorId="5" shapeId="0" xr:uid="{80041B53-702F-4251-9530-E181B2F23563}">
      <text>
        <t>[Threaded comment]
Your version of Excel allows you to read this threaded comment; however, any edits to it will get removed if the file is opened in a newer version of Excel. Learn more: https://go.microsoft.com/fwlink/?linkid=870924
Comment:
    Constraint 4 must be less than or equal to 4</t>
      </text>
    </comment>
    <comment ref="X21" authorId="6" shapeId="0" xr:uid="{12F349A5-8615-4722-998E-5BC1A4F92A7A}">
      <text>
        <t>[Threaded comment]
Your version of Excel allows you to read this threaded comment; however, any edits to it will get removed if the file is opened in a newer version of Excel. Learn more: https://go.microsoft.com/fwlink/?linkid=870924
Comment:
    Output 12</t>
      </text>
    </comment>
    <comment ref="U22" authorId="7" shapeId="0" xr:uid="{A0657D2D-CDC4-4ED5-94A9-4ACAAC1EE513}">
      <text>
        <t>[Threaded comment]
Your version of Excel allows you to read this threaded comment; however, any edits to it will get removed if the file is opened in a newer version of Excel. Learn more: https://go.microsoft.com/fwlink/?linkid=870924
Comment:
    Output 2</t>
      </text>
    </comment>
    <comment ref="V22" authorId="8" shapeId="0" xr:uid="{CE0D61E6-9448-4824-B311-DDC5A430F0BB}">
      <text>
        <t>[Threaded comment]
Your version of Excel allows you to read this threaded comment; however, any edits to it will get removed if the file is opened in a newer version of Excel. Learn more: https://go.microsoft.com/fwlink/?linkid=870924
Comment:
    Output 17</t>
      </text>
    </comment>
    <comment ref="W22" authorId="9" shapeId="0" xr:uid="{C9E202E7-FB9D-4C07-8495-64CC45E6C638}">
      <text>
        <t>[Threaded comment]
Your version of Excel allows you to read this threaded comment; however, any edits to it will get removed if the file is opened in a newer version of Excel. Learn more: https://go.microsoft.com/fwlink/?linkid=870924
Comment:
    Constraint 5 must be less than or equal to 4</t>
      </text>
    </comment>
    <comment ref="X22" authorId="10" shapeId="0" xr:uid="{6D59A900-2E3A-4474-9DCD-7639E5D5B58D}">
      <text>
        <t>[Threaded comment]
Your version of Excel allows you to read this threaded comment; however, any edits to it will get removed if the file is opened in a newer version of Excel. Learn more: https://go.microsoft.com/fwlink/?linkid=870924
Comment:
    Output 13</t>
      </text>
    </comment>
    <comment ref="U23" authorId="11" shapeId="0" xr:uid="{318845DF-0DAF-4700-A15F-2DB47C76F2CC}">
      <text>
        <t>[Threaded comment]
Your version of Excel allows you to read this threaded comment; however, any edits to it will get removed if the file is opened in a newer version of Excel. Learn more: https://go.microsoft.com/fwlink/?linkid=870924
Comment:
    Output 3</t>
      </text>
    </comment>
    <comment ref="V23" authorId="12" shapeId="0" xr:uid="{31EC9727-2AF3-454A-9196-ABC0504AF2AF}">
      <text>
        <t>[Threaded comment]
Your version of Excel allows you to read this threaded comment; however, any edits to it will get removed if the file is opened in a newer version of Excel. Learn more: https://go.microsoft.com/fwlink/?linkid=870924
Comment:
    Output 18</t>
      </text>
    </comment>
    <comment ref="W23" authorId="13" shapeId="0" xr:uid="{A8DAB0E7-F2BB-42B3-B148-923E9B66EA35}">
      <text>
        <t>[Threaded comment]
Your version of Excel allows you to read this threaded comment; however, any edits to it will get removed if the file is opened in a newer version of Excel. Learn more: https://go.microsoft.com/fwlink/?linkid=870924
Comment:
    Constraint 6 must be less than or equal to 14,5</t>
      </text>
    </comment>
    <comment ref="X23" authorId="14" shapeId="0" xr:uid="{B5DC11AF-A1A5-4AF4-BBFC-D57271A151AD}">
      <text>
        <t>[Threaded comment]
Your version of Excel allows you to read this threaded comment; however, any edits to it will get removed if the file is opened in a newer version of Excel. Learn more: https://go.microsoft.com/fwlink/?linkid=870924
Comment:
    Output 14</t>
      </text>
    </comment>
    <comment ref="U28" authorId="15" shapeId="0" xr:uid="{1CD3EA90-6021-4C7D-9C4E-91FBBB50360B}">
      <text>
        <t>[Threaded comment]
Your version of Excel allows you to read this threaded comment; however, any edits to it will get removed if the file is opened in a newer version of Excel. Learn more: https://go.microsoft.com/fwlink/?linkid=870924
Comment:
    Output 7</t>
      </text>
    </comment>
    <comment ref="U29" authorId="16" shapeId="0" xr:uid="{33808F65-A2B6-4559-86A1-98D7687010C2}">
      <text>
        <t>[Threaded comment]
Your version of Excel allows you to read this threaded comment; however, any edits to it will get removed if the file is opened in a newer version of Excel. Learn more: https://go.microsoft.com/fwlink/?linkid=870924
Comment:
    Output 8</t>
      </text>
    </comment>
    <comment ref="U30" authorId="17" shapeId="0" xr:uid="{29092998-9A4D-4F4F-A78C-B57D975605F1}">
      <text>
        <t>[Threaded comment]
Your version of Excel allows you to read this threaded comment; however, any edits to it will get removed if the file is opened in a newer version of Excel. Learn more: https://go.microsoft.com/fwlink/?linkid=870924
Comment:
    Output 9</t>
      </text>
    </comment>
    <comment ref="U31" authorId="18" shapeId="0" xr:uid="{4720D7AB-7AFA-4B19-AFF4-428C4868D161}">
      <text>
        <t>[Threaded comment]
Your version of Excel allows you to read this threaded comment; however, any edits to it will get removed if the file is opened in a newer version of Excel. Learn more: https://go.microsoft.com/fwlink/?linkid=870924
Comment:
    Output 10</t>
      </text>
    </comment>
    <comment ref="T36" authorId="19" shapeId="0" xr:uid="{667B9C3D-669E-4E44-9123-238BA196E3F6}">
      <text>
        <t>[Threaded comment]
Your version of Excel allows you to read this threaded comment; however, any edits to it will get removed if the file is opened in a newer version of Excel. Learn more: https://go.microsoft.com/fwlink/?linkid=870924
Comment:
    Output 7</t>
      </text>
    </comment>
    <comment ref="T40" authorId="20" shapeId="0" xr:uid="{448F2BC4-84E5-4BDB-AAE4-ED1A15DAAA44}">
      <text>
        <t>[Threaded comment]
Your version of Excel allows you to read this threaded comment; however, any edits to it will get removed if the file is opened in a newer version of Excel. Learn more: https://go.microsoft.com/fwlink/?linkid=870924
Comment:
    Output 8</t>
      </text>
    </comment>
    <comment ref="T41" authorId="21" shapeId="0" xr:uid="{3B5730B2-BD64-4016-B3DC-29A3B8DDC699}">
      <text>
        <t>[Threaded comment]
Your version of Excel allows you to read this threaded comment; however, any edits to it will get removed if the file is opened in a newer version of Excel. Learn more: https://go.microsoft.com/fwlink/?linkid=870924
Comment:
    Output 8</t>
      </text>
    </comment>
    <comment ref="T46" authorId="22" shapeId="0" xr:uid="{C6534344-7613-4084-A403-7A1C2596ECA4}">
      <text>
        <t>[Threaded comment]
Your version of Excel allows you to read this threaded comment; however, any edits to it will get removed if the file is opened in a newer version of Excel. Learn more: https://go.microsoft.com/fwlink/?linkid=870924
Comment:
    Output 9</t>
      </text>
    </comment>
    <comment ref="T47" authorId="23" shapeId="0" xr:uid="{DE5EFFBB-BF03-4BFF-98E2-58D2D3F3E431}">
      <text>
        <t>[Threaded comment]
Your version of Excel allows you to read this threaded comment; however, any edits to it will get removed if the file is opened in a newer version of Excel. Learn more: https://go.microsoft.com/fwlink/?linkid=870924
Comment:
    Output 9</t>
      </text>
    </comment>
    <comment ref="T48" authorId="24" shapeId="0" xr:uid="{1B907A34-C5BB-47C8-B82C-5F0112C5511A}">
      <text>
        <t>[Threaded comment]
Your version of Excel allows you to read this threaded comment; however, any edits to it will get removed if the file is opened in a newer version of Excel. Learn more: https://go.microsoft.com/fwlink/?linkid=870924
Comment:
    Output 9</t>
      </text>
    </comment>
    <comment ref="T53" authorId="25" shapeId="0" xr:uid="{8DFC21DD-EC07-432E-ACBE-E112DC0C0D6A}">
      <text>
        <t>[Threaded comment]
Your version of Excel allows you to read this threaded comment; however, any edits to it will get removed if the file is opened in a newer version of Excel. Learn more: https://go.microsoft.com/fwlink/?linkid=870924
Comment:
    Output 10</t>
      </text>
    </comment>
    <comment ref="T54" authorId="26" shapeId="0" xr:uid="{40ECD107-FD09-4557-8AE3-00682A9D38EA}">
      <text>
        <t>[Threaded comment]
Your version of Excel allows you to read this threaded comment; however, any edits to it will get removed if the file is opened in a newer version of Excel. Learn more: https://go.microsoft.com/fwlink/?linkid=870924
Comment:
    Output 10</t>
      </text>
    </comment>
    <comment ref="T55" authorId="27" shapeId="0" xr:uid="{238AF6B1-9C46-481C-B7A9-0B8EC0DE6C63}">
      <text>
        <t>[Threaded comment]
Your version of Excel allows you to read this threaded comment; however, any edits to it will get removed if the file is opened in a newer version of Excel. Learn more: https://go.microsoft.com/fwlink/?linkid=870924
Comment:
    Output 10</t>
      </text>
    </comment>
    <comment ref="T56" authorId="28" shapeId="0" xr:uid="{F8D6EB82-E10B-4FA5-8905-6FD04FBC8194}">
      <text>
        <t>[Threaded comment]
Your version of Excel allows you to read this threaded comment; however, any edits to it will get removed if the file is opened in a newer version of Excel. Learn more: https://go.microsoft.com/fwlink/?linkid=870924
Comment:
    Output 10</t>
      </text>
    </comment>
  </commentList>
</comments>
</file>

<file path=xl/sharedStrings.xml><?xml version="1.0" encoding="utf-8"?>
<sst xmlns="http://schemas.openxmlformats.org/spreadsheetml/2006/main" count="218" uniqueCount="132">
  <si>
    <t>Title:</t>
  </si>
  <si>
    <t>Context:</t>
  </si>
  <si>
    <t>Starting Point:</t>
  </si>
  <si>
    <t>Fixed Parameter 1</t>
  </si>
  <si>
    <t>Fixed Parameter 2</t>
  </si>
  <si>
    <t>Fixed Parameter 3</t>
  </si>
  <si>
    <t>Fixed Parameter 4</t>
  </si>
  <si>
    <t>Anchor Parameter 5</t>
  </si>
  <si>
    <t>Input Parameter 6</t>
  </si>
  <si>
    <t>Input Parameter 7</t>
  </si>
  <si>
    <t>Input Parameter 8</t>
  </si>
  <si>
    <t>Input Parameter 9</t>
  </si>
  <si>
    <t>Input Parameter 10</t>
  </si>
  <si>
    <t>Input Parameter 11</t>
  </si>
  <si>
    <t>Input Parameter 12</t>
  </si>
  <si>
    <t>Input Parameter 13</t>
  </si>
  <si>
    <t>Output 1</t>
  </si>
  <si>
    <t>Output 2</t>
  </si>
  <si>
    <t>Output 3</t>
  </si>
  <si>
    <t>Constraint 1</t>
  </si>
  <si>
    <t>Constraint 2</t>
  </si>
  <si>
    <t>Constraint 3</t>
  </si>
  <si>
    <t>Output 7</t>
  </si>
  <si>
    <t>Output 8</t>
  </si>
  <si>
    <t>Output 9</t>
  </si>
  <si>
    <t>Output 10</t>
  </si>
  <si>
    <t>Output 11</t>
  </si>
  <si>
    <t>Output 12</t>
  </si>
  <si>
    <t>Output 13</t>
  </si>
  <si>
    <t>Output 14</t>
  </si>
  <si>
    <t>Output 15</t>
  </si>
  <si>
    <t>Output 16</t>
  </si>
  <si>
    <t>Output 17</t>
  </si>
  <si>
    <t>Output 18</t>
  </si>
  <si>
    <t>Constraint 4</t>
  </si>
  <si>
    <t>Constraint 5</t>
  </si>
  <si>
    <t>Constraint 6</t>
  </si>
  <si>
    <t>90 to 1000</t>
  </si>
  <si>
    <t>0,001 to 0,03</t>
  </si>
  <si>
    <t>3 to 18</t>
  </si>
  <si>
    <t>Min 5</t>
  </si>
  <si>
    <t>Min 15</t>
  </si>
  <si>
    <t>Max 4</t>
  </si>
  <si>
    <t>Max 14</t>
  </si>
  <si>
    <t>Input Parameter 14</t>
  </si>
  <si>
    <t>Input Parameter 15</t>
  </si>
  <si>
    <t>Heading 1</t>
  </si>
  <si>
    <t xml:space="preserve"> -  </t>
  </si>
  <si>
    <t>T Header</t>
  </si>
  <si>
    <t>L Header</t>
  </si>
  <si>
    <t>P Header</t>
  </si>
  <si>
    <t>Cos Header</t>
  </si>
  <si>
    <t>Lo Rat Header</t>
  </si>
  <si>
    <t>PG Header</t>
  </si>
  <si>
    <t>Res Header</t>
  </si>
  <si>
    <t>Init1:</t>
  </si>
  <si>
    <t>TU 1:</t>
  </si>
  <si>
    <t>TU 2:</t>
  </si>
  <si>
    <t>Min 0,81  to 1,00</t>
  </si>
  <si>
    <t>TU 3:</t>
  </si>
  <si>
    <t>Total</t>
  </si>
  <si>
    <t>18 to 200</t>
  </si>
  <si>
    <t>Heading 2</t>
  </si>
  <si>
    <t>Key Stats</t>
  </si>
  <si>
    <t>E Header</t>
  </si>
  <si>
    <t>Date:</t>
  </si>
  <si>
    <t xml:space="preserve">Sce 1 </t>
  </si>
  <si>
    <t>Time:</t>
  </si>
  <si>
    <t>NOW</t>
  </si>
  <si>
    <t>Sce 2</t>
  </si>
  <si>
    <t>Additional Field 1:</t>
  </si>
  <si>
    <t>Sce 3</t>
  </si>
  <si>
    <t>Sce 4</t>
  </si>
  <si>
    <t>Additional Field 3:</t>
  </si>
  <si>
    <t>Additional Field 4:</t>
  </si>
  <si>
    <t>Heading 3</t>
  </si>
  <si>
    <t xml:space="preserve">Heading 4 @ </t>
  </si>
  <si>
    <t>Heading 5 @</t>
  </si>
  <si>
    <t>MODEL OPTIMISED INPUTS</t>
  </si>
  <si>
    <t>Min 25 to 50</t>
  </si>
  <si>
    <t>Min 50 to 100</t>
  </si>
  <si>
    <t>Min 0,26 to 0,40</t>
  </si>
  <si>
    <t>Min 0,44 to 0,69</t>
  </si>
  <si>
    <t>Min 0,70 to 0,90</t>
  </si>
  <si>
    <t>Heading 6 @</t>
  </si>
  <si>
    <t>MODEL OPTIMISED OUTPUTS</t>
  </si>
  <si>
    <t>Output 19</t>
  </si>
  <si>
    <t>Output 20</t>
  </si>
  <si>
    <t>Output 21</t>
  </si>
  <si>
    <t>Output 22</t>
  </si>
  <si>
    <t>Objective 1</t>
  </si>
  <si>
    <t>Objective 2</t>
  </si>
  <si>
    <t>Objective 3</t>
  </si>
  <si>
    <t>Objective 4</t>
  </si>
  <si>
    <t>Step 1</t>
  </si>
  <si>
    <t>Step 2</t>
  </si>
  <si>
    <t>Input Validation</t>
  </si>
  <si>
    <t>90 to 1,000</t>
  </si>
  <si>
    <t>Deliverable:</t>
  </si>
  <si>
    <t>MANUAL USER INPUTS</t>
  </si>
  <si>
    <t>Target Output</t>
  </si>
  <si>
    <t>MANUAL USER INPUTS - MODEL INPUT</t>
  </si>
  <si>
    <t>Validation 1</t>
  </si>
  <si>
    <t>Validation 2</t>
  </si>
  <si>
    <t>4 to 18</t>
  </si>
  <si>
    <t>36 to 90</t>
  </si>
  <si>
    <t>10 to 36</t>
  </si>
  <si>
    <t>Min 12 to 25</t>
  </si>
  <si>
    <t>Min 36 to 90</t>
  </si>
  <si>
    <t>Objectives:</t>
  </si>
  <si>
    <t>Problem &amp; Input Variables:</t>
  </si>
  <si>
    <t>Python Optimization Problem using PULP Optimization on  Jupyter Notebook</t>
  </si>
  <si>
    <r>
      <t xml:space="preserve">This project is for an accounting budgeting and planning tool. The objective is to optimise given input parameters to </t>
    </r>
    <r>
      <rPr>
        <b/>
        <sz val="14"/>
        <color theme="1"/>
        <rFont val="Calibri"/>
        <family val="2"/>
        <scheme val="minor"/>
      </rPr>
      <t>maximise</t>
    </r>
    <r>
      <rPr>
        <sz val="14"/>
        <color theme="1"/>
        <rFont val="Calibri"/>
        <family val="2"/>
        <scheme val="minor"/>
      </rPr>
      <t xml:space="preserve"> the target value while adhering to the specified constraints. This process is currently being done manually on Excel through trial and error and could be best accelerated if it was optimised by a python model.</t>
    </r>
  </si>
  <si>
    <r>
      <rPr>
        <b/>
        <sz val="12"/>
        <color theme="1"/>
        <rFont val="Calibri"/>
        <family val="2"/>
        <scheme val="minor"/>
      </rPr>
      <t>A.</t>
    </r>
    <r>
      <rPr>
        <sz val="12"/>
        <color theme="1"/>
        <rFont val="Calibri"/>
        <family val="2"/>
        <scheme val="minor"/>
      </rPr>
      <t xml:space="preserve"> For every iteration of Anchor Parameter 5 (I.e. Parameter 5 is an integer iterating from 90 to 1,000) - This means that Anchor parameter will be externally inputted as 90 or 91 or 150 etc
</t>
    </r>
    <r>
      <rPr>
        <b/>
        <sz val="12"/>
        <color theme="1"/>
        <rFont val="Calibri"/>
        <family val="2"/>
        <scheme val="minor"/>
      </rPr>
      <t>B.</t>
    </r>
    <r>
      <rPr>
        <sz val="12"/>
        <color theme="1"/>
        <rFont val="Calibri"/>
        <family val="2"/>
        <scheme val="minor"/>
      </rPr>
      <t xml:space="preserve"> The optimisation model must find and save the best values for the following  Input Variables:
Input 10: An integer from 3 to 18 (Both 3 and 18 included)
Input 11: An integer from 25 to 50 (Both 25 and 50 included)
Input 12: An integer from 50 to 100 (Both 50 and 100 included)
</t>
    </r>
    <r>
      <rPr>
        <sz val="12"/>
        <color rgb="FFFF0000"/>
        <rFont val="Calibri"/>
        <family val="2"/>
        <scheme val="minor"/>
      </rPr>
      <t>Input 13</t>
    </r>
    <r>
      <rPr>
        <sz val="12"/>
        <color theme="1"/>
        <rFont val="Calibri"/>
        <family val="2"/>
        <scheme val="minor"/>
      </rPr>
      <t xml:space="preserve">: A 2 decimal float from 0.26 to 0.40 (Both 0.26 and 0.40 included)
</t>
    </r>
    <r>
      <rPr>
        <sz val="12"/>
        <color rgb="FFFF0000"/>
        <rFont val="Calibri"/>
        <family val="2"/>
        <scheme val="minor"/>
      </rPr>
      <t>Input 14</t>
    </r>
    <r>
      <rPr>
        <sz val="12"/>
        <color theme="1"/>
        <rFont val="Calibri"/>
        <family val="2"/>
        <scheme val="minor"/>
      </rPr>
      <t xml:space="preserve">: A 2 decimal float from 0.44 to 0.69 (Both 0.44 and 0.69 included)
</t>
    </r>
    <r>
      <rPr>
        <sz val="12"/>
        <color rgb="FFFF0000"/>
        <rFont val="Calibri"/>
        <family val="2"/>
        <scheme val="minor"/>
      </rPr>
      <t>Input 15</t>
    </r>
    <r>
      <rPr>
        <sz val="12"/>
        <color theme="1"/>
        <rFont val="Calibri"/>
        <family val="2"/>
        <scheme val="minor"/>
      </rPr>
      <t>: A 2 decimal float from 0.70 to 0.90 (Both 0.70 and 0.90 included)</t>
    </r>
  </si>
  <si>
    <t>Max 14.5</t>
  </si>
  <si>
    <t>Step 3</t>
  </si>
  <si>
    <t>Manual User Inputs</t>
  </si>
  <si>
    <t>Model Optimized Inputs</t>
  </si>
  <si>
    <t>Objective Number</t>
  </si>
  <si>
    <t>1) Constraint 1: Must be a float equal to 5 or greater than 5
2) Constraint 2: Must be a float equal to 15 or greater than greater than 15
3) Constraint 3: Must be a float equal to 5 or greater than 5
4) Constraint 4: Must be a float equal to 4 or less than 4
5) Constraint 5: Must be a float equal to 4 or less than 4
6) Constraint 6: Must be a float equal to 14,5 or less than 14,5</t>
  </si>
  <si>
    <r>
      <t xml:space="preserve">1) Constraint 1: Must be a float equal to 5 or greater than 5
2) Constraint 2: Must be a float equal to 15 or greater than greater than 15
3) Constraint 3: Must be a float equal to 5 or greater than 5
4) Constraint 4: Must be a float equal to 4 or less than 4
5) Constraint 5: Must be a float equal to 4 or less than 4
6) Constraint 6: Must be a float equal to 14,5 or less than 14,5
</t>
    </r>
    <r>
      <rPr>
        <sz val="11"/>
        <color rgb="FFFF0000"/>
        <rFont val="Calibri"/>
        <family val="2"/>
        <scheme val="minor"/>
      </rPr>
      <t>7) Input 13, Input 14 and Input 15 must have a ratio of 3:6:9</t>
    </r>
  </si>
  <si>
    <r>
      <t xml:space="preserve">1) Constraint 1: Must be a float equal to 5 or greater than 5
2) Constraint 2: Must be a float equal to 15 or greater than greater than 15
3) Constraint 3: Must be a float equal to 5 or greater than 5
4) Constraint 4: Must be a float equal to 4 or less than 4
5) Constraint 5: Must be a float equal to 4 or less than 4
6) Constraint 6: Must be a float to 14,5 or less than 14,5
</t>
    </r>
    <r>
      <rPr>
        <sz val="11"/>
        <color theme="5" tint="-0.499984740745262"/>
        <rFont val="Calibri"/>
        <family val="2"/>
        <scheme val="minor"/>
      </rPr>
      <t>7) Constraint 1 is minimised
8) Constraints 2 and 3 are approximately equal</t>
    </r>
  </si>
  <si>
    <r>
      <t xml:space="preserve">1) Constraint 1: Must be a float equal to 5 or greater than 5
2) Constraint 2: Must be a float equal to 15 or greater than greater than 15
3) Constraint 3: Must be a float equal to 5 or greater than 5
4) Constraint 4: Must be a float equal to 4 or less than 4
5) Constraint 5: Must be a float equal to 4 or less than 4
6) Constraint 6: Must be a float equal to 14,5 or less than 14,5
</t>
    </r>
    <r>
      <rPr>
        <sz val="11"/>
        <color theme="5" tint="-0.499984740745262"/>
        <rFont val="Calibri"/>
        <family val="2"/>
        <scheme val="minor"/>
      </rPr>
      <t>7) Constraint 1, 2 and 3 are approximately equal</t>
    </r>
  </si>
  <si>
    <t>Objective 1 output per iteration of Anchor 5</t>
  </si>
  <si>
    <t>Fixed Parameter 2:</t>
  </si>
  <si>
    <r>
      <rPr>
        <b/>
        <sz val="11"/>
        <color rgb="FF0070C0"/>
        <rFont val="Calibri"/>
        <family val="2"/>
        <scheme val="minor"/>
      </rPr>
      <t>Maximise</t>
    </r>
    <r>
      <rPr>
        <sz val="11"/>
        <color rgb="FF0070C0"/>
        <rFont val="Calibri"/>
        <family val="2"/>
        <scheme val="minor"/>
      </rPr>
      <t xml:space="preserve"> Target = Find and save the inputs that Maximise Target Output (Final result)
</t>
    </r>
  </si>
  <si>
    <t>Subject to the following Constraints:</t>
  </si>
  <si>
    <t xml:space="preserve">The relationship between all the inputs and the outputs is available on the attached excel table (Model) and python code is simulated for objective 1. </t>
  </si>
  <si>
    <r>
      <t xml:space="preserve">Optimization solution of a model (Python Source Code in a Jupyter Notebook) that automatically finds and saves the best input variable values given an iterating input variable (Anchor Parameter 5) on  </t>
    </r>
    <r>
      <rPr>
        <b/>
        <sz val="11"/>
        <color theme="1"/>
        <rFont val="Calibri"/>
        <family val="2"/>
        <scheme val="minor"/>
      </rPr>
      <t xml:space="preserve">Python Jupyter Notebook </t>
    </r>
    <r>
      <rPr>
        <sz val="11"/>
        <color theme="1"/>
        <rFont val="Calibri"/>
        <family val="2"/>
        <scheme val="minor"/>
      </rPr>
      <t>us</t>
    </r>
    <r>
      <rPr>
        <sz val="11"/>
        <rFont val="Calibri"/>
        <family val="2"/>
        <scheme val="minor"/>
      </rPr>
      <t>ing PuLP on Python</t>
    </r>
    <r>
      <rPr>
        <sz val="11"/>
        <color theme="1"/>
        <rFont val="Calibri"/>
        <family val="2"/>
        <scheme val="minor"/>
      </rPr>
      <t xml:space="preserve">
Output data to be illustrated visually (Plotly Dash) saved within the model and also downloadable onto CSV file.
User interface with Plotly Dash based on the mock-up in the attached sheet - Printable output for the optimised results per objective</t>
    </r>
  </si>
  <si>
    <t>Use the provided values in the attached sheet  (Input Paramter 6 to 15) to 1st prove that the Excel formulas are replicated onto the Python code provided.</t>
  </si>
  <si>
    <t>Editable</t>
  </si>
  <si>
    <t>Editable Input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</si>
</sst>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
      <sz val="11"/>
      <color theme="1"/>
      <name val="Arial"/>
      <family val="2"/>
    </font>
    <font>
      <b/>
      <sz val="14"/>
      <color rgb="FFFF0000"/>
      <name val="Arial"/>
      <family val="2"/>
    </font>
    <font>
      <b/>
      <sz val="11"/>
      <color rgb="FFFF0000"/>
      <name val="Arial"/>
      <family val="2"/>
    </font>
    <font>
      <sz val="14"/>
      <color theme="1"/>
      <name val="Arial"/>
      <family val="2"/>
    </font>
    <font>
      <b/>
      <sz val="11"/>
      <color theme="1"/>
      <name val="Arial"/>
      <family val="2"/>
    </font>
    <font>
      <b/>
      <sz val="11"/>
      <name val="Arial"/>
      <family val="2"/>
    </font>
    <font>
      <sz val="11"/>
      <color rgb="FF0070C0"/>
      <name val="Arial"/>
      <family val="2"/>
    </font>
    <font>
      <sz val="11"/>
      <name val="Arial"/>
      <family val="2"/>
    </font>
    <font>
      <b/>
      <sz val="12"/>
      <color theme="1"/>
      <name val="Arial"/>
      <family val="2"/>
    </font>
    <font>
      <sz val="11"/>
      <color theme="0" tint="-0.14999847407452621"/>
      <name val="Arial"/>
      <family val="2"/>
    </font>
    <font>
      <sz val="11"/>
      <color rgb="FFFF0000"/>
      <name val="Arial"/>
      <family val="2"/>
    </font>
    <font>
      <sz val="11"/>
      <color rgb="FF00B050"/>
      <name val="Arial"/>
      <family val="2"/>
    </font>
    <font>
      <b/>
      <sz val="11"/>
      <color rgb="FF00B050"/>
      <name val="Arial"/>
      <family val="2"/>
    </font>
    <font>
      <sz val="11"/>
      <color rgb="FFFF0000"/>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sz val="11"/>
      <color rgb="FF0070C0"/>
      <name val="Calibri"/>
      <family val="2"/>
      <scheme val="minor"/>
    </font>
    <font>
      <sz val="11"/>
      <name val="Calibri"/>
      <family val="2"/>
      <scheme val="minor"/>
    </font>
    <font>
      <sz val="14"/>
      <color theme="1"/>
      <name val="Calibri"/>
      <family val="2"/>
      <scheme val="minor"/>
    </font>
    <font>
      <sz val="12"/>
      <color rgb="FFFF0000"/>
      <name val="Calibri"/>
      <family val="2"/>
      <scheme val="minor"/>
    </font>
    <font>
      <sz val="11"/>
      <color theme="5" tint="-0.499984740745262"/>
      <name val="Calibri"/>
      <family val="2"/>
      <scheme val="minor"/>
    </font>
    <font>
      <b/>
      <sz val="11"/>
      <color rgb="FF0070C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00FF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149998474074526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5">
    <xf numFmtId="0" fontId="0" fillId="0" borderId="0" xfId="0"/>
    <xf numFmtId="0" fontId="3" fillId="0" borderId="1" xfId="0" applyFont="1" applyBorder="1" applyAlignment="1">
      <alignment vertical="top" wrapText="1"/>
    </xf>
    <xf numFmtId="0" fontId="2" fillId="0" borderId="0" xfId="0" applyFont="1"/>
    <xf numFmtId="0" fontId="5" fillId="0" borderId="0" xfId="0" applyFont="1"/>
    <xf numFmtId="0" fontId="6" fillId="0" borderId="0" xfId="0" applyFont="1"/>
    <xf numFmtId="0" fontId="5" fillId="0" borderId="11" xfId="0" applyFont="1" applyBorder="1"/>
    <xf numFmtId="0" fontId="8" fillId="0" borderId="0" xfId="0" applyFont="1"/>
    <xf numFmtId="0" fontId="9" fillId="6" borderId="41" xfId="0" applyFont="1" applyFill="1" applyBorder="1" applyAlignment="1">
      <alignment horizontal="left"/>
    </xf>
    <xf numFmtId="0" fontId="10" fillId="6" borderId="37" xfId="0" applyFont="1" applyFill="1" applyBorder="1" applyAlignment="1">
      <alignment horizontal="center"/>
    </xf>
    <xf numFmtId="0" fontId="5" fillId="0" borderId="15" xfId="0" applyFont="1" applyBorder="1"/>
    <xf numFmtId="0" fontId="5" fillId="0" borderId="13" xfId="0" applyFont="1" applyFill="1" applyBorder="1" applyAlignment="1">
      <alignment horizontal="center"/>
    </xf>
    <xf numFmtId="0" fontId="9" fillId="6" borderId="5" xfId="0" applyFont="1" applyFill="1" applyBorder="1" applyAlignment="1">
      <alignment horizontal="center" wrapText="1"/>
    </xf>
    <xf numFmtId="9" fontId="5" fillId="0" borderId="13" xfId="0" applyNumberFormat="1" applyFont="1" applyFill="1" applyBorder="1" applyAlignment="1">
      <alignment horizontal="center"/>
    </xf>
    <xf numFmtId="0" fontId="5" fillId="0" borderId="26" xfId="0" applyFont="1" applyFill="1" applyBorder="1" applyAlignment="1">
      <alignment horizontal="center"/>
    </xf>
    <xf numFmtId="0" fontId="5" fillId="0" borderId="35" xfId="0" applyFont="1" applyBorder="1"/>
    <xf numFmtId="0" fontId="5" fillId="0" borderId="0" xfId="0" applyFont="1" applyBorder="1"/>
    <xf numFmtId="0" fontId="13" fillId="0" borderId="10" xfId="0" applyFont="1" applyBorder="1"/>
    <xf numFmtId="0" fontId="10" fillId="6" borderId="44" xfId="0" applyFont="1" applyFill="1" applyBorder="1" applyAlignment="1">
      <alignment horizontal="center"/>
    </xf>
    <xf numFmtId="0" fontId="9" fillId="6" borderId="17" xfId="0" applyFont="1" applyFill="1" applyBorder="1" applyAlignment="1">
      <alignment horizontal="left"/>
    </xf>
    <xf numFmtId="0" fontId="9" fillId="6" borderId="18" xfId="0" applyFont="1" applyFill="1" applyBorder="1" applyAlignment="1">
      <alignment horizontal="center"/>
    </xf>
    <xf numFmtId="0" fontId="9" fillId="6" borderId="25" xfId="0" applyFont="1" applyFill="1" applyBorder="1" applyAlignment="1">
      <alignment horizontal="center"/>
    </xf>
    <xf numFmtId="0" fontId="10" fillId="6" borderId="48" xfId="0" applyFont="1" applyFill="1" applyBorder="1" applyAlignment="1">
      <alignment horizontal="center"/>
    </xf>
    <xf numFmtId="0" fontId="9" fillId="6" borderId="1" xfId="0" applyFont="1" applyFill="1" applyBorder="1" applyAlignment="1">
      <alignment horizontal="center"/>
    </xf>
    <xf numFmtId="0" fontId="10" fillId="6" borderId="49" xfId="0" applyFont="1" applyFill="1" applyBorder="1" applyAlignment="1">
      <alignment horizontal="center"/>
    </xf>
    <xf numFmtId="0" fontId="5" fillId="0" borderId="14" xfId="0" applyFont="1" applyBorder="1"/>
    <xf numFmtId="0" fontId="9" fillId="4" borderId="0" xfId="0" applyFont="1" applyFill="1" applyBorder="1"/>
    <xf numFmtId="0" fontId="5" fillId="4" borderId="0" xfId="0" applyFont="1" applyFill="1" applyBorder="1"/>
    <xf numFmtId="0" fontId="14" fillId="4" borderId="0" xfId="0" quotePrefix="1" applyFont="1" applyFill="1" applyBorder="1"/>
    <xf numFmtId="0" fontId="5" fillId="0" borderId="14" xfId="0" applyFont="1" applyFill="1" applyBorder="1"/>
    <xf numFmtId="0" fontId="9" fillId="0" borderId="16" xfId="0" applyFont="1" applyFill="1" applyBorder="1" applyAlignment="1"/>
    <xf numFmtId="0" fontId="9" fillId="0" borderId="16" xfId="0" applyFont="1" applyFill="1" applyBorder="1" applyAlignment="1">
      <alignment horizontal="center"/>
    </xf>
    <xf numFmtId="9" fontId="5" fillId="0" borderId="16" xfId="0" applyNumberFormat="1" applyFont="1" applyFill="1" applyBorder="1" applyAlignment="1">
      <alignment horizontal="center"/>
    </xf>
    <xf numFmtId="43" fontId="5" fillId="0" borderId="16" xfId="1" applyNumberFormat="1" applyFont="1" applyFill="1" applyBorder="1" applyAlignment="1">
      <alignment horizontal="center"/>
    </xf>
    <xf numFmtId="9" fontId="5" fillId="0" borderId="0" xfId="0" applyNumberFormat="1" applyFont="1" applyFill="1"/>
    <xf numFmtId="9" fontId="5" fillId="0" borderId="16" xfId="2" applyFont="1" applyFill="1" applyBorder="1" applyAlignment="1">
      <alignment horizontal="center"/>
    </xf>
    <xf numFmtId="43" fontId="5" fillId="0" borderId="16" xfId="1" applyFont="1" applyFill="1" applyBorder="1" applyAlignment="1">
      <alignment horizontal="center"/>
    </xf>
    <xf numFmtId="0" fontId="11" fillId="6" borderId="1" xfId="0" applyFont="1" applyFill="1" applyBorder="1" applyAlignment="1">
      <alignment horizontal="center"/>
    </xf>
    <xf numFmtId="0" fontId="5" fillId="0" borderId="49" xfId="0" applyFont="1" applyFill="1" applyBorder="1" applyAlignment="1">
      <alignment horizontal="center"/>
    </xf>
    <xf numFmtId="2" fontId="9" fillId="6" borderId="1" xfId="0" applyNumberFormat="1" applyFont="1" applyFill="1" applyBorder="1" applyAlignment="1">
      <alignment horizontal="center"/>
    </xf>
    <xf numFmtId="9" fontId="5" fillId="0" borderId="49" xfId="0" applyNumberFormat="1" applyFont="1" applyFill="1" applyBorder="1" applyAlignment="1">
      <alignment horizontal="center"/>
    </xf>
    <xf numFmtId="1" fontId="9" fillId="6" borderId="1" xfId="0" applyNumberFormat="1" applyFont="1" applyFill="1" applyBorder="1" applyAlignment="1">
      <alignment horizontal="center"/>
    </xf>
    <xf numFmtId="164" fontId="9" fillId="6" borderId="1" xfId="0" applyNumberFormat="1" applyFont="1" applyFill="1" applyBorder="1" applyAlignment="1">
      <alignment horizontal="center"/>
    </xf>
    <xf numFmtId="0" fontId="5" fillId="0" borderId="14" xfId="0" applyFont="1" applyBorder="1" applyAlignment="1">
      <alignment horizontal="center"/>
    </xf>
    <xf numFmtId="0" fontId="5" fillId="0" borderId="0" xfId="0" applyFont="1" applyBorder="1" applyAlignment="1">
      <alignment horizontal="center"/>
    </xf>
    <xf numFmtId="0" fontId="5" fillId="0" borderId="15" xfId="0" applyFont="1" applyBorder="1" applyAlignment="1">
      <alignment horizontal="center"/>
    </xf>
    <xf numFmtId="0" fontId="9" fillId="6" borderId="19" xfId="0" applyFont="1" applyFill="1" applyBorder="1" applyAlignment="1">
      <alignment horizontal="center" wrapText="1"/>
    </xf>
    <xf numFmtId="0" fontId="12" fillId="6" borderId="20" xfId="0" applyFont="1" applyFill="1" applyBorder="1" applyAlignment="1">
      <alignment horizontal="center"/>
    </xf>
    <xf numFmtId="0" fontId="5" fillId="0" borderId="50" xfId="0" applyFont="1" applyFill="1" applyBorder="1" applyAlignment="1">
      <alignment horizontal="center"/>
    </xf>
    <xf numFmtId="0" fontId="5" fillId="0" borderId="0" xfId="0" applyFont="1" applyFill="1" applyBorder="1"/>
    <xf numFmtId="0" fontId="5" fillId="0" borderId="0" xfId="0" applyFont="1" applyBorder="1" applyAlignment="1">
      <alignment horizontal="center" vertical="center"/>
    </xf>
    <xf numFmtId="0" fontId="5" fillId="0" borderId="47" xfId="0" applyFont="1" applyBorder="1" applyAlignment="1" applyProtection="1">
      <alignment horizontal="center"/>
      <protection locked="0"/>
    </xf>
    <xf numFmtId="16" fontId="5" fillId="0" borderId="49" xfId="0" applyNumberFormat="1" applyFont="1" applyFill="1" applyBorder="1" applyAlignment="1">
      <alignment horizontal="center"/>
    </xf>
    <xf numFmtId="0" fontId="5" fillId="0" borderId="16" xfId="0" applyFont="1" applyBorder="1" applyAlignment="1">
      <alignment horizontal="right"/>
    </xf>
    <xf numFmtId="0" fontId="5" fillId="0" borderId="1" xfId="0" applyFont="1" applyFill="1" applyBorder="1" applyAlignment="1" applyProtection="1">
      <alignment horizontal="center"/>
      <protection locked="0"/>
    </xf>
    <xf numFmtId="0" fontId="5" fillId="0" borderId="16" xfId="0" applyFont="1" applyBorder="1"/>
    <xf numFmtId="0" fontId="15" fillId="0" borderId="16"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6" xfId="0" applyFont="1" applyFill="1" applyBorder="1" applyAlignment="1">
      <alignment horizontal="right"/>
    </xf>
    <xf numFmtId="0" fontId="5" fillId="0" borderId="16" xfId="0" applyFont="1" applyFill="1" applyBorder="1" applyAlignment="1">
      <alignment horizontal="center"/>
    </xf>
    <xf numFmtId="0" fontId="5" fillId="0" borderId="1" xfId="0" applyFont="1" applyBorder="1" applyAlignment="1" applyProtection="1">
      <alignment horizontal="center"/>
      <protection locked="0"/>
    </xf>
    <xf numFmtId="1" fontId="5" fillId="0" borderId="16" xfId="0" applyNumberFormat="1" applyFont="1" applyFill="1" applyBorder="1" applyAlignment="1">
      <alignment horizontal="center" vertical="center"/>
    </xf>
    <xf numFmtId="0" fontId="5" fillId="0" borderId="1" xfId="0" applyNumberFormat="1" applyFont="1" applyBorder="1" applyAlignment="1" applyProtection="1">
      <alignment horizontal="center"/>
      <protection locked="0"/>
    </xf>
    <xf numFmtId="1" fontId="5" fillId="0" borderId="16" xfId="0" applyNumberFormat="1" applyFont="1" applyFill="1" applyBorder="1" applyAlignment="1">
      <alignment horizontal="center"/>
    </xf>
    <xf numFmtId="2" fontId="5" fillId="0" borderId="16" xfId="0" applyNumberFormat="1" applyFont="1" applyFill="1" applyBorder="1" applyAlignment="1">
      <alignment horizontal="center"/>
    </xf>
    <xf numFmtId="2" fontId="5" fillId="0" borderId="20" xfId="0" applyNumberFormat="1" applyFont="1" applyBorder="1" applyAlignment="1" applyProtection="1">
      <alignment horizontal="center"/>
      <protection locked="0"/>
    </xf>
    <xf numFmtId="9" fontId="5" fillId="0" borderId="50" xfId="0" applyNumberFormat="1" applyFont="1" applyFill="1" applyBorder="1" applyAlignment="1">
      <alignment horizontal="center"/>
    </xf>
    <xf numFmtId="0" fontId="5" fillId="0" borderId="0" xfId="0" applyFont="1" applyFill="1" applyBorder="1" applyAlignment="1">
      <alignment horizontal="right"/>
    </xf>
    <xf numFmtId="0" fontId="9" fillId="6" borderId="30" xfId="0" applyFont="1" applyFill="1" applyBorder="1" applyAlignment="1">
      <alignment horizontal="center"/>
    </xf>
    <xf numFmtId="1" fontId="5" fillId="6" borderId="18" xfId="0" applyNumberFormat="1" applyFont="1" applyFill="1" applyBorder="1" applyAlignment="1">
      <alignment horizontal="center"/>
    </xf>
    <xf numFmtId="0" fontId="5" fillId="6" borderId="40" xfId="0" applyNumberFormat="1" applyFont="1" applyFill="1" applyBorder="1" applyAlignment="1"/>
    <xf numFmtId="0" fontId="9" fillId="6" borderId="4" xfId="0" applyFont="1" applyFill="1" applyBorder="1" applyAlignment="1">
      <alignment horizontal="center"/>
    </xf>
    <xf numFmtId="1" fontId="5" fillId="6" borderId="1" xfId="0" applyNumberFormat="1" applyFont="1" applyFill="1" applyBorder="1" applyAlignment="1">
      <alignment horizontal="center"/>
    </xf>
    <xf numFmtId="0" fontId="5" fillId="6" borderId="53" xfId="0" applyNumberFormat="1" applyFont="1" applyFill="1" applyBorder="1" applyAlignment="1"/>
    <xf numFmtId="0" fontId="9" fillId="0" borderId="16" xfId="0" applyFont="1" applyFill="1" applyBorder="1" applyAlignment="1">
      <alignment horizontal="center" vertical="center"/>
    </xf>
    <xf numFmtId="0" fontId="9" fillId="0" borderId="16" xfId="0" applyFont="1" applyBorder="1" applyAlignment="1">
      <alignment horizontal="center" vertical="center"/>
    </xf>
    <xf numFmtId="1" fontId="5" fillId="2" borderId="1" xfId="0" applyNumberFormat="1" applyFont="1" applyFill="1" applyBorder="1" applyAlignment="1">
      <alignment horizontal="center"/>
    </xf>
    <xf numFmtId="0" fontId="5" fillId="6" borderId="13" xfId="0" applyNumberFormat="1" applyFont="1" applyFill="1" applyBorder="1" applyAlignment="1">
      <alignment horizontal="center"/>
    </xf>
    <xf numFmtId="2" fontId="15" fillId="0" borderId="16" xfId="0" applyNumberFormat="1" applyFont="1" applyFill="1" applyBorder="1" applyAlignment="1">
      <alignment horizontal="center"/>
    </xf>
    <xf numFmtId="43" fontId="15" fillId="0" borderId="16" xfId="1" applyFont="1" applyFill="1" applyBorder="1"/>
    <xf numFmtId="1" fontId="5" fillId="6" borderId="52" xfId="0" applyNumberFormat="1" applyFont="1" applyFill="1" applyBorder="1" applyAlignment="1">
      <alignment horizontal="center"/>
    </xf>
    <xf numFmtId="0" fontId="9" fillId="4" borderId="0" xfId="0" applyFont="1" applyFill="1" applyBorder="1" applyAlignment="1">
      <alignment horizontal="left"/>
    </xf>
    <xf numFmtId="0" fontId="9" fillId="4" borderId="0" xfId="0" applyFont="1" applyFill="1" applyBorder="1" applyAlignment="1"/>
    <xf numFmtId="0" fontId="10" fillId="6" borderId="4" xfId="0" applyFont="1" applyFill="1" applyBorder="1" applyAlignment="1">
      <alignment horizontal="center"/>
    </xf>
    <xf numFmtId="0" fontId="15" fillId="0" borderId="1" xfId="0" applyFont="1" applyFill="1" applyBorder="1" applyAlignment="1">
      <alignment horizontal="center" vertical="center"/>
    </xf>
    <xf numFmtId="0" fontId="9" fillId="0" borderId="16" xfId="0" applyFont="1" applyBorder="1" applyAlignment="1">
      <alignment horizontal="center"/>
    </xf>
    <xf numFmtId="1" fontId="5" fillId="0" borderId="1" xfId="0" applyNumberFormat="1" applyFont="1" applyFill="1" applyBorder="1" applyAlignment="1">
      <alignment horizontal="center" vertical="center"/>
    </xf>
    <xf numFmtId="0" fontId="16" fillId="0" borderId="16" xfId="0" applyFont="1" applyFill="1" applyBorder="1" applyAlignment="1">
      <alignment horizontal="right"/>
    </xf>
    <xf numFmtId="1" fontId="16" fillId="0" borderId="16" xfId="0" applyNumberFormat="1" applyFont="1" applyFill="1" applyBorder="1" applyAlignment="1">
      <alignment horizontal="center" vertical="center"/>
    </xf>
    <xf numFmtId="2" fontId="16" fillId="0" borderId="16" xfId="0" applyNumberFormat="1" applyFont="1" applyFill="1" applyBorder="1" applyAlignment="1">
      <alignment horizontal="center"/>
    </xf>
    <xf numFmtId="43" fontId="16" fillId="0" borderId="16" xfId="1" applyFont="1" applyFill="1" applyBorder="1" applyAlignment="1"/>
    <xf numFmtId="0" fontId="15" fillId="0" borderId="16" xfId="0" applyFont="1" applyFill="1" applyBorder="1" applyAlignment="1">
      <alignment horizontal="right"/>
    </xf>
    <xf numFmtId="1" fontId="15" fillId="0" borderId="16" xfId="0" applyNumberFormat="1" applyFont="1" applyFill="1" applyBorder="1" applyAlignment="1">
      <alignment horizontal="center" vertical="center"/>
    </xf>
    <xf numFmtId="0" fontId="15" fillId="0" borderId="16" xfId="0" applyFont="1" applyFill="1" applyBorder="1" applyAlignment="1">
      <alignment horizontal="center"/>
    </xf>
    <xf numFmtId="43" fontId="15" fillId="0" borderId="16" xfId="1" applyFont="1" applyFill="1" applyBorder="1" applyAlignment="1"/>
    <xf numFmtId="43" fontId="17" fillId="0" borderId="16" xfId="0" applyNumberFormat="1" applyFont="1" applyFill="1" applyBorder="1" applyAlignment="1"/>
    <xf numFmtId="1" fontId="5" fillId="0" borderId="1" xfId="0" applyNumberFormat="1" applyFont="1" applyFill="1" applyBorder="1" applyAlignment="1">
      <alignment horizontal="center"/>
    </xf>
    <xf numFmtId="0" fontId="16" fillId="0" borderId="16" xfId="0" applyFont="1" applyBorder="1" applyAlignment="1">
      <alignment horizontal="right"/>
    </xf>
    <xf numFmtId="2" fontId="5" fillId="0" borderId="1" xfId="0" applyNumberFormat="1" applyFont="1" applyFill="1" applyBorder="1" applyAlignment="1">
      <alignment horizontal="center"/>
    </xf>
    <xf numFmtId="43" fontId="17" fillId="0" borderId="16" xfId="0" applyNumberFormat="1" applyFont="1" applyBorder="1" applyAlignment="1"/>
    <xf numFmtId="0" fontId="5" fillId="0" borderId="0" xfId="0" quotePrefix="1" applyFont="1"/>
    <xf numFmtId="2" fontId="5" fillId="0" borderId="1" xfId="1" applyNumberFormat="1" applyFont="1" applyFill="1" applyBorder="1" applyAlignment="1">
      <alignment horizontal="center"/>
    </xf>
    <xf numFmtId="4" fontId="5" fillId="0" borderId="1" xfId="1" applyNumberFormat="1" applyFont="1" applyFill="1" applyBorder="1" applyAlignment="1">
      <alignment horizontal="center"/>
    </xf>
    <xf numFmtId="0" fontId="10" fillId="6" borderId="5" xfId="0" applyFont="1" applyFill="1" applyBorder="1" applyAlignment="1">
      <alignment horizontal="center"/>
    </xf>
    <xf numFmtId="0" fontId="9" fillId="3" borderId="33" xfId="0" applyFont="1" applyFill="1" applyBorder="1" applyAlignment="1">
      <alignment horizontal="center"/>
    </xf>
    <xf numFmtId="4" fontId="9" fillId="3" borderId="20" xfId="1" applyNumberFormat="1" applyFont="1" applyFill="1" applyBorder="1" applyAlignment="1">
      <alignment horizontal="center"/>
    </xf>
    <xf numFmtId="0" fontId="5" fillId="6" borderId="54" xfId="0" applyNumberFormat="1" applyFont="1" applyFill="1" applyBorder="1" applyAlignment="1"/>
    <xf numFmtId="0" fontId="5" fillId="0" borderId="31" xfId="0" applyFont="1" applyBorder="1" applyAlignment="1">
      <alignment horizontal="center"/>
    </xf>
    <xf numFmtId="0" fontId="5" fillId="0" borderId="34" xfId="0" applyFont="1" applyBorder="1" applyAlignment="1">
      <alignment horizontal="center"/>
    </xf>
    <xf numFmtId="0" fontId="5" fillId="0" borderId="35" xfId="0" applyFont="1" applyBorder="1" applyAlignment="1">
      <alignment horizontal="center"/>
    </xf>
    <xf numFmtId="0" fontId="23" fillId="0" borderId="1" xfId="0" applyFont="1" applyBorder="1" applyAlignment="1">
      <alignment vertical="top" wrapText="1"/>
    </xf>
    <xf numFmtId="0" fontId="22" fillId="0" borderId="1" xfId="0" applyFont="1" applyBorder="1" applyAlignment="1">
      <alignment horizontal="center" vertical="center"/>
    </xf>
    <xf numFmtId="0" fontId="9" fillId="5" borderId="4" xfId="0" applyFont="1" applyFill="1" applyBorder="1" applyAlignment="1">
      <alignment horizontal="center"/>
    </xf>
    <xf numFmtId="0" fontId="9" fillId="5" borderId="36" xfId="0" applyFont="1" applyFill="1" applyBorder="1" applyAlignment="1">
      <alignment horizontal="center"/>
    </xf>
    <xf numFmtId="0" fontId="9" fillId="0" borderId="16" xfId="0" applyFont="1" applyBorder="1" applyAlignment="1"/>
    <xf numFmtId="1" fontId="16" fillId="0" borderId="16" xfId="0" applyNumberFormat="1" applyFont="1" applyFill="1" applyBorder="1" applyAlignment="1"/>
    <xf numFmtId="1" fontId="15" fillId="0" borderId="16" xfId="0" applyNumberFormat="1" applyFont="1" applyFill="1" applyBorder="1" applyAlignment="1"/>
    <xf numFmtId="3" fontId="5" fillId="0" borderId="55" xfId="0" applyNumberFormat="1" applyFont="1" applyBorder="1" applyAlignment="1">
      <alignment horizontal="center"/>
    </xf>
    <xf numFmtId="0" fontId="5" fillId="0" borderId="55" xfId="0" applyFont="1" applyBorder="1"/>
    <xf numFmtId="0" fontId="5" fillId="0" borderId="55" xfId="0" applyFont="1" applyBorder="1" applyAlignment="1">
      <alignment horizontal="center"/>
    </xf>
    <xf numFmtId="0" fontId="7" fillId="2" borderId="41" xfId="0" applyFont="1" applyFill="1" applyBorder="1" applyAlignment="1">
      <alignment horizontal="center" wrapText="1"/>
    </xf>
    <xf numFmtId="0" fontId="7" fillId="2" borderId="5" xfId="0" applyFont="1" applyFill="1" applyBorder="1" applyAlignment="1">
      <alignment horizontal="center" wrapText="1"/>
    </xf>
    <xf numFmtId="0" fontId="7" fillId="2" borderId="19" xfId="0" applyFont="1" applyFill="1" applyBorder="1" applyAlignment="1">
      <alignment horizontal="center" wrapText="1"/>
    </xf>
    <xf numFmtId="0" fontId="7" fillId="2" borderId="0" xfId="0" applyFont="1" applyFill="1"/>
    <xf numFmtId="0" fontId="9" fillId="3" borderId="27" xfId="0" applyFont="1" applyFill="1" applyBorder="1" applyAlignment="1">
      <alignment horizontal="center" vertical="center"/>
    </xf>
    <xf numFmtId="0" fontId="9" fillId="3" borderId="38" xfId="0" applyFont="1" applyFill="1" applyBorder="1" applyAlignment="1">
      <alignment horizontal="center" vertical="center"/>
    </xf>
    <xf numFmtId="0" fontId="9" fillId="3" borderId="40" xfId="0" applyFont="1" applyFill="1" applyBorder="1" applyAlignment="1">
      <alignment horizontal="center" vertical="center"/>
    </xf>
    <xf numFmtId="0" fontId="0" fillId="0" borderId="1" xfId="0" applyBorder="1" applyAlignment="1">
      <alignment horizontal="lef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25" fillId="0" borderId="1" xfId="0" applyFont="1" applyBorder="1" applyAlignment="1">
      <alignment horizontal="left" vertical="top" wrapText="1"/>
    </xf>
    <xf numFmtId="0" fontId="19" fillId="0" borderId="1" xfId="0" applyFont="1" applyBorder="1" applyAlignment="1">
      <alignment horizontal="left" vertical="top" wrapText="1"/>
    </xf>
    <xf numFmtId="0" fontId="9" fillId="6" borderId="10"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6" borderId="31" xfId="0" applyFont="1" applyFill="1" applyBorder="1" applyAlignment="1">
      <alignment horizontal="center" vertical="center" wrapText="1"/>
    </xf>
    <xf numFmtId="0" fontId="9" fillId="6" borderId="18" xfId="0" applyFont="1" applyFill="1" applyBorder="1" applyAlignment="1">
      <alignment horizontal="center"/>
    </xf>
    <xf numFmtId="0" fontId="9" fillId="6" borderId="2" xfId="0" applyFont="1" applyFill="1" applyBorder="1" applyAlignment="1">
      <alignment horizontal="center"/>
    </xf>
    <xf numFmtId="0" fontId="9" fillId="6" borderId="3" xfId="0" applyFont="1" applyFill="1" applyBorder="1" applyAlignment="1">
      <alignment horizontal="center"/>
    </xf>
    <xf numFmtId="0" fontId="9" fillId="6" borderId="4" xfId="0" applyFont="1" applyFill="1" applyBorder="1" applyAlignment="1">
      <alignment horizontal="center"/>
    </xf>
    <xf numFmtId="0" fontId="11" fillId="6" borderId="2" xfId="0" applyFont="1" applyFill="1" applyBorder="1" applyAlignment="1">
      <alignment horizontal="center"/>
    </xf>
    <xf numFmtId="0" fontId="11" fillId="6" borderId="3" xfId="0" applyFont="1" applyFill="1" applyBorder="1" applyAlignment="1">
      <alignment horizontal="center"/>
    </xf>
    <xf numFmtId="0" fontId="11" fillId="6" borderId="4" xfId="0" applyFont="1" applyFill="1" applyBorder="1" applyAlignment="1">
      <alignment horizontal="center"/>
    </xf>
    <xf numFmtId="2" fontId="9" fillId="6" borderId="2" xfId="0" applyNumberFormat="1" applyFont="1" applyFill="1" applyBorder="1" applyAlignment="1">
      <alignment horizontal="center"/>
    </xf>
    <xf numFmtId="2" fontId="9" fillId="6" borderId="3" xfId="0" applyNumberFormat="1" applyFont="1" applyFill="1" applyBorder="1" applyAlignment="1">
      <alignment horizontal="center"/>
    </xf>
    <xf numFmtId="2" fontId="9" fillId="6" borderId="4" xfId="0" applyNumberFormat="1" applyFont="1" applyFill="1" applyBorder="1" applyAlignment="1">
      <alignment horizontal="center"/>
    </xf>
    <xf numFmtId="1" fontId="9" fillId="6" borderId="2" xfId="0" applyNumberFormat="1" applyFont="1" applyFill="1" applyBorder="1" applyAlignment="1">
      <alignment horizontal="center"/>
    </xf>
    <xf numFmtId="164" fontId="9" fillId="6" borderId="2" xfId="0" applyNumberFormat="1" applyFont="1" applyFill="1" applyBorder="1" applyAlignment="1">
      <alignment horizontal="center"/>
    </xf>
    <xf numFmtId="164" fontId="9" fillId="6" borderId="3" xfId="0" applyNumberFormat="1" applyFont="1" applyFill="1" applyBorder="1" applyAlignment="1">
      <alignment horizontal="center"/>
    </xf>
    <xf numFmtId="164" fontId="9" fillId="6" borderId="4" xfId="0" applyNumberFormat="1" applyFont="1" applyFill="1" applyBorder="1" applyAlignment="1">
      <alignment horizontal="center"/>
    </xf>
    <xf numFmtId="0" fontId="12" fillId="6" borderId="51" xfId="0" applyFont="1" applyFill="1" applyBorder="1" applyAlignment="1">
      <alignment horizontal="center"/>
    </xf>
    <xf numFmtId="0" fontId="12" fillId="6" borderId="32" xfId="0" applyFont="1" applyFill="1" applyBorder="1" applyAlignment="1">
      <alignment horizontal="center"/>
    </xf>
    <xf numFmtId="0" fontId="12" fillId="6" borderId="33" xfId="0" applyFont="1" applyFill="1" applyBorder="1" applyAlignment="1">
      <alignment horizontal="center"/>
    </xf>
    <xf numFmtId="0" fontId="7" fillId="0" borderId="39" xfId="0" applyFont="1" applyBorder="1" applyAlignment="1">
      <alignment horizontal="center"/>
    </xf>
    <xf numFmtId="0" fontId="7" fillId="0" borderId="42" xfId="0" applyFont="1" applyBorder="1" applyAlignment="1">
      <alignment horizontal="center"/>
    </xf>
    <xf numFmtId="0" fontId="7" fillId="0" borderId="43" xfId="0" applyFont="1" applyBorder="1" applyAlignment="1">
      <alignment horizontal="center"/>
    </xf>
    <xf numFmtId="0" fontId="9" fillId="0" borderId="16" xfId="0" applyFont="1" applyFill="1" applyBorder="1" applyAlignment="1">
      <alignment horizontal="center"/>
    </xf>
    <xf numFmtId="43" fontId="5" fillId="0" borderId="16" xfId="1" applyFont="1" applyFill="1" applyBorder="1" applyAlignment="1">
      <alignment horizontal="center"/>
    </xf>
    <xf numFmtId="0" fontId="10" fillId="0" borderId="13"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38" xfId="0" applyFont="1" applyFill="1" applyBorder="1" applyAlignment="1">
      <alignment horizontal="center" vertical="center"/>
    </xf>
    <xf numFmtId="0" fontId="9" fillId="6" borderId="28" xfId="0" applyFont="1" applyFill="1" applyBorder="1" applyAlignment="1">
      <alignment horizontal="center"/>
    </xf>
    <xf numFmtId="0" fontId="9" fillId="6" borderId="29" xfId="0" applyFont="1" applyFill="1" applyBorder="1" applyAlignment="1">
      <alignment horizontal="center"/>
    </xf>
    <xf numFmtId="0" fontId="9" fillId="6" borderId="30" xfId="0" applyFont="1" applyFill="1" applyBorder="1" applyAlignment="1">
      <alignment horizontal="center"/>
    </xf>
    <xf numFmtId="0" fontId="9" fillId="3" borderId="6" xfId="0" applyFont="1" applyFill="1" applyBorder="1" applyAlignment="1">
      <alignment horizontal="center"/>
    </xf>
    <xf numFmtId="0" fontId="9" fillId="3" borderId="7" xfId="0" applyFont="1" applyFill="1" applyBorder="1" applyAlignment="1">
      <alignment horizontal="center"/>
    </xf>
    <xf numFmtId="0" fontId="9" fillId="3" borderId="8" xfId="0" applyFont="1" applyFill="1" applyBorder="1" applyAlignment="1">
      <alignment horizontal="center"/>
    </xf>
    <xf numFmtId="0" fontId="5" fillId="0" borderId="16" xfId="0" applyFont="1" applyBorder="1" applyAlignment="1">
      <alignment horizontal="right"/>
    </xf>
    <xf numFmtId="14" fontId="5" fillId="0" borderId="16" xfId="0" applyNumberFormat="1" applyFont="1" applyFill="1" applyBorder="1" applyAlignment="1">
      <alignment horizontal="center"/>
    </xf>
    <xf numFmtId="0" fontId="5" fillId="0" borderId="16" xfId="0" applyFont="1" applyFill="1" applyBorder="1" applyAlignment="1">
      <alignment horizontal="right"/>
    </xf>
    <xf numFmtId="43" fontId="9" fillId="3" borderId="16" xfId="0" applyNumberFormat="1" applyFont="1" applyFill="1" applyBorder="1" applyAlignment="1">
      <alignment horizontal="center"/>
    </xf>
    <xf numFmtId="0" fontId="5" fillId="0" borderId="16" xfId="0" applyFont="1" applyFill="1" applyBorder="1" applyAlignment="1">
      <alignment horizontal="center"/>
    </xf>
    <xf numFmtId="1" fontId="5" fillId="0" borderId="16" xfId="0" applyNumberFormat="1" applyFont="1" applyFill="1" applyBorder="1" applyAlignment="1">
      <alignment horizontal="center"/>
    </xf>
    <xf numFmtId="2" fontId="5" fillId="0" borderId="16" xfId="0" applyNumberFormat="1" applyFont="1" applyFill="1" applyBorder="1" applyAlignment="1">
      <alignment horizontal="center"/>
    </xf>
    <xf numFmtId="1" fontId="5" fillId="6" borderId="1" xfId="0" applyNumberFormat="1" applyFont="1" applyFill="1" applyBorder="1" applyAlignment="1" applyProtection="1">
      <alignment horizontal="center"/>
    </xf>
    <xf numFmtId="0" fontId="12" fillId="6" borderId="20" xfId="0" applyFont="1" applyFill="1" applyBorder="1" applyAlignment="1" applyProtection="1">
      <alignment horizontal="center"/>
    </xf>
    <xf numFmtId="164" fontId="5" fillId="6" borderId="1" xfId="0" applyNumberFormat="1" applyFont="1" applyFill="1" applyBorder="1" applyAlignment="1" applyProtection="1">
      <alignment horizontal="center"/>
    </xf>
    <xf numFmtId="0" fontId="9" fillId="4" borderId="0" xfId="0" applyFont="1" applyFill="1" applyBorder="1" applyAlignment="1">
      <alignment horizontal="left"/>
    </xf>
    <xf numFmtId="0" fontId="9" fillId="6" borderId="1" xfId="1" applyNumberFormat="1" applyFont="1" applyFill="1" applyBorder="1" applyAlignment="1" applyProtection="1">
      <alignment horizontal="center"/>
    </xf>
    <xf numFmtId="0" fontId="5" fillId="6" borderId="1" xfId="0" applyFont="1" applyFill="1" applyBorder="1" applyAlignment="1" applyProtection="1">
      <alignment horizontal="center"/>
    </xf>
    <xf numFmtId="0" fontId="11" fillId="7" borderId="1" xfId="0" applyFont="1" applyFill="1" applyBorder="1" applyAlignment="1" applyProtection="1">
      <alignment horizontal="center"/>
      <protection locked="0"/>
    </xf>
    <xf numFmtId="2" fontId="12" fillId="6" borderId="1" xfId="0" applyNumberFormat="1" applyFont="1" applyFill="1" applyBorder="1" applyAlignment="1" applyProtection="1">
      <alignment horizontal="center"/>
    </xf>
    <xf numFmtId="0" fontId="9" fillId="6" borderId="9"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21" xfId="0" applyFont="1" applyFill="1" applyBorder="1" applyAlignment="1">
      <alignment horizontal="center" vertical="center" wrapText="1"/>
    </xf>
    <xf numFmtId="2" fontId="5" fillId="0" borderId="1" xfId="0" applyNumberFormat="1" applyFont="1" applyFill="1" applyBorder="1" applyAlignment="1">
      <alignment horizontal="center"/>
    </xf>
    <xf numFmtId="4" fontId="9" fillId="3" borderId="20" xfId="1" applyNumberFormat="1" applyFont="1" applyFill="1" applyBorder="1" applyAlignment="1">
      <alignment horizontal="center"/>
    </xf>
    <xf numFmtId="0" fontId="5" fillId="0" borderId="1" xfId="0" applyFont="1" applyFill="1" applyBorder="1" applyAlignment="1" applyProtection="1">
      <alignment horizontal="center"/>
      <protection locked="0"/>
    </xf>
    <xf numFmtId="0" fontId="5" fillId="0" borderId="1" xfId="0" applyFont="1" applyBorder="1" applyAlignment="1" applyProtection="1">
      <alignment horizontal="center"/>
      <protection locked="0"/>
    </xf>
    <xf numFmtId="2" fontId="5" fillId="0" borderId="1" xfId="0" applyNumberFormat="1" applyFont="1" applyBorder="1" applyAlignment="1" applyProtection="1">
      <alignment horizontal="center"/>
      <protection locked="0"/>
    </xf>
    <xf numFmtId="0" fontId="5" fillId="0" borderId="1" xfId="0" applyNumberFormat="1" applyFont="1" applyBorder="1" applyAlignment="1" applyProtection="1">
      <alignment horizontal="center"/>
      <protection locked="0"/>
    </xf>
    <xf numFmtId="0" fontId="5" fillId="0" borderId="20" xfId="0" applyNumberFormat="1" applyFont="1" applyBorder="1" applyAlignment="1" applyProtection="1">
      <alignment horizontal="center"/>
      <protection locked="0"/>
    </xf>
    <xf numFmtId="1" fontId="5" fillId="0" borderId="1" xfId="0" applyNumberFormat="1" applyFont="1" applyFill="1" applyBorder="1" applyAlignment="1">
      <alignment horizontal="center"/>
    </xf>
    <xf numFmtId="1" fontId="5" fillId="6" borderId="28" xfId="0" applyNumberFormat="1" applyFont="1" applyFill="1" applyBorder="1" applyAlignment="1">
      <alignment horizontal="center"/>
    </xf>
    <xf numFmtId="1" fontId="5" fillId="6" borderId="29" xfId="0" applyNumberFormat="1" applyFont="1" applyFill="1" applyBorder="1" applyAlignment="1">
      <alignment horizontal="center"/>
    </xf>
    <xf numFmtId="1" fontId="5" fillId="6" borderId="30" xfId="0" applyNumberFormat="1" applyFont="1" applyFill="1" applyBorder="1" applyAlignment="1">
      <alignment horizontal="center"/>
    </xf>
    <xf numFmtId="1" fontId="5" fillId="6" borderId="2" xfId="0" applyNumberFormat="1" applyFont="1" applyFill="1" applyBorder="1" applyAlignment="1">
      <alignment horizontal="center"/>
    </xf>
    <xf numFmtId="1" fontId="5" fillId="6" borderId="3" xfId="0" applyNumberFormat="1" applyFont="1" applyFill="1" applyBorder="1" applyAlignment="1">
      <alignment horizontal="center"/>
    </xf>
    <xf numFmtId="1" fontId="5" fillId="6" borderId="4" xfId="0" applyNumberFormat="1" applyFont="1" applyFill="1" applyBorder="1" applyAlignment="1">
      <alignment horizontal="center"/>
    </xf>
    <xf numFmtId="0" fontId="15" fillId="0" borderId="1" xfId="0" applyFont="1" applyFill="1" applyBorder="1" applyAlignment="1">
      <alignment horizontal="center" vertical="center"/>
    </xf>
    <xf numFmtId="1" fontId="5" fillId="0" borderId="1" xfId="0" applyNumberFormat="1" applyFont="1" applyFill="1" applyBorder="1" applyAlignment="1">
      <alignment horizontal="center" vertical="center"/>
    </xf>
    <xf numFmtId="1" fontId="5" fillId="6" borderId="22" xfId="0" applyNumberFormat="1" applyFont="1" applyFill="1" applyBorder="1" applyAlignment="1">
      <alignment horizontal="center"/>
    </xf>
    <xf numFmtId="1" fontId="5" fillId="6" borderId="23" xfId="0" applyNumberFormat="1" applyFont="1" applyFill="1" applyBorder="1" applyAlignment="1">
      <alignment horizontal="center"/>
    </xf>
    <xf numFmtId="1" fontId="5" fillId="6" borderId="24" xfId="0" applyNumberFormat="1" applyFont="1" applyFill="1" applyBorder="1" applyAlignment="1">
      <alignment horizontal="center"/>
    </xf>
    <xf numFmtId="0" fontId="5" fillId="0" borderId="1" xfId="0" applyFont="1" applyFill="1" applyBorder="1" applyAlignment="1">
      <alignment horizontal="center"/>
    </xf>
    <xf numFmtId="4" fontId="5" fillId="0" borderId="1" xfId="1" applyNumberFormat="1" applyFont="1" applyFill="1" applyBorder="1" applyAlignment="1">
      <alignment horizontal="center"/>
    </xf>
    <xf numFmtId="2" fontId="5" fillId="0" borderId="1" xfId="1" applyNumberFormat="1" applyFont="1" applyFill="1" applyBorder="1" applyAlignment="1">
      <alignment horizontal="center"/>
    </xf>
    <xf numFmtId="0" fontId="9" fillId="4" borderId="56" xfId="0" applyFont="1" applyFill="1" applyBorder="1" applyAlignment="1">
      <alignment horizontal="left"/>
    </xf>
    <xf numFmtId="0" fontId="7" fillId="2" borderId="0" xfId="0" applyFont="1" applyFill="1" applyAlignment="1">
      <alignment horizontal="center" vertical="center" wrapText="1"/>
    </xf>
    <xf numFmtId="0" fontId="7" fillId="2" borderId="15" xfId="0" applyFont="1" applyFill="1" applyBorder="1" applyAlignment="1">
      <alignment horizontal="center" vertical="center" wrapText="1"/>
    </xf>
    <xf numFmtId="0" fontId="5" fillId="0" borderId="55" xfId="0" applyFont="1" applyBorder="1" applyAlignment="1">
      <alignment horizontal="center"/>
    </xf>
    <xf numFmtId="0" fontId="9" fillId="2" borderId="12"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5" fillId="0" borderId="45" xfId="0" applyFont="1" applyBorder="1" applyAlignment="1" applyProtection="1">
      <alignment horizontal="center"/>
      <protection locked="0"/>
    </xf>
    <xf numFmtId="0" fontId="5" fillId="0" borderId="0" xfId="0" applyFont="1" applyBorder="1" applyAlignment="1" applyProtection="1">
      <alignment horizontal="center"/>
      <protection locked="0"/>
    </xf>
    <xf numFmtId="0" fontId="5" fillId="0" borderId="46" xfId="0" applyFont="1" applyBorder="1" applyAlignment="1" applyProtection="1">
      <alignment horizontal="center"/>
      <protection locked="0"/>
    </xf>
    <xf numFmtId="3" fontId="9" fillId="6" borderId="1" xfId="1" applyNumberFormat="1" applyFont="1" applyFill="1" applyBorder="1" applyAlignment="1" applyProtection="1">
      <alignment horizontal="center"/>
    </xf>
  </cellXfs>
  <cellStyles count="3">
    <cellStyle name="Comma" xfId="1" builtinId="3"/>
    <cellStyle name="Normal" xfId="0" builtinId="0"/>
    <cellStyle name="Percent" xfId="2" builtinId="5"/>
  </cellStyles>
  <dxfs count="27">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00FF00"/>
        </patternFill>
      </fill>
    </dxf>
    <dxf>
      <fill>
        <patternFill>
          <bgColor rgb="FFFF0000"/>
        </patternFill>
      </fill>
    </dxf>
    <dxf>
      <fill>
        <patternFill>
          <bgColor rgb="FFFF0000"/>
        </patternFill>
      </fill>
    </dxf>
    <dxf>
      <fill>
        <patternFill>
          <bgColor rgb="FF00FF00"/>
        </patternFill>
      </fill>
    </dxf>
    <dxf>
      <fill>
        <patternFill>
          <bgColor rgb="FFFF0000"/>
        </patternFill>
      </fill>
    </dxf>
    <dxf>
      <fill>
        <patternFill>
          <bgColor rgb="FFFF0000"/>
        </patternFill>
      </fill>
    </dxf>
    <dxf>
      <fill>
        <patternFill>
          <bgColor rgb="FF00FF00"/>
        </patternFill>
      </fill>
    </dxf>
    <dxf>
      <font>
        <color rgb="FFFF0000"/>
      </font>
    </dxf>
    <dxf>
      <font>
        <color rgb="FFFF0000"/>
      </font>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25</xdr:col>
      <xdr:colOff>397809</xdr:colOff>
      <xdr:row>52</xdr:row>
      <xdr:rowOff>85652</xdr:rowOff>
    </xdr:from>
    <xdr:to>
      <xdr:col>25</xdr:col>
      <xdr:colOff>798583</xdr:colOff>
      <xdr:row>54</xdr:row>
      <xdr:rowOff>9452</xdr:rowOff>
    </xdr:to>
    <xdr:pic>
      <xdr:nvPicPr>
        <xdr:cNvPr id="2" name="Picture 1">
          <a:extLst>
            <a:ext uri="{FF2B5EF4-FFF2-40B4-BE49-F238E27FC236}">
              <a16:creationId xmlns:a16="http://schemas.microsoft.com/office/drawing/2014/main" id="{566819DF-9CCF-4E9E-9177-6DED982718A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284" b="15384"/>
        <a:stretch/>
      </xdr:blipFill>
      <xdr:spPr>
        <a:xfrm>
          <a:off x="16041221" y="10092505"/>
          <a:ext cx="400774" cy="304800"/>
        </a:xfrm>
        <a:prstGeom prst="rect">
          <a:avLst/>
        </a:prstGeom>
      </xdr:spPr>
    </xdr:pic>
    <xdr:clientData/>
  </xdr:twoCellAnchor>
  <xdr:twoCellAnchor editAs="oneCell">
    <xdr:from>
      <xdr:col>25</xdr:col>
      <xdr:colOff>394447</xdr:colOff>
      <xdr:row>55</xdr:row>
      <xdr:rowOff>32760</xdr:rowOff>
    </xdr:from>
    <xdr:to>
      <xdr:col>25</xdr:col>
      <xdr:colOff>840861</xdr:colOff>
      <xdr:row>57</xdr:row>
      <xdr:rowOff>85701</xdr:rowOff>
    </xdr:to>
    <xdr:pic>
      <xdr:nvPicPr>
        <xdr:cNvPr id="3" name="Picture 2">
          <a:extLst>
            <a:ext uri="{FF2B5EF4-FFF2-40B4-BE49-F238E27FC236}">
              <a16:creationId xmlns:a16="http://schemas.microsoft.com/office/drawing/2014/main" id="{2B63C64A-1D53-4556-9D43-1FE527E2D23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7329" t="25418" r="27083" b="32939"/>
        <a:stretch/>
      </xdr:blipFill>
      <xdr:spPr>
        <a:xfrm>
          <a:off x="16037859" y="10611113"/>
          <a:ext cx="446414" cy="433941"/>
        </a:xfrm>
        <a:prstGeom prst="rect">
          <a:avLst/>
        </a:prstGeom>
      </xdr:spPr>
    </xdr:pic>
    <xdr:clientData/>
  </xdr:twoCellAnchor>
  <xdr:twoCellAnchor>
    <xdr:from>
      <xdr:col>10</xdr:col>
      <xdr:colOff>56027</xdr:colOff>
      <xdr:row>11</xdr:row>
      <xdr:rowOff>78440</xdr:rowOff>
    </xdr:from>
    <xdr:to>
      <xdr:col>10</xdr:col>
      <xdr:colOff>1142998</xdr:colOff>
      <xdr:row>12</xdr:row>
      <xdr:rowOff>168087</xdr:rowOff>
    </xdr:to>
    <xdr:sp macro="" textlink="">
      <xdr:nvSpPr>
        <xdr:cNvPr id="4" name="Rectangle: Rounded Corners 3">
          <a:extLst>
            <a:ext uri="{FF2B5EF4-FFF2-40B4-BE49-F238E27FC236}">
              <a16:creationId xmlns:a16="http://schemas.microsoft.com/office/drawing/2014/main" id="{8267C2E4-FCFE-46F3-96AC-2EC74E3C841B}"/>
            </a:ext>
          </a:extLst>
        </xdr:cNvPr>
        <xdr:cNvSpPr/>
      </xdr:nvSpPr>
      <xdr:spPr>
        <a:xfrm>
          <a:off x="7048498" y="2207558"/>
          <a:ext cx="1086971" cy="280147"/>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ZA" sz="1800">
              <a:solidFill>
                <a:sysClr val="windowText" lastClr="000000"/>
              </a:solidFill>
            </a:rPr>
            <a:t>Search</a:t>
          </a:r>
        </a:p>
      </xdr:txBody>
    </xdr:sp>
    <xdr:clientData/>
  </xdr:twoCellAnchor>
  <xdr:twoCellAnchor>
    <xdr:from>
      <xdr:col>10</xdr:col>
      <xdr:colOff>107578</xdr:colOff>
      <xdr:row>7</xdr:row>
      <xdr:rowOff>89646</xdr:rowOff>
    </xdr:from>
    <xdr:to>
      <xdr:col>10</xdr:col>
      <xdr:colOff>851646</xdr:colOff>
      <xdr:row>8</xdr:row>
      <xdr:rowOff>141193</xdr:rowOff>
    </xdr:to>
    <xdr:sp macro="" textlink="">
      <xdr:nvSpPr>
        <xdr:cNvPr id="5" name="Rectangle: Rounded Corners 4">
          <a:extLst>
            <a:ext uri="{FF2B5EF4-FFF2-40B4-BE49-F238E27FC236}">
              <a16:creationId xmlns:a16="http://schemas.microsoft.com/office/drawing/2014/main" id="{28A1650F-F4CD-44B9-A27A-BB9E6696AFFD}"/>
            </a:ext>
          </a:extLst>
        </xdr:cNvPr>
        <xdr:cNvSpPr/>
      </xdr:nvSpPr>
      <xdr:spPr>
        <a:xfrm>
          <a:off x="7100049" y="1434352"/>
          <a:ext cx="744068" cy="253253"/>
        </a:xfrm>
        <a:prstGeom prst="round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ZA" sz="1600">
              <a:solidFill>
                <a:sysClr val="windowText" lastClr="000000"/>
              </a:solidFill>
            </a:rPr>
            <a:t>Clear</a:t>
          </a:r>
        </a:p>
      </xdr:txBody>
    </xdr:sp>
    <xdr:clientData/>
  </xdr:twoCellAnchor>
  <xdr:twoCellAnchor>
    <xdr:from>
      <xdr:col>10</xdr:col>
      <xdr:colOff>44824</xdr:colOff>
      <xdr:row>9</xdr:row>
      <xdr:rowOff>78442</xdr:rowOff>
    </xdr:from>
    <xdr:to>
      <xdr:col>10</xdr:col>
      <xdr:colOff>1243854</xdr:colOff>
      <xdr:row>11</xdr:row>
      <xdr:rowOff>22412</xdr:rowOff>
    </xdr:to>
    <xdr:sp macro="" textlink="">
      <xdr:nvSpPr>
        <xdr:cNvPr id="6" name="Rectangle: Rounded Corners 5">
          <a:extLst>
            <a:ext uri="{FF2B5EF4-FFF2-40B4-BE49-F238E27FC236}">
              <a16:creationId xmlns:a16="http://schemas.microsoft.com/office/drawing/2014/main" id="{8B98D0F1-2DAF-4B53-8AE6-5441A801679B}"/>
            </a:ext>
          </a:extLst>
        </xdr:cNvPr>
        <xdr:cNvSpPr/>
      </xdr:nvSpPr>
      <xdr:spPr>
        <a:xfrm>
          <a:off x="7037295" y="1815354"/>
          <a:ext cx="1199030" cy="336176"/>
        </a:xfrm>
        <a:prstGeom prst="round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ZA" sz="1200">
              <a:solidFill>
                <a:sysClr val="windowText" lastClr="000000"/>
              </a:solidFill>
            </a:rPr>
            <a:t>Saved Inputs ↓</a:t>
          </a:r>
        </a:p>
      </xdr:txBody>
    </xdr:sp>
    <xdr:clientData/>
  </xdr:twoCellAnchor>
</xdr:wsDr>
</file>

<file path=xl/persons/person.xml><?xml version="1.0" encoding="utf-8"?>
<personList xmlns="http://schemas.microsoft.com/office/spreadsheetml/2018/threadedcomments" xmlns:x="http://schemas.openxmlformats.org/spreadsheetml/2006/main">
  <person displayName="Lionel Siziba" id="{21E31DAE-3535-4C29-B0EB-F6C80CDA43CD}" userId="81f1e0ba9ea2d22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0-04-20T19:53:51.77" personId="{21E31DAE-3535-4C29-B0EB-F6C80CDA43CD}" id="{8693E25C-9890-42B1-9282-C74C142AAFF5}">
    <text>Iteration from 90 to 1,000+</text>
  </threadedComment>
  <threadedComment ref="V20" dT="2020-01-02T13:17:09.35" personId="{21E31DAE-3535-4C29-B0EB-F6C80CDA43CD}" id="{06A0FA55-654F-4573-9AF9-E44150F471FD}">
    <text>Output 15</text>
  </threadedComment>
  <threadedComment ref="X20" dT="2020-01-05T20:23:26.52" personId="{21E31DAE-3535-4C29-B0EB-F6C80CDA43CD}" id="{C0927D50-59D1-4853-8BCF-12389B856605}">
    <text>Output 11</text>
  </threadedComment>
  <threadedComment ref="U21" dT="2020-01-02T13:09:35.37" personId="{21E31DAE-3535-4C29-B0EB-F6C80CDA43CD}" id="{C2981E03-6021-45B1-B4B7-DD1BD48718CD}">
    <text>Output 1</text>
  </threadedComment>
  <threadedComment ref="V21" dT="2020-01-02T13:17:09.35" personId="{21E31DAE-3535-4C29-B0EB-F6C80CDA43CD}" id="{4D04C134-F2C2-440E-9AD9-1E870B1084A5}">
    <text>Output 16</text>
  </threadedComment>
  <threadedComment ref="W21" dT="2020-01-02T13:07:35.16" personId="{21E31DAE-3535-4C29-B0EB-F6C80CDA43CD}" id="{80041B53-702F-4251-9530-E181B2F23563}">
    <text>Constraint 4 must be less than or equal to 4</text>
  </threadedComment>
  <threadedComment ref="X21" dT="2020-01-05T20:23:41.11" personId="{21E31DAE-3535-4C29-B0EB-F6C80CDA43CD}" id="{12F349A5-8615-4722-998E-5BC1A4F92A7A}">
    <text>Output 12</text>
  </threadedComment>
  <threadedComment ref="U22" dT="2020-01-02T13:09:50.56" personId="{21E31DAE-3535-4C29-B0EB-F6C80CDA43CD}" id="{A0657D2D-CDC4-4ED5-94A9-4ACAAC1EE513}">
    <text>Output 2</text>
  </threadedComment>
  <threadedComment ref="V22" dT="2020-01-02T13:17:09.35" personId="{21E31DAE-3535-4C29-B0EB-F6C80CDA43CD}" id="{CE0D61E6-9448-4824-B311-DDC5A430F0BB}">
    <text>Output 17</text>
  </threadedComment>
  <threadedComment ref="W22" dT="2020-01-02T13:07:49.27" personId="{21E31DAE-3535-4C29-B0EB-F6C80CDA43CD}" id="{C9E202E7-FB9D-4C07-8495-64CC45E6C638}">
    <text>Constraint 5 must be less than or equal to 4</text>
  </threadedComment>
  <threadedComment ref="X22" dT="2020-01-05T20:23:53.89" personId="{21E31DAE-3535-4C29-B0EB-F6C80CDA43CD}" id="{6D59A900-2E3A-4474-9DCD-7639E5D5B58D}">
    <text>Output 13</text>
  </threadedComment>
  <threadedComment ref="U23" dT="2020-01-02T13:10:07.48" personId="{21E31DAE-3535-4C29-B0EB-F6C80CDA43CD}" id="{318845DF-0DAF-4700-A15F-2DB47C76F2CC}">
    <text>Output 3</text>
  </threadedComment>
  <threadedComment ref="V23" dT="2020-01-02T13:17:09.35" personId="{21E31DAE-3535-4C29-B0EB-F6C80CDA43CD}" id="{31EC9727-2AF3-454A-9196-ABC0504AF2AF}">
    <text>Output 18</text>
  </threadedComment>
  <threadedComment ref="W23" dT="2020-01-02T13:08:17.97" personId="{21E31DAE-3535-4C29-B0EB-F6C80CDA43CD}" id="{A8DAB0E7-F2BB-42B3-B148-923E9B66EA35}">
    <text>Constraint 6 must be less than or equal to 14,5</text>
  </threadedComment>
  <threadedComment ref="X23" dT="2020-01-05T20:24:03.86" personId="{21E31DAE-3535-4C29-B0EB-F6C80CDA43CD}" id="{B5DC11AF-A1A5-4AF4-BBFC-D57271A151AD}">
    <text>Output 14</text>
  </threadedComment>
  <threadedComment ref="U28" dT="2020-01-02T13:10:54.68" personId="{21E31DAE-3535-4C29-B0EB-F6C80CDA43CD}" id="{1CD3EA90-6021-4C7D-9C4E-91FBBB50360B}">
    <text>Output 7</text>
  </threadedComment>
  <threadedComment ref="U29" dT="2020-01-02T13:11:20.67" personId="{21E31DAE-3535-4C29-B0EB-F6C80CDA43CD}" id="{33808F65-A2B6-4559-86A1-98D7687010C2}">
    <text>Output 8</text>
  </threadedComment>
  <threadedComment ref="U30" dT="2020-01-02T13:11:33.88" personId="{21E31DAE-3535-4C29-B0EB-F6C80CDA43CD}" id="{29092998-9A4D-4F4F-A78C-B57D975605F1}">
    <text>Output 9</text>
  </threadedComment>
  <threadedComment ref="U31" dT="2020-01-02T13:11:48.81" personId="{21E31DAE-3535-4C29-B0EB-F6C80CDA43CD}" id="{4720D7AB-7AFA-4B19-AFF4-428C4868D161}">
    <text>Output 10</text>
  </threadedComment>
  <threadedComment ref="T36" dT="2020-01-02T13:12:20.19" personId="{21E31DAE-3535-4C29-B0EB-F6C80CDA43CD}" id="{667B9C3D-669E-4E44-9123-238BA196E3F6}">
    <text>Output 7</text>
  </threadedComment>
  <threadedComment ref="T40" dT="2020-01-02T13:12:39.10" personId="{21E31DAE-3535-4C29-B0EB-F6C80CDA43CD}" id="{448F2BC4-84E5-4BDB-AAE4-ED1A15DAAA44}">
    <text>Output 8</text>
  </threadedComment>
  <threadedComment ref="T41" dT="2020-01-02T13:13:02.71" personId="{21E31DAE-3535-4C29-B0EB-F6C80CDA43CD}" id="{3B5730B2-BD64-4016-B3DC-29A3B8DDC699}">
    <text>Output 8</text>
  </threadedComment>
  <threadedComment ref="T46" dT="2020-01-02T13:13:43.67" personId="{21E31DAE-3535-4C29-B0EB-F6C80CDA43CD}" id="{C6534344-7613-4084-A403-7A1C2596ECA4}">
    <text>Output 9</text>
  </threadedComment>
  <threadedComment ref="T47" dT="2020-01-02T13:13:43.67" personId="{21E31DAE-3535-4C29-B0EB-F6C80CDA43CD}" id="{DE5EFFBB-BF03-4BFF-98E2-58D2D3F3E431}">
    <text>Output 9</text>
  </threadedComment>
  <threadedComment ref="T48" dT="2020-01-02T13:13:43.67" personId="{21E31DAE-3535-4C29-B0EB-F6C80CDA43CD}" id="{1B907A34-C5BB-47C8-B82C-5F0112C5511A}">
    <text>Output 9</text>
  </threadedComment>
  <threadedComment ref="T53" dT="2020-01-02T13:14:24.61" personId="{21E31DAE-3535-4C29-B0EB-F6C80CDA43CD}" id="{8DFC21DD-EC07-432E-ACBE-E112DC0C0D6A}">
    <text>Output 10</text>
  </threadedComment>
  <threadedComment ref="T54" dT="2020-01-02T13:14:24.61" personId="{21E31DAE-3535-4C29-B0EB-F6C80CDA43CD}" id="{40ECD107-FD09-4557-8AE3-00682A9D38EA}">
    <text>Output 10</text>
  </threadedComment>
  <threadedComment ref="T55" dT="2020-01-02T13:14:24.61" personId="{21E31DAE-3535-4C29-B0EB-F6C80CDA43CD}" id="{238AF6B1-9C46-481C-B7A9-0B8EC0DE6C63}">
    <text>Output 10</text>
  </threadedComment>
  <threadedComment ref="T56" dT="2020-01-02T13:14:24.61" personId="{21E31DAE-3535-4C29-B0EB-F6C80CDA43CD}" id="{F8D6EB82-E10B-4FA5-8905-6FD04FBC8194}">
    <text>Output 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B5E6-E1E8-410F-AC3D-5145011C1A00}">
  <sheetPr>
    <pageSetUpPr fitToPage="1"/>
  </sheetPr>
  <dimension ref="B1:F15"/>
  <sheetViews>
    <sheetView topLeftCell="A7" workbookViewId="0">
      <selection activeCell="B15" sqref="B15"/>
    </sheetView>
  </sheetViews>
  <sheetFormatPr defaultRowHeight="15" x14ac:dyDescent="0.25"/>
  <cols>
    <col min="2" max="2" width="29.140625" customWidth="1"/>
    <col min="3" max="3" width="57.42578125" customWidth="1"/>
    <col min="4" max="4" width="55.28515625" customWidth="1"/>
    <col min="5" max="5" width="52.28515625" customWidth="1"/>
    <col min="6" max="6" width="49.85546875" customWidth="1"/>
  </cols>
  <sheetData>
    <row r="1" spans="2:6" x14ac:dyDescent="0.25">
      <c r="C1" s="2"/>
    </row>
    <row r="2" spans="2:6" ht="21" x14ac:dyDescent="0.25">
      <c r="B2" s="1" t="s">
        <v>0</v>
      </c>
      <c r="C2" s="127" t="s">
        <v>111</v>
      </c>
      <c r="D2" s="127"/>
      <c r="E2" s="127"/>
      <c r="F2" s="127"/>
    </row>
    <row r="3" spans="2:6" ht="21" x14ac:dyDescent="0.25">
      <c r="B3" s="1"/>
      <c r="C3" s="128"/>
      <c r="D3" s="128"/>
      <c r="E3" s="128"/>
      <c r="F3" s="128"/>
    </row>
    <row r="4" spans="2:6" ht="63" customHeight="1" x14ac:dyDescent="0.25">
      <c r="B4" s="1" t="s">
        <v>1</v>
      </c>
      <c r="C4" s="129" t="s">
        <v>112</v>
      </c>
      <c r="D4" s="129"/>
      <c r="E4" s="129"/>
      <c r="F4" s="129"/>
    </row>
    <row r="5" spans="2:6" ht="21" x14ac:dyDescent="0.25">
      <c r="B5" s="1"/>
      <c r="C5" s="126"/>
      <c r="D5" s="126"/>
      <c r="E5" s="126"/>
      <c r="F5" s="126"/>
    </row>
    <row r="6" spans="2:6" ht="168" customHeight="1" x14ac:dyDescent="0.25">
      <c r="B6" s="1" t="s">
        <v>110</v>
      </c>
      <c r="C6" s="130" t="s">
        <v>113</v>
      </c>
      <c r="D6" s="130"/>
      <c r="E6" s="130"/>
      <c r="F6" s="130"/>
    </row>
    <row r="7" spans="2:6" ht="21" x14ac:dyDescent="0.25">
      <c r="B7" s="1"/>
      <c r="C7" s="126"/>
      <c r="D7" s="126"/>
      <c r="E7" s="126"/>
      <c r="F7" s="126"/>
    </row>
    <row r="8" spans="2:6" ht="23.25" x14ac:dyDescent="0.25">
      <c r="B8" s="1" t="s">
        <v>109</v>
      </c>
      <c r="C8" s="110" t="s">
        <v>90</v>
      </c>
      <c r="D8" s="110" t="s">
        <v>91</v>
      </c>
      <c r="E8" s="110" t="s">
        <v>92</v>
      </c>
      <c r="F8" s="110" t="s">
        <v>93</v>
      </c>
    </row>
    <row r="9" spans="2:6" ht="45" x14ac:dyDescent="0.25">
      <c r="B9" s="1"/>
      <c r="C9" s="109" t="s">
        <v>125</v>
      </c>
      <c r="D9" s="109" t="s">
        <v>125</v>
      </c>
      <c r="E9" s="109" t="s">
        <v>125</v>
      </c>
      <c r="F9" s="109" t="s">
        <v>125</v>
      </c>
    </row>
    <row r="10" spans="2:6" ht="210" x14ac:dyDescent="0.25">
      <c r="B10" s="1" t="s">
        <v>126</v>
      </c>
      <c r="C10" s="109" t="s">
        <v>119</v>
      </c>
      <c r="D10" s="109" t="s">
        <v>121</v>
      </c>
      <c r="E10" s="109" t="s">
        <v>122</v>
      </c>
      <c r="F10" s="109" t="s">
        <v>120</v>
      </c>
    </row>
    <row r="11" spans="2:6" ht="21" x14ac:dyDescent="0.25">
      <c r="B11" s="1"/>
      <c r="C11" s="126"/>
      <c r="D11" s="126"/>
      <c r="E11" s="126"/>
      <c r="F11" s="126"/>
    </row>
    <row r="12" spans="2:6" ht="21" x14ac:dyDescent="0.25">
      <c r="B12" s="1" t="s">
        <v>2</v>
      </c>
      <c r="C12" s="126" t="s">
        <v>127</v>
      </c>
      <c r="D12" s="126"/>
      <c r="E12" s="126"/>
      <c r="F12" s="126"/>
    </row>
    <row r="13" spans="2:6" ht="21" x14ac:dyDescent="0.25">
      <c r="B13" s="1"/>
      <c r="C13" s="126" t="s">
        <v>129</v>
      </c>
      <c r="D13" s="126"/>
      <c r="E13" s="126"/>
      <c r="F13" s="126"/>
    </row>
    <row r="14" spans="2:6" ht="21" x14ac:dyDescent="0.25">
      <c r="B14" s="1"/>
      <c r="C14" s="126"/>
      <c r="D14" s="126"/>
      <c r="E14" s="126"/>
      <c r="F14" s="126"/>
    </row>
    <row r="15" spans="2:6" ht="105.75" customHeight="1" x14ac:dyDescent="0.25">
      <c r="B15" s="1" t="s">
        <v>98</v>
      </c>
      <c r="C15" s="126" t="s">
        <v>128</v>
      </c>
      <c r="D15" s="126"/>
      <c r="E15" s="126"/>
      <c r="F15" s="126"/>
    </row>
  </sheetData>
  <mergeCells count="11">
    <mergeCell ref="C14:F14"/>
    <mergeCell ref="C15:F15"/>
    <mergeCell ref="C12:F12"/>
    <mergeCell ref="C13:F13"/>
    <mergeCell ref="C11:F11"/>
    <mergeCell ref="C7:F7"/>
    <mergeCell ref="C2:F2"/>
    <mergeCell ref="C3:F3"/>
    <mergeCell ref="C4:F4"/>
    <mergeCell ref="C5:F5"/>
    <mergeCell ref="C6:F6"/>
  </mergeCells>
  <phoneticPr fontId="4" type="noConversion"/>
  <pageMargins left="0.70866141732283472" right="0.70866141732283472" top="0.74803149606299213" bottom="0.74803149606299213" header="0.31496062992125984" footer="0.31496062992125984"/>
  <pageSetup paperSize="9" scale="51"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E2B4-F1EE-4D73-86C1-0BAB009E2843}">
  <sheetPr>
    <pageSetUpPr fitToPage="1"/>
  </sheetPr>
  <dimension ref="B2:AC58"/>
  <sheetViews>
    <sheetView showGridLines="0" tabSelected="1" zoomScale="90" zoomScaleNormal="90" workbookViewId="0">
      <selection activeCell="E17" sqref="E17"/>
    </sheetView>
  </sheetViews>
  <sheetFormatPr defaultRowHeight="14.25" x14ac:dyDescent="0.2"/>
  <cols>
    <col min="1" max="1" width="9.140625" style="3"/>
    <col min="2" max="2" width="8.5703125" style="3" bestFit="1" customWidth="1"/>
    <col min="3" max="3" width="11.5703125" style="3" customWidth="1"/>
    <col min="4" max="4" width="19" style="3" bestFit="1" customWidth="1"/>
    <col min="5" max="5" width="23.140625" style="3" bestFit="1" customWidth="1"/>
    <col min="6" max="6" width="6.28515625" style="3" customWidth="1"/>
    <col min="7" max="7" width="1.28515625" style="3" customWidth="1"/>
    <col min="8" max="8" width="5.7109375" style="3" bestFit="1" customWidth="1"/>
    <col min="9" max="9" width="4.42578125" style="3" customWidth="1"/>
    <col min="10" max="10" width="17.7109375" style="3" customWidth="1"/>
    <col min="11" max="11" width="20" style="3" customWidth="1"/>
    <col min="12" max="12" width="17.85546875" style="3" customWidth="1"/>
    <col min="13" max="13" width="16.85546875" style="3" bestFit="1" customWidth="1"/>
    <col min="14" max="14" width="16.85546875" style="3" hidden="1" customWidth="1"/>
    <col min="15" max="15" width="1.5703125" style="3" customWidth="1"/>
    <col min="16" max="16" width="9.28515625" style="3" customWidth="1"/>
    <col min="17" max="17" width="2.5703125" style="3" customWidth="1"/>
    <col min="18" max="18" width="2.42578125" style="3" customWidth="1"/>
    <col min="19" max="19" width="14.7109375" style="3" bestFit="1" customWidth="1"/>
    <col min="20" max="20" width="10.42578125" style="3" bestFit="1" customWidth="1"/>
    <col min="21" max="22" width="13.140625" style="3" bestFit="1" customWidth="1"/>
    <col min="23" max="23" width="19" style="3" bestFit="1" customWidth="1"/>
    <col min="24" max="24" width="15.42578125" style="3" bestFit="1" customWidth="1"/>
    <col min="25" max="25" width="2.28515625" style="3" customWidth="1"/>
    <col min="26" max="26" width="16.28515625" style="3" customWidth="1"/>
    <col min="27" max="27" width="2.5703125" style="3" customWidth="1"/>
    <col min="28" max="28" width="9.140625" style="3"/>
    <col min="29" max="29" width="19.7109375" style="3" bestFit="1" customWidth="1"/>
    <col min="30" max="30" width="22.140625" style="3" customWidth="1"/>
    <col min="31" max="31" width="26.140625" style="3" customWidth="1"/>
    <col min="32" max="32" width="49.140625" style="3" customWidth="1"/>
    <col min="33" max="33" width="26.140625" style="3" customWidth="1"/>
    <col min="34" max="16384" width="9.140625" style="3"/>
  </cols>
  <sheetData>
    <row r="2" spans="2:27" ht="15" thickBot="1" x14ac:dyDescent="0.25"/>
    <row r="3" spans="2:27" ht="15" customHeight="1" thickBot="1" x14ac:dyDescent="0.3">
      <c r="B3" s="4" t="s">
        <v>94</v>
      </c>
      <c r="E3" s="151" t="s">
        <v>99</v>
      </c>
      <c r="F3" s="152"/>
      <c r="G3" s="152"/>
      <c r="H3" s="152"/>
      <c r="I3" s="152"/>
      <c r="J3" s="153"/>
      <c r="K3" s="5"/>
    </row>
    <row r="4" spans="2:27" ht="15" customHeight="1" thickBot="1" x14ac:dyDescent="0.3">
      <c r="B4" s="6"/>
      <c r="D4" s="131" t="s">
        <v>101</v>
      </c>
      <c r="E4" s="7"/>
      <c r="F4" s="159"/>
      <c r="G4" s="160"/>
      <c r="H4" s="160"/>
      <c r="I4" s="161"/>
      <c r="J4" s="8" t="s">
        <v>96</v>
      </c>
      <c r="K4" s="9"/>
    </row>
    <row r="5" spans="2:27" ht="15" customHeight="1" thickBot="1" x14ac:dyDescent="0.3">
      <c r="B5" s="6"/>
      <c r="D5" s="132"/>
      <c r="E5" s="11" t="s">
        <v>3</v>
      </c>
      <c r="F5" s="214">
        <v>10000</v>
      </c>
      <c r="G5" s="214"/>
      <c r="H5" s="214"/>
      <c r="I5" s="214"/>
      <c r="J5" s="156"/>
      <c r="K5" s="9"/>
      <c r="P5" s="4" t="s">
        <v>115</v>
      </c>
      <c r="R5" s="162" t="s">
        <v>123</v>
      </c>
      <c r="S5" s="163"/>
      <c r="T5" s="163"/>
      <c r="U5" s="163"/>
      <c r="V5" s="163"/>
      <c r="W5" s="163"/>
      <c r="X5" s="163"/>
      <c r="Y5" s="163"/>
      <c r="Z5" s="163"/>
      <c r="AA5" s="164"/>
    </row>
    <row r="6" spans="2:27" ht="15" customHeight="1" x14ac:dyDescent="0.25">
      <c r="B6" s="6"/>
      <c r="D6" s="132"/>
      <c r="E6" s="11" t="s">
        <v>4</v>
      </c>
      <c r="F6" s="176">
        <v>123</v>
      </c>
      <c r="G6" s="176"/>
      <c r="H6" s="176"/>
      <c r="I6" s="176"/>
      <c r="J6" s="156"/>
      <c r="K6" s="9"/>
      <c r="R6" s="24"/>
      <c r="S6" s="15"/>
      <c r="T6" s="15"/>
      <c r="U6" s="15"/>
      <c r="V6" s="15"/>
      <c r="W6" s="15"/>
      <c r="X6" s="15"/>
      <c r="Y6" s="15"/>
      <c r="Z6" s="15"/>
      <c r="AA6" s="9"/>
    </row>
    <row r="7" spans="2:27" ht="15" customHeight="1" x14ac:dyDescent="0.25">
      <c r="B7" s="6"/>
      <c r="D7" s="132"/>
      <c r="E7" s="11" t="s">
        <v>5</v>
      </c>
      <c r="F7" s="177">
        <v>8</v>
      </c>
      <c r="G7" s="177"/>
      <c r="H7" s="177"/>
      <c r="I7" s="177"/>
      <c r="J7" s="156"/>
      <c r="K7" s="9"/>
      <c r="R7" s="24"/>
      <c r="S7" s="205" t="s">
        <v>116</v>
      </c>
      <c r="T7" s="205"/>
      <c r="U7" s="205"/>
      <c r="V7" s="15"/>
      <c r="W7" s="205" t="s">
        <v>117</v>
      </c>
      <c r="X7" s="205"/>
      <c r="Y7" s="15"/>
      <c r="Z7" s="15"/>
      <c r="AA7" s="9"/>
    </row>
    <row r="8" spans="2:27" ht="15.75" customHeight="1" x14ac:dyDescent="0.25">
      <c r="B8" s="6"/>
      <c r="D8" s="132"/>
      <c r="E8" s="11" t="s">
        <v>6</v>
      </c>
      <c r="F8" s="177">
        <v>3</v>
      </c>
      <c r="G8" s="177"/>
      <c r="H8" s="177"/>
      <c r="I8" s="177"/>
      <c r="J8" s="156"/>
      <c r="K8" s="9"/>
      <c r="R8" s="24"/>
      <c r="S8" s="208" t="s">
        <v>3</v>
      </c>
      <c r="T8" s="208"/>
      <c r="U8" s="116">
        <f>+F5</f>
        <v>10000</v>
      </c>
      <c r="V8" s="15"/>
      <c r="W8" s="117" t="s">
        <v>118</v>
      </c>
      <c r="X8" s="118">
        <v>1</v>
      </c>
      <c r="Y8" s="15"/>
      <c r="Z8" s="15"/>
      <c r="AA8" s="9"/>
    </row>
    <row r="9" spans="2:27" ht="15" customHeight="1" x14ac:dyDescent="0.25">
      <c r="B9" s="6"/>
      <c r="C9" s="122" t="s">
        <v>130</v>
      </c>
      <c r="D9" s="132"/>
      <c r="E9" s="120" t="s">
        <v>7</v>
      </c>
      <c r="F9" s="178">
        <v>150</v>
      </c>
      <c r="G9" s="178"/>
      <c r="H9" s="178"/>
      <c r="I9" s="178"/>
      <c r="J9" s="10" t="s">
        <v>97</v>
      </c>
      <c r="K9" s="9"/>
      <c r="R9" s="24"/>
      <c r="S9" s="208" t="s">
        <v>4</v>
      </c>
      <c r="T9" s="208"/>
      <c r="U9" s="116">
        <f t="shared" ref="U9:U16" si="0">+F6</f>
        <v>123</v>
      </c>
      <c r="V9" s="15"/>
      <c r="W9" s="117" t="s">
        <v>12</v>
      </c>
      <c r="X9" s="118">
        <f>+F27</f>
        <v>18</v>
      </c>
      <c r="Y9" s="15"/>
      <c r="Z9" s="15"/>
      <c r="AA9" s="9"/>
    </row>
    <row r="10" spans="2:27" ht="15" customHeight="1" x14ac:dyDescent="0.25">
      <c r="B10" s="6"/>
      <c r="D10" s="132"/>
      <c r="E10" s="11" t="s">
        <v>8</v>
      </c>
      <c r="F10" s="179">
        <v>1</v>
      </c>
      <c r="G10" s="179"/>
      <c r="H10" s="179"/>
      <c r="I10" s="179"/>
      <c r="J10" s="12" t="s">
        <v>58</v>
      </c>
      <c r="K10" s="9"/>
      <c r="Q10" s="33"/>
      <c r="R10" s="24"/>
      <c r="S10" s="208" t="s">
        <v>5</v>
      </c>
      <c r="T10" s="208"/>
      <c r="U10" s="116">
        <f t="shared" si="0"/>
        <v>8</v>
      </c>
      <c r="V10" s="15"/>
      <c r="W10" s="117" t="s">
        <v>13</v>
      </c>
      <c r="X10" s="118">
        <f t="shared" ref="X10:X14" si="1">+F28</f>
        <v>27</v>
      </c>
      <c r="Y10" s="15"/>
      <c r="Z10" s="15"/>
      <c r="AA10" s="9"/>
    </row>
    <row r="11" spans="2:27" ht="15.75" customHeight="1" x14ac:dyDescent="0.25">
      <c r="B11" s="6"/>
      <c r="D11" s="132"/>
      <c r="E11" s="11" t="s">
        <v>9</v>
      </c>
      <c r="F11" s="172">
        <f>+F9*F10</f>
        <v>150</v>
      </c>
      <c r="G11" s="172"/>
      <c r="H11" s="172"/>
      <c r="I11" s="172"/>
      <c r="J11" s="10" t="s">
        <v>37</v>
      </c>
      <c r="K11" s="9"/>
      <c r="Q11" s="33"/>
      <c r="R11" s="24"/>
      <c r="S11" s="208" t="s">
        <v>6</v>
      </c>
      <c r="T11" s="208"/>
      <c r="U11" s="116">
        <f t="shared" si="0"/>
        <v>3</v>
      </c>
      <c r="V11" s="15"/>
      <c r="W11" s="117" t="s">
        <v>14</v>
      </c>
      <c r="X11" s="118">
        <f t="shared" si="1"/>
        <v>100</v>
      </c>
      <c r="Y11" s="15"/>
      <c r="Z11" s="15"/>
      <c r="AA11" s="9"/>
    </row>
    <row r="12" spans="2:27" ht="18" x14ac:dyDescent="0.25">
      <c r="B12" s="6"/>
      <c r="D12" s="132"/>
      <c r="E12" s="11" t="s">
        <v>10</v>
      </c>
      <c r="F12" s="174">
        <v>0.03</v>
      </c>
      <c r="G12" s="174"/>
      <c r="H12" s="174"/>
      <c r="I12" s="174"/>
      <c r="J12" s="10" t="s">
        <v>38</v>
      </c>
      <c r="K12" s="9"/>
      <c r="R12" s="24"/>
      <c r="S12" s="208" t="s">
        <v>7</v>
      </c>
      <c r="T12" s="208"/>
      <c r="U12" s="116">
        <f t="shared" si="0"/>
        <v>150</v>
      </c>
      <c r="V12" s="15"/>
      <c r="W12" s="117" t="s">
        <v>15</v>
      </c>
      <c r="X12" s="118">
        <f t="shared" si="1"/>
        <v>0.27</v>
      </c>
      <c r="Y12" s="15"/>
      <c r="Z12" s="15"/>
      <c r="AA12" s="9"/>
    </row>
    <row r="13" spans="2:27" ht="18.75" thickBot="1" x14ac:dyDescent="0.3">
      <c r="B13" s="6"/>
      <c r="D13" s="133"/>
      <c r="E13" s="45" t="s">
        <v>11</v>
      </c>
      <c r="F13" s="173">
        <v>18</v>
      </c>
      <c r="G13" s="173"/>
      <c r="H13" s="173"/>
      <c r="I13" s="173"/>
      <c r="J13" s="13" t="s">
        <v>61</v>
      </c>
      <c r="K13" s="14"/>
      <c r="M13" s="15"/>
      <c r="N13" s="15"/>
      <c r="O13" s="15"/>
      <c r="R13" s="24"/>
      <c r="S13" s="208" t="s">
        <v>8</v>
      </c>
      <c r="T13" s="208"/>
      <c r="U13" s="116">
        <f t="shared" si="0"/>
        <v>1</v>
      </c>
      <c r="V13" s="15"/>
      <c r="W13" s="117" t="s">
        <v>44</v>
      </c>
      <c r="X13" s="118">
        <f t="shared" si="1"/>
        <v>0.63</v>
      </c>
      <c r="Y13" s="15"/>
      <c r="Z13" s="15"/>
      <c r="AA13" s="9"/>
    </row>
    <row r="14" spans="2:27" ht="18" x14ac:dyDescent="0.25">
      <c r="B14" s="6"/>
      <c r="R14" s="24"/>
      <c r="S14" s="208" t="s">
        <v>9</v>
      </c>
      <c r="T14" s="208"/>
      <c r="U14" s="116">
        <f t="shared" si="0"/>
        <v>150</v>
      </c>
      <c r="V14" s="15"/>
      <c r="W14" s="117" t="s">
        <v>45</v>
      </c>
      <c r="X14" s="118">
        <f t="shared" si="1"/>
        <v>0.81</v>
      </c>
      <c r="Y14" s="15"/>
      <c r="Z14" s="15"/>
      <c r="AA14" s="9"/>
    </row>
    <row r="15" spans="2:27" ht="18.75" thickBot="1" x14ac:dyDescent="0.3">
      <c r="B15" s="6"/>
      <c r="Q15" s="48"/>
      <c r="R15" s="24"/>
      <c r="S15" s="208" t="s">
        <v>10</v>
      </c>
      <c r="T15" s="208"/>
      <c r="U15" s="116">
        <f t="shared" si="0"/>
        <v>0.03</v>
      </c>
      <c r="V15" s="15"/>
      <c r="X15" s="15"/>
      <c r="Y15" s="15"/>
      <c r="Z15" s="15"/>
      <c r="AA15" s="9"/>
    </row>
    <row r="16" spans="2:27" ht="18.75" thickBot="1" x14ac:dyDescent="0.3">
      <c r="B16" s="4" t="s">
        <v>95</v>
      </c>
      <c r="D16" s="16"/>
      <c r="E16" s="5"/>
      <c r="F16" s="157" t="s">
        <v>90</v>
      </c>
      <c r="G16" s="158"/>
      <c r="H16" s="158"/>
      <c r="I16" s="158"/>
      <c r="J16" s="123" t="s">
        <v>91</v>
      </c>
      <c r="K16" s="124" t="s">
        <v>92</v>
      </c>
      <c r="L16" s="125" t="s">
        <v>93</v>
      </c>
      <c r="M16" s="17" t="s">
        <v>102</v>
      </c>
      <c r="N16" s="17" t="s">
        <v>103</v>
      </c>
      <c r="Q16" s="48"/>
      <c r="R16" s="24"/>
      <c r="S16" s="208" t="s">
        <v>11</v>
      </c>
      <c r="T16" s="208"/>
      <c r="U16" s="116">
        <f t="shared" si="0"/>
        <v>18</v>
      </c>
      <c r="V16" s="15"/>
      <c r="W16" s="15"/>
      <c r="X16" s="15"/>
      <c r="Y16" s="15"/>
      <c r="Z16" s="15"/>
      <c r="AA16" s="9"/>
    </row>
    <row r="17" spans="2:27" ht="15" x14ac:dyDescent="0.25">
      <c r="D17" s="131" t="s">
        <v>101</v>
      </c>
      <c r="E17" s="18"/>
      <c r="F17" s="134"/>
      <c r="G17" s="134"/>
      <c r="H17" s="134"/>
      <c r="I17" s="134"/>
      <c r="J17" s="19"/>
      <c r="K17" s="19"/>
      <c r="L17" s="20"/>
      <c r="M17" s="21"/>
      <c r="N17" s="21"/>
      <c r="Q17" s="48"/>
      <c r="R17" s="24"/>
      <c r="S17" s="15"/>
      <c r="T17" s="15"/>
      <c r="U17" s="15"/>
      <c r="V17" s="15"/>
      <c r="W17" s="15"/>
      <c r="X17" s="15"/>
      <c r="Y17" s="15"/>
      <c r="Z17" s="15"/>
      <c r="AA17" s="9"/>
    </row>
    <row r="18" spans="2:27" ht="15" x14ac:dyDescent="0.25">
      <c r="D18" s="132"/>
      <c r="E18" s="11" t="s">
        <v>3</v>
      </c>
      <c r="F18" s="135">
        <f>+$F$5</f>
        <v>10000</v>
      </c>
      <c r="G18" s="136"/>
      <c r="H18" s="136"/>
      <c r="I18" s="137"/>
      <c r="J18" s="22">
        <f t="shared" ref="J18:L18" si="2">+$F$5</f>
        <v>10000</v>
      </c>
      <c r="K18" s="22">
        <f>+$F$5</f>
        <v>10000</v>
      </c>
      <c r="L18" s="22">
        <f t="shared" si="2"/>
        <v>10000</v>
      </c>
      <c r="M18" s="23"/>
      <c r="N18" s="23"/>
      <c r="R18" s="24"/>
      <c r="S18" s="25" t="s">
        <v>46</v>
      </c>
      <c r="T18" s="26"/>
      <c r="U18" s="27" t="s">
        <v>47</v>
      </c>
      <c r="V18" s="26"/>
      <c r="W18" s="26"/>
      <c r="X18" s="26"/>
      <c r="Y18" s="26"/>
      <c r="Z18" s="26"/>
      <c r="AA18" s="9"/>
    </row>
    <row r="19" spans="2:27" ht="15" x14ac:dyDescent="0.25">
      <c r="D19" s="132"/>
      <c r="E19" s="11" t="s">
        <v>4</v>
      </c>
      <c r="F19" s="135">
        <f>+$F$6</f>
        <v>123</v>
      </c>
      <c r="G19" s="136"/>
      <c r="H19" s="136"/>
      <c r="I19" s="137"/>
      <c r="J19" s="22">
        <f t="shared" ref="J19:L19" si="3">+$F$6</f>
        <v>123</v>
      </c>
      <c r="K19" s="22">
        <f>+$F$6</f>
        <v>123</v>
      </c>
      <c r="L19" s="22">
        <f t="shared" si="3"/>
        <v>123</v>
      </c>
      <c r="M19" s="23"/>
      <c r="N19" s="23"/>
      <c r="R19" s="28"/>
      <c r="S19" s="84" t="s">
        <v>48</v>
      </c>
      <c r="T19" s="84" t="s">
        <v>49</v>
      </c>
      <c r="U19" s="84" t="s">
        <v>50</v>
      </c>
      <c r="V19" s="30" t="s">
        <v>51</v>
      </c>
      <c r="W19" s="29" t="s">
        <v>52</v>
      </c>
      <c r="X19" s="30" t="s">
        <v>53</v>
      </c>
      <c r="Y19" s="154" t="s">
        <v>54</v>
      </c>
      <c r="Z19" s="154"/>
      <c r="AA19" s="9"/>
    </row>
    <row r="20" spans="2:27" ht="15" x14ac:dyDescent="0.25">
      <c r="D20" s="132"/>
      <c r="E20" s="11" t="s">
        <v>5</v>
      </c>
      <c r="F20" s="135">
        <f>+$F$7</f>
        <v>8</v>
      </c>
      <c r="G20" s="136"/>
      <c r="H20" s="136"/>
      <c r="I20" s="137"/>
      <c r="J20" s="22">
        <f t="shared" ref="J20:L20" si="4">+$F$7</f>
        <v>8</v>
      </c>
      <c r="K20" s="22">
        <f>+$F$7</f>
        <v>8</v>
      </c>
      <c r="L20" s="22">
        <f t="shared" si="4"/>
        <v>8</v>
      </c>
      <c r="M20" s="23"/>
      <c r="N20" s="23"/>
      <c r="R20" s="28"/>
      <c r="S20" s="52" t="s">
        <v>55</v>
      </c>
      <c r="T20" s="31">
        <v>0</v>
      </c>
      <c r="U20" s="62">
        <v>0</v>
      </c>
      <c r="V20" s="63">
        <f>IF(ABS(ROUNDUP((($F$5*$F$12)/($F$13+$F$8))/$F$7,1))&gt;99,99,(ABS(ROUNDUP((($F$5*$F$12)/($F$13+$F$8))/$F$7,1))))</f>
        <v>1.8</v>
      </c>
      <c r="W20" s="32">
        <f>+$V$20/$V$20</f>
        <v>1</v>
      </c>
      <c r="X20" s="58">
        <f>+$F$11-$F$8</f>
        <v>147</v>
      </c>
      <c r="Y20" s="155">
        <f>+$V$20*$X$20*$F$7</f>
        <v>2116.8000000000002</v>
      </c>
      <c r="Z20" s="155"/>
      <c r="AA20" s="9"/>
    </row>
    <row r="21" spans="2:27" ht="15" x14ac:dyDescent="0.25">
      <c r="D21" s="132"/>
      <c r="E21" s="11" t="s">
        <v>6</v>
      </c>
      <c r="F21" s="135">
        <f>+$F$8</f>
        <v>3</v>
      </c>
      <c r="G21" s="136"/>
      <c r="H21" s="136"/>
      <c r="I21" s="137"/>
      <c r="J21" s="22">
        <f t="shared" ref="J21:L21" si="5">+$F$8</f>
        <v>3</v>
      </c>
      <c r="K21" s="22">
        <f>+$F$8</f>
        <v>3</v>
      </c>
      <c r="L21" s="22">
        <f t="shared" si="5"/>
        <v>3</v>
      </c>
      <c r="M21" s="23"/>
      <c r="N21" s="23"/>
      <c r="R21" s="28"/>
      <c r="S21" s="57" t="s">
        <v>56</v>
      </c>
      <c r="T21" s="34">
        <f>$F$30</f>
        <v>0.27</v>
      </c>
      <c r="U21" s="62">
        <f>+$F$33</f>
        <v>27</v>
      </c>
      <c r="V21" s="63">
        <f>IF(IF($U$21=0,0,(ABS(ROUNDUP(($V$20*$U$29)/($U$21-$U$29),1))))&gt;99,99,(IF($U$21=0,0,(ABS(ROUNDUP(($V$20*$U$29)/($U$21-$U$29),1))))))</f>
        <v>6.3</v>
      </c>
      <c r="W21" s="35">
        <f>+$V$21/$V$20</f>
        <v>3.5</v>
      </c>
      <c r="X21" s="62">
        <f>$F$11-$U$21-$F$8</f>
        <v>120</v>
      </c>
      <c r="Y21" s="155">
        <f>+$V$21*$X$21*$F$7</f>
        <v>6048</v>
      </c>
      <c r="Z21" s="155"/>
      <c r="AA21" s="9"/>
    </row>
    <row r="22" spans="2:27" ht="15" x14ac:dyDescent="0.25">
      <c r="D22" s="132"/>
      <c r="E22" s="11" t="s">
        <v>7</v>
      </c>
      <c r="F22" s="138">
        <f>+$F$9</f>
        <v>150</v>
      </c>
      <c r="G22" s="139"/>
      <c r="H22" s="139"/>
      <c r="I22" s="140"/>
      <c r="J22" s="36">
        <f t="shared" ref="J22:L22" si="6">+$F$9</f>
        <v>150</v>
      </c>
      <c r="K22" s="36">
        <f>+$F$9</f>
        <v>150</v>
      </c>
      <c r="L22" s="36">
        <f t="shared" si="6"/>
        <v>150</v>
      </c>
      <c r="M22" s="37" t="s">
        <v>97</v>
      </c>
      <c r="N22" s="37" t="s">
        <v>105</v>
      </c>
      <c r="R22" s="28"/>
      <c r="S22" s="57" t="s">
        <v>57</v>
      </c>
      <c r="T22" s="31">
        <f>$F$31</f>
        <v>0.63</v>
      </c>
      <c r="U22" s="62">
        <f>+$F$34</f>
        <v>63</v>
      </c>
      <c r="V22" s="63">
        <f>IF(IF($U$22=0,0,(ABS(ROUNDUP((($V20*$U30*$F$7)+($V21*($U30-$U21)*$F$7))/($U$22-$U$30)/$F$7,1))))&gt;99,99,(IF($U$22=0,0,(ABS(ROUNDUP((($V20*$U30*$F$7)+($V21*($U30-$U21)*$F$7))/($U$22-$U$30)/$F$7,1))))))</f>
        <v>4.5</v>
      </c>
      <c r="W22" s="35">
        <f>+$V$22/$V$20</f>
        <v>2.5</v>
      </c>
      <c r="X22" s="62">
        <f>$F$11-$U$22-$F$8</f>
        <v>84</v>
      </c>
      <c r="Y22" s="155">
        <f>+$V$22*$X$22*$F$7</f>
        <v>3024</v>
      </c>
      <c r="Z22" s="155"/>
      <c r="AA22" s="9"/>
    </row>
    <row r="23" spans="2:27" ht="15" x14ac:dyDescent="0.25">
      <c r="D23" s="132"/>
      <c r="E23" s="11" t="s">
        <v>8</v>
      </c>
      <c r="F23" s="141">
        <f>+$F$10</f>
        <v>1</v>
      </c>
      <c r="G23" s="142"/>
      <c r="H23" s="142"/>
      <c r="I23" s="143"/>
      <c r="J23" s="38">
        <f t="shared" ref="J23:L23" si="7">+$F$10</f>
        <v>1</v>
      </c>
      <c r="K23" s="38">
        <f>+$F$10</f>
        <v>1</v>
      </c>
      <c r="L23" s="38">
        <f t="shared" si="7"/>
        <v>1</v>
      </c>
      <c r="M23" s="39" t="s">
        <v>58</v>
      </c>
      <c r="N23" s="39" t="s">
        <v>58</v>
      </c>
      <c r="R23" s="28"/>
      <c r="S23" s="57" t="s">
        <v>59</v>
      </c>
      <c r="T23" s="31">
        <f>$F$32</f>
        <v>0.81</v>
      </c>
      <c r="U23" s="62">
        <f>+$F$35</f>
        <v>81</v>
      </c>
      <c r="V23" s="63">
        <f>IF(IF($U$23=0,0,(ABS(ROUNDUP((($V$20*$U$31*$F$7)+($V$21*($U$31-$U$21)*$F$7)+($V$22*($U$31-$U$22)*$F$7))/($U$23-$U$31)/$F$7,1))))&gt;99,99,(IF($U$23=0,0,(ABS(ROUNDUP((($V$20*$U$31*$F$7)+($V$21*($U$31-$U$21)*$F$7)+($V$22*($U31-$U22)*$F$7))/($U$23-$U$31)/$F$7,1))))))</f>
        <v>25.2</v>
      </c>
      <c r="W23" s="35">
        <f>+$V$23/$V$20</f>
        <v>14</v>
      </c>
      <c r="X23" s="62">
        <f>+$F$11-$U$23-$F$8</f>
        <v>66</v>
      </c>
      <c r="Y23" s="155">
        <f>+$V$23*$X$23*$F$7</f>
        <v>13305.6</v>
      </c>
      <c r="Z23" s="155"/>
      <c r="AA23" s="9"/>
    </row>
    <row r="24" spans="2:27" ht="15" x14ac:dyDescent="0.25">
      <c r="D24" s="132"/>
      <c r="E24" s="11" t="s">
        <v>9</v>
      </c>
      <c r="F24" s="144">
        <f>+$F$11</f>
        <v>150</v>
      </c>
      <c r="G24" s="136"/>
      <c r="H24" s="136"/>
      <c r="I24" s="137"/>
      <c r="J24" s="40">
        <f t="shared" ref="J24:L24" si="8">+$F$11</f>
        <v>150</v>
      </c>
      <c r="K24" s="40">
        <f>+$F$11</f>
        <v>150</v>
      </c>
      <c r="L24" s="40">
        <f t="shared" si="8"/>
        <v>150</v>
      </c>
      <c r="M24" s="37" t="s">
        <v>37</v>
      </c>
      <c r="N24" s="37" t="s">
        <v>105</v>
      </c>
      <c r="R24" s="28"/>
      <c r="S24" s="84" t="s">
        <v>60</v>
      </c>
      <c r="T24" s="84"/>
      <c r="U24" s="84"/>
      <c r="V24" s="84"/>
      <c r="W24" s="84"/>
      <c r="X24" s="30">
        <f>SUM(X20:X23)</f>
        <v>417</v>
      </c>
      <c r="Y24" s="168">
        <f>SUM(Y20:Z23)</f>
        <v>24494.400000000001</v>
      </c>
      <c r="Z24" s="168"/>
      <c r="AA24" s="9"/>
    </row>
    <row r="25" spans="2:27" ht="15" x14ac:dyDescent="0.25">
      <c r="D25" s="132"/>
      <c r="E25" s="11" t="s">
        <v>10</v>
      </c>
      <c r="F25" s="145">
        <f>+$F$12</f>
        <v>0.03</v>
      </c>
      <c r="G25" s="146"/>
      <c r="H25" s="146"/>
      <c r="I25" s="147"/>
      <c r="J25" s="41">
        <f t="shared" ref="J25:L25" si="9">+$F$12</f>
        <v>0.03</v>
      </c>
      <c r="K25" s="41">
        <f>+$F$12</f>
        <v>0.03</v>
      </c>
      <c r="L25" s="41">
        <f t="shared" si="9"/>
        <v>0.03</v>
      </c>
      <c r="M25" s="37" t="s">
        <v>38</v>
      </c>
      <c r="N25" s="37" t="s">
        <v>38</v>
      </c>
      <c r="R25" s="42"/>
      <c r="S25" s="43"/>
      <c r="T25" s="43"/>
      <c r="U25" s="43"/>
      <c r="V25" s="43"/>
      <c r="W25" s="43"/>
      <c r="X25" s="43"/>
      <c r="Y25" s="43"/>
      <c r="Z25" s="43"/>
      <c r="AA25" s="44"/>
    </row>
    <row r="26" spans="2:27" ht="15.75" thickBot="1" x14ac:dyDescent="0.3">
      <c r="D26" s="133"/>
      <c r="E26" s="45" t="s">
        <v>11</v>
      </c>
      <c r="F26" s="148">
        <f>+$F$13</f>
        <v>18</v>
      </c>
      <c r="G26" s="149"/>
      <c r="H26" s="149"/>
      <c r="I26" s="150"/>
      <c r="J26" s="46">
        <f t="shared" ref="J26:L26" si="10">+$F$13</f>
        <v>18</v>
      </c>
      <c r="K26" s="46">
        <f>+$F$13</f>
        <v>18</v>
      </c>
      <c r="L26" s="46">
        <f t="shared" si="10"/>
        <v>18</v>
      </c>
      <c r="M26" s="47" t="s">
        <v>61</v>
      </c>
      <c r="N26" s="47" t="s">
        <v>106</v>
      </c>
      <c r="R26" s="24"/>
      <c r="S26" s="175" t="s">
        <v>62</v>
      </c>
      <c r="T26" s="175"/>
      <c r="U26" s="175"/>
      <c r="V26" s="49"/>
      <c r="W26" s="175" t="s">
        <v>63</v>
      </c>
      <c r="X26" s="175"/>
      <c r="Y26" s="175"/>
      <c r="Z26" s="175"/>
      <c r="AA26" s="9"/>
    </row>
    <row r="27" spans="2:27" ht="15" x14ac:dyDescent="0.25">
      <c r="B27" s="206" t="s">
        <v>131</v>
      </c>
      <c r="C27" s="207"/>
      <c r="D27" s="209" t="s">
        <v>78</v>
      </c>
      <c r="E27" s="119" t="s">
        <v>12</v>
      </c>
      <c r="F27" s="211">
        <v>18</v>
      </c>
      <c r="G27" s="212"/>
      <c r="H27" s="212"/>
      <c r="I27" s="213"/>
      <c r="J27" s="50">
        <v>18</v>
      </c>
      <c r="K27" s="50">
        <v>18</v>
      </c>
      <c r="L27" s="50">
        <v>18</v>
      </c>
      <c r="M27" s="51" t="s">
        <v>39</v>
      </c>
      <c r="N27" s="51" t="s">
        <v>104</v>
      </c>
      <c r="R27" s="24"/>
      <c r="S27" s="84" t="s">
        <v>48</v>
      </c>
      <c r="T27" s="84" t="s">
        <v>64</v>
      </c>
      <c r="U27" s="30" t="s">
        <v>49</v>
      </c>
      <c r="V27" s="49"/>
      <c r="W27" s="165" t="s">
        <v>65</v>
      </c>
      <c r="X27" s="165"/>
      <c r="Y27" s="166">
        <f ca="1">TODAY()</f>
        <v>43946</v>
      </c>
      <c r="Z27" s="166"/>
      <c r="AA27" s="9"/>
    </row>
    <row r="28" spans="2:27" ht="15" x14ac:dyDescent="0.25">
      <c r="B28" s="206"/>
      <c r="C28" s="207"/>
      <c r="D28" s="209"/>
      <c r="E28" s="120" t="s">
        <v>13</v>
      </c>
      <c r="F28" s="185">
        <v>27</v>
      </c>
      <c r="G28" s="185"/>
      <c r="H28" s="185"/>
      <c r="I28" s="185"/>
      <c r="J28" s="53">
        <v>27</v>
      </c>
      <c r="K28" s="53">
        <v>27</v>
      </c>
      <c r="L28" s="53">
        <v>27</v>
      </c>
      <c r="M28" s="37" t="s">
        <v>79</v>
      </c>
      <c r="N28" s="37" t="s">
        <v>107</v>
      </c>
      <c r="R28" s="28"/>
      <c r="S28" s="52" t="s">
        <v>55</v>
      </c>
      <c r="T28" s="54" t="s">
        <v>66</v>
      </c>
      <c r="U28" s="55">
        <f>-$F$13+$F$8</f>
        <v>-15</v>
      </c>
      <c r="V28" s="56"/>
      <c r="W28" s="167" t="s">
        <v>67</v>
      </c>
      <c r="X28" s="167"/>
      <c r="Y28" s="169" t="s">
        <v>68</v>
      </c>
      <c r="Z28" s="169"/>
      <c r="AA28" s="9"/>
    </row>
    <row r="29" spans="2:27" ht="15" x14ac:dyDescent="0.25">
      <c r="B29" s="206"/>
      <c r="C29" s="207"/>
      <c r="D29" s="209"/>
      <c r="E29" s="120" t="s">
        <v>14</v>
      </c>
      <c r="F29" s="186">
        <v>100</v>
      </c>
      <c r="G29" s="186"/>
      <c r="H29" s="186"/>
      <c r="I29" s="186"/>
      <c r="J29" s="59">
        <v>100</v>
      </c>
      <c r="K29" s="59">
        <v>100</v>
      </c>
      <c r="L29" s="59">
        <v>100</v>
      </c>
      <c r="M29" s="37" t="s">
        <v>80</v>
      </c>
      <c r="N29" s="37" t="s">
        <v>108</v>
      </c>
      <c r="R29" s="28"/>
      <c r="S29" s="57" t="s">
        <v>56</v>
      </c>
      <c r="T29" s="54" t="s">
        <v>69</v>
      </c>
      <c r="U29" s="60">
        <f>IF($F$30=0,0,IF(($F$27+$F$8)&gt;($U$21-$F$28),($F$27+$F$8),($U$21-$F$28)))</f>
        <v>21</v>
      </c>
      <c r="V29" s="56"/>
      <c r="W29" s="167" t="s">
        <v>70</v>
      </c>
      <c r="X29" s="167"/>
      <c r="Y29" s="169"/>
      <c r="Z29" s="169"/>
      <c r="AA29" s="9"/>
    </row>
    <row r="30" spans="2:27" ht="15" x14ac:dyDescent="0.25">
      <c r="B30" s="206"/>
      <c r="C30" s="207"/>
      <c r="D30" s="209"/>
      <c r="E30" s="120" t="s">
        <v>15</v>
      </c>
      <c r="F30" s="187">
        <v>0.27</v>
      </c>
      <c r="G30" s="187"/>
      <c r="H30" s="187"/>
      <c r="I30" s="187"/>
      <c r="J30" s="61">
        <v>0.27</v>
      </c>
      <c r="K30" s="61">
        <v>0.36</v>
      </c>
      <c r="L30" s="61">
        <v>0.3</v>
      </c>
      <c r="M30" s="39" t="s">
        <v>81</v>
      </c>
      <c r="N30" s="39" t="s">
        <v>81</v>
      </c>
      <c r="R30" s="28"/>
      <c r="S30" s="57" t="s">
        <v>57</v>
      </c>
      <c r="T30" s="54" t="s">
        <v>71</v>
      </c>
      <c r="U30" s="60">
        <f>IF($F$31=0,0,IF(($U$21+$F$8)&gt;($U$22-$F$28),($U$21+$F$8),($U$22-$F$28)))</f>
        <v>36</v>
      </c>
      <c r="V30" s="56"/>
      <c r="W30" s="167" t="s">
        <v>124</v>
      </c>
      <c r="X30" s="167"/>
      <c r="Y30" s="170">
        <f>+F6</f>
        <v>123</v>
      </c>
      <c r="Z30" s="170"/>
      <c r="AA30" s="9"/>
    </row>
    <row r="31" spans="2:27" ht="15" x14ac:dyDescent="0.25">
      <c r="B31" s="206"/>
      <c r="C31" s="207"/>
      <c r="D31" s="209"/>
      <c r="E31" s="120" t="s">
        <v>44</v>
      </c>
      <c r="F31" s="188">
        <v>0.63</v>
      </c>
      <c r="G31" s="188"/>
      <c r="H31" s="188"/>
      <c r="I31" s="188"/>
      <c r="J31" s="61">
        <v>0.54</v>
      </c>
      <c r="K31" s="61">
        <v>0.54</v>
      </c>
      <c r="L31" s="61">
        <v>0.6</v>
      </c>
      <c r="M31" s="39" t="s">
        <v>82</v>
      </c>
      <c r="N31" s="39" t="s">
        <v>82</v>
      </c>
      <c r="R31" s="28"/>
      <c r="S31" s="57" t="s">
        <v>59</v>
      </c>
      <c r="T31" s="54" t="s">
        <v>72</v>
      </c>
      <c r="U31" s="60">
        <f>IF($F$32=0,0,IF(($U$22+$F$8)&gt;($U$23-$F$28),($U$22+$F$8),($U$23-$F$28)))</f>
        <v>66</v>
      </c>
      <c r="V31" s="56"/>
      <c r="W31" s="167" t="s">
        <v>73</v>
      </c>
      <c r="X31" s="167"/>
      <c r="Y31" s="171"/>
      <c r="Z31" s="171"/>
      <c r="AA31" s="9"/>
    </row>
    <row r="32" spans="2:27" ht="15.75" thickBot="1" x14ac:dyDescent="0.3">
      <c r="B32" s="206"/>
      <c r="C32" s="207"/>
      <c r="D32" s="210"/>
      <c r="E32" s="121" t="s">
        <v>45</v>
      </c>
      <c r="F32" s="189">
        <v>0.81</v>
      </c>
      <c r="G32" s="189"/>
      <c r="H32" s="189"/>
      <c r="I32" s="189"/>
      <c r="J32" s="64">
        <v>0.81</v>
      </c>
      <c r="K32" s="64">
        <v>0.72</v>
      </c>
      <c r="L32" s="64">
        <v>0.9</v>
      </c>
      <c r="M32" s="65" t="s">
        <v>83</v>
      </c>
      <c r="N32" s="65" t="s">
        <v>83</v>
      </c>
      <c r="R32" s="24"/>
      <c r="S32" s="66"/>
      <c r="T32" s="15"/>
      <c r="U32" s="15"/>
      <c r="V32" s="15"/>
      <c r="W32" s="167" t="s">
        <v>74</v>
      </c>
      <c r="X32" s="167"/>
      <c r="Y32" s="154">
        <f>ROUNDDOWN($Y$24/-$U$36,0)</f>
        <v>94</v>
      </c>
      <c r="Z32" s="154"/>
      <c r="AA32" s="9"/>
    </row>
    <row r="33" spans="4:27" ht="15" x14ac:dyDescent="0.25">
      <c r="D33" s="180" t="s">
        <v>85</v>
      </c>
      <c r="E33" s="67" t="s">
        <v>16</v>
      </c>
      <c r="F33" s="191">
        <f>IF($F$24&lt;$F$29,ROUNDDOWN(($F$24*$F$30),0),ROUNDDOWN(($F$29*$F$30),0))</f>
        <v>27</v>
      </c>
      <c r="G33" s="192"/>
      <c r="H33" s="192"/>
      <c r="I33" s="193"/>
      <c r="J33" s="68">
        <f>IF($J$24&lt;$J$29,ROUNDDOWN(($J$24*$J$30),0),ROUNDDOWN(($J$29*$J$30),0))</f>
        <v>27</v>
      </c>
      <c r="K33" s="68">
        <f>IF($K$24&lt;$K$29,ROUNDDOWN(($K$24*$K$30),0),ROUNDDOWN(($K$29*$K$30),0))</f>
        <v>36</v>
      </c>
      <c r="L33" s="68">
        <f>IF($L$24&lt;$L$29,ROUNDDOWN(($L$24*$L$30),0),ROUNDDOWN(($L$29*$L$30),0))</f>
        <v>30</v>
      </c>
      <c r="M33" s="69"/>
      <c r="N33" s="69"/>
      <c r="R33" s="42"/>
      <c r="S33" s="43"/>
      <c r="T33" s="43"/>
      <c r="U33" s="43"/>
      <c r="V33" s="43"/>
      <c r="W33" s="43"/>
      <c r="X33" s="43"/>
      <c r="Y33" s="43"/>
      <c r="Z33" s="43"/>
      <c r="AA33" s="44"/>
    </row>
    <row r="34" spans="4:27" ht="15" x14ac:dyDescent="0.25">
      <c r="D34" s="181"/>
      <c r="E34" s="70" t="s">
        <v>17</v>
      </c>
      <c r="F34" s="194">
        <f>IF($F$24&lt;$F$29,ROUNDDOWN(($F$24*$F$31),0),ROUNDDOWN(($F$29*$F$31),0))</f>
        <v>63</v>
      </c>
      <c r="G34" s="195"/>
      <c r="H34" s="195"/>
      <c r="I34" s="196"/>
      <c r="J34" s="71">
        <f>IF($J$24&lt;$J$29,ROUNDDOWN(($J$24*$J$31),0),ROUNDDOWN(($J$29*$J$31),0))</f>
        <v>54</v>
      </c>
      <c r="K34" s="71">
        <f>IF($K$24&lt;$K$29,ROUNDDOWN(($K$24*$K$31),0),ROUNDDOWN(($K$29*$K$31),0))</f>
        <v>54</v>
      </c>
      <c r="L34" s="71">
        <f>IF($L$24&lt;$L$29,ROUNDDOWN(($L$24*$L$31),0),ROUNDDOWN(($L$29*$L$31),0))</f>
        <v>60</v>
      </c>
      <c r="M34" s="72"/>
      <c r="N34" s="72"/>
      <c r="R34" s="24"/>
      <c r="S34" s="175" t="s">
        <v>75</v>
      </c>
      <c r="T34" s="175"/>
      <c r="U34" s="175"/>
      <c r="V34" s="15"/>
      <c r="W34" s="15"/>
      <c r="X34" s="15"/>
      <c r="Y34" s="15"/>
      <c r="Z34" s="15"/>
      <c r="AA34" s="9"/>
    </row>
    <row r="35" spans="4:27" ht="15" x14ac:dyDescent="0.25">
      <c r="D35" s="181"/>
      <c r="E35" s="70" t="s">
        <v>18</v>
      </c>
      <c r="F35" s="194">
        <f>IF($F$24&lt;$F$29,ROUNDDOWN(($F$24*$F$32),0),ROUNDDOWN(($F$29*$F$32),0))</f>
        <v>81</v>
      </c>
      <c r="G35" s="195"/>
      <c r="H35" s="195"/>
      <c r="I35" s="196"/>
      <c r="J35" s="71">
        <f>IF($J$24&lt;$J$29,ROUNDDOWN(($J$24*$J$32),0),ROUNDDOWN(($J$29*$J$32),0))</f>
        <v>81</v>
      </c>
      <c r="K35" s="71">
        <f>IF($K$24&lt;$K$29,ROUNDDOWN(($K$24*$K$32),0),ROUNDDOWN(($K$29*$K$32),0))</f>
        <v>72</v>
      </c>
      <c r="L35" s="71">
        <f>IF($L$24&lt;$L$29,ROUNDDOWN(($L$24*$L$32),0),ROUNDDOWN(($L$29*$L$32),0))</f>
        <v>90</v>
      </c>
      <c r="M35" s="72"/>
      <c r="N35" s="72"/>
      <c r="R35" s="24"/>
      <c r="S35" s="73" t="s">
        <v>51</v>
      </c>
      <c r="T35" s="73" t="s">
        <v>49</v>
      </c>
      <c r="U35" s="74" t="s">
        <v>54</v>
      </c>
      <c r="V35" s="15"/>
      <c r="W35" s="15"/>
      <c r="X35" s="15"/>
      <c r="Y35" s="15"/>
      <c r="Z35" s="15"/>
      <c r="AA35" s="9"/>
    </row>
    <row r="36" spans="4:27" ht="15" x14ac:dyDescent="0.25">
      <c r="D36" s="181"/>
      <c r="E36" s="111" t="s">
        <v>19</v>
      </c>
      <c r="F36" s="194">
        <f>IF($F$30=0,0,(IF(($F$21+$F$28)&gt;($F$33-$F$27-$F$21),($F$33-$F$27-$F$21),($F$21+$F$28))))</f>
        <v>6</v>
      </c>
      <c r="G36" s="195"/>
      <c r="H36" s="195"/>
      <c r="I36" s="196"/>
      <c r="J36" s="75">
        <f>IF($J$30=0,0,(IF(($J$21+$J$28)&gt;($J$33-$J$27-$J$21),($J$33-$J$27-$J$21),($J$21+$J$28))))</f>
        <v>6</v>
      </c>
      <c r="K36" s="75">
        <f>IF($K$30=0,0,(IF(($K$21+$K$28)&gt;($K$33-$K$27-$K$21),($K$33-$K$27-$K$21),($K$21+$K$28))))</f>
        <v>15</v>
      </c>
      <c r="L36" s="75">
        <f>IF($L$30=0,0,(IF(($L$21+$L$28)&gt;($L$33-$L$27-$L$21),($L$33-$L$27-$L$21),($L$21+$L$28))))</f>
        <v>9</v>
      </c>
      <c r="M36" s="76" t="s">
        <v>40</v>
      </c>
      <c r="N36" s="76" t="s">
        <v>40</v>
      </c>
      <c r="R36" s="24"/>
      <c r="S36" s="77">
        <f>+$V$20</f>
        <v>1.8</v>
      </c>
      <c r="T36" s="92">
        <f>+$U$28</f>
        <v>-15</v>
      </c>
      <c r="U36" s="78">
        <f>+$S$36*($T$36-$F$8)*$F$7</f>
        <v>-259.2</v>
      </c>
      <c r="V36" s="15"/>
      <c r="W36" s="15"/>
      <c r="X36" s="15"/>
      <c r="Y36" s="15"/>
      <c r="Z36" s="15"/>
      <c r="AA36" s="9"/>
    </row>
    <row r="37" spans="4:27" ht="15" x14ac:dyDescent="0.25">
      <c r="D37" s="181"/>
      <c r="E37" s="111" t="s">
        <v>20</v>
      </c>
      <c r="F37" s="194">
        <f>IF($F$31=0,0,(IF(($F$21+$F$28)&lt;($F$34-$F$33-$F$21),($F$21+$F$28),($F$34-$F$33-$F$21))))</f>
        <v>30</v>
      </c>
      <c r="G37" s="195"/>
      <c r="H37" s="195"/>
      <c r="I37" s="196"/>
      <c r="J37" s="71">
        <f>IF($J$31=0,0,(IF(($J$21+$J$28)&lt;($J$34-$J$33-$J$21),($J$21+$J$28),($J$34-$J$33-$J$21))))</f>
        <v>24</v>
      </c>
      <c r="K37" s="71">
        <f>IF($K$31=0,0,(IF(($K$21+$K$28)&lt;($K$34-$K$33-$K$21),($K$21+$K$28),($K$34-$K$33-$K$21))))</f>
        <v>15</v>
      </c>
      <c r="L37" s="71">
        <f>IF($L$31=0,0,(IF(($L$21+$L$28)&lt;($L$34-$L$33-$L$21),($L$21+$L$28),($L$34-$L$33-$L$21))))</f>
        <v>27</v>
      </c>
      <c r="M37" s="76" t="s">
        <v>41</v>
      </c>
      <c r="N37" s="76" t="s">
        <v>41</v>
      </c>
      <c r="R37" s="42"/>
      <c r="S37" s="43"/>
      <c r="T37" s="43"/>
      <c r="U37" s="43"/>
      <c r="V37" s="43"/>
      <c r="W37" s="43"/>
      <c r="X37" s="43"/>
      <c r="Y37" s="43"/>
      <c r="Z37" s="43"/>
      <c r="AA37" s="44"/>
    </row>
    <row r="38" spans="4:27" ht="15" x14ac:dyDescent="0.25">
      <c r="D38" s="181"/>
      <c r="E38" s="111" t="s">
        <v>21</v>
      </c>
      <c r="F38" s="199">
        <f>IF($F$32=0,0,(IF(($F$21+$F$28)&lt;($F$35-$F$34-$F$21),($F$21+$F$28),($F$35-$F$34-$F$21))))</f>
        <v>15</v>
      </c>
      <c r="G38" s="200"/>
      <c r="H38" s="200"/>
      <c r="I38" s="201"/>
      <c r="J38" s="79">
        <f>IF($J$32=0,0,(IF(($J$21+$J$28)&lt;($J$35-$J$34-$J$21),($J$21+$J$28),($J$35-$J$34-$J$21))))</f>
        <v>24</v>
      </c>
      <c r="K38" s="79">
        <f>IF($K$32=0,0,(IF(($K$21+$K$28)&lt;($K$35-$K$34-$K$21),($K$21+$K$28),($K$35-$K$34-$K$21))))</f>
        <v>15</v>
      </c>
      <c r="L38" s="79">
        <f>IF($L$32=0,0,(IF(($L$21+$L$28)&lt;($L$35-$L$34-$L$21),($L$21+$L$28),($L$35-$L$34-$L$21))))</f>
        <v>27</v>
      </c>
      <c r="M38" s="76" t="s">
        <v>40</v>
      </c>
      <c r="N38" s="76" t="s">
        <v>40</v>
      </c>
      <c r="R38" s="24"/>
      <c r="S38" s="80" t="s">
        <v>76</v>
      </c>
      <c r="T38" s="80"/>
      <c r="U38" s="80"/>
      <c r="V38" s="80"/>
      <c r="W38" s="81" t="str">
        <f>CONCATENATE($U$21,$U$18,$U$19)</f>
        <v>27 -  P Header</v>
      </c>
      <c r="X38" s="15"/>
      <c r="Y38" s="15"/>
      <c r="Z38" s="15"/>
      <c r="AA38" s="9"/>
    </row>
    <row r="39" spans="4:27" ht="15" x14ac:dyDescent="0.25">
      <c r="D39" s="181"/>
      <c r="E39" s="82" t="s">
        <v>22</v>
      </c>
      <c r="F39" s="197">
        <f>-$F$26+$F$21</f>
        <v>-15</v>
      </c>
      <c r="G39" s="197"/>
      <c r="H39" s="197"/>
      <c r="I39" s="197"/>
      <c r="J39" s="83">
        <f>-$J$26+$J$21</f>
        <v>-15</v>
      </c>
      <c r="K39" s="83">
        <f>-$K$26+$K$21</f>
        <v>-15</v>
      </c>
      <c r="L39" s="83">
        <f>-$L$26+$L$21</f>
        <v>-15</v>
      </c>
      <c r="M39" s="72"/>
      <c r="N39" s="72"/>
      <c r="R39" s="24"/>
      <c r="S39" s="84" t="s">
        <v>48</v>
      </c>
      <c r="T39" s="84" t="s">
        <v>49</v>
      </c>
      <c r="U39" s="84" t="s">
        <v>51</v>
      </c>
      <c r="V39" s="113" t="s">
        <v>50</v>
      </c>
      <c r="W39" s="30" t="s">
        <v>54</v>
      </c>
      <c r="X39" s="15"/>
      <c r="Y39" s="15"/>
      <c r="Z39" s="15"/>
      <c r="AA39" s="9"/>
    </row>
    <row r="40" spans="4:27" ht="15" x14ac:dyDescent="0.25">
      <c r="D40" s="181"/>
      <c r="E40" s="82" t="s">
        <v>23</v>
      </c>
      <c r="F40" s="198">
        <f>IF($F$30=0,0,IF(($F$27+$F$21)&gt;($F$33-$F$28),($F$27+$F$21),($F$33-$F$28)))</f>
        <v>21</v>
      </c>
      <c r="G40" s="198"/>
      <c r="H40" s="198"/>
      <c r="I40" s="198"/>
      <c r="J40" s="85">
        <f>IF($J$30=0,0,IF(($J$27+$J$21)&gt;($J$33-$J$28),($J$27+$J$21),($J$33-$J$28)))</f>
        <v>21</v>
      </c>
      <c r="K40" s="85">
        <f>IF($K$30=0,0,IF(($K$27+$K$21)&gt;($K$33-$K$28),($K$27+$K$21),($K$33-$K$28)))</f>
        <v>21</v>
      </c>
      <c r="L40" s="85">
        <f>IF($L$30=0,0,IF(($L$27+$L$21)&gt;($L$33-$L$28),($L$27+$L$21),($L$33-$L$28)))</f>
        <v>21</v>
      </c>
      <c r="M40" s="72"/>
      <c r="N40" s="72"/>
      <c r="R40" s="24"/>
      <c r="S40" s="86" t="s">
        <v>55</v>
      </c>
      <c r="T40" s="87">
        <f>+$U$29</f>
        <v>21</v>
      </c>
      <c r="U40" s="88">
        <f>+$V$20</f>
        <v>1.8</v>
      </c>
      <c r="V40" s="114">
        <f>+$U$29</f>
        <v>21</v>
      </c>
      <c r="W40" s="89">
        <f>+$U$40*$V$40*$F$7</f>
        <v>302.40000000000003</v>
      </c>
      <c r="X40" s="15"/>
      <c r="Y40" s="15"/>
      <c r="Z40" s="15"/>
      <c r="AA40" s="9"/>
    </row>
    <row r="41" spans="4:27" ht="15" x14ac:dyDescent="0.25">
      <c r="D41" s="181"/>
      <c r="E41" s="82" t="s">
        <v>24</v>
      </c>
      <c r="F41" s="198">
        <f>IF($F$31=0,0,IF(($F$33+$F$21)&gt;($F$34-$F$28),($F$33+$F$21),($F$34-$F$28)))</f>
        <v>36</v>
      </c>
      <c r="G41" s="198"/>
      <c r="H41" s="198"/>
      <c r="I41" s="198"/>
      <c r="J41" s="85">
        <f>IF($J$31=0,0,IF(($J$33+$J$21)&gt;($J$34-$J$28),($J$33+$J$21),($J$34-$J$28)))</f>
        <v>30</v>
      </c>
      <c r="K41" s="85">
        <f>IF($K$31=0,0,IF(($K$33+$K$21)&gt;($K$34-$K$28),($K$33+$K$21),($K$34-$K$28)))</f>
        <v>39</v>
      </c>
      <c r="L41" s="85">
        <f>IF($L$31=0,0,IF(($L$33+$L$21)&gt;($L$34-$L$28),($L$33+$L$21),($L$34-$L$28)))</f>
        <v>33</v>
      </c>
      <c r="M41" s="72"/>
      <c r="N41" s="72"/>
      <c r="R41" s="24"/>
      <c r="S41" s="90" t="s">
        <v>56</v>
      </c>
      <c r="T41" s="91">
        <f>+$U$29</f>
        <v>21</v>
      </c>
      <c r="U41" s="77">
        <f>+$V$21</f>
        <v>6.3</v>
      </c>
      <c r="V41" s="115">
        <f>-$U$21+$U$29</f>
        <v>-6</v>
      </c>
      <c r="W41" s="93">
        <f>+$U$41*$V$41*$F$7</f>
        <v>-302.39999999999998</v>
      </c>
      <c r="X41" s="15"/>
      <c r="Y41" s="15"/>
      <c r="Z41" s="15"/>
      <c r="AA41" s="9"/>
    </row>
    <row r="42" spans="4:27" ht="15" x14ac:dyDescent="0.25">
      <c r="D42" s="181"/>
      <c r="E42" s="82" t="s">
        <v>25</v>
      </c>
      <c r="F42" s="198">
        <f>IF($F$32=0,0,IF(($F$34+$F$21)&gt;($F$35-$F$28),($F$34+$F$21),($F$35-$F$28)))</f>
        <v>66</v>
      </c>
      <c r="G42" s="198"/>
      <c r="H42" s="198"/>
      <c r="I42" s="198"/>
      <c r="J42" s="85">
        <f>IF($J$32=0,0,IF(($J$34+$J$21)&gt;($J$35-$J$28),($J$34+$J$21),($J$35-$J$28)))</f>
        <v>57</v>
      </c>
      <c r="K42" s="85">
        <f>IF($K$32=0,0,IF(($K$34+$K$21)&gt;($K$35-$K$28),($K$34+$K$21),($K$35-$K$28)))</f>
        <v>57</v>
      </c>
      <c r="L42" s="85">
        <f>IF($L$32=0,0,IF(($L$34+$L$21)&gt;($L$35-$L$28),($L$34+$L$21),($L$35-$L$28)))</f>
        <v>63</v>
      </c>
      <c r="M42" s="72"/>
      <c r="N42" s="72"/>
      <c r="R42" s="24"/>
      <c r="S42" s="30" t="s">
        <v>60</v>
      </c>
      <c r="T42" s="30"/>
      <c r="U42" s="30"/>
      <c r="V42" s="30"/>
      <c r="W42" s="94">
        <f>SUM(W40:W41)</f>
        <v>0</v>
      </c>
      <c r="X42" s="15"/>
      <c r="Y42" s="15"/>
      <c r="Z42" s="15"/>
      <c r="AA42" s="9"/>
    </row>
    <row r="43" spans="4:27" ht="15" x14ac:dyDescent="0.25">
      <c r="D43" s="181"/>
      <c r="E43" s="82" t="s">
        <v>26</v>
      </c>
      <c r="F43" s="190">
        <f>+$F$24-$F$21</f>
        <v>147</v>
      </c>
      <c r="G43" s="202"/>
      <c r="H43" s="202"/>
      <c r="I43" s="202"/>
      <c r="J43" s="95">
        <f>+$J$24-$J$21</f>
        <v>147</v>
      </c>
      <c r="K43" s="95">
        <f>+$K$24-$K$21</f>
        <v>147</v>
      </c>
      <c r="L43" s="95">
        <f>+$L$24-$L$21</f>
        <v>147</v>
      </c>
      <c r="M43" s="72"/>
      <c r="N43" s="72"/>
      <c r="R43" s="42"/>
      <c r="S43" s="43"/>
      <c r="T43" s="43"/>
      <c r="U43" s="43"/>
      <c r="V43" s="43"/>
      <c r="W43" s="43"/>
      <c r="X43" s="15"/>
      <c r="Y43" s="43"/>
      <c r="Z43" s="43"/>
      <c r="AA43" s="44"/>
    </row>
    <row r="44" spans="4:27" ht="15" x14ac:dyDescent="0.25">
      <c r="D44" s="181"/>
      <c r="E44" s="82" t="s">
        <v>27</v>
      </c>
      <c r="F44" s="190">
        <f>$F$24-$F$33-$F$21</f>
        <v>120</v>
      </c>
      <c r="G44" s="190"/>
      <c r="H44" s="190"/>
      <c r="I44" s="190"/>
      <c r="J44" s="95">
        <f>$J$24-$J$33-$J$21</f>
        <v>120</v>
      </c>
      <c r="K44" s="95">
        <f>$K$24-$K$33-$K$21</f>
        <v>111</v>
      </c>
      <c r="L44" s="95">
        <f>$L$24-$L$33-$L$21</f>
        <v>117</v>
      </c>
      <c r="M44" s="72"/>
      <c r="N44" s="72"/>
      <c r="R44" s="24"/>
      <c r="S44" s="80" t="s">
        <v>77</v>
      </c>
      <c r="T44" s="80"/>
      <c r="U44" s="80"/>
      <c r="V44" s="80"/>
      <c r="W44" s="81" t="str">
        <f>CONCATENATE($U$22,$U$18,$U$19)</f>
        <v>63 -  P Header</v>
      </c>
      <c r="X44" s="15"/>
      <c r="Y44" s="15"/>
      <c r="Z44" s="15"/>
      <c r="AA44" s="9"/>
    </row>
    <row r="45" spans="4:27" ht="15" x14ac:dyDescent="0.25">
      <c r="D45" s="181"/>
      <c r="E45" s="82" t="s">
        <v>28</v>
      </c>
      <c r="F45" s="190">
        <f>$F$24-$F$34-$F$21</f>
        <v>84</v>
      </c>
      <c r="G45" s="190"/>
      <c r="H45" s="190"/>
      <c r="I45" s="190"/>
      <c r="J45" s="95">
        <f>$J$24-$J$34-$J$21</f>
        <v>93</v>
      </c>
      <c r="K45" s="95">
        <f>$K$24-$K$34-$K$21</f>
        <v>93</v>
      </c>
      <c r="L45" s="95">
        <f>$L$24-$L$34-$L$21</f>
        <v>87</v>
      </c>
      <c r="M45" s="72"/>
      <c r="N45" s="72"/>
      <c r="R45" s="24"/>
      <c r="S45" s="84" t="s">
        <v>48</v>
      </c>
      <c r="T45" s="84" t="s">
        <v>49</v>
      </c>
      <c r="U45" s="84" t="s">
        <v>51</v>
      </c>
      <c r="V45" s="113" t="s">
        <v>50</v>
      </c>
      <c r="W45" s="30" t="s">
        <v>54</v>
      </c>
      <c r="X45" s="15"/>
      <c r="Y45" s="15"/>
      <c r="Z45" s="15"/>
      <c r="AA45" s="9"/>
    </row>
    <row r="46" spans="4:27" ht="15" x14ac:dyDescent="0.25">
      <c r="D46" s="181"/>
      <c r="E46" s="82" t="s">
        <v>29</v>
      </c>
      <c r="F46" s="190">
        <f>+$F$24-$F$35-$F$21</f>
        <v>66</v>
      </c>
      <c r="G46" s="190"/>
      <c r="H46" s="190"/>
      <c r="I46" s="190"/>
      <c r="J46" s="95">
        <f>+$J$24-$J$35-$J$21</f>
        <v>66</v>
      </c>
      <c r="K46" s="95">
        <f>+$K$24-$K$35-$K$21</f>
        <v>75</v>
      </c>
      <c r="L46" s="95">
        <f>+$L$24-$L$35-$L$21</f>
        <v>57</v>
      </c>
      <c r="M46" s="72"/>
      <c r="N46" s="72"/>
      <c r="R46" s="24"/>
      <c r="S46" s="96" t="s">
        <v>55</v>
      </c>
      <c r="T46" s="87">
        <f>+$U$30</f>
        <v>36</v>
      </c>
      <c r="U46" s="88">
        <f>+$V$20</f>
        <v>1.8</v>
      </c>
      <c r="V46" s="114">
        <f>$U$30</f>
        <v>36</v>
      </c>
      <c r="W46" s="89">
        <f>+$U$46*$V$46*$F$7</f>
        <v>518.4</v>
      </c>
      <c r="X46" s="15"/>
      <c r="Y46" s="15"/>
      <c r="Z46" s="15"/>
      <c r="AA46" s="9"/>
    </row>
    <row r="47" spans="4:27" ht="15" x14ac:dyDescent="0.25">
      <c r="D47" s="181"/>
      <c r="E47" s="82" t="s">
        <v>30</v>
      </c>
      <c r="F47" s="183">
        <f>IF(ABS(ROUNDUP((($F$18*$F$25)/($F$26+$F$21))/$F$20,1))&gt;99,99,(ABS(ROUNDUP((($F$18*$F$25)/($F$26+$F$21))/$F$20,1))))</f>
        <v>1.8</v>
      </c>
      <c r="G47" s="183"/>
      <c r="H47" s="183"/>
      <c r="I47" s="183"/>
      <c r="J47" s="97">
        <f>IF(ABS(ROUNDUP((($J$18*$J$25)/($J$26+$J$21))/$J$20,1))&gt;99,99,(ABS(ROUNDUP((($J$18*$J$25)/($J$26+$J$21))/$J$20,1))))</f>
        <v>1.8</v>
      </c>
      <c r="K47" s="97">
        <f>IF(ABS(ROUNDUP((($K$18*$K$25)/($K$26+$K$21))/$K$20,1))&gt;99,99,(ABS(ROUNDUP((($K$18*$K$25)/($K$26+$K$21))/$K$20,1))))</f>
        <v>1.8</v>
      </c>
      <c r="L47" s="97">
        <f>IF(ABS(ROUNDUP((($L$18*$L$25)/($L$26+$L$21))/$L$20,1))&gt;99,99,(ABS(ROUNDUP((($L$18*$L$25)/($L$26+$L$21))/$L$20,1))))</f>
        <v>1.8</v>
      </c>
      <c r="M47" s="72"/>
      <c r="N47" s="72"/>
      <c r="R47" s="24"/>
      <c r="S47" s="86" t="s">
        <v>56</v>
      </c>
      <c r="T47" s="87">
        <f>+$U$30</f>
        <v>36</v>
      </c>
      <c r="U47" s="88">
        <f>+$V$21</f>
        <v>6.3</v>
      </c>
      <c r="V47" s="114">
        <f>-$U$21+$U$30</f>
        <v>9</v>
      </c>
      <c r="W47" s="89">
        <f>+$U$47*V47*$F$7</f>
        <v>453.59999999999997</v>
      </c>
      <c r="X47" s="15"/>
      <c r="Y47" s="15"/>
      <c r="Z47" s="15"/>
      <c r="AA47" s="9"/>
    </row>
    <row r="48" spans="4:27" ht="15" x14ac:dyDescent="0.25">
      <c r="D48" s="181"/>
      <c r="E48" s="82" t="s">
        <v>31</v>
      </c>
      <c r="F48" s="183">
        <f>IF(IF($F$33=0,0,(ABS(ROUNDUP(($F$47*$F$40)/($F$33-$F$40),1))))&gt;99,99,(IF($F$33=0,0,(ABS(ROUNDUP(($F$47*$F$40)/($F$33-$F$40),1))))))</f>
        <v>6.3</v>
      </c>
      <c r="G48" s="183"/>
      <c r="H48" s="183"/>
      <c r="I48" s="183"/>
      <c r="J48" s="97">
        <f>IF(IF($J$33=0,0,(ABS(ROUNDUP(($J$47*$J$40)/($J$33-$J$40),1))))&gt;99,99,(IF($J$33=0,0,(ABS(ROUNDUP(($J$47*$J$40)/($J$33-$J$40),1))))))</f>
        <v>6.3</v>
      </c>
      <c r="K48" s="97">
        <f>IF(IF($K$33=0,0,(ABS(ROUNDUP(($K$47*$K$40)/($K$33-$K$40),1))))&gt;99,99,(IF($K$33=0,0,(ABS(ROUNDUP(($K$47*$K$40)/($K$33-$K$40),1))))))</f>
        <v>2.6</v>
      </c>
      <c r="L48" s="97">
        <f>IF(IF($L$33=0,0,(ABS(ROUNDUP(($L$47*$L$40)/($L$33-$L$40),1))))&gt;99,99,(IF($L$33=0,0,(ABS(ROUNDUP(($L$47*$L$40)/($L$33-$L$40),1))))))</f>
        <v>4.2</v>
      </c>
      <c r="M48" s="72"/>
      <c r="N48" s="72"/>
      <c r="R48" s="24"/>
      <c r="S48" s="90" t="s">
        <v>57</v>
      </c>
      <c r="T48" s="91">
        <f>+$U$30</f>
        <v>36</v>
      </c>
      <c r="U48" s="77">
        <f>+$V$22</f>
        <v>4.5</v>
      </c>
      <c r="V48" s="115">
        <f>-$U$22+$U$30</f>
        <v>-27</v>
      </c>
      <c r="W48" s="93">
        <f>+$U$48*V48*$F$7</f>
        <v>-972</v>
      </c>
      <c r="X48" s="15"/>
      <c r="Y48" s="15"/>
      <c r="Z48" s="15"/>
      <c r="AA48" s="9"/>
    </row>
    <row r="49" spans="4:29" ht="15" x14ac:dyDescent="0.25">
      <c r="D49" s="181"/>
      <c r="E49" s="82" t="s">
        <v>32</v>
      </c>
      <c r="F49" s="183">
        <f>IF(IF($F$34=0,0,(ABS(ROUNDUP((($F$47*$F$41*$F$20)+($F$48*($F$41-$F$33)*$F$20))/($F$34-$F$41)/$F$20,1))))&gt;99,99,(IF($F$34=0,0,(ABS(ROUNDUP((($F$47*$F$41*$F$20)+($F$48*($F$41-$F$33)*$F$20))/($F$34-$F$41)/$F$20,1))))))</f>
        <v>4.5</v>
      </c>
      <c r="G49" s="183"/>
      <c r="H49" s="183"/>
      <c r="I49" s="183"/>
      <c r="J49" s="97">
        <f>IF(IF($J$34=0,0,(ABS(ROUNDUP((($J$47*$J$41*$J$20)+($J$48*($J$41-$J$33)*$J$20))/($J$34-$J$41)/$J$20,1))))&gt;99,99,(IF($J$34=0,0,(ABS(ROUNDUP((($J$47*$J$41*$J$20)+($J$48*($J$41-$J$33)*$J$20))/($J$34-$J$41)/$J$20,1))))))</f>
        <v>3.1</v>
      </c>
      <c r="K49" s="97">
        <f>IF(IF($K$34=0,0,(ABS(ROUNDUP((($K$47*$K$41*$K$20)+($K$48*($K$41-$K$33)*$K$20))/($K$34-$K$41)/$K$20,1))))&gt;99,99,(IF($K$34=0,0,(ABS(ROUNDUP((($K$47*$K$41*$K$20)+($K$48*($K$41-$K$33)*$K$20))/($K$34-$K$41)/$K$20,1))))))</f>
        <v>5.2</v>
      </c>
      <c r="L49" s="97">
        <f>IF(IF($L$34=0,0,(ABS(ROUNDUP((($L$47*$L$41*$L$20)+($L$48*($L$41-$L$33)*$L$20))/($L$34-$L$41)/$L$20,1))))&gt;99,99,(IF($L$34=0,0,(ABS(ROUNDUP((($L$47*$L$41*$L$20)+($L$48*($L$41-$L$33)*$L$20))/($L$34-$L$41)/$L$20,1))))))</f>
        <v>2.7</v>
      </c>
      <c r="M49" s="72"/>
      <c r="N49" s="72"/>
      <c r="R49" s="24"/>
      <c r="S49" s="30" t="s">
        <v>60</v>
      </c>
      <c r="T49" s="30"/>
      <c r="U49" s="30"/>
      <c r="V49" s="30"/>
      <c r="W49" s="98">
        <f>SUM(W46:W48)</f>
        <v>0</v>
      </c>
      <c r="X49" s="15"/>
      <c r="Y49" s="15"/>
      <c r="Z49" s="15"/>
      <c r="AA49" s="9"/>
      <c r="AC49" s="99"/>
    </row>
    <row r="50" spans="4:29" ht="15" x14ac:dyDescent="0.25">
      <c r="D50" s="181"/>
      <c r="E50" s="82" t="s">
        <v>33</v>
      </c>
      <c r="F50" s="183">
        <f>IF(IF($F$35=0,0,(ABS(ROUNDUP((($F$47*$F$42*$F$20)+($F$48*($F$42-$F$33)*$F$20)+($F$49*($F$42-$F$34)*$F$20))/($F$35-$F$42)/$F$20,1))))&gt;99,99,(IF($F$35=0,0,(ABS(ROUNDUP((($F$47*$F$42*$F$20)+($F$48*($F$42-$F$33)*$F$20)+($F$49*($F$42-$F$34)*$F$20))/($F$35-$F$42)/$F$20,1))))))</f>
        <v>25.2</v>
      </c>
      <c r="G50" s="183"/>
      <c r="H50" s="183"/>
      <c r="I50" s="183"/>
      <c r="J50" s="97">
        <f>IF(IF($J$35=0,0,(ABS(ROUNDUP((($J$47*$J$42*$J$20)+($J$48*($J$42-$J$33)*$J$20)+($J$49*($J$42-$J$34)*$J$20))/($J$35-$J$42)/$J$20,1))))&gt;99,99,(IF($J$35=0,0,(ABS(ROUNDUP((($J$47*$J$42*$J$20)+($J$48*($J$42-$J$33)*$J$20)+($J$49*($J$42-$J$34)*$J$20))/($J$35-$J$42)/$J$20,1))))))</f>
        <v>12.6</v>
      </c>
      <c r="K50" s="97">
        <f>IF(IF($K$35=0,0,(ABS(ROUNDUP((($K$47*$K$42*$K$20)+($K$48*($K$42-$K$33)*$K$20)+($K$49*($K$42-$K$34)*$K$20))/($K$35-$K$42)/$K$20,1))))&gt;99,99,(IF($K$35=0,0,(ABS(ROUNDUP((($K$47*$K$42*$K$20)+($K$48*($K$42-$K$33)*$K$20)+($K$49*($K$42-$K$34)*$K$20))/($K$35-$K$42)/$K$20,1))))))</f>
        <v>11.6</v>
      </c>
      <c r="L50" s="97">
        <f>IF(IF($L$35=0,0,(ABS(ROUNDUP((($L$47*$L$42*$L$20)+($L$48*($L$42-$L$33)*$L$20)+($L$49*($L$42-$L$34)*$L$20))/($L$35-$L$42)/$L$20,1))))&gt;99,99,(IF($L$35=0,0,(ABS(ROUNDUP((($L$47*$L$42*$L$20)+($L$48*($L$42-$L$33)*$L$20)+($L$49*($L$42-$L$34)*$L$20))/($L$35-$L$42)/$L$20,1))))))</f>
        <v>9.6999999999999993</v>
      </c>
      <c r="M50" s="72"/>
      <c r="N50" s="72"/>
      <c r="R50" s="42"/>
      <c r="S50" s="43"/>
      <c r="T50" s="43"/>
      <c r="U50" s="43"/>
      <c r="V50" s="43"/>
      <c r="W50" s="43"/>
      <c r="X50" s="15"/>
      <c r="Y50" s="43"/>
      <c r="Z50" s="43"/>
      <c r="AA50" s="44"/>
    </row>
    <row r="51" spans="4:29" ht="15" x14ac:dyDescent="0.25">
      <c r="D51" s="181"/>
      <c r="E51" s="112" t="s">
        <v>34</v>
      </c>
      <c r="F51" s="204">
        <f>+$F$48/$F$47</f>
        <v>3.5</v>
      </c>
      <c r="G51" s="204"/>
      <c r="H51" s="204"/>
      <c r="I51" s="204"/>
      <c r="J51" s="100">
        <f>+$J$48/$J$47</f>
        <v>3.5</v>
      </c>
      <c r="K51" s="100">
        <f>+$K$48/$K$47</f>
        <v>1.4444444444444444</v>
      </c>
      <c r="L51" s="100">
        <f>+$L$48/$L$47</f>
        <v>2.3333333333333335</v>
      </c>
      <c r="M51" s="76" t="s">
        <v>42</v>
      </c>
      <c r="N51" s="76" t="s">
        <v>42</v>
      </c>
      <c r="R51" s="24"/>
      <c r="S51" s="80" t="s">
        <v>84</v>
      </c>
      <c r="T51" s="80"/>
      <c r="U51" s="80"/>
      <c r="V51" s="80"/>
      <c r="W51" s="81" t="str">
        <f>CONCATENATE($U$23,$U$18,$U$19)</f>
        <v>81 -  P Header</v>
      </c>
      <c r="X51" s="15"/>
      <c r="Y51" s="15"/>
      <c r="Z51" s="15"/>
      <c r="AA51" s="9"/>
    </row>
    <row r="52" spans="4:29" ht="15" x14ac:dyDescent="0.25">
      <c r="D52" s="181"/>
      <c r="E52" s="111" t="s">
        <v>35</v>
      </c>
      <c r="F52" s="204">
        <f>+$F$49/$F$47</f>
        <v>2.5</v>
      </c>
      <c r="G52" s="204"/>
      <c r="H52" s="204"/>
      <c r="I52" s="204"/>
      <c r="J52" s="100">
        <f>+$J$49/$J$47</f>
        <v>1.7222222222222223</v>
      </c>
      <c r="K52" s="100">
        <f>+$K$49/$K$47</f>
        <v>2.8888888888888888</v>
      </c>
      <c r="L52" s="100">
        <f>+$L$49/$L$47</f>
        <v>1.5</v>
      </c>
      <c r="M52" s="76" t="s">
        <v>42</v>
      </c>
      <c r="N52" s="76" t="s">
        <v>42</v>
      </c>
      <c r="R52" s="24"/>
      <c r="S52" s="84" t="s">
        <v>48</v>
      </c>
      <c r="T52" s="84" t="s">
        <v>49</v>
      </c>
      <c r="U52" s="84" t="s">
        <v>51</v>
      </c>
      <c r="V52" s="113" t="s">
        <v>50</v>
      </c>
      <c r="W52" s="30" t="s">
        <v>54</v>
      </c>
      <c r="X52" s="15"/>
      <c r="Y52" s="15"/>
      <c r="Z52" s="15"/>
      <c r="AA52" s="9"/>
    </row>
    <row r="53" spans="4:29" ht="15" x14ac:dyDescent="0.25">
      <c r="D53" s="181"/>
      <c r="E53" s="111" t="s">
        <v>36</v>
      </c>
      <c r="F53" s="204">
        <f>+$F$50/$F$47</f>
        <v>14</v>
      </c>
      <c r="G53" s="204"/>
      <c r="H53" s="204"/>
      <c r="I53" s="204"/>
      <c r="J53" s="100">
        <f>+$J$50/$J$47</f>
        <v>7</v>
      </c>
      <c r="K53" s="100">
        <f>+$K$50/$K$47</f>
        <v>6.4444444444444438</v>
      </c>
      <c r="L53" s="100">
        <f>+$L$50/$L$47</f>
        <v>5.3888888888888884</v>
      </c>
      <c r="M53" s="76" t="s">
        <v>114</v>
      </c>
      <c r="N53" s="76" t="s">
        <v>43</v>
      </c>
      <c r="R53" s="24"/>
      <c r="S53" s="96" t="s">
        <v>55</v>
      </c>
      <c r="T53" s="87">
        <f>+$U$31</f>
        <v>66</v>
      </c>
      <c r="U53" s="88">
        <f>+$V$20</f>
        <v>1.8</v>
      </c>
      <c r="V53" s="114">
        <f>+$U$31</f>
        <v>66</v>
      </c>
      <c r="W53" s="89">
        <f>+$U$53*$V$53*$F$7</f>
        <v>950.4</v>
      </c>
      <c r="X53" s="15"/>
      <c r="Y53" s="15"/>
      <c r="Z53" s="15"/>
      <c r="AA53" s="9"/>
    </row>
    <row r="54" spans="4:29" ht="15" x14ac:dyDescent="0.25">
      <c r="D54" s="181"/>
      <c r="E54" s="82" t="s">
        <v>86</v>
      </c>
      <c r="F54" s="203">
        <f>+$F$47*$F$43*$F$20</f>
        <v>2116.8000000000002</v>
      </c>
      <c r="G54" s="203"/>
      <c r="H54" s="203"/>
      <c r="I54" s="203"/>
      <c r="J54" s="101">
        <f>+$J$47*$J$43*$J$20</f>
        <v>2116.8000000000002</v>
      </c>
      <c r="K54" s="101">
        <f>+$K$47*$K$43*$K$20</f>
        <v>2116.8000000000002</v>
      </c>
      <c r="L54" s="101">
        <f>+$L$47*$L$43*$L$20</f>
        <v>2116.8000000000002</v>
      </c>
      <c r="M54" s="72"/>
      <c r="N54" s="72"/>
      <c r="R54" s="24"/>
      <c r="S54" s="86" t="s">
        <v>56</v>
      </c>
      <c r="T54" s="87">
        <f>+$U$31</f>
        <v>66</v>
      </c>
      <c r="U54" s="88">
        <f>+$V$21</f>
        <v>6.3</v>
      </c>
      <c r="V54" s="114">
        <f>-$U$21+$U$31</f>
        <v>39</v>
      </c>
      <c r="W54" s="89">
        <f>+$U$54*$V$54*$F$7</f>
        <v>1965.6</v>
      </c>
      <c r="X54" s="15"/>
      <c r="Y54" s="15"/>
      <c r="Z54" s="15"/>
      <c r="AA54" s="9"/>
    </row>
    <row r="55" spans="4:29" ht="15" x14ac:dyDescent="0.25">
      <c r="D55" s="181"/>
      <c r="E55" s="82" t="s">
        <v>87</v>
      </c>
      <c r="F55" s="203">
        <f>+$F$48*$F$44*$F$20</f>
        <v>6048</v>
      </c>
      <c r="G55" s="203"/>
      <c r="H55" s="203"/>
      <c r="I55" s="203"/>
      <c r="J55" s="101">
        <f>+$J$48*$J$44*$J$20</f>
        <v>6048</v>
      </c>
      <c r="K55" s="101">
        <f>+$K$48*$K$44*$K$20</f>
        <v>2308.8000000000002</v>
      </c>
      <c r="L55" s="101">
        <f>+$L$48*$L$44*$L$20</f>
        <v>3931.2000000000003</v>
      </c>
      <c r="M55" s="72"/>
      <c r="N55" s="72"/>
      <c r="R55" s="24"/>
      <c r="S55" s="86" t="s">
        <v>57</v>
      </c>
      <c r="T55" s="87">
        <f>+$U$31</f>
        <v>66</v>
      </c>
      <c r="U55" s="88">
        <f>+$V$22</f>
        <v>4.5</v>
      </c>
      <c r="V55" s="114">
        <f>-$U$22+$U$31</f>
        <v>3</v>
      </c>
      <c r="W55" s="89">
        <f>+$U$55*V$55*$F$7</f>
        <v>108</v>
      </c>
      <c r="X55" s="15"/>
      <c r="Y55" s="15"/>
      <c r="Z55" s="15"/>
      <c r="AA55" s="9"/>
    </row>
    <row r="56" spans="4:29" ht="15" x14ac:dyDescent="0.25">
      <c r="D56" s="181"/>
      <c r="E56" s="82" t="s">
        <v>88</v>
      </c>
      <c r="F56" s="203">
        <f>+$F$49*$F$45*$F$20</f>
        <v>3024</v>
      </c>
      <c r="G56" s="203"/>
      <c r="H56" s="203"/>
      <c r="I56" s="203"/>
      <c r="J56" s="101">
        <f>+$J$49*$J$45*$J$20</f>
        <v>2306.4</v>
      </c>
      <c r="K56" s="101">
        <f>+$K$49*$K$45*$K$20</f>
        <v>3868.8</v>
      </c>
      <c r="L56" s="101">
        <f>+$L$49*$L$45*$L$20</f>
        <v>1879.2</v>
      </c>
      <c r="M56" s="72"/>
      <c r="N56" s="72"/>
      <c r="R56" s="24"/>
      <c r="S56" s="90" t="s">
        <v>59</v>
      </c>
      <c r="T56" s="91">
        <f>+$U$31</f>
        <v>66</v>
      </c>
      <c r="U56" s="92">
        <f>+$V$23</f>
        <v>25.2</v>
      </c>
      <c r="V56" s="115">
        <f>-$U$23+$U$31</f>
        <v>-15</v>
      </c>
      <c r="W56" s="93">
        <f>+$U$56*V$56*$F$7</f>
        <v>-3024</v>
      </c>
      <c r="X56" s="15"/>
      <c r="Y56" s="15"/>
      <c r="Z56" s="15"/>
      <c r="AA56" s="9"/>
    </row>
    <row r="57" spans="4:29" ht="15" x14ac:dyDescent="0.25">
      <c r="D57" s="181"/>
      <c r="E57" s="102" t="s">
        <v>89</v>
      </c>
      <c r="F57" s="203">
        <f>+$F$50*$F$46*$F$20</f>
        <v>13305.6</v>
      </c>
      <c r="G57" s="203"/>
      <c r="H57" s="203"/>
      <c r="I57" s="203"/>
      <c r="J57" s="101">
        <f>+$J$50*$J$46*$J$20</f>
        <v>6652.8</v>
      </c>
      <c r="K57" s="101">
        <f>+$K$50*$K$46*$K$20</f>
        <v>6960</v>
      </c>
      <c r="L57" s="101">
        <f>+$L$50*$L$46*$L$20</f>
        <v>4423.2</v>
      </c>
      <c r="M57" s="72"/>
      <c r="N57" s="72"/>
      <c r="R57" s="24"/>
      <c r="S57" s="30" t="s">
        <v>60</v>
      </c>
      <c r="T57" s="30"/>
      <c r="U57" s="30"/>
      <c r="V57" s="30"/>
      <c r="W57" s="98">
        <f>SUM(W53:W56)</f>
        <v>0</v>
      </c>
      <c r="X57" s="15"/>
      <c r="Y57" s="15"/>
      <c r="Z57" s="15"/>
      <c r="AA57" s="9"/>
    </row>
    <row r="58" spans="4:29" ht="15.75" thickBot="1" x14ac:dyDescent="0.3">
      <c r="D58" s="182"/>
      <c r="E58" s="103" t="s">
        <v>100</v>
      </c>
      <c r="F58" s="184">
        <f>SUM(F54:I57)</f>
        <v>24494.400000000001</v>
      </c>
      <c r="G58" s="184"/>
      <c r="H58" s="184"/>
      <c r="I58" s="184"/>
      <c r="J58" s="104">
        <f>SUM(J54:J57)</f>
        <v>17124</v>
      </c>
      <c r="K58" s="104">
        <f>SUM(K54:K57)</f>
        <v>15254.400000000001</v>
      </c>
      <c r="L58" s="104">
        <f t="shared" ref="L58" si="11">SUM(L54:L57)</f>
        <v>12350.4</v>
      </c>
      <c r="M58" s="105"/>
      <c r="N58" s="105"/>
      <c r="R58" s="106"/>
      <c r="S58" s="107"/>
      <c r="T58" s="107"/>
      <c r="U58" s="107"/>
      <c r="V58" s="107"/>
      <c r="W58" s="107"/>
      <c r="X58" s="107"/>
      <c r="Y58" s="107"/>
      <c r="Z58" s="107"/>
      <c r="AA58" s="108"/>
    </row>
  </sheetData>
  <mergeCells count="93">
    <mergeCell ref="B27:C32"/>
    <mergeCell ref="S8:T8"/>
    <mergeCell ref="S9:T9"/>
    <mergeCell ref="S10:T10"/>
    <mergeCell ref="S11:T11"/>
    <mergeCell ref="S12:T12"/>
    <mergeCell ref="S13:T13"/>
    <mergeCell ref="S14:T14"/>
    <mergeCell ref="S15:T15"/>
    <mergeCell ref="S16:T16"/>
    <mergeCell ref="D27:D32"/>
    <mergeCell ref="F27:I27"/>
    <mergeCell ref="D4:D13"/>
    <mergeCell ref="F5:I5"/>
    <mergeCell ref="S34:U34"/>
    <mergeCell ref="W28:X28"/>
    <mergeCell ref="Y28:Z28"/>
    <mergeCell ref="W29:X29"/>
    <mergeCell ref="F44:I44"/>
    <mergeCell ref="F33:I33"/>
    <mergeCell ref="F34:I34"/>
    <mergeCell ref="F35:I35"/>
    <mergeCell ref="F36:I36"/>
    <mergeCell ref="F37:I37"/>
    <mergeCell ref="F39:I39"/>
    <mergeCell ref="F40:I40"/>
    <mergeCell ref="F38:I38"/>
    <mergeCell ref="F41:I41"/>
    <mergeCell ref="F42:I42"/>
    <mergeCell ref="F43:I43"/>
    <mergeCell ref="F28:I28"/>
    <mergeCell ref="F29:I29"/>
    <mergeCell ref="F30:I30"/>
    <mergeCell ref="F31:I31"/>
    <mergeCell ref="F32:I32"/>
    <mergeCell ref="D33:D58"/>
    <mergeCell ref="F47:I47"/>
    <mergeCell ref="F48:I48"/>
    <mergeCell ref="F58:I58"/>
    <mergeCell ref="F49:I49"/>
    <mergeCell ref="F50:I50"/>
    <mergeCell ref="F45:I45"/>
    <mergeCell ref="F46:I46"/>
    <mergeCell ref="F56:I56"/>
    <mergeCell ref="F57:I57"/>
    <mergeCell ref="F51:I51"/>
    <mergeCell ref="F52:I52"/>
    <mergeCell ref="F53:I53"/>
    <mergeCell ref="F54:I54"/>
    <mergeCell ref="F55:I55"/>
    <mergeCell ref="S26:U26"/>
    <mergeCell ref="W26:Z26"/>
    <mergeCell ref="Y22:Z22"/>
    <mergeCell ref="F6:I6"/>
    <mergeCell ref="F7:I7"/>
    <mergeCell ref="F8:I8"/>
    <mergeCell ref="F9:I9"/>
    <mergeCell ref="F10:I10"/>
    <mergeCell ref="Y23:Z23"/>
    <mergeCell ref="S7:U7"/>
    <mergeCell ref="W7:X7"/>
    <mergeCell ref="W27:X27"/>
    <mergeCell ref="Y27:Z27"/>
    <mergeCell ref="W32:X32"/>
    <mergeCell ref="Y32:Z32"/>
    <mergeCell ref="Y24:Z24"/>
    <mergeCell ref="Y29:Z29"/>
    <mergeCell ref="W30:X30"/>
    <mergeCell ref="Y30:Z30"/>
    <mergeCell ref="W31:X31"/>
    <mergeCell ref="Y31:Z31"/>
    <mergeCell ref="E3:J3"/>
    <mergeCell ref="Y19:Z19"/>
    <mergeCell ref="Y20:Z20"/>
    <mergeCell ref="Y21:Z21"/>
    <mergeCell ref="J5:J8"/>
    <mergeCell ref="F16:I16"/>
    <mergeCell ref="F4:I4"/>
    <mergeCell ref="R5:AA5"/>
    <mergeCell ref="F11:I11"/>
    <mergeCell ref="F13:I13"/>
    <mergeCell ref="F12:I12"/>
    <mergeCell ref="D17:D26"/>
    <mergeCell ref="F17:I17"/>
    <mergeCell ref="F18:I18"/>
    <mergeCell ref="F19:I19"/>
    <mergeCell ref="F20:I20"/>
    <mergeCell ref="F21:I21"/>
    <mergeCell ref="F22:I22"/>
    <mergeCell ref="F23:I23"/>
    <mergeCell ref="F24:I24"/>
    <mergeCell ref="F25:I25"/>
    <mergeCell ref="F26:I26"/>
  </mergeCells>
  <phoneticPr fontId="4" type="noConversion"/>
  <conditionalFormatting sqref="W57">
    <cfRule type="cellIs" dxfId="26" priority="51" operator="lessThan">
      <formula>0</formula>
    </cfRule>
  </conditionalFormatting>
  <conditionalFormatting sqref="W49 W42">
    <cfRule type="cellIs" dxfId="25" priority="50" operator="lessThan">
      <formula>0</formula>
    </cfRule>
  </conditionalFormatting>
  <conditionalFormatting sqref="W21:W22 J51:L52">
    <cfRule type="cellIs" dxfId="24" priority="48" operator="lessThanOrEqual">
      <formula>4</formula>
    </cfRule>
    <cfRule type="cellIs" dxfId="23" priority="49" operator="greaterThan">
      <formula>4</formula>
    </cfRule>
  </conditionalFormatting>
  <conditionalFormatting sqref="W23 J53:L53">
    <cfRule type="cellIs" dxfId="22" priority="46" operator="greaterThan">
      <formula>14.5</formula>
    </cfRule>
    <cfRule type="cellIs" dxfId="21" priority="47" operator="lessThanOrEqual">
      <formula>14.5</formula>
    </cfRule>
  </conditionalFormatting>
  <conditionalFormatting sqref="F36:L36 J38:L38">
    <cfRule type="cellIs" dxfId="20" priority="45" operator="lessThan">
      <formula>5</formula>
    </cfRule>
  </conditionalFormatting>
  <conditionalFormatting sqref="F38:I38">
    <cfRule type="cellIs" dxfId="19" priority="44" operator="lessThan">
      <formula>5</formula>
    </cfRule>
  </conditionalFormatting>
  <conditionalFormatting sqref="F38:L38 F36:L36">
    <cfRule type="cellIs" dxfId="18" priority="43" operator="greaterThanOrEqual">
      <formula>5</formula>
    </cfRule>
  </conditionalFormatting>
  <conditionalFormatting sqref="F37:L37">
    <cfRule type="cellIs" dxfId="17" priority="41" operator="greaterThanOrEqual">
      <formula>15</formula>
    </cfRule>
    <cfRule type="cellIs" dxfId="16" priority="42" operator="lessThan">
      <formula>15</formula>
    </cfRule>
  </conditionalFormatting>
  <conditionalFormatting sqref="F51:F52">
    <cfRule type="cellIs" dxfId="15" priority="35" operator="lessThanOrEqual">
      <formula>4</formula>
    </cfRule>
    <cfRule type="cellIs" dxfId="14" priority="36" operator="greaterThan">
      <formula>4</formula>
    </cfRule>
  </conditionalFormatting>
  <conditionalFormatting sqref="F27:L27">
    <cfRule type="cellIs" dxfId="13" priority="12" operator="notBetween">
      <formula>2.99</formula>
      <formula>18.01</formula>
    </cfRule>
    <cfRule type="cellIs" dxfId="12" priority="14" operator="between">
      <formula>2.99</formula>
      <formula>18.01</formula>
    </cfRule>
  </conditionalFormatting>
  <conditionalFormatting sqref="F28:L28">
    <cfRule type="cellIs" dxfId="11" priority="11" operator="notBetween">
      <formula>24.99</formula>
      <formula>50.01</formula>
    </cfRule>
    <cfRule type="cellIs" dxfId="10" priority="13" operator="between">
      <formula>24.99</formula>
      <formula>50.01</formula>
    </cfRule>
  </conditionalFormatting>
  <conditionalFormatting sqref="F29:L29">
    <cfRule type="cellIs" dxfId="9" priority="9" operator="notBetween">
      <formula>49.9</formula>
      <formula>100.1</formula>
    </cfRule>
    <cfRule type="cellIs" dxfId="8" priority="10" operator="between">
      <formula>49.9</formula>
      <formula>100.1</formula>
    </cfRule>
  </conditionalFormatting>
  <conditionalFormatting sqref="F30:L30">
    <cfRule type="cellIs" dxfId="7" priority="7" operator="notBetween">
      <formula>0.259</formula>
      <formula>0.401</formula>
    </cfRule>
    <cfRule type="cellIs" dxfId="6" priority="8" operator="between">
      <formula>0.259</formula>
      <formula>0.401</formula>
    </cfRule>
  </conditionalFormatting>
  <conditionalFormatting sqref="F31:L31">
    <cfRule type="cellIs" dxfId="5" priority="5" operator="notBetween">
      <formula>0.439</formula>
      <formula>0.691</formula>
    </cfRule>
    <cfRule type="cellIs" dxfId="4" priority="6" operator="between">
      <formula>0.439</formula>
      <formula>"0.691"</formula>
    </cfRule>
  </conditionalFormatting>
  <conditionalFormatting sqref="F32:L32">
    <cfRule type="cellIs" dxfId="3" priority="3" operator="notBetween">
      <formula>0.699</formula>
      <formula>0.901</formula>
    </cfRule>
    <cfRule type="cellIs" dxfId="2" priority="4" operator="between">
      <formula>0.699</formula>
      <formula>0.901</formula>
    </cfRule>
  </conditionalFormatting>
  <conditionalFormatting sqref="F53:I53">
    <cfRule type="cellIs" dxfId="1" priority="1" operator="greaterThan">
      <formula>14.5</formula>
    </cfRule>
    <cfRule type="cellIs" dxfId="0" priority="2" operator="lessThanOrEqual">
      <formula>14.5</formula>
    </cfRule>
  </conditionalFormatting>
  <pageMargins left="0.70866141732283472" right="0.70866141732283472" top="0.74803149606299213" bottom="0.74803149606299213" header="0.31496062992125984" footer="0.31496062992125984"/>
  <pageSetup paperSize="9" scale="46"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Lionel Siziba</dc:creator>
  <cp:lastModifiedBy>Lionel Siziba</cp:lastModifiedBy>
  <cp:lastPrinted>2020-04-24T22:03:48Z</cp:lastPrinted>
  <dcterms:created xsi:type="dcterms:W3CDTF">2019-12-31T08:32:26Z</dcterms:created>
  <dcterms:modified xsi:type="dcterms:W3CDTF">2020-04-25T10:33:32Z</dcterms:modified>
</cp:coreProperties>
</file>