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victo\Dropbox (MIT)\00 Personal Files\06 MIT\02 Classes\08 Spring 2018\2.77 Fundamentals\02 Homework\Week4\EAC\"/>
    </mc:Choice>
  </mc:AlternateContent>
  <xr:revisionPtr revIDLastSave="0" documentId="13_ncr:1_{D7ED4181-5778-4B55-910A-1CBC6080E7EB}" xr6:coauthVersionLast="28" xr6:coauthVersionMax="28" xr10:uidLastSave="{00000000-0000-0000-0000-000000000000}"/>
  <bookViews>
    <workbookView xWindow="0" yWindow="0" windowWidth="23040" windowHeight="9384" activeTab="1" xr2:uid="{00000000-000D-0000-FFFF-FFFF00000000}"/>
  </bookViews>
  <sheets>
    <sheet name="FRDPARRC" sheetId="4" r:id="rId1"/>
    <sheet name="E - STIFFNESS AND DEFLECTION" sheetId="8" r:id="rId2"/>
    <sheet name="A- ANALYSIS" sheetId="5" r:id="rId3"/>
    <sheet name="B - TOLERANCE EVALUATION" sheetId="6" r:id="rId4"/>
    <sheet name="C - HEIGHT DIFFERENCES" sheetId="10" r:id="rId5"/>
    <sheet name="D - TILT UNDER PAYLOAD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8" l="1"/>
  <c r="P10" i="8"/>
  <c r="O10" i="8"/>
  <c r="N10" i="8"/>
  <c r="H13" i="8"/>
  <c r="K14" i="8"/>
  <c r="B14" i="8"/>
  <c r="E14" i="8"/>
  <c r="F31" i="4" l="1"/>
  <c r="D31" i="4"/>
  <c r="E31" i="4"/>
  <c r="E27" i="4"/>
  <c r="G41" i="5"/>
  <c r="E28" i="4" s="1"/>
  <c r="K35" i="5"/>
  <c r="G35" i="5"/>
  <c r="C35" i="5"/>
  <c r="H24" i="4" l="1"/>
  <c r="H29" i="4"/>
  <c r="C5" i="9" l="1"/>
  <c r="B5" i="9"/>
  <c r="C4" i="9"/>
  <c r="B4" i="9"/>
  <c r="H28" i="4" s="1"/>
  <c r="G32" i="5"/>
  <c r="K8" i="6" l="1"/>
  <c r="K9" i="6"/>
  <c r="H7" i="6"/>
  <c r="H5" i="6"/>
  <c r="H4" i="6"/>
  <c r="H6" i="6"/>
  <c r="K14" i="6"/>
  <c r="K15" i="6" s="1"/>
  <c r="F18" i="4"/>
  <c r="E17" i="4" l="1"/>
  <c r="D18" i="4"/>
  <c r="K7" i="5"/>
  <c r="G7" i="5"/>
  <c r="C7" i="5"/>
  <c r="G4" i="5"/>
  <c r="K4" i="5" s="1"/>
  <c r="K12" i="5" l="1"/>
  <c r="G12" i="5"/>
  <c r="K14" i="5"/>
  <c r="F20" i="4"/>
  <c r="K8" i="5"/>
  <c r="K5" i="5"/>
  <c r="G5" i="5"/>
  <c r="K32" i="5"/>
  <c r="K31" i="5"/>
  <c r="K6" i="5"/>
  <c r="K27" i="5" s="1"/>
  <c r="G11" i="5"/>
  <c r="F17" i="4"/>
  <c r="K11" i="5" s="1"/>
  <c r="G31" i="5"/>
  <c r="E20" i="4"/>
  <c r="E23" i="4" s="1"/>
  <c r="E24" i="4" s="1"/>
  <c r="G14" i="5"/>
  <c r="G8" i="5"/>
  <c r="G6" i="5"/>
  <c r="G27" i="5" s="1"/>
  <c r="C12" i="5"/>
  <c r="C14" i="5"/>
  <c r="D17" i="4"/>
  <c r="C11" i="5" s="1"/>
  <c r="D20" i="4"/>
  <c r="C8" i="5"/>
  <c r="C6" i="5"/>
  <c r="C27" i="5" s="1"/>
  <c r="C5" i="5"/>
  <c r="G15" i="5" l="1"/>
  <c r="G13" i="5"/>
  <c r="G26" i="5" s="1"/>
  <c r="G28" i="5" s="1"/>
  <c r="C13" i="5"/>
  <c r="D23" i="4"/>
  <c r="D24" i="4" s="1"/>
  <c r="K13" i="5"/>
  <c r="F23" i="4"/>
  <c r="F24" i="4" s="1"/>
  <c r="C16" i="5"/>
  <c r="K16" i="5"/>
  <c r="K15" i="5"/>
  <c r="G16" i="5"/>
  <c r="C15" i="5"/>
  <c r="G36" i="5" l="1"/>
  <c r="G34" i="5"/>
  <c r="G38" i="5" s="1"/>
  <c r="C26" i="5"/>
  <c r="C28" i="5" s="1"/>
  <c r="K34" i="5"/>
  <c r="F30" i="4" s="1"/>
  <c r="C34" i="5"/>
  <c r="K26" i="5"/>
  <c r="K28" i="5" s="1"/>
  <c r="K39" i="5" l="1"/>
  <c r="K37" i="5"/>
  <c r="K40" i="5"/>
  <c r="K38" i="5"/>
  <c r="K36" i="5"/>
  <c r="C37" i="5"/>
  <c r="D32" i="4"/>
  <c r="C39" i="5"/>
  <c r="C38" i="5"/>
  <c r="C40" i="5"/>
  <c r="C36" i="5"/>
  <c r="G39" i="5"/>
  <c r="G40" i="5"/>
  <c r="G37" i="5"/>
  <c r="E30" i="4"/>
  <c r="E32" i="4"/>
  <c r="D30" i="4"/>
  <c r="D26" i="4" l="1"/>
  <c r="C42" i="5"/>
  <c r="D29" i="4" s="1"/>
  <c r="E26" i="4"/>
  <c r="G42" i="5"/>
  <c r="E29" i="4" s="1"/>
  <c r="E25" i="4"/>
  <c r="C41" i="5"/>
  <c r="D28" i="4" s="1"/>
  <c r="D25" i="4"/>
  <c r="F32" i="4"/>
  <c r="D27" i="4" l="1"/>
  <c r="K42" i="5"/>
  <c r="F29" i="4" s="1"/>
  <c r="F26" i="4"/>
  <c r="F25" i="4"/>
  <c r="K41" i="5"/>
  <c r="F28" i="4" s="1"/>
  <c r="F27" i="4" l="1"/>
</calcChain>
</file>

<file path=xl/sharedStrings.xml><?xml version="1.0" encoding="utf-8"?>
<sst xmlns="http://schemas.openxmlformats.org/spreadsheetml/2006/main" count="360" uniqueCount="172">
  <si>
    <t>kg/m3</t>
  </si>
  <si>
    <t>mm</t>
  </si>
  <si>
    <t>MPa</t>
  </si>
  <si>
    <t>g</t>
  </si>
  <si>
    <t>Concept 1</t>
  </si>
  <si>
    <t>Target</t>
  </si>
  <si>
    <t>Design Parameters</t>
  </si>
  <si>
    <t>Coupling Diameter [mm]</t>
  </si>
  <si>
    <t>Analysis</t>
  </si>
  <si>
    <t>Predicted</t>
  </si>
  <si>
    <t>Coupling Radius</t>
  </si>
  <si>
    <t>Density</t>
  </si>
  <si>
    <t>Modulus of Elasticity</t>
  </si>
  <si>
    <t>Yield Strength</t>
  </si>
  <si>
    <t>GPa</t>
  </si>
  <si>
    <t>Mass of Plate</t>
  </si>
  <si>
    <t>Total Mass</t>
  </si>
  <si>
    <t>PLATE MATERIAL PROPERTIES</t>
  </si>
  <si>
    <t>CONCEPT 1</t>
  </si>
  <si>
    <t>CONCEPT 2</t>
  </si>
  <si>
    <t>CONCEPT 3</t>
  </si>
  <si>
    <t>Risks</t>
  </si>
  <si>
    <t>CMs</t>
  </si>
  <si>
    <t>Aluminum</t>
  </si>
  <si>
    <t>Poisson's Ratio</t>
  </si>
  <si>
    <t>SUMMARY</t>
  </si>
  <si>
    <t>Delrin</t>
  </si>
  <si>
    <t>mm^4</t>
  </si>
  <si>
    <t>Nominal</t>
  </si>
  <si>
    <t>Plus</t>
  </si>
  <si>
    <t>Minus</t>
  </si>
  <si>
    <t>+/-</t>
  </si>
  <si>
    <t>Dimension</t>
  </si>
  <si>
    <t>Max Deviation</t>
  </si>
  <si>
    <t>Measured</t>
  </si>
  <si>
    <t>References</t>
  </si>
  <si>
    <t>Written by Victor Prost 02/20/18</t>
  </si>
  <si>
    <t>Elastically Averaged Coupling Design</t>
  </si>
  <si>
    <t>Stable mounting plateform for uneven ground</t>
  </si>
  <si>
    <t>-Fundamentals Topic 8 (Structures)
-Fundamentals Topic 9 (Elastically averaged systems)</t>
  </si>
  <si>
    <t>SUPPORT GEOMETRY</t>
  </si>
  <si>
    <t>PLATFORM GEOMETRY</t>
  </si>
  <si>
    <t>Platform Thickness</t>
  </si>
  <si>
    <t>Number of Supports</t>
  </si>
  <si>
    <t>[-]</t>
  </si>
  <si>
    <t>deg</t>
  </si>
  <si>
    <t>Support width, w</t>
  </si>
  <si>
    <t>Support thickness, e</t>
  </si>
  <si>
    <t>Support length, L</t>
  </si>
  <si>
    <t>Support angle, alpha</t>
  </si>
  <si>
    <t>Cross-section Area</t>
  </si>
  <si>
    <t>mm^2</t>
  </si>
  <si>
    <t>Second Area Moment</t>
  </si>
  <si>
    <t xml:space="preserve"> MATERIAL PROPERTIES</t>
  </si>
  <si>
    <t>SYSTEM MASS</t>
  </si>
  <si>
    <t>Mass of Supports</t>
  </si>
  <si>
    <t>LOAD AND DEFLECTION ANALYSIS</t>
  </si>
  <si>
    <t>Single Support Vertical Stiffness</t>
  </si>
  <si>
    <t xml:space="preserve">Max Payload </t>
  </si>
  <si>
    <t>Min Payload</t>
  </si>
  <si>
    <t>N/mm</t>
  </si>
  <si>
    <t>Max Surface height imperfection accounted under Min Payload</t>
  </si>
  <si>
    <t>Platform tilt under max surface imperfection at min Payload</t>
  </si>
  <si>
    <t>Platform Height</t>
  </si>
  <si>
    <t>Vertical Stiffness [N/mm]</t>
  </si>
  <si>
    <t>Number of supports (equally spaced)</t>
  </si>
  <si>
    <t>Plywood</t>
  </si>
  <si>
    <t>FootPrint Diameter [mm]</t>
  </si>
  <si>
    <t>Platform tilt under max surface imperfection at max Payload</t>
  </si>
  <si>
    <t>Deflection is very sensitive to beam thickness</t>
  </si>
  <si>
    <t>Support (beam) width, w [mm]</t>
  </si>
  <si>
    <t>Support (beam) thickness, e [mm]</t>
  </si>
  <si>
    <t>Support (beam) angle, alpha [deg]</t>
  </si>
  <si>
    <t>Support (beam) length, L [mm]</t>
  </si>
  <si>
    <t>Material used</t>
  </si>
  <si>
    <t>Not consistent material properties</t>
  </si>
  <si>
    <t>Small thickness, waterjet taper might be significant</t>
  </si>
  <si>
    <t>Viscous Flow - Creeping over time</t>
  </si>
  <si>
    <t>Max Floor height difference - Min Payload [mm]</t>
  </si>
  <si>
    <t>RED - Calculated</t>
  </si>
  <si>
    <t>BLACK - Inputs</t>
  </si>
  <si>
    <t>&lt;1</t>
  </si>
  <si>
    <t>&gt;2</t>
  </si>
  <si>
    <t>&lt;200</t>
  </si>
  <si>
    <t>&gt;200</t>
  </si>
  <si>
    <t>&lt;2</t>
  </si>
  <si>
    <t>Platform height [mm]</t>
  </si>
  <si>
    <t>&lt;5</t>
  </si>
  <si>
    <t>&gt;2.5</t>
  </si>
  <si>
    <t>Not enough compliance to account for floor height difference between the supports. Too big of a system if we try to get the correct compliance</t>
  </si>
  <si>
    <t xml:space="preserve">All FRs were met. The coupling did not fail during testing. </t>
  </si>
  <si>
    <t xml:space="preserve">Concept 3 </t>
  </si>
  <si>
    <t>Concept 2 (SELECTED)</t>
  </si>
  <si>
    <t>Platform Diameter</t>
  </si>
  <si>
    <t>Support Length [mm]</t>
  </si>
  <si>
    <t>Support Width [mm]</t>
  </si>
  <si>
    <t>Support Thickness [mm]</t>
  </si>
  <si>
    <t>Support angle [deg]</t>
  </si>
  <si>
    <t>Max floor misalignment Calculation</t>
  </si>
  <si>
    <t>Should work, with sufficient safety factor for load capacity. By using aluminum we get the correct stiffness and alignment capabilities. Available stock</t>
  </si>
  <si>
    <t>Better design than aliminum especially for the lower sensitivity on the thickness of the support beams, and higher safety factor but stock not available readily.</t>
  </si>
  <si>
    <t>NA - but no visible plastic deformation</t>
  </si>
  <si>
    <t>LOAD- DISPLACEMENT // STIFFNESS MEASUREMENT</t>
  </si>
  <si>
    <t>4.8 mm obstacle</t>
  </si>
  <si>
    <t>2 mm obstacle</t>
  </si>
  <si>
    <t>- Account for uneven ground (Max floor height difference in table below)</t>
  </si>
  <si>
    <t>- Minimize tilt of the platform when placed on uneven ground (platform tilt in table below)</t>
  </si>
  <si>
    <t>- Stiffness requirement such that the platform does not deflect too far under payloads ( see Vertical Stiffness and deflection under payload in the table below)</t>
  </si>
  <si>
    <t>- Foot print diameter has to remain small but we want to maximize the stability zone (area for wich the load won't cause tipping of the platform)</t>
  </si>
  <si>
    <t>Max Surface height imperfection accounted under Min Payload (3 supports scenario)</t>
  </si>
  <si>
    <t>Max Surface height imperfection accounted under Max Payload (3 supports scenario)</t>
  </si>
  <si>
    <t>Max Surface height imperfection accounted under Min Payload (N-1 supports scenario)</t>
  </si>
  <si>
    <t>Max Surface height imperfection accounted under Max Payload (N-1 supports scenario)</t>
  </si>
  <si>
    <t>Max Stress in all supports loaded with Max Payload</t>
  </si>
  <si>
    <t>Load (g) ± 10</t>
  </si>
  <si>
    <t>Load (kg) ± 0.010</t>
  </si>
  <si>
    <t>REQUIRED PAYLOAD FOR A GIVEN FLOOR CHANGE</t>
  </si>
  <si>
    <t>Floor change (mm) ± 0.05</t>
  </si>
  <si>
    <t>Platform Z height with one support on a 2 mm step</t>
  </si>
  <si>
    <t>+0.035"</t>
  </si>
  <si>
    <t>Platform Z height with one support on a 2 mm step with min Payload</t>
  </si>
  <si>
    <t>Platform Z height on flat ground with min Payload</t>
  </si>
  <si>
    <t>-0.024"</t>
  </si>
  <si>
    <t>PLATFORM HEIGHT CHANGE ON UNEVEN GROUND</t>
  </si>
  <si>
    <t>+0.89 mm</t>
  </si>
  <si>
    <t>-0.61mm</t>
  </si>
  <si>
    <t>Max Z height change on uneven ground with min Payload</t>
  </si>
  <si>
    <t>PLATFORM TILT  MEASUREMENT</t>
  </si>
  <si>
    <t>Tilt with no payload (deg)</t>
  </si>
  <si>
    <t>Tilt with min Payload for full contact (deg)</t>
  </si>
  <si>
    <t>Obstacle size (mm)</t>
  </si>
  <si>
    <t xml:space="preserve">Flat condition </t>
  </si>
  <si>
    <t>Laser height (mm)</t>
  </si>
  <si>
    <t>2 mm obstacle with payload</t>
  </si>
  <si>
    <t>4.8 mm obstacle with payload</t>
  </si>
  <si>
    <t>Platform tilt at max floor difference accounted for under max payload[deg]</t>
  </si>
  <si>
    <t>Platform tilt at max floor difference accounted for under min payload[deg]</t>
  </si>
  <si>
    <t>max Z-height change (varying terrain height) with min payload [mm]</t>
  </si>
  <si>
    <t>Max Floor height difference accounted for under  Max Payload [mm]</t>
  </si>
  <si>
    <t>Displacement (") ± 0.0005</t>
  </si>
  <si>
    <t>FOR EXPERIMENTS RESULTS SEE SHEET C,D,E</t>
  </si>
  <si>
    <t>Maintain tight machining tolerance for supports, and perform sensitivity analysis.</t>
  </si>
  <si>
    <t>Measurement sheet distance away from laser (mm)</t>
  </si>
  <si>
    <t>± 0.3</t>
  </si>
  <si>
    <t>STEPS:</t>
  </si>
  <si>
    <t>1. Place one of the platform's support on a step</t>
  </si>
  <si>
    <t>2. Load the platform until all the support contact the ground</t>
  </si>
  <si>
    <t>3. Start step 1 again</t>
  </si>
  <si>
    <t>FRDPAARC notes</t>
  </si>
  <si>
    <t>Functional Requirements (see FRDPARRC picture below table):</t>
  </si>
  <si>
    <t>Max Floor height difference accounted for under Min Payload [mm] - SEE SCHEMATIC UNDER TABLE</t>
  </si>
  <si>
    <t>Stability Zone [cm^2] - SEE SCHEMATIC UNDER TABLE</t>
  </si>
  <si>
    <t>SCHEMATIC FLOOR HEIGHT DIFFERENCE ACCOUNTABLE UNDER PAYLOAD</t>
  </si>
  <si>
    <t>Maximum height delta of an obstacle on which one of the support can stand on for which all of the support will contact the ground under the minimum payload</t>
  </si>
  <si>
    <t>SCHEMATIC FOOT PRINT DIAMETER AND STABILITY ZONE</t>
  </si>
  <si>
    <t>Minimum Safety Factor - Max Payload on three supports[-]</t>
  </si>
  <si>
    <t>Max Stress in three supports loaded with Max Payload</t>
  </si>
  <si>
    <t>- Support won't fail when the platform is loaded with max payload (only three supports are helding the platform), worst case scenario ( Safety factor in the table below)</t>
  </si>
  <si>
    <t>-0.011"</t>
  </si>
  <si>
    <t>-0.28mm</t>
  </si>
  <si>
    <t>0.33 mm</t>
  </si>
  <si>
    <t>Deflection under target of max payload [mm]</t>
  </si>
  <si>
    <t>Wood</t>
  </si>
  <si>
    <t>STEEL</t>
  </si>
  <si>
    <t>ALUMINUM</t>
  </si>
  <si>
    <t>Measurement uncertainty [N/mm]</t>
  </si>
  <si>
    <t>DELRIN</t>
  </si>
  <si>
    <t>WOOD</t>
  </si>
  <si>
    <t>Coefficient of friction [-]</t>
  </si>
  <si>
    <t>Table Material</t>
  </si>
  <si>
    <t>Steel</t>
  </si>
  <si>
    <t>SUMMARY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</si>
</sst>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sz val="9"/>
      <color rgb="FFFF0000"/>
      <name val="Arial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1"/>
      <name val="Arial"/>
      <family val="2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0" fontId="2" fillId="2" borderId="2" xfId="0" applyFont="1" applyFill="1" applyBorder="1"/>
    <xf numFmtId="0" fontId="1" fillId="2" borderId="3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10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9" xfId="0" applyFont="1" applyBorder="1"/>
    <xf numFmtId="0" fontId="6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9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4" xfId="0" applyFont="1" applyBorder="1" applyAlignment="1">
      <alignment horizontal="center" vertical="center" textRotation="90"/>
    </xf>
    <xf numFmtId="0" fontId="6" fillId="0" borderId="14" xfId="0" applyFont="1" applyBorder="1"/>
    <xf numFmtId="0" fontId="6" fillId="0" borderId="0" xfId="0" applyFont="1" applyBorder="1" applyAlignment="1">
      <alignment vertical="center" wrapText="1"/>
    </xf>
    <xf numFmtId="0" fontId="6" fillId="0" borderId="12" xfId="0" applyFont="1" applyBorder="1"/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1" fillId="0" borderId="0" xfId="0" applyFont="1" applyFill="1" applyBorder="1"/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1" fillId="0" borderId="0" xfId="0" applyFont="1" applyBorder="1"/>
    <xf numFmtId="15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" fillId="0" borderId="0" xfId="0" quotePrefix="1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horizontal="right" wrapText="1"/>
    </xf>
    <xf numFmtId="2" fontId="1" fillId="0" borderId="0" xfId="0" applyNumberFormat="1" applyFont="1" applyAlignment="1">
      <alignment horizontal="right"/>
    </xf>
    <xf numFmtId="0" fontId="6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1" xfId="0" applyFont="1" applyBorder="1" applyAlignment="1">
      <alignment horizontal="center" textRotation="90" wrapText="1"/>
    </xf>
    <xf numFmtId="0" fontId="6" fillId="0" borderId="0" xfId="0" applyFont="1" applyBorder="1" applyAlignment="1">
      <alignment wrapText="1"/>
    </xf>
    <xf numFmtId="0" fontId="6" fillId="0" borderId="12" xfId="0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5" fontId="12" fillId="0" borderId="13" xfId="0" applyNumberFormat="1" applyFont="1" applyBorder="1" applyAlignment="1">
      <alignment horizontal="center"/>
    </xf>
    <xf numFmtId="0" fontId="13" fillId="0" borderId="0" xfId="0" applyFont="1" applyBorder="1"/>
    <xf numFmtId="1" fontId="12" fillId="5" borderId="12" xfId="0" applyNumberFormat="1" applyFont="1" applyFill="1" applyBorder="1" applyAlignment="1">
      <alignment horizontal="center"/>
    </xf>
    <xf numFmtId="2" fontId="12" fillId="0" borderId="13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/>
    <xf numFmtId="0" fontId="6" fillId="2" borderId="1" xfId="0" applyFont="1" applyFill="1" applyBorder="1"/>
    <xf numFmtId="2" fontId="12" fillId="4" borderId="13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9" fillId="0" borderId="0" xfId="0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1" fillId="0" borderId="0" xfId="0" applyFont="1" applyBorder="1"/>
    <xf numFmtId="165" fontId="1" fillId="0" borderId="0" xfId="0" applyNumberFormat="1" applyFont="1" applyBorder="1"/>
    <xf numFmtId="165" fontId="1" fillId="0" borderId="0" xfId="0" applyNumberFormat="1" applyFont="1" applyFill="1" applyBorder="1"/>
    <xf numFmtId="11" fontId="1" fillId="0" borderId="0" xfId="0" applyNumberFormat="1" applyFont="1" applyFill="1" applyBorder="1"/>
    <xf numFmtId="1" fontId="1" fillId="0" borderId="0" xfId="0" applyNumberFormat="1" applyFont="1" applyBorder="1"/>
    <xf numFmtId="0" fontId="1" fillId="0" borderId="7" xfId="0" applyFont="1" applyBorder="1" applyAlignment="1">
      <alignment wrapText="1"/>
    </xf>
    <xf numFmtId="2" fontId="1" fillId="0" borderId="8" xfId="0" applyNumberFormat="1" applyFont="1" applyBorder="1" applyAlignment="1">
      <alignment horizontal="right" wrapText="1"/>
    </xf>
    <xf numFmtId="2" fontId="1" fillId="0" borderId="15" xfId="0" applyNumberFormat="1" applyFont="1" applyBorder="1"/>
    <xf numFmtId="1" fontId="1" fillId="0" borderId="15" xfId="0" applyNumberFormat="1" applyFont="1" applyBorder="1"/>
    <xf numFmtId="0" fontId="1" fillId="0" borderId="6" xfId="0" quotePrefix="1" applyFont="1" applyBorder="1"/>
    <xf numFmtId="0" fontId="1" fillId="0" borderId="8" xfId="0" applyFont="1" applyBorder="1"/>
    <xf numFmtId="2" fontId="4" fillId="0" borderId="0" xfId="0" applyNumberFormat="1" applyFont="1" applyBorder="1"/>
    <xf numFmtId="165" fontId="3" fillId="0" borderId="0" xfId="0" applyNumberFormat="1" applyFont="1" applyBorder="1"/>
    <xf numFmtId="2" fontId="5" fillId="0" borderId="9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quotePrefix="1" applyFont="1" applyFill="1" applyBorder="1" applyAlignment="1"/>
    <xf numFmtId="0" fontId="1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2" fillId="3" borderId="2" xfId="0" applyFont="1" applyFill="1" applyBorder="1"/>
    <xf numFmtId="0" fontId="0" fillId="3" borderId="3" xfId="0" applyFill="1" applyBorder="1"/>
    <xf numFmtId="0" fontId="14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2" fontId="6" fillId="0" borderId="1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2" fontId="6" fillId="6" borderId="11" xfId="0" applyNumberFormat="1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wrapText="1"/>
    </xf>
    <xf numFmtId="1" fontId="12" fillId="6" borderId="12" xfId="0" applyNumberFormat="1" applyFont="1" applyFill="1" applyBorder="1" applyAlignment="1">
      <alignment horizontal="center"/>
    </xf>
    <xf numFmtId="1" fontId="12" fillId="6" borderId="13" xfId="0" applyNumberFormat="1" applyFont="1" applyFill="1" applyBorder="1" applyAlignment="1">
      <alignment horizontal="center" vertical="center"/>
    </xf>
    <xf numFmtId="2" fontId="12" fillId="6" borderId="13" xfId="0" applyNumberFormat="1" applyFont="1" applyFill="1" applyBorder="1" applyAlignment="1">
      <alignment horizontal="center" vertical="center"/>
    </xf>
    <xf numFmtId="165" fontId="12" fillId="6" borderId="13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2" fontId="1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7" xfId="0" quotePrefix="1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5" xfId="0" quotePrefix="1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6" fillId="0" borderId="14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textRotation="90"/>
    </xf>
    <xf numFmtId="0" fontId="6" fillId="0" borderId="13" xfId="0" applyFont="1" applyBorder="1" applyAlignment="1">
      <alignment horizontal="center" textRotation="90"/>
    </xf>
    <xf numFmtId="0" fontId="6" fillId="0" borderId="12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Displacement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77269607988757E-2"/>
          <c:y val="0.13964472942208483"/>
          <c:w val="0.83988550595755063"/>
          <c:h val="0.69938769258617206"/>
        </c:manualLayout>
      </c:layout>
      <c:scatterChart>
        <c:scatterStyle val="lineMarker"/>
        <c:varyColors val="0"/>
        <c:ser>
          <c:idx val="0"/>
          <c:order val="0"/>
          <c:tx>
            <c:v>STEEL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71337945343956E-2"/>
                  <c:y val="0.36325988266265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 - STIFFNESS AND DEFLECTION'!$B$5:$B$12</c:f>
              <c:numCache>
                <c:formatCode>0.0000</c:formatCode>
                <c:ptCount val="8"/>
                <c:pt idx="0" formatCode="General">
                  <c:v>0</c:v>
                </c:pt>
                <c:pt idx="1">
                  <c:v>3.5000000000000001E-3</c:v>
                </c:pt>
                <c:pt idx="2">
                  <c:v>8.0000000000000002E-3</c:v>
                </c:pt>
                <c:pt idx="3">
                  <c:v>1.7500000000000002E-2</c:v>
                </c:pt>
                <c:pt idx="4">
                  <c:v>2.7E-2</c:v>
                </c:pt>
                <c:pt idx="5">
                  <c:v>3.7499999999999999E-2</c:v>
                </c:pt>
                <c:pt idx="6" formatCode="General">
                  <c:v>4.4999999999999998E-2</c:v>
                </c:pt>
                <c:pt idx="7">
                  <c:v>5.1499999999999997E-2</c:v>
                </c:pt>
              </c:numCache>
            </c:numRef>
          </c:xVal>
          <c:yVal>
            <c:numRef>
              <c:f>'E - STIFFNESS AND DEFLECTION'!$A$5:$A$12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8-48BD-A36B-A95BB97B9A71}"/>
            </c:ext>
          </c:extLst>
        </c:ser>
        <c:ser>
          <c:idx val="1"/>
          <c:order val="1"/>
          <c:tx>
            <c:v>ALUMINUM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437683860302954E-3"/>
                  <c:y val="0.42809899088389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 - STIFFNESS AND DEFLECTION'!$E$5:$E$12</c:f>
              <c:numCache>
                <c:formatCode>0.0000</c:formatCode>
                <c:ptCount val="8"/>
                <c:pt idx="0" formatCode="General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2.6499999999999999E-2</c:v>
                </c:pt>
                <c:pt idx="5">
                  <c:v>3.5999999999999997E-2</c:v>
                </c:pt>
                <c:pt idx="6" formatCode="General">
                  <c:v>4.5999999999999999E-2</c:v>
                </c:pt>
                <c:pt idx="7">
                  <c:v>5.3999999999999999E-2</c:v>
                </c:pt>
              </c:numCache>
            </c:numRef>
          </c:xVal>
          <c:yVal>
            <c:numRef>
              <c:f>'E - STIFFNESS AND DEFLECTION'!$D$5:$D$12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5DD-BB3B-27E15BB0BB72}"/>
            </c:ext>
          </c:extLst>
        </c:ser>
        <c:ser>
          <c:idx val="2"/>
          <c:order val="2"/>
          <c:tx>
            <c:v>DELRIN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274381388454002E-2"/>
                  <c:y val="0.43630696285685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 - STIFFNESS AND DEFLECTION'!$H$5:$H$11</c:f>
              <c:numCache>
                <c:formatCode>0.0000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1.9E-2</c:v>
                </c:pt>
                <c:pt idx="3">
                  <c:v>2.8000000000000001E-2</c:v>
                </c:pt>
                <c:pt idx="4">
                  <c:v>3.9E-2</c:v>
                </c:pt>
                <c:pt idx="5">
                  <c:v>4.9500000000000002E-2</c:v>
                </c:pt>
                <c:pt idx="6">
                  <c:v>5.8999999999999997E-2</c:v>
                </c:pt>
              </c:numCache>
            </c:numRef>
          </c:xVal>
          <c:yVal>
            <c:numRef>
              <c:f>'E - STIFFNESS AND DEFLECTION'!$G$5:$G$11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4-45DD-BB3B-27E15BB0BB72}"/>
            </c:ext>
          </c:extLst>
        </c:ser>
        <c:ser>
          <c:idx val="3"/>
          <c:order val="3"/>
          <c:tx>
            <c:v>WOOD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028113475997618E-2"/>
                  <c:y val="0.4880397556447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 - STIFFNESS AND DEFLECTION'!$K$5:$K$12</c:f>
              <c:numCache>
                <c:formatCode>0.0000</c:formatCode>
                <c:ptCount val="8"/>
                <c:pt idx="0">
                  <c:v>0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1.7000000000000001E-2</c:v>
                </c:pt>
                <c:pt idx="4">
                  <c:v>2.9000000000000001E-2</c:v>
                </c:pt>
                <c:pt idx="5">
                  <c:v>3.85E-2</c:v>
                </c:pt>
                <c:pt idx="6">
                  <c:v>4.3999999999999997E-2</c:v>
                </c:pt>
                <c:pt idx="7">
                  <c:v>5.5E-2</c:v>
                </c:pt>
              </c:numCache>
            </c:numRef>
          </c:xVal>
          <c:yVal>
            <c:numRef>
              <c:f>'E - STIFFNESS AND DEFLECTION'!$J$5:$J$12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4-45DD-BB3B-27E15BB0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24408"/>
        <c:axId val="605824736"/>
      </c:scatterChart>
      <c:valAx>
        <c:axId val="60582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24736"/>
        <c:crosses val="autoZero"/>
        <c:crossBetween val="midCat"/>
      </c:valAx>
      <c:valAx>
        <c:axId val="6058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(gram)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2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4038177644634295"/>
          <c:y val="0.37636113860178921"/>
          <c:w val="0.20874101566086725"/>
          <c:h val="0.39724302066622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chart" Target="../charts/chart1.xml"/><Relationship Id="rId1" Type="http://schemas.openxmlformats.org/officeDocument/2006/relationships/image" Target="../media/image5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475131</xdr:colOff>
      <xdr:row>0</xdr:row>
      <xdr:rowOff>210669</xdr:rowOff>
    </xdr:from>
    <xdr:to>
      <xdr:col>13</xdr:col>
      <xdr:colOff>376518</xdr:colOff>
      <xdr:row>21</xdr:row>
      <xdr:rowOff>22409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D6F1DA-0117-4EAA-BD07-810966CFE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4755" y="210669"/>
          <a:ext cx="3128681" cy="31286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31063</xdr:rowOff>
    </xdr:from>
    <xdr:to>
      <xdr:col>5</xdr:col>
      <xdr:colOff>44825</xdr:colOff>
      <xdr:row>83</xdr:row>
      <xdr:rowOff>58271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D6C4A0-72C1-41D6-B484-9EB3DB6EB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01004"/>
          <a:ext cx="7198660" cy="6194926"/>
        </a:xfrm>
        <a:prstGeom prst="rect">
          <a:avLst/>
        </a:prstGeom>
      </xdr:spPr>
    </xdr:pic>
    <xdr:clientData/>
  </xdr:twoCellAnchor>
  <xdr:twoCellAnchor editAs="oneCell">
    <xdr:from>
      <xdr:col>5</xdr:col>
      <xdr:colOff>596151</xdr:colOff>
      <xdr:row>40</xdr:row>
      <xdr:rowOff>62753</xdr:rowOff>
    </xdr:from>
    <xdr:to>
      <xdr:col>8</xdr:col>
      <xdr:colOff>146682</xdr:colOff>
      <xdr:row>60</xdr:row>
      <xdr:rowOff>94129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91D247-D9A1-4E92-B647-688F83B9A8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729" t="20925" r="-1" b="51103"/>
        <a:stretch/>
      </xdr:blipFill>
      <xdr:spPr>
        <a:xfrm>
          <a:off x="7749986" y="8659906"/>
          <a:ext cx="4176320" cy="2900082"/>
        </a:xfrm>
        <a:prstGeom prst="rect">
          <a:avLst/>
        </a:prstGeom>
      </xdr:spPr>
    </xdr:pic>
    <xdr:clientData/>
  </xdr:twoCellAnchor>
  <xdr:twoCellAnchor>
    <xdr:from>
      <xdr:col>6</xdr:col>
      <xdr:colOff>560294</xdr:colOff>
      <xdr:row>44</xdr:row>
      <xdr:rowOff>13447</xdr:rowOff>
    </xdr:from>
    <xdr:to>
      <xdr:col>6</xdr:col>
      <xdr:colOff>694764</xdr:colOff>
      <xdr:row>49</xdr:row>
      <xdr:rowOff>89647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BE9E450A-E482-492C-86B6-A16CBFBBACA9}"/>
            </a:ext>
          </a:extLst>
        </xdr:cNvPr>
        <xdr:cNvSpPr/>
      </xdr:nvSpPr>
      <xdr:spPr>
        <a:xfrm>
          <a:off x="9560859" y="9188823"/>
          <a:ext cx="134470" cy="793377"/>
        </a:xfrm>
        <a:prstGeom prst="down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430305</xdr:colOff>
      <xdr:row>46</xdr:row>
      <xdr:rowOff>22413</xdr:rowOff>
    </xdr:from>
    <xdr:to>
      <xdr:col>7</xdr:col>
      <xdr:colOff>495681</xdr:colOff>
      <xdr:row>48</xdr:row>
      <xdr:rowOff>31378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D12CE3-93D6-41E5-959F-964B1DB60F2B}"/>
            </a:ext>
          </a:extLst>
        </xdr:cNvPr>
        <xdr:cNvSpPr txBox="1"/>
      </xdr:nvSpPr>
      <xdr:spPr>
        <a:xfrm>
          <a:off x="9430870" y="9484660"/>
          <a:ext cx="1392152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200" b="1">
              <a:solidFill>
                <a:schemeClr val="bg1"/>
              </a:solidFill>
              <a:effectLst>
                <a:outerShdw blurRad="50800" dist="50800" dir="5400000" sx="97000" sy="97000" algn="ctr" rotWithShape="0">
                  <a:srgbClr val="000000"/>
                </a:outerShdw>
              </a:effectLst>
            </a:rPr>
            <a:t>PAYLOAD</a:t>
          </a:r>
        </a:p>
      </xdr:txBody>
    </xdr:sp>
    <xdr:clientData/>
  </xdr:twoCellAnchor>
  <xdr:twoCellAnchor editAs="oneCell">
    <xdr:from>
      <xdr:col>9</xdr:col>
      <xdr:colOff>233083</xdr:colOff>
      <xdr:row>40</xdr:row>
      <xdr:rowOff>52720</xdr:rowOff>
    </xdr:from>
    <xdr:to>
      <xdr:col>17</xdr:col>
      <xdr:colOff>345140</xdr:colOff>
      <xdr:row>62</xdr:row>
      <xdr:rowOff>85133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ABF6C63-5E51-4F34-B40D-D07E12D88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8165" y="8654355"/>
          <a:ext cx="5275728" cy="3187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190195</xdr:colOff>
      <xdr:row>15</xdr:row>
      <xdr:rowOff>158085</xdr:rowOff>
    </xdr:from>
    <xdr:to>
      <xdr:col>1</xdr:col>
      <xdr:colOff>1439060</xdr:colOff>
      <xdr:row>28</xdr:row>
      <xdr:rowOff>133661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EDAF893-F80D-4244-865B-6B7C270449B9}"/>
            </a:ext>
          </a:extLst>
        </xdr:cNvPr>
        <xdr:cNvGrpSpPr/>
      </xdr:nvGrpSpPr>
      <xdr:grpSpPr>
        <a:xfrm>
          <a:off x="190195" y="2933942"/>
          <a:ext cx="3279051" cy="2381319"/>
          <a:chOff x="4754880" y="179070"/>
          <a:chExt cx="5120640" cy="384048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FCF519C-25C7-4A9F-802A-112769BB6A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54880" y="179070"/>
            <a:ext cx="5120640" cy="384048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FDF7F0B-FFF7-4080-BA9D-8D7BBB23828A}"/>
              </a:ext>
            </a:extLst>
          </xdr:cNvPr>
          <xdr:cNvSpPr txBox="1"/>
        </xdr:nvSpPr>
        <xdr:spPr>
          <a:xfrm>
            <a:off x="7462572" y="730484"/>
            <a:ext cx="2233452" cy="10822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Elastically</a:t>
            </a:r>
            <a:r>
              <a:rPr lang="en-US" sz="1200" b="1" baseline="0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 Averaged Platform</a:t>
            </a:r>
            <a:endParaRPr lang="en-US" sz="1200" b="1">
              <a:solidFill>
                <a:schemeClr val="bg1"/>
              </a:solidFill>
              <a:effectLst>
                <a:outerShdw blurRad="50800" dist="50800" dir="5400000" sx="97000" sy="97000" algn="ctr" rotWithShape="0">
                  <a:srgbClr val="000000"/>
                </a:outerShdw>
              </a:effectLst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BE4E2F1-B4A3-4B71-B40E-5FBF2ADA883E}"/>
              </a:ext>
            </a:extLst>
          </xdr:cNvPr>
          <xdr:cNvSpPr txBox="1"/>
        </xdr:nvSpPr>
        <xdr:spPr>
          <a:xfrm>
            <a:off x="7227571" y="2716509"/>
            <a:ext cx="1409701" cy="703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Spring Scale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EF524B1-09FC-4CA9-A804-122A5557B092}"/>
              </a:ext>
            </a:extLst>
          </xdr:cNvPr>
          <xdr:cNvSpPr txBox="1"/>
        </xdr:nvSpPr>
        <xdr:spPr>
          <a:xfrm>
            <a:off x="5274511" y="817025"/>
            <a:ext cx="1956871" cy="56765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Dial Indicator</a:t>
            </a:r>
          </a:p>
        </xdr:txBody>
      </xdr:sp>
      <xdr:sp macro="" textlink="">
        <xdr:nvSpPr>
          <xdr:cNvPr id="7" name="Arrow: Down 6">
            <a:extLst>
              <a:ext uri="{FF2B5EF4-FFF2-40B4-BE49-F238E27FC236}">
                <a16:creationId xmlns:a16="http://schemas.microsoft.com/office/drawing/2014/main" id="{1CD17F4A-978B-414B-A5B1-B041699616B9}"/>
              </a:ext>
            </a:extLst>
          </xdr:cNvPr>
          <xdr:cNvSpPr/>
        </xdr:nvSpPr>
        <xdr:spPr>
          <a:xfrm>
            <a:off x="7517129" y="1963541"/>
            <a:ext cx="163830" cy="660578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  <a:effectLst>
            <a:outerShdw blurRad="228600" dist="63500" dir="5400000" sx="98000" sy="98000" algn="t" rotWithShape="0">
              <a:prstClr val="black"/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AF6BACA7-5737-4E40-887D-6AFAB731319D}"/>
              </a:ext>
            </a:extLst>
          </xdr:cNvPr>
          <xdr:cNvSpPr txBox="1"/>
        </xdr:nvSpPr>
        <xdr:spPr>
          <a:xfrm>
            <a:off x="7474469" y="730484"/>
            <a:ext cx="2233452" cy="10822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Elastically</a:t>
            </a:r>
            <a:r>
              <a:rPr lang="en-US" sz="1200" b="1" baseline="0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 Averaged Platform</a:t>
            </a:r>
            <a:endParaRPr lang="en-US" sz="1200" b="1">
              <a:solidFill>
                <a:schemeClr val="bg1"/>
              </a:solidFill>
              <a:effectLst>
                <a:outerShdw blurRad="50800" dist="50800" dir="5400000" sx="97000" sy="97000" algn="ctr" rotWithShape="0">
                  <a:srgbClr val="000000"/>
                </a:outerShdw>
              </a:effectLst>
            </a:endParaRP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720EDE97-9D72-4732-A860-AC1BC8663AFB}"/>
              </a:ext>
            </a:extLst>
          </xdr:cNvPr>
          <xdr:cNvSpPr txBox="1"/>
        </xdr:nvSpPr>
        <xdr:spPr>
          <a:xfrm>
            <a:off x="7239468" y="2716507"/>
            <a:ext cx="1409700" cy="8921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Spring Scale</a:t>
            </a:r>
          </a:p>
        </xdr:txBody>
      </xdr:sp>
    </xdr:grpSp>
    <xdr:clientData/>
  </xdr:twoCellAnchor>
  <xdr:twoCellAnchor>
    <xdr:from>
      <xdr:col>1</xdr:col>
      <xdr:colOff>972991</xdr:colOff>
      <xdr:row>31</xdr:row>
      <xdr:rowOff>166005</xdr:rowOff>
    </xdr:from>
    <xdr:to>
      <xdr:col>6</xdr:col>
      <xdr:colOff>1765407</xdr:colOff>
      <xdr:row>55</xdr:row>
      <xdr:rowOff>40661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6B1023-DEB1-4E14-958B-9525C9FA6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620725</xdr:colOff>
      <xdr:row>15</xdr:row>
      <xdr:rowOff>121924</xdr:rowOff>
    </xdr:from>
    <xdr:to>
      <xdr:col>4</xdr:col>
      <xdr:colOff>1208463</xdr:colOff>
      <xdr:row>29</xdr:row>
      <xdr:rowOff>15243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CBEE722A-A6EC-4944-9057-9765DA74E4B8}"/>
            </a:ext>
          </a:extLst>
        </xdr:cNvPr>
        <xdr:cNvGrpSpPr/>
      </xdr:nvGrpSpPr>
      <xdr:grpSpPr>
        <a:xfrm>
          <a:off x="4594011" y="2897781"/>
          <a:ext cx="2688681" cy="2484119"/>
          <a:chOff x="4590745" y="2865124"/>
          <a:chExt cx="2687048" cy="2453639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C791895F-632B-40E4-89FB-0F69327475E5}"/>
              </a:ext>
            </a:extLst>
          </xdr:cNvPr>
          <xdr:cNvGrpSpPr/>
        </xdr:nvGrpSpPr>
        <xdr:grpSpPr>
          <a:xfrm>
            <a:off x="4590745" y="2865124"/>
            <a:ext cx="2687048" cy="2453639"/>
            <a:chOff x="4621225" y="2834644"/>
            <a:chExt cx="2687048" cy="2453639"/>
          </a:xfrm>
        </xdr:grpSpPr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782D0E54-9398-4033-AE20-5CB6F74FB42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9091" t="135" r="19205" b="-135"/>
            <a:stretch/>
          </xdr:blipFill>
          <xdr:spPr>
            <a:xfrm rot="5400000">
              <a:off x="4638538" y="2943093"/>
              <a:ext cx="2453639" cy="2236742"/>
            </a:xfrm>
            <a:prstGeom prst="rect">
              <a:avLst/>
            </a:prstGeom>
          </xdr:spPr>
        </xdr:pic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51E3B39-C7AD-4844-B562-D5C38FA4BD49}"/>
                </a:ext>
              </a:extLst>
            </xdr:cNvPr>
            <xdr:cNvSpPr txBox="1"/>
          </xdr:nvSpPr>
          <xdr:spPr>
            <a:xfrm>
              <a:off x="4621225" y="3259108"/>
              <a:ext cx="1253309" cy="464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bg1"/>
                  </a:solidFill>
                  <a:effectLst>
                    <a:outerShdw blurRad="50800" dist="50800" dir="5400000" sx="97000" sy="97000" algn="ctr" rotWithShape="0">
                      <a:srgbClr val="000000"/>
                    </a:outerShdw>
                  </a:effectLst>
                </a:rPr>
                <a:t>Dial Indicator</a:t>
              </a:r>
            </a:p>
          </xdr:txBody>
        </xdr:sp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1D87A53-99E3-48CD-8964-09328A4E5FCC}"/>
                </a:ext>
              </a:extLst>
            </xdr:cNvPr>
            <xdr:cNvSpPr txBox="1"/>
          </xdr:nvSpPr>
          <xdr:spPr>
            <a:xfrm>
              <a:off x="5877823" y="3065115"/>
              <a:ext cx="1430450" cy="885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bg1"/>
                  </a:solidFill>
                  <a:effectLst>
                    <a:outerShdw blurRad="50800" dist="50800" dir="5400000" sx="97000" sy="97000" algn="ctr" rotWithShape="0">
                      <a:srgbClr val="000000"/>
                    </a:outerShdw>
                  </a:effectLst>
                </a:rPr>
                <a:t>Elastically</a:t>
              </a:r>
              <a:r>
                <a:rPr lang="en-US" sz="1200" b="1" baseline="0">
                  <a:solidFill>
                    <a:schemeClr val="bg1"/>
                  </a:solidFill>
                  <a:effectLst>
                    <a:outerShdw blurRad="50800" dist="50800" dir="5400000" sx="97000" sy="97000" algn="ctr" rotWithShape="0">
                      <a:srgbClr val="000000"/>
                    </a:outerShdw>
                  </a:effectLst>
                </a:rPr>
                <a:t> Averaged Platform</a:t>
              </a:r>
              <a:endPara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endParaRPr>
            </a:p>
          </xdr:txBody>
        </xdr:sp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48B2583-76AB-4BC0-847F-F37E51434638}"/>
                </a:ext>
              </a:extLst>
            </xdr:cNvPr>
            <xdr:cNvSpPr txBox="1"/>
          </xdr:nvSpPr>
          <xdr:spPr>
            <a:xfrm>
              <a:off x="5712073" y="4281929"/>
              <a:ext cx="902865" cy="575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>
                  <a:solidFill>
                    <a:schemeClr val="bg1"/>
                  </a:solidFill>
                  <a:effectLst>
                    <a:outerShdw blurRad="50800" dist="50800" dir="5400000" sx="97000" sy="97000" algn="ctr" rotWithShape="0">
                      <a:srgbClr val="000000"/>
                    </a:outerShdw>
                  </a:effectLst>
                </a:rPr>
                <a:t>Spring Scale</a:t>
              </a:r>
            </a:p>
          </xdr:txBody>
        </xdr:sp>
      </xdr:grpSp>
      <xdr:sp macro="" textlink="">
        <xdr:nvSpPr>
          <xdr:cNvPr id="24" name="Arrow: Down 23">
            <a:extLst>
              <a:ext uri="{FF2B5EF4-FFF2-40B4-BE49-F238E27FC236}">
                <a16:creationId xmlns:a16="http://schemas.microsoft.com/office/drawing/2014/main" id="{9B94DF90-B37F-442B-B5A5-70D9062DD474}"/>
              </a:ext>
            </a:extLst>
          </xdr:cNvPr>
          <xdr:cNvSpPr/>
        </xdr:nvSpPr>
        <xdr:spPr>
          <a:xfrm>
            <a:off x="5867095" y="3990945"/>
            <a:ext cx="104928" cy="404728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  <a:effectLst>
            <a:outerShdw blurRad="228600" dist="63500" dir="5400000" sx="98000" sy="98000" algn="t" rotWithShape="0">
              <a:prstClr val="black"/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557044</xdr:colOff>
      <xdr:row>15</xdr:row>
      <xdr:rowOff>106563</xdr:rowOff>
    </xdr:from>
    <xdr:to>
      <xdr:col>7</xdr:col>
      <xdr:colOff>1228602</xdr:colOff>
      <xdr:row>29</xdr:row>
      <xdr:rowOff>57153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F5044B02-358E-4315-B257-B0AC6A62AFDD}"/>
            </a:ext>
          </a:extLst>
        </xdr:cNvPr>
        <xdr:cNvGrpSpPr/>
      </xdr:nvGrpSpPr>
      <xdr:grpSpPr>
        <a:xfrm>
          <a:off x="8579815" y="2882420"/>
          <a:ext cx="2685416" cy="2541390"/>
          <a:chOff x="8553145" y="2849763"/>
          <a:chExt cx="2687048" cy="2510910"/>
        </a:xfrm>
      </xdr:grpSpPr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19198CD5-5560-4894-8C00-7D46A7C171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977" t="3907" r="24508" b="2761"/>
          <a:stretch/>
        </xdr:blipFill>
        <xdr:spPr>
          <a:xfrm rot="5400000">
            <a:off x="8626982" y="2825761"/>
            <a:ext cx="2510910" cy="2558913"/>
          </a:xfrm>
          <a:prstGeom prst="rect">
            <a:avLst/>
          </a:prstGeom>
        </xdr:spPr>
      </xdr:pic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6A233C03-99FE-42E5-B9EE-02FDCE08FFC1}"/>
              </a:ext>
            </a:extLst>
          </xdr:cNvPr>
          <xdr:cNvSpPr txBox="1"/>
        </xdr:nvSpPr>
        <xdr:spPr>
          <a:xfrm>
            <a:off x="8553145" y="3268667"/>
            <a:ext cx="1253309" cy="4644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Dial Indicator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44C13351-10E7-4E7E-87C0-B8EC250A1BF9}"/>
              </a:ext>
            </a:extLst>
          </xdr:cNvPr>
          <xdr:cNvSpPr txBox="1"/>
        </xdr:nvSpPr>
        <xdr:spPr>
          <a:xfrm>
            <a:off x="9809743" y="3074674"/>
            <a:ext cx="1430450" cy="8855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Elastically</a:t>
            </a:r>
            <a:r>
              <a:rPr lang="en-US" sz="1200" b="1" baseline="0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 Averaged Platform</a:t>
            </a:r>
            <a:endParaRPr lang="en-US" sz="1200" b="1">
              <a:solidFill>
                <a:schemeClr val="bg1"/>
              </a:solidFill>
              <a:effectLst>
                <a:outerShdw blurRad="50800" dist="50800" dir="5400000" sx="97000" sy="97000" algn="ctr" rotWithShape="0">
                  <a:srgbClr val="000000"/>
                </a:outerShdw>
              </a:effectLst>
            </a:endParaRP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2289149B-773D-40EB-85B3-A525B208C704}"/>
              </a:ext>
            </a:extLst>
          </xdr:cNvPr>
          <xdr:cNvSpPr txBox="1"/>
        </xdr:nvSpPr>
        <xdr:spPr>
          <a:xfrm>
            <a:off x="9643993" y="4291488"/>
            <a:ext cx="902865" cy="5758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Spring Scale</a:t>
            </a:r>
          </a:p>
        </xdr:txBody>
      </xdr:sp>
      <xdr:sp macro="" textlink="">
        <xdr:nvSpPr>
          <xdr:cNvPr id="33" name="Arrow: Down 32">
            <a:extLst>
              <a:ext uri="{FF2B5EF4-FFF2-40B4-BE49-F238E27FC236}">
                <a16:creationId xmlns:a16="http://schemas.microsoft.com/office/drawing/2014/main" id="{3A2F20C3-6E39-48E5-A036-247B8DF68126}"/>
              </a:ext>
            </a:extLst>
          </xdr:cNvPr>
          <xdr:cNvSpPr/>
        </xdr:nvSpPr>
        <xdr:spPr>
          <a:xfrm>
            <a:off x="9829495" y="3970024"/>
            <a:ext cx="104928" cy="404728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  <a:effectLst>
            <a:outerShdw blurRad="228600" dist="63500" dir="5400000" sx="98000" sy="98000" algn="t" rotWithShape="0">
              <a:prstClr val="black"/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761104</xdr:colOff>
      <xdr:row>15</xdr:row>
      <xdr:rowOff>45768</xdr:rowOff>
    </xdr:from>
    <xdr:to>
      <xdr:col>10</xdr:col>
      <xdr:colOff>1394562</xdr:colOff>
      <xdr:row>30</xdr:row>
      <xdr:rowOff>8516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852EE0E1-B887-4B73-8CCD-DB23D852EEEC}"/>
            </a:ext>
          </a:extLst>
        </xdr:cNvPr>
        <xdr:cNvGrpSpPr/>
      </xdr:nvGrpSpPr>
      <xdr:grpSpPr>
        <a:xfrm>
          <a:off x="12795261" y="2821625"/>
          <a:ext cx="2685415" cy="2738605"/>
          <a:chOff x="12816840" y="2833792"/>
          <a:chExt cx="2687048" cy="2705948"/>
        </a:xfrm>
      </xdr:grpSpPr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CEC36828-C36B-4BA3-B3C2-4A661498FED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6463" t="6625" r="18915" b="3275"/>
          <a:stretch/>
        </xdr:blipFill>
        <xdr:spPr>
          <a:xfrm rot="5400000">
            <a:off x="12745931" y="2931371"/>
            <a:ext cx="2705948" cy="2510790"/>
          </a:xfrm>
          <a:prstGeom prst="rect">
            <a:avLst/>
          </a:prstGeom>
        </xdr:spPr>
      </xdr:pic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7129EFAF-0F41-4B88-AE4D-F2B4A3285196}"/>
              </a:ext>
            </a:extLst>
          </xdr:cNvPr>
          <xdr:cNvSpPr txBox="1"/>
        </xdr:nvSpPr>
        <xdr:spPr>
          <a:xfrm>
            <a:off x="12816840" y="3394393"/>
            <a:ext cx="1253309" cy="4644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Dial Indicator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BE6CF68E-8BF6-4A4F-9957-149C3D469710}"/>
              </a:ext>
            </a:extLst>
          </xdr:cNvPr>
          <xdr:cNvSpPr txBox="1"/>
        </xdr:nvSpPr>
        <xdr:spPr>
          <a:xfrm>
            <a:off x="14073438" y="3200400"/>
            <a:ext cx="1430450" cy="8855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Elastically</a:t>
            </a:r>
            <a:r>
              <a:rPr lang="en-US" sz="1200" b="1" baseline="0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 Averaged Platform</a:t>
            </a:r>
            <a:endParaRPr lang="en-US" sz="1200" b="1">
              <a:solidFill>
                <a:schemeClr val="bg1"/>
              </a:solidFill>
              <a:effectLst>
                <a:outerShdw blurRad="50800" dist="50800" dir="5400000" sx="97000" sy="97000" algn="ctr" rotWithShape="0">
                  <a:srgbClr val="000000"/>
                </a:outerShdw>
              </a:effectLst>
            </a:endParaRP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C91FFB26-2C66-4456-8622-3A3C4BCD38DC}"/>
              </a:ext>
            </a:extLst>
          </xdr:cNvPr>
          <xdr:cNvSpPr txBox="1"/>
        </xdr:nvSpPr>
        <xdr:spPr>
          <a:xfrm>
            <a:off x="13907688" y="4417214"/>
            <a:ext cx="902865" cy="5758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Spring Scale</a:t>
            </a:r>
          </a:p>
        </xdr:txBody>
      </xdr:sp>
      <xdr:sp macro="" textlink="">
        <xdr:nvSpPr>
          <xdr:cNvPr id="38" name="Arrow: Down 37">
            <a:extLst>
              <a:ext uri="{FF2B5EF4-FFF2-40B4-BE49-F238E27FC236}">
                <a16:creationId xmlns:a16="http://schemas.microsoft.com/office/drawing/2014/main" id="{B1D4572E-F280-4ED3-AF16-271888C777A2}"/>
              </a:ext>
            </a:extLst>
          </xdr:cNvPr>
          <xdr:cNvSpPr/>
        </xdr:nvSpPr>
        <xdr:spPr>
          <a:xfrm>
            <a:off x="14093190" y="4095750"/>
            <a:ext cx="104928" cy="404728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  <a:effectLst>
            <a:outerShdw blurRad="228600" dist="63500" dir="5400000" sx="98000" sy="98000" algn="t" rotWithShape="0">
              <a:prstClr val="black"/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308195</xdr:colOff>
      <xdr:row>1</xdr:row>
      <xdr:rowOff>3265</xdr:rowOff>
    </xdr:from>
    <xdr:to>
      <xdr:col>17</xdr:col>
      <xdr:colOff>478971</xdr:colOff>
      <xdr:row>29</xdr:row>
      <xdr:rowOff>39901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2BE0F3-C678-4A1F-B173-2993B27C6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1538" y="161108"/>
          <a:ext cx="3382062" cy="4456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372197</xdr:colOff>
      <xdr:row>29</xdr:row>
      <xdr:rowOff>119742</xdr:rowOff>
    </xdr:from>
    <xdr:to>
      <xdr:col>17</xdr:col>
      <xdr:colOff>457199</xdr:colOff>
      <xdr:row>50</xdr:row>
      <xdr:rowOff>108647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881766-22AB-44A2-9A2E-3860B7B99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5540" y="4697185"/>
          <a:ext cx="3296288" cy="4522805"/>
        </a:xfrm>
        <a:prstGeom prst="rect">
          <a:avLst/>
        </a:prstGeom>
      </xdr:spPr>
    </xdr:pic>
    <xdr:clientData/>
  </xdr:twoCellAnchor>
  <xdr:twoCellAnchor editAs="oneCell">
    <xdr:from>
      <xdr:col>17</xdr:col>
      <xdr:colOff>625612</xdr:colOff>
      <xdr:row>0</xdr:row>
      <xdr:rowOff>80007</xdr:rowOff>
    </xdr:from>
    <xdr:to>
      <xdr:col>23</xdr:col>
      <xdr:colOff>478972</xdr:colOff>
      <xdr:row>28</xdr:row>
      <xdr:rowOff>65743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114DA0-9EC4-47BD-A80A-3C94E7AB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0241" y="80007"/>
          <a:ext cx="3706902" cy="44053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54292</xdr:rowOff>
    </xdr:from>
    <xdr:to>
      <xdr:col>11</xdr:col>
      <xdr:colOff>53340</xdr:colOff>
      <xdr:row>20</xdr:row>
      <xdr:rowOff>22860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E4482D61-BC1F-4303-963F-26817AE3A7F9}"/>
            </a:ext>
          </a:extLst>
        </xdr:cNvPr>
        <xdr:cNvGrpSpPr/>
      </xdr:nvGrpSpPr>
      <xdr:grpSpPr>
        <a:xfrm>
          <a:off x="4411980" y="237172"/>
          <a:ext cx="4533900" cy="4174808"/>
          <a:chOff x="3924300" y="263842"/>
          <a:chExt cx="4591050" cy="3443288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695ACE8-28CF-4DE9-94A3-5FD5CA8FDC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24300" y="263842"/>
            <a:ext cx="4591050" cy="3443288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488859A-A1B4-4E36-9CC8-5265892D8217}"/>
              </a:ext>
            </a:extLst>
          </xdr:cNvPr>
          <xdr:cNvSpPr txBox="1"/>
        </xdr:nvSpPr>
        <xdr:spPr>
          <a:xfrm>
            <a:off x="6755131" y="861060"/>
            <a:ext cx="14097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Elastically</a:t>
            </a:r>
            <a:r>
              <a:rPr lang="en-US" sz="1200" b="1" baseline="0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 Averaged Platform</a:t>
            </a:r>
            <a:endParaRPr lang="en-US" sz="1200" b="1">
              <a:solidFill>
                <a:schemeClr val="bg1"/>
              </a:solidFill>
              <a:effectLst>
                <a:outerShdw blurRad="50800" dist="50800" dir="5400000" sx="97000" sy="97000" algn="ctr" rotWithShape="0">
                  <a:srgbClr val="000000"/>
                </a:outerShdw>
              </a:effectLst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B19E7710-12A6-4388-9B39-87D369091A03}"/>
              </a:ext>
            </a:extLst>
          </xdr:cNvPr>
          <xdr:cNvSpPr txBox="1"/>
        </xdr:nvSpPr>
        <xdr:spPr>
          <a:xfrm>
            <a:off x="5989321" y="2205990"/>
            <a:ext cx="140970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Spring Scale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FD49ABA-179D-4394-A633-7901B306633E}"/>
              </a:ext>
            </a:extLst>
          </xdr:cNvPr>
          <xdr:cNvSpPr txBox="1"/>
        </xdr:nvSpPr>
        <xdr:spPr>
          <a:xfrm>
            <a:off x="3981451" y="1424940"/>
            <a:ext cx="14097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Steps</a:t>
            </a:r>
            <a:r>
              <a:rPr lang="en-US" sz="1200" b="1" baseline="0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 with different heights</a:t>
            </a:r>
            <a:endParaRPr lang="en-US" sz="1200" b="1">
              <a:solidFill>
                <a:schemeClr val="bg1"/>
              </a:solidFill>
              <a:effectLst>
                <a:outerShdw blurRad="50800" dist="50800" dir="5400000" sx="97000" sy="97000" algn="ctr" rotWithShape="0">
                  <a:srgbClr val="000000"/>
                </a:outerShdw>
              </a:effectLst>
            </a:endParaRPr>
          </a:p>
        </xdr:txBody>
      </xdr:sp>
      <xdr:sp macro="" textlink="">
        <xdr:nvSpPr>
          <xdr:cNvPr id="7" name="Arrow: Down 6">
            <a:extLst>
              <a:ext uri="{FF2B5EF4-FFF2-40B4-BE49-F238E27FC236}">
                <a16:creationId xmlns:a16="http://schemas.microsoft.com/office/drawing/2014/main" id="{093B088E-32D0-4F0E-89F9-8D0F93CB4C59}"/>
              </a:ext>
            </a:extLst>
          </xdr:cNvPr>
          <xdr:cNvSpPr/>
        </xdr:nvSpPr>
        <xdr:spPr>
          <a:xfrm>
            <a:off x="6278880" y="1584960"/>
            <a:ext cx="163830" cy="544830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  <a:effectLst>
            <a:outerShdw blurRad="228600" dist="63500" dir="5400000" sx="98000" sy="98000" algn="t" rotWithShape="0">
              <a:prstClr val="black"/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407670</xdr:colOff>
      <xdr:row>16</xdr:row>
      <xdr:rowOff>3810</xdr:rowOff>
    </xdr:from>
    <xdr:to>
      <xdr:col>2</xdr:col>
      <xdr:colOff>1870709</xdr:colOff>
      <xdr:row>36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CB283C9-4633-4822-8691-0F38C3303CD9}"/>
            </a:ext>
          </a:extLst>
        </xdr:cNvPr>
        <xdr:cNvGrpSpPr/>
      </xdr:nvGrpSpPr>
      <xdr:grpSpPr>
        <a:xfrm>
          <a:off x="407670" y="3112770"/>
          <a:ext cx="4922519" cy="3691890"/>
          <a:chOff x="407670" y="3112770"/>
          <a:chExt cx="4922519" cy="369189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4882ED5-6609-41D8-ABD7-C390DD81D9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7670" y="3112770"/>
            <a:ext cx="4922519" cy="369189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F7003156-8EDE-4011-A645-951B0D2CA1D1}"/>
              </a:ext>
            </a:extLst>
          </xdr:cNvPr>
          <xdr:cNvSpPr txBox="1"/>
        </xdr:nvSpPr>
        <xdr:spPr>
          <a:xfrm>
            <a:off x="3810000" y="3691890"/>
            <a:ext cx="1409700" cy="5675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Measurement</a:t>
            </a:r>
            <a:r>
              <a:rPr lang="en-US" sz="1200" b="1" baseline="0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 Sheet</a:t>
            </a:r>
            <a:endParaRPr lang="en-US" sz="1200" b="1">
              <a:solidFill>
                <a:schemeClr val="bg1"/>
              </a:solidFill>
              <a:effectLst>
                <a:outerShdw blurRad="50800" dist="50800" dir="5400000" sx="97000" sy="97000" algn="ctr" rotWithShape="0">
                  <a:srgbClr val="000000"/>
                </a:outerShdw>
              </a:effectLst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636EFB9-9852-4F1D-8FDE-D4B4638CC85D}"/>
              </a:ext>
            </a:extLst>
          </xdr:cNvPr>
          <xdr:cNvSpPr txBox="1"/>
        </xdr:nvSpPr>
        <xdr:spPr>
          <a:xfrm>
            <a:off x="1360170" y="4389121"/>
            <a:ext cx="1089660" cy="3543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bg1"/>
                </a:solidFill>
                <a:effectLst>
                  <a:outerShdw blurRad="50800" dist="50800" dir="5400000" sx="97000" sy="97000" algn="ctr" rotWithShape="0">
                    <a:srgbClr val="000000"/>
                  </a:outerShdw>
                </a:effectLst>
              </a:rPr>
              <a:t>Laser</a:t>
            </a:r>
          </a:p>
        </xdr:txBody>
      </xdr:sp>
      <xdr:sp macro="" textlink="">
        <xdr:nvSpPr>
          <xdr:cNvPr id="6" name="Arrow: Down 5">
            <a:extLst>
              <a:ext uri="{FF2B5EF4-FFF2-40B4-BE49-F238E27FC236}">
                <a16:creationId xmlns:a16="http://schemas.microsoft.com/office/drawing/2014/main" id="{91822FAD-359E-48C3-B718-90D2EDC72744}"/>
              </a:ext>
            </a:extLst>
          </xdr:cNvPr>
          <xdr:cNvSpPr/>
        </xdr:nvSpPr>
        <xdr:spPr>
          <a:xfrm rot="2050119">
            <a:off x="4210261" y="4101199"/>
            <a:ext cx="45719" cy="218004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  <a:effectLst>
            <a:outerShdw blurRad="228600" dist="63500" dir="5400000" sx="98000" sy="98000" algn="t" rotWithShape="0">
              <a:prstClr val="black"/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2</xdr:col>
      <xdr:colOff>2343351</xdr:colOff>
      <xdr:row>15</xdr:row>
      <xdr:rowOff>160020</xdr:rowOff>
    </xdr:from>
    <xdr:to>
      <xdr:col>6</xdr:col>
      <xdr:colOff>1596391</xdr:colOff>
      <xdr:row>36</xdr:row>
      <xdr:rowOff>104431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17CD16-8B3D-4B68-9775-77F7180C4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2831" y="2903220"/>
          <a:ext cx="3657400" cy="3784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opLeftCell="C12" zoomScale="85" zoomScaleNormal="85" workbookViewId="0">
      <selection activeCell="J31" sqref="J31"/>
    </sheetView>
  </sheetViews>
  <sheetFormatPr defaultColWidth="8.89453125" defaultRowHeight="11.4" x14ac:dyDescent="0.4"/>
  <cols>
    <col min="1" max="1" width="8.89453125" style="17"/>
    <col min="2" max="2" width="5.20703125" style="17" customWidth="1"/>
    <col min="3" max="3" width="35.20703125" style="17" customWidth="1"/>
    <col min="4" max="4" width="24.578125" style="17" customWidth="1"/>
    <col min="5" max="5" width="24.89453125" style="17" customWidth="1"/>
    <col min="6" max="6" width="25.5234375" style="17" customWidth="1"/>
    <col min="7" max="7" width="18.3125" style="17" customWidth="1"/>
    <col min="8" max="8" width="20.05078125" style="17" customWidth="1"/>
    <col min="9" max="16384" width="8.89453125" style="17"/>
  </cols>
  <sheetData>
    <row r="1" spans="1:8" ht="19.8" x14ac:dyDescent="0.65">
      <c r="B1" s="150" t="s">
        <v>37</v>
      </c>
      <c r="C1" s="150"/>
      <c r="D1" s="150"/>
      <c r="E1" s="150"/>
      <c r="F1" s="150"/>
      <c r="G1" s="150"/>
      <c r="H1" s="150"/>
    </row>
    <row r="2" spans="1:8" ht="12.6" x14ac:dyDescent="0.45">
      <c r="B2" s="63"/>
      <c r="C2" s="63"/>
      <c r="D2" s="63"/>
      <c r="E2" s="63" t="s">
        <v>36</v>
      </c>
      <c r="F2" s="63"/>
      <c r="G2" s="63" t="s">
        <v>80</v>
      </c>
    </row>
    <row r="3" spans="1:8" ht="12.6" x14ac:dyDescent="0.45">
      <c r="A3" s="62"/>
      <c r="B3" s="62"/>
      <c r="C3" s="62"/>
      <c r="D3" s="62"/>
      <c r="E3" s="62"/>
      <c r="F3" s="62"/>
      <c r="G3" s="83" t="s">
        <v>79</v>
      </c>
    </row>
    <row r="4" spans="1:8" ht="12.6" x14ac:dyDescent="0.45">
      <c r="B4" s="64"/>
      <c r="C4" s="64"/>
      <c r="D4" s="151" t="s">
        <v>38</v>
      </c>
      <c r="E4" s="151"/>
      <c r="F4" s="151"/>
      <c r="G4" s="64"/>
    </row>
    <row r="5" spans="1:8" ht="12.6" x14ac:dyDescent="0.45">
      <c r="B5" s="64"/>
      <c r="D5" s="65"/>
      <c r="E5" s="65"/>
      <c r="F5" s="65"/>
      <c r="G5" s="64"/>
    </row>
    <row r="6" spans="1:8" ht="12.6" x14ac:dyDescent="0.45">
      <c r="B6" s="64"/>
      <c r="C6" s="114" t="s">
        <v>149</v>
      </c>
      <c r="D6" s="110"/>
      <c r="E6" s="110"/>
      <c r="F6" s="110"/>
      <c r="G6" s="64"/>
    </row>
    <row r="7" spans="1:8" ht="12.6" x14ac:dyDescent="0.45">
      <c r="B7" s="64"/>
      <c r="C7" s="112" t="s">
        <v>105</v>
      </c>
      <c r="D7" s="110"/>
      <c r="E7" s="110"/>
      <c r="F7" s="110"/>
      <c r="G7" s="64"/>
    </row>
    <row r="8" spans="1:8" ht="12.6" x14ac:dyDescent="0.45">
      <c r="B8" s="64"/>
      <c r="C8" s="112" t="s">
        <v>107</v>
      </c>
      <c r="D8" s="110"/>
      <c r="E8" s="110"/>
      <c r="F8" s="110"/>
      <c r="G8" s="64"/>
    </row>
    <row r="9" spans="1:8" ht="12.6" x14ac:dyDescent="0.45">
      <c r="B9" s="64"/>
      <c r="C9" s="112" t="s">
        <v>106</v>
      </c>
      <c r="D9" s="110"/>
      <c r="E9" s="110"/>
      <c r="F9" s="110"/>
      <c r="G9" s="64"/>
    </row>
    <row r="10" spans="1:8" ht="12.6" x14ac:dyDescent="0.45">
      <c r="B10" s="64"/>
      <c r="C10" s="112" t="s">
        <v>157</v>
      </c>
      <c r="D10" s="110"/>
      <c r="E10" s="110"/>
      <c r="F10" s="110"/>
      <c r="G10" s="64"/>
    </row>
    <row r="11" spans="1:8" ht="12.6" x14ac:dyDescent="0.45">
      <c r="B11" s="64"/>
      <c r="C11" s="112" t="s">
        <v>108</v>
      </c>
      <c r="D11" s="110"/>
      <c r="E11" s="110"/>
      <c r="F11" s="110"/>
      <c r="G11" s="64"/>
    </row>
    <row r="12" spans="1:8" ht="12.6" x14ac:dyDescent="0.45">
      <c r="B12" s="64"/>
      <c r="D12" s="65"/>
      <c r="E12" s="65"/>
      <c r="F12" s="65"/>
      <c r="G12" s="64"/>
    </row>
    <row r="13" spans="1:8" x14ac:dyDescent="0.4">
      <c r="B13" s="25"/>
      <c r="C13" s="26"/>
      <c r="D13" s="161" t="s">
        <v>9</v>
      </c>
      <c r="E13" s="162"/>
      <c r="F13" s="163"/>
      <c r="G13" s="152" t="s">
        <v>5</v>
      </c>
      <c r="H13" s="152" t="s">
        <v>34</v>
      </c>
    </row>
    <row r="14" spans="1:8" x14ac:dyDescent="0.4">
      <c r="B14" s="27"/>
      <c r="C14" s="28"/>
      <c r="D14" s="22" t="s">
        <v>4</v>
      </c>
      <c r="E14" s="23" t="s">
        <v>92</v>
      </c>
      <c r="F14" s="24" t="s">
        <v>91</v>
      </c>
      <c r="G14" s="153"/>
      <c r="H14" s="153"/>
    </row>
    <row r="15" spans="1:8" x14ac:dyDescent="0.4">
      <c r="B15" s="170" t="s">
        <v>6</v>
      </c>
      <c r="C15" s="30" t="s">
        <v>65</v>
      </c>
      <c r="D15" s="79">
        <v>4</v>
      </c>
      <c r="E15" s="79">
        <v>5</v>
      </c>
      <c r="F15" s="79">
        <v>5</v>
      </c>
      <c r="G15" s="36"/>
      <c r="H15" s="36"/>
    </row>
    <row r="16" spans="1:8" x14ac:dyDescent="0.4">
      <c r="B16" s="171"/>
      <c r="C16" s="31" t="s">
        <v>86</v>
      </c>
      <c r="D16" s="81">
        <v>80</v>
      </c>
      <c r="E16" s="81">
        <v>80</v>
      </c>
      <c r="F16" s="81">
        <v>80</v>
      </c>
      <c r="G16" s="37"/>
      <c r="H16" s="37"/>
    </row>
    <row r="17" spans="2:10" x14ac:dyDescent="0.4">
      <c r="B17" s="171"/>
      <c r="C17" s="31" t="s">
        <v>70</v>
      </c>
      <c r="D17" s="80">
        <f>0.25*25.4</f>
        <v>6.35</v>
      </c>
      <c r="E17" s="80">
        <f>0.25*25.4</f>
        <v>6.35</v>
      </c>
      <c r="F17" s="80">
        <f>0.25*25.4</f>
        <v>6.35</v>
      </c>
      <c r="G17" s="37"/>
      <c r="H17" s="37"/>
    </row>
    <row r="18" spans="2:10" x14ac:dyDescent="0.4">
      <c r="B18" s="171"/>
      <c r="C18" s="31" t="s">
        <v>71</v>
      </c>
      <c r="D18" s="81">
        <f>0.2*25.4</f>
        <v>5.08</v>
      </c>
      <c r="E18" s="80">
        <v>1.65</v>
      </c>
      <c r="F18" s="80">
        <f>0.175*25.4</f>
        <v>4.4449999999999994</v>
      </c>
      <c r="G18" s="37"/>
      <c r="H18" s="37"/>
    </row>
    <row r="19" spans="2:10" x14ac:dyDescent="0.4">
      <c r="B19" s="171"/>
      <c r="C19" s="17" t="s">
        <v>72</v>
      </c>
      <c r="D19" s="81">
        <v>43.5</v>
      </c>
      <c r="E19" s="81">
        <v>42.5</v>
      </c>
      <c r="F19" s="81">
        <v>42.5</v>
      </c>
      <c r="G19" s="37"/>
      <c r="H19" s="37"/>
    </row>
    <row r="20" spans="2:10" x14ac:dyDescent="0.4">
      <c r="B20" s="171"/>
      <c r="C20" s="17" t="s">
        <v>73</v>
      </c>
      <c r="D20" s="82">
        <f>'A- ANALYSIS'!C7/COS(FRDPARRC!D19*PI()/180)</f>
        <v>110.28787781453727</v>
      </c>
      <c r="E20" s="82">
        <f>'A- ANALYSIS'!G7/COS(FRDPARRC!E19*PI()/180)</f>
        <v>108.50733639274056</v>
      </c>
      <c r="F20" s="82">
        <f>'A- ANALYSIS'!K7/COS(FRDPARRC!F19*PI()/180)</f>
        <v>108.50733639274056</v>
      </c>
      <c r="G20" s="37"/>
      <c r="H20" s="37"/>
    </row>
    <row r="21" spans="2:10" x14ac:dyDescent="0.4">
      <c r="B21" s="171"/>
      <c r="C21" s="31" t="s">
        <v>74</v>
      </c>
      <c r="D21" s="81" t="s">
        <v>66</v>
      </c>
      <c r="E21" s="81" t="s">
        <v>23</v>
      </c>
      <c r="F21" s="81" t="s">
        <v>26</v>
      </c>
      <c r="G21" s="37"/>
      <c r="H21" s="37"/>
    </row>
    <row r="22" spans="2:10" x14ac:dyDescent="0.4">
      <c r="B22" s="171"/>
      <c r="C22" s="31" t="s">
        <v>7</v>
      </c>
      <c r="D22" s="81">
        <v>50</v>
      </c>
      <c r="E22" s="81">
        <v>50</v>
      </c>
      <c r="F22" s="81">
        <v>50</v>
      </c>
      <c r="G22" s="37"/>
      <c r="H22" s="37"/>
    </row>
    <row r="23" spans="2:10" x14ac:dyDescent="0.4">
      <c r="B23" s="172" t="s">
        <v>8</v>
      </c>
      <c r="C23" s="29" t="s">
        <v>67</v>
      </c>
      <c r="D23" s="84">
        <f>(D22+2*D20*SIN(D19*PI()/180))</f>
        <v>201.83433067438077</v>
      </c>
      <c r="E23" s="134">
        <f t="shared" ref="E23:F23" si="0">(E22+2*E20*SIN(E19*PI()/180))</f>
        <v>196.61298784278776</v>
      </c>
      <c r="F23" s="134">
        <f t="shared" si="0"/>
        <v>196.61298784278776</v>
      </c>
      <c r="G23" s="66" t="s">
        <v>83</v>
      </c>
      <c r="H23" s="138">
        <v>200.5</v>
      </c>
    </row>
    <row r="24" spans="2:10" ht="22.8" x14ac:dyDescent="0.4">
      <c r="B24" s="173"/>
      <c r="C24" s="34" t="s">
        <v>151</v>
      </c>
      <c r="D24" s="135">
        <f>D15*SIN((D15-2)*PI()/(2*D15))*COS((D15-2)*PI()/(2*D15))*(D23/2)^2/100</f>
        <v>203.68548519387642</v>
      </c>
      <c r="E24" s="135">
        <f>E15*SIN((E15-2)*PI()/(2*E15))*COS((E15-2)*PI()/(2*E15))*(E23/2)^2/100</f>
        <v>229.77921898521524</v>
      </c>
      <c r="F24" s="135">
        <f>F15*SIN((F15-2)*PI()/(2*F15))*COS((F15-2)*PI()/(2*F15))*(F23/2)^2/100</f>
        <v>229.77921898521524</v>
      </c>
      <c r="G24" s="67" t="s">
        <v>84</v>
      </c>
      <c r="H24" s="135">
        <f>E15*SIN((E15-2)*PI()/(2*E15))*COS((E15-2)*PI()/(2*E15))*(H23/2)^2/100</f>
        <v>238.95443574496406</v>
      </c>
    </row>
    <row r="25" spans="2:10" ht="34.200000000000003" x14ac:dyDescent="0.4">
      <c r="B25" s="173"/>
      <c r="C25" s="34" t="s">
        <v>150</v>
      </c>
      <c r="D25" s="91">
        <f>'A- ANALYSIS'!C37</f>
        <v>0.57567695564882393</v>
      </c>
      <c r="E25" s="136">
        <f>'A- ANALYSIS'!G37</f>
        <v>2.2978093025037083</v>
      </c>
      <c r="F25" s="136">
        <f>'A- ANALYSIS'!K37</f>
        <v>2.5863943531625764</v>
      </c>
      <c r="G25" s="67" t="s">
        <v>82</v>
      </c>
      <c r="H25" s="131">
        <v>2.12</v>
      </c>
    </row>
    <row r="26" spans="2:10" ht="22.8" x14ac:dyDescent="0.4">
      <c r="B26" s="173"/>
      <c r="C26" s="34" t="s">
        <v>138</v>
      </c>
      <c r="D26" s="85">
        <f>'A- ANALYSIS'!C38</f>
        <v>1.3529290158296865</v>
      </c>
      <c r="E26" s="85">
        <f>'A- ANALYSIS'!G38</f>
        <v>4.9717765594897525</v>
      </c>
      <c r="F26" s="85">
        <f>'A- ANALYSIS'!K38</f>
        <v>5.7790821072719991</v>
      </c>
      <c r="G26" s="86"/>
      <c r="H26" s="86"/>
    </row>
    <row r="27" spans="2:10" ht="22.8" x14ac:dyDescent="0.4">
      <c r="B27" s="173"/>
      <c r="C27" s="78" t="s">
        <v>137</v>
      </c>
      <c r="D27" s="136">
        <f>(('A- ANALYSIS'!C32+'A- ANALYSIS'!C28)*9.81*0.001/FRDPARRC!D30)-(D25-(D23*SIN(D28*PI()/180)/2))</f>
        <v>0.14391923891220593</v>
      </c>
      <c r="E27" s="136">
        <f>(('A- ANALYSIS'!G32+'A- ANALYSIS'!G28)*9.81*0.001/FRDPARRC!E30)-(E25-(E23*SIN(E28*PI()/180)/2))</f>
        <v>0.22978093025037083</v>
      </c>
      <c r="F27" s="136">
        <f>(('A- ANALYSIS'!K32+'A- ANALYSIS'!K28)*9.81*0.001/FRDPARRC!F30)-(F25-(F23*SIN(F28*PI()/180)/2))</f>
        <v>0.25863943531625733</v>
      </c>
      <c r="G27" s="129" t="s">
        <v>81</v>
      </c>
      <c r="H27" s="132">
        <v>0.33</v>
      </c>
    </row>
    <row r="28" spans="2:10" ht="22.8" x14ac:dyDescent="0.4">
      <c r="B28" s="173"/>
      <c r="C28" s="78" t="s">
        <v>136</v>
      </c>
      <c r="D28" s="85">
        <f>'A- ANALYSIS'!C41</f>
        <v>0.16342068533745274</v>
      </c>
      <c r="E28" s="85">
        <f>'A- ANALYSIS'!G41</f>
        <v>0.6696290708115461</v>
      </c>
      <c r="F28" s="85">
        <f>'A- ANALYSIS'!K41</f>
        <v>0.75373329360847596</v>
      </c>
      <c r="G28" s="86"/>
      <c r="H28" s="128">
        <f>'D - TILT UNDER PAYLOAD'!B4</f>
        <v>0.8348222769916589</v>
      </c>
    </row>
    <row r="29" spans="2:10" ht="22.8" x14ac:dyDescent="0.4">
      <c r="B29" s="173"/>
      <c r="C29" s="78" t="s">
        <v>135</v>
      </c>
      <c r="D29" s="136">
        <f>'A- ANALYSIS'!C42</f>
        <v>0.4711356945253472</v>
      </c>
      <c r="E29" s="136">
        <f>'A- ANALYSIS'!G42</f>
        <v>1.7883543343469843</v>
      </c>
      <c r="F29" s="136">
        <f>'A- ANALYSIS'!K42</f>
        <v>2.0788617422029958</v>
      </c>
      <c r="G29" s="67" t="s">
        <v>85</v>
      </c>
      <c r="H29" s="130">
        <f>'D - TILT UNDER PAYLOAD'!B5</f>
        <v>1.3789249732791993</v>
      </c>
      <c r="J29" s="17" t="s">
        <v>140</v>
      </c>
    </row>
    <row r="30" spans="2:10" x14ac:dyDescent="0.4">
      <c r="B30" s="173"/>
      <c r="C30" s="34" t="s">
        <v>64</v>
      </c>
      <c r="D30" s="136">
        <f>'A- ANALYSIS'!C34*D15</f>
        <v>11.779962343064671</v>
      </c>
      <c r="E30" s="136">
        <f>'A- ANALYSIS'!G34*E15</f>
        <v>4.2801571223801025</v>
      </c>
      <c r="F30" s="137">
        <f>'A- ANALYSIS'!K34*F15</f>
        <v>3.5847539382041766</v>
      </c>
      <c r="G30" s="67" t="s">
        <v>88</v>
      </c>
      <c r="H30" s="131">
        <v>4.78</v>
      </c>
    </row>
    <row r="31" spans="2:10" x14ac:dyDescent="0.4">
      <c r="B31" s="173"/>
      <c r="C31" s="34" t="s">
        <v>161</v>
      </c>
      <c r="D31" s="136">
        <f>('A- ANALYSIS'!C31+'A- ANALYSIS'!C28)*9.81*0.001/FRDPARRC!D30</f>
        <v>1.0146967618722651</v>
      </c>
      <c r="E31" s="136">
        <f>('A- ANALYSIS'!G31+'A- ANALYSIS'!G28)*9.81*0.001/FRDPARRC!E30</f>
        <v>2.9830659356938516</v>
      </c>
      <c r="F31" s="136">
        <f>('A- ANALYSIS'!K31+'A- ANALYSIS'!K28)*9.81*0.001/FRDPARRC!F30</f>
        <v>3.4674492643631991</v>
      </c>
      <c r="G31" s="67" t="s">
        <v>87</v>
      </c>
      <c r="H31" s="131">
        <v>2.5499999999999998</v>
      </c>
    </row>
    <row r="32" spans="2:10" ht="24.6" customHeight="1" x14ac:dyDescent="0.4">
      <c r="B32" s="174"/>
      <c r="C32" s="34" t="s">
        <v>155</v>
      </c>
      <c r="D32" s="136">
        <f>'A- ANALYSIS'!C21/'A- ANALYSIS'!C35</f>
        <v>2.6870333274014531</v>
      </c>
      <c r="E32" s="136">
        <f>'A- ANALYSIS'!G21/'A- ANALYSIS'!G35</f>
        <v>2.4866281971443804</v>
      </c>
      <c r="F32" s="136">
        <f>'A- ANALYSIS'!K21/'A- ANALYSIS'!K35</f>
        <v>5.4669039289306749</v>
      </c>
      <c r="G32" s="67" t="s">
        <v>82</v>
      </c>
      <c r="H32" s="133" t="s">
        <v>101</v>
      </c>
      <c r="I32" s="41"/>
    </row>
    <row r="33" spans="2:17" ht="30.3" customHeight="1" x14ac:dyDescent="0.4">
      <c r="B33" s="77" t="s">
        <v>35</v>
      </c>
      <c r="C33" s="74"/>
      <c r="D33" s="154" t="s">
        <v>39</v>
      </c>
      <c r="E33" s="155"/>
      <c r="F33" s="156"/>
      <c r="G33" s="87"/>
      <c r="H33" s="88"/>
      <c r="I33" s="41"/>
    </row>
    <row r="34" spans="2:17" ht="22.8" x14ac:dyDescent="0.4">
      <c r="B34" s="169" t="s">
        <v>21</v>
      </c>
      <c r="C34" s="29"/>
      <c r="D34" s="72" t="s">
        <v>75</v>
      </c>
      <c r="E34" s="73" t="s">
        <v>76</v>
      </c>
      <c r="F34" s="73" t="s">
        <v>77</v>
      </c>
      <c r="G34" s="36"/>
      <c r="H34" s="36"/>
    </row>
    <row r="35" spans="2:17" ht="15.6" customHeight="1" x14ac:dyDescent="0.4">
      <c r="B35" s="165"/>
      <c r="C35" s="21"/>
      <c r="D35" s="166" t="s">
        <v>69</v>
      </c>
      <c r="E35" s="167"/>
      <c r="F35" s="168"/>
      <c r="G35" s="89"/>
      <c r="H35" s="89"/>
    </row>
    <row r="36" spans="2:17" ht="34.200000000000003" customHeight="1" x14ac:dyDescent="0.4">
      <c r="B36" s="32" t="s">
        <v>22</v>
      </c>
      <c r="C36" s="21"/>
      <c r="D36" s="144" t="s">
        <v>141</v>
      </c>
      <c r="E36" s="145"/>
      <c r="F36" s="146"/>
      <c r="G36" s="89"/>
      <c r="H36" s="90"/>
    </row>
    <row r="37" spans="2:17" ht="57" x14ac:dyDescent="0.4">
      <c r="B37" s="164" t="s">
        <v>25</v>
      </c>
      <c r="C37" s="35"/>
      <c r="D37" s="18" t="s">
        <v>89</v>
      </c>
      <c r="E37" s="19" t="s">
        <v>99</v>
      </c>
      <c r="F37" s="19" t="s">
        <v>100</v>
      </c>
      <c r="G37" s="157" t="s">
        <v>90</v>
      </c>
      <c r="H37" s="158"/>
    </row>
    <row r="38" spans="2:17" x14ac:dyDescent="0.4">
      <c r="B38" s="165"/>
      <c r="C38" s="33"/>
      <c r="D38" s="75"/>
      <c r="E38" s="76"/>
      <c r="F38" s="20"/>
      <c r="G38" s="159"/>
      <c r="H38" s="160"/>
    </row>
    <row r="40" spans="2:17" ht="14.4" customHeight="1" x14ac:dyDescent="0.5">
      <c r="C40" s="147" t="s">
        <v>148</v>
      </c>
      <c r="D40" s="147"/>
      <c r="F40" s="148" t="s">
        <v>152</v>
      </c>
      <c r="G40" s="148"/>
      <c r="H40" s="148"/>
      <c r="I40" s="148"/>
      <c r="K40" s="148" t="s">
        <v>154</v>
      </c>
      <c r="L40" s="148"/>
      <c r="M40" s="148"/>
      <c r="N40" s="148"/>
      <c r="O40" s="148"/>
      <c r="P40" s="148"/>
      <c r="Q40" s="148"/>
    </row>
    <row r="63" spans="7:8" x14ac:dyDescent="0.4">
      <c r="G63" s="149" t="s">
        <v>153</v>
      </c>
      <c r="H63" s="149"/>
    </row>
    <row r="64" spans="7:8" x14ac:dyDescent="0.4">
      <c r="G64" s="149"/>
      <c r="H64" s="149"/>
    </row>
    <row r="65" spans="7:8" x14ac:dyDescent="0.4">
      <c r="G65" s="149"/>
      <c r="H65" s="149"/>
    </row>
  </sheetData>
  <mergeCells count="17">
    <mergeCell ref="B1:H1"/>
    <mergeCell ref="D4:F4"/>
    <mergeCell ref="H13:H14"/>
    <mergeCell ref="D33:F33"/>
    <mergeCell ref="G37:H38"/>
    <mergeCell ref="G13:G14"/>
    <mergeCell ref="D13:F13"/>
    <mergeCell ref="B37:B38"/>
    <mergeCell ref="D35:F35"/>
    <mergeCell ref="B34:B35"/>
    <mergeCell ref="B15:B22"/>
    <mergeCell ref="B23:B32"/>
    <mergeCell ref="D36:F36"/>
    <mergeCell ref="C40:D40"/>
    <mergeCell ref="F40:I40"/>
    <mergeCell ref="G63:H65"/>
    <mergeCell ref="K40:Q40"/>
  </mergeCells>
  <pageMargins left="0.7" right="0.7" top="0.75" bottom="0.75" header="0.3" footer="0.3"/>
  <pageSetup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9"/>
  <sheetViews>
    <sheetView tabSelected="1" zoomScale="70" zoomScaleNormal="70" workbookViewId="0">
      <selection activeCell="J41" sqref="J41"/>
    </sheetView>
  </sheetViews>
  <sheetFormatPr defaultRowHeight="14.4" x14ac:dyDescent="0.55000000000000004"/>
  <cols>
    <col min="1" max="1" width="28.05078125" customWidth="1"/>
    <col min="2" max="2" width="23.578125" customWidth="1"/>
    <col min="3" max="3" width="3.20703125" customWidth="1"/>
    <col min="4" max="4" width="29" customWidth="1"/>
    <col min="5" max="5" width="22.3671875" customWidth="1"/>
    <col min="6" max="6" width="4.47265625" customWidth="1"/>
    <col min="7" max="7" width="27.83984375" customWidth="1"/>
    <col min="8" max="8" width="23.3671875" customWidth="1"/>
    <col min="9" max="9" width="4.20703125" customWidth="1"/>
    <col min="10" max="10" width="28.3671875" customWidth="1"/>
    <col min="11" max="11" width="24.68359375" customWidth="1"/>
    <col min="12" max="12" width="13.47265625" customWidth="1"/>
    <col min="13" max="13" width="21.15625" bestFit="1" customWidth="1"/>
  </cols>
  <sheetData>
    <row r="1" spans="1:17" x14ac:dyDescent="0.55000000000000004">
      <c r="A1" s="185" t="s">
        <v>163</v>
      </c>
      <c r="B1" s="185"/>
      <c r="D1" s="185" t="s">
        <v>164</v>
      </c>
      <c r="E1" s="185"/>
      <c r="G1" s="185" t="s">
        <v>166</v>
      </c>
      <c r="H1" s="185"/>
      <c r="J1" s="185" t="s">
        <v>167</v>
      </c>
      <c r="K1" s="185"/>
    </row>
    <row r="2" spans="1:17" x14ac:dyDescent="0.55000000000000004">
      <c r="A2" s="186"/>
      <c r="B2" s="186"/>
      <c r="D2" s="186"/>
      <c r="E2" s="186"/>
      <c r="G2" s="186"/>
      <c r="H2" s="186"/>
      <c r="J2" s="186"/>
      <c r="K2" s="186"/>
    </row>
    <row r="3" spans="1:17" x14ac:dyDescent="0.55000000000000004">
      <c r="A3" s="6" t="s">
        <v>102</v>
      </c>
      <c r="B3" s="6"/>
      <c r="D3" s="6" t="s">
        <v>102</v>
      </c>
      <c r="E3" s="6"/>
      <c r="G3" s="6" t="s">
        <v>102</v>
      </c>
      <c r="H3" s="6"/>
      <c r="J3" s="6" t="s">
        <v>102</v>
      </c>
      <c r="K3" s="6"/>
    </row>
    <row r="4" spans="1:17" ht="14.4" customHeight="1" x14ac:dyDescent="0.55000000000000004">
      <c r="A4" s="38" t="s">
        <v>114</v>
      </c>
      <c r="B4" s="38" t="s">
        <v>139</v>
      </c>
      <c r="D4" s="38" t="s">
        <v>114</v>
      </c>
      <c r="E4" s="38" t="s">
        <v>139</v>
      </c>
      <c r="G4" s="38" t="s">
        <v>114</v>
      </c>
      <c r="H4" s="38" t="s">
        <v>139</v>
      </c>
      <c r="J4" s="38" t="s">
        <v>114</v>
      </c>
      <c r="K4" s="38" t="s">
        <v>139</v>
      </c>
    </row>
    <row r="5" spans="1:17" ht="14.4" customHeight="1" x14ac:dyDescent="0.55000000000000004">
      <c r="A5" s="111">
        <v>0</v>
      </c>
      <c r="B5" s="111">
        <v>0</v>
      </c>
      <c r="D5" s="143">
        <v>0</v>
      </c>
      <c r="E5" s="143">
        <v>0</v>
      </c>
      <c r="G5" s="115">
        <v>0</v>
      </c>
      <c r="H5" s="139">
        <v>0</v>
      </c>
      <c r="J5" s="115">
        <v>0</v>
      </c>
      <c r="K5" s="139">
        <v>0</v>
      </c>
    </row>
    <row r="6" spans="1:17" x14ac:dyDescent="0.55000000000000004">
      <c r="A6" s="115">
        <v>100</v>
      </c>
      <c r="B6" s="139">
        <v>3.5000000000000001E-3</v>
      </c>
      <c r="D6" s="115">
        <v>100</v>
      </c>
      <c r="E6" s="139">
        <v>4.0000000000000001E-3</v>
      </c>
      <c r="G6" s="115">
        <v>100</v>
      </c>
      <c r="H6" s="139">
        <v>0.01</v>
      </c>
      <c r="J6" s="115">
        <v>100</v>
      </c>
      <c r="K6" s="139">
        <v>4.0000000000000001E-3</v>
      </c>
    </row>
    <row r="7" spans="1:17" x14ac:dyDescent="0.55000000000000004">
      <c r="A7" s="115">
        <v>200</v>
      </c>
      <c r="B7" s="139">
        <v>8.0000000000000002E-3</v>
      </c>
      <c r="D7" s="115">
        <v>200</v>
      </c>
      <c r="E7" s="139">
        <v>8.9999999999999993E-3</v>
      </c>
      <c r="G7" s="115">
        <v>200</v>
      </c>
      <c r="H7" s="139">
        <v>1.9E-2</v>
      </c>
      <c r="J7" s="115">
        <v>200</v>
      </c>
      <c r="K7" s="139">
        <v>1.2E-2</v>
      </c>
    </row>
    <row r="8" spans="1:17" x14ac:dyDescent="0.55000000000000004">
      <c r="A8" s="115">
        <v>300</v>
      </c>
      <c r="B8" s="139">
        <v>1.7500000000000002E-2</v>
      </c>
      <c r="D8" s="115">
        <v>300</v>
      </c>
      <c r="E8" s="139">
        <v>1.7999999999999999E-2</v>
      </c>
      <c r="G8" s="115">
        <v>300</v>
      </c>
      <c r="H8" s="139">
        <v>2.8000000000000001E-2</v>
      </c>
      <c r="J8" s="115">
        <v>300</v>
      </c>
      <c r="K8" s="139">
        <v>1.7000000000000001E-2</v>
      </c>
      <c r="M8" s="194" t="s">
        <v>171</v>
      </c>
      <c r="N8" s="194"/>
      <c r="O8" s="194"/>
      <c r="P8" s="194"/>
      <c r="Q8" s="194"/>
    </row>
    <row r="9" spans="1:17" x14ac:dyDescent="0.55000000000000004">
      <c r="A9" s="115">
        <v>400</v>
      </c>
      <c r="B9" s="139">
        <v>2.7E-2</v>
      </c>
      <c r="D9" s="115">
        <v>400</v>
      </c>
      <c r="E9" s="139">
        <v>2.6499999999999999E-2</v>
      </c>
      <c r="G9" s="115">
        <v>400</v>
      </c>
      <c r="H9" s="139">
        <v>3.9E-2</v>
      </c>
      <c r="J9" s="115">
        <v>400</v>
      </c>
      <c r="K9" s="139">
        <v>2.9000000000000001E-2</v>
      </c>
      <c r="M9" s="187" t="s">
        <v>169</v>
      </c>
      <c r="N9" s="187" t="s">
        <v>23</v>
      </c>
      <c r="O9" s="187" t="s">
        <v>170</v>
      </c>
      <c r="P9" s="187" t="s">
        <v>162</v>
      </c>
      <c r="Q9" s="187" t="s">
        <v>26</v>
      </c>
    </row>
    <row r="10" spans="1:17" x14ac:dyDescent="0.55000000000000004">
      <c r="A10" s="115">
        <v>500</v>
      </c>
      <c r="B10" s="139">
        <v>3.7499999999999999E-2</v>
      </c>
      <c r="D10" s="115">
        <v>500</v>
      </c>
      <c r="E10" s="139">
        <v>3.5999999999999997E-2</v>
      </c>
      <c r="G10" s="115">
        <v>500</v>
      </c>
      <c r="H10" s="139">
        <v>4.9500000000000002E-2</v>
      </c>
      <c r="J10" s="115">
        <v>500</v>
      </c>
      <c r="K10" s="139">
        <v>3.85E-2</v>
      </c>
      <c r="M10" s="187" t="s">
        <v>64</v>
      </c>
      <c r="N10" s="188">
        <f>E14</f>
        <v>4.721545275590552</v>
      </c>
      <c r="O10" s="192">
        <f>B14</f>
        <v>4.7945409448818896</v>
      </c>
      <c r="P10" s="192">
        <f>K14</f>
        <v>4.7366078740157489</v>
      </c>
      <c r="Q10" s="189">
        <f>H13</f>
        <v>3.9147307086614176</v>
      </c>
    </row>
    <row r="11" spans="1:17" x14ac:dyDescent="0.55000000000000004">
      <c r="A11" s="115">
        <v>600</v>
      </c>
      <c r="B11" s="115">
        <v>4.4999999999999998E-2</v>
      </c>
      <c r="D11" s="115">
        <v>600</v>
      </c>
      <c r="E11" s="115">
        <v>4.5999999999999999E-2</v>
      </c>
      <c r="G11" s="115">
        <v>600</v>
      </c>
      <c r="H11" s="139">
        <v>5.8999999999999997E-2</v>
      </c>
      <c r="J11" s="115">
        <v>600</v>
      </c>
      <c r="K11" s="139">
        <v>4.3999999999999997E-2</v>
      </c>
      <c r="M11" s="193" t="s">
        <v>168</v>
      </c>
      <c r="N11" s="190">
        <v>1</v>
      </c>
      <c r="O11" s="193">
        <v>0.6</v>
      </c>
      <c r="P11" s="193">
        <v>0.55000000000000004</v>
      </c>
      <c r="Q11" s="191">
        <v>0.1</v>
      </c>
    </row>
    <row r="12" spans="1:17" x14ac:dyDescent="0.55000000000000004">
      <c r="A12" s="115">
        <v>700</v>
      </c>
      <c r="B12" s="139">
        <v>5.1499999999999997E-2</v>
      </c>
      <c r="D12" s="115">
        <v>700</v>
      </c>
      <c r="E12" s="139">
        <v>5.3999999999999999E-2</v>
      </c>
      <c r="J12" s="115">
        <v>700</v>
      </c>
      <c r="K12" s="139">
        <v>5.5E-2</v>
      </c>
    </row>
    <row r="13" spans="1:17" x14ac:dyDescent="0.55000000000000004">
      <c r="A13" s="113"/>
      <c r="B13" s="113"/>
      <c r="G13" s="124" t="s">
        <v>64</v>
      </c>
      <c r="H13" s="140">
        <f>10136*9.81/25.4/1000</f>
        <v>3.9147307086614176</v>
      </c>
    </row>
    <row r="14" spans="1:17" ht="14.4" customHeight="1" x14ac:dyDescent="0.55000000000000004">
      <c r="A14" s="124" t="s">
        <v>64</v>
      </c>
      <c r="B14" s="140">
        <f>12414*9.81/25.4/1000</f>
        <v>4.7945409448818896</v>
      </c>
      <c r="D14" s="124" t="s">
        <v>64</v>
      </c>
      <c r="E14" s="140">
        <f>12225*9.81/25.4/1000</f>
        <v>4.721545275590552</v>
      </c>
      <c r="G14" t="s">
        <v>165</v>
      </c>
      <c r="H14" s="142" t="s">
        <v>143</v>
      </c>
      <c r="J14" s="124" t="s">
        <v>64</v>
      </c>
      <c r="K14" s="140">
        <f>12264*9.81/25.4/1000</f>
        <v>4.7366078740157489</v>
      </c>
    </row>
    <row r="15" spans="1:17" x14ac:dyDescent="0.55000000000000004">
      <c r="A15" t="s">
        <v>165</v>
      </c>
      <c r="B15" s="142" t="s">
        <v>143</v>
      </c>
      <c r="D15" t="s">
        <v>165</v>
      </c>
      <c r="E15" s="142" t="s">
        <v>143</v>
      </c>
      <c r="J15" t="s">
        <v>165</v>
      </c>
      <c r="K15" s="142" t="s">
        <v>143</v>
      </c>
    </row>
    <row r="16" spans="1:17" ht="14.4" customHeight="1" x14ac:dyDescent="0.55000000000000004">
      <c r="A16" s="143"/>
      <c r="B16" s="143"/>
    </row>
    <row r="17" spans="1:12" x14ac:dyDescent="0.55000000000000004">
      <c r="A17" s="115"/>
      <c r="B17" s="139"/>
    </row>
    <row r="18" spans="1:12" x14ac:dyDescent="0.55000000000000004">
      <c r="A18" s="115"/>
      <c r="B18" s="139"/>
    </row>
    <row r="19" spans="1:12" x14ac:dyDescent="0.55000000000000004">
      <c r="A19" s="115"/>
      <c r="B19" s="139"/>
    </row>
    <row r="20" spans="1:12" x14ac:dyDescent="0.55000000000000004">
      <c r="A20" s="115"/>
      <c r="B20" s="139"/>
    </row>
    <row r="21" spans="1:12" x14ac:dyDescent="0.55000000000000004">
      <c r="A21" s="115"/>
      <c r="B21" s="139"/>
    </row>
    <row r="22" spans="1:12" ht="14.4" customHeight="1" x14ac:dyDescent="0.55000000000000004">
      <c r="A22" s="115"/>
      <c r="B22" s="115"/>
    </row>
    <row r="23" spans="1:12" x14ac:dyDescent="0.55000000000000004">
      <c r="A23" s="115"/>
      <c r="B23" s="139"/>
    </row>
    <row r="25" spans="1:12" x14ac:dyDescent="0.55000000000000004">
      <c r="A25" s="124"/>
      <c r="B25" s="140"/>
      <c r="E25" s="1"/>
      <c r="F25" s="1"/>
    </row>
    <row r="26" spans="1:12" x14ac:dyDescent="0.55000000000000004">
      <c r="B26" s="142"/>
      <c r="E26" s="1"/>
      <c r="F26" s="1"/>
      <c r="K26" s="1"/>
      <c r="L26" s="1"/>
    </row>
    <row r="27" spans="1:12" x14ac:dyDescent="0.55000000000000004">
      <c r="E27" s="1"/>
      <c r="F27" s="1"/>
      <c r="K27" s="1"/>
      <c r="L27" s="1"/>
    </row>
    <row r="28" spans="1:12" x14ac:dyDescent="0.55000000000000004">
      <c r="A28" s="115"/>
      <c r="B28" s="139"/>
      <c r="E28" s="1"/>
      <c r="F28" s="1"/>
      <c r="K28" s="1"/>
      <c r="L28" s="1"/>
    </row>
    <row r="29" spans="1:12" x14ac:dyDescent="0.55000000000000004">
      <c r="A29" s="115"/>
      <c r="B29" s="139"/>
      <c r="E29" s="1"/>
      <c r="F29" s="1"/>
      <c r="K29" s="1"/>
      <c r="L29" s="1"/>
    </row>
    <row r="30" spans="1:12" x14ac:dyDescent="0.55000000000000004">
      <c r="A30" s="115"/>
      <c r="B30" s="139"/>
      <c r="K30" s="1"/>
      <c r="L30" s="1"/>
    </row>
    <row r="31" spans="1:12" x14ac:dyDescent="0.55000000000000004">
      <c r="A31" s="115"/>
      <c r="B31" s="139"/>
    </row>
    <row r="32" spans="1:12" x14ac:dyDescent="0.55000000000000004">
      <c r="A32" s="115"/>
      <c r="B32" s="139"/>
    </row>
    <row r="33" spans="1:2" x14ac:dyDescent="0.55000000000000004">
      <c r="A33" s="115"/>
      <c r="B33" s="139"/>
    </row>
    <row r="34" spans="1:2" x14ac:dyDescent="0.55000000000000004">
      <c r="A34" s="115"/>
      <c r="B34" s="139"/>
    </row>
    <row r="36" spans="1:2" x14ac:dyDescent="0.55000000000000004">
      <c r="A36" s="124"/>
      <c r="B36" s="140"/>
    </row>
    <row r="37" spans="1:2" x14ac:dyDescent="0.55000000000000004">
      <c r="B37" s="142"/>
    </row>
    <row r="39" spans="1:2" x14ac:dyDescent="0.55000000000000004">
      <c r="A39" s="115"/>
      <c r="B39" s="139"/>
    </row>
    <row r="40" spans="1:2" x14ac:dyDescent="0.55000000000000004">
      <c r="A40" s="115"/>
      <c r="B40" s="139"/>
    </row>
    <row r="41" spans="1:2" x14ac:dyDescent="0.55000000000000004">
      <c r="A41" s="115"/>
      <c r="B41" s="139"/>
    </row>
    <row r="42" spans="1:2" x14ac:dyDescent="0.55000000000000004">
      <c r="A42" s="115"/>
      <c r="B42" s="139"/>
    </row>
    <row r="43" spans="1:2" x14ac:dyDescent="0.55000000000000004">
      <c r="A43" s="115"/>
      <c r="B43" s="139"/>
    </row>
    <row r="44" spans="1:2" x14ac:dyDescent="0.55000000000000004">
      <c r="A44" s="115"/>
      <c r="B44" s="139"/>
    </row>
    <row r="45" spans="1:2" x14ac:dyDescent="0.55000000000000004">
      <c r="A45" s="115"/>
      <c r="B45" s="139"/>
    </row>
    <row r="46" spans="1:2" x14ac:dyDescent="0.55000000000000004">
      <c r="A46" s="115"/>
      <c r="B46" s="139"/>
    </row>
    <row r="48" spans="1:2" x14ac:dyDescent="0.55000000000000004">
      <c r="A48" s="124"/>
      <c r="B48" s="140"/>
    </row>
    <row r="49" spans="2:2" x14ac:dyDescent="0.55000000000000004">
      <c r="B49" s="142"/>
    </row>
  </sheetData>
  <mergeCells count="5">
    <mergeCell ref="A1:B2"/>
    <mergeCell ref="D1:E2"/>
    <mergeCell ref="G1:H2"/>
    <mergeCell ref="J1:K2"/>
    <mergeCell ref="M8:Q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42"/>
  <sheetViews>
    <sheetView topLeftCell="L12" zoomScale="84" zoomScaleNormal="70" workbookViewId="0">
      <selection activeCell="X42" sqref="X42"/>
    </sheetView>
  </sheetViews>
  <sheetFormatPr defaultColWidth="8.89453125" defaultRowHeight="12.3" x14ac:dyDescent="0.4"/>
  <cols>
    <col min="1" max="1" width="8.89453125" style="1"/>
    <col min="2" max="2" width="33.83984375" style="1" customWidth="1"/>
    <col min="3" max="5" width="8.89453125" style="1"/>
    <col min="6" max="6" width="37.68359375" style="1" customWidth="1"/>
    <col min="7" max="9" width="8.89453125" style="1"/>
    <col min="10" max="10" width="37.68359375" style="1" customWidth="1"/>
    <col min="11" max="16384" width="8.89453125" style="1"/>
  </cols>
  <sheetData>
    <row r="2" spans="2:12" x14ac:dyDescent="0.4">
      <c r="B2" s="176" t="s">
        <v>18</v>
      </c>
      <c r="C2" s="176"/>
      <c r="D2" s="176"/>
      <c r="F2" s="176" t="s">
        <v>19</v>
      </c>
      <c r="G2" s="176"/>
      <c r="H2" s="176"/>
      <c r="J2" s="176" t="s">
        <v>20</v>
      </c>
      <c r="K2" s="176"/>
      <c r="L2" s="176"/>
    </row>
    <row r="3" spans="2:12" x14ac:dyDescent="0.4">
      <c r="B3" s="175" t="s">
        <v>41</v>
      </c>
      <c r="C3" s="175"/>
      <c r="D3" s="175"/>
      <c r="F3" s="175" t="s">
        <v>41</v>
      </c>
      <c r="G3" s="175"/>
      <c r="H3" s="175"/>
      <c r="J3" s="175" t="s">
        <v>41</v>
      </c>
      <c r="K3" s="175"/>
      <c r="L3" s="175"/>
    </row>
    <row r="4" spans="2:12" x14ac:dyDescent="0.4">
      <c r="B4" s="1" t="s">
        <v>93</v>
      </c>
      <c r="C4" s="1">
        <v>80</v>
      </c>
      <c r="D4" s="1" t="s">
        <v>1</v>
      </c>
      <c r="F4" s="1" t="s">
        <v>93</v>
      </c>
      <c r="G4" s="1">
        <f>C4</f>
        <v>80</v>
      </c>
      <c r="H4" s="1" t="s">
        <v>1</v>
      </c>
      <c r="J4" s="1" t="s">
        <v>93</v>
      </c>
      <c r="K4" s="1">
        <f>G4</f>
        <v>80</v>
      </c>
      <c r="L4" s="1" t="s">
        <v>1</v>
      </c>
    </row>
    <row r="5" spans="2:12" x14ac:dyDescent="0.4">
      <c r="B5" s="1" t="s">
        <v>10</v>
      </c>
      <c r="C5" s="1">
        <f>FRDPARRC!D22/2</f>
        <v>25</v>
      </c>
      <c r="D5" s="1" t="s">
        <v>1</v>
      </c>
      <c r="F5" s="1" t="s">
        <v>10</v>
      </c>
      <c r="G5" s="1">
        <f>FRDPARRC!E22/2</f>
        <v>25</v>
      </c>
      <c r="H5" s="1" t="s">
        <v>1</v>
      </c>
      <c r="J5" s="1" t="s">
        <v>10</v>
      </c>
      <c r="K5" s="1">
        <f>FRDPARRC!F22/2</f>
        <v>25</v>
      </c>
      <c r="L5" s="1" t="s">
        <v>1</v>
      </c>
    </row>
    <row r="6" spans="2:12" x14ac:dyDescent="0.4">
      <c r="B6" s="1" t="s">
        <v>42</v>
      </c>
      <c r="C6" s="4">
        <f>0.25*25.4</f>
        <v>6.35</v>
      </c>
      <c r="D6" s="1" t="s">
        <v>1</v>
      </c>
      <c r="F6" s="1" t="s">
        <v>42</v>
      </c>
      <c r="G6" s="4">
        <f>0.25*25.4</f>
        <v>6.35</v>
      </c>
      <c r="H6" s="1" t="s">
        <v>1</v>
      </c>
      <c r="J6" s="1" t="s">
        <v>42</v>
      </c>
      <c r="K6" s="4">
        <f>0.25*25.4</f>
        <v>6.35</v>
      </c>
      <c r="L6" s="1" t="s">
        <v>1</v>
      </c>
    </row>
    <row r="7" spans="2:12" x14ac:dyDescent="0.4">
      <c r="B7" s="1" t="s">
        <v>63</v>
      </c>
      <c r="C7" s="5">
        <f>FRDPARRC!D16</f>
        <v>80</v>
      </c>
      <c r="D7" s="1" t="s">
        <v>1</v>
      </c>
      <c r="F7" s="1" t="s">
        <v>63</v>
      </c>
      <c r="G7" s="5">
        <f>FRDPARRC!E16</f>
        <v>80</v>
      </c>
      <c r="H7" s="1" t="s">
        <v>1</v>
      </c>
      <c r="J7" s="1" t="s">
        <v>63</v>
      </c>
      <c r="K7" s="5">
        <f>FRDPARRC!F16</f>
        <v>80</v>
      </c>
      <c r="L7" s="1" t="s">
        <v>1</v>
      </c>
    </row>
    <row r="8" spans="2:12" x14ac:dyDescent="0.4">
      <c r="B8" s="1" t="s">
        <v>43</v>
      </c>
      <c r="C8" s="5">
        <f>FRDPARRC!D15</f>
        <v>4</v>
      </c>
      <c r="D8" s="68" t="s">
        <v>44</v>
      </c>
      <c r="F8" s="1" t="s">
        <v>43</v>
      </c>
      <c r="G8" s="5">
        <f>FRDPARRC!E15</f>
        <v>5</v>
      </c>
      <c r="H8" s="68" t="s">
        <v>44</v>
      </c>
      <c r="J8" s="1" t="s">
        <v>43</v>
      </c>
      <c r="K8" s="5">
        <f>FRDPARRC!F15</f>
        <v>5</v>
      </c>
      <c r="L8" s="68" t="s">
        <v>44</v>
      </c>
    </row>
    <row r="9" spans="2:12" x14ac:dyDescent="0.4">
      <c r="C9" s="5"/>
      <c r="G9" s="5"/>
      <c r="K9" s="5"/>
    </row>
    <row r="10" spans="2:12" x14ac:dyDescent="0.4">
      <c r="B10" s="175" t="s">
        <v>40</v>
      </c>
      <c r="C10" s="175"/>
      <c r="D10" s="175"/>
      <c r="F10" s="175" t="s">
        <v>40</v>
      </c>
      <c r="G10" s="175"/>
      <c r="H10" s="175"/>
      <c r="J10" s="175" t="s">
        <v>40</v>
      </c>
      <c r="K10" s="175"/>
      <c r="L10" s="175"/>
    </row>
    <row r="11" spans="2:12" x14ac:dyDescent="0.4">
      <c r="B11" s="31" t="s">
        <v>46</v>
      </c>
      <c r="C11" s="3">
        <f>FRDPARRC!D17</f>
        <v>6.35</v>
      </c>
      <c r="D11" s="1" t="s">
        <v>1</v>
      </c>
      <c r="F11" s="31" t="s">
        <v>46</v>
      </c>
      <c r="G11" s="3">
        <f>FRDPARRC!E17</f>
        <v>6.35</v>
      </c>
      <c r="H11" s="1" t="s">
        <v>1</v>
      </c>
      <c r="J11" s="31" t="s">
        <v>46</v>
      </c>
      <c r="K11" s="3">
        <f>FRDPARRC!F17</f>
        <v>6.35</v>
      </c>
      <c r="L11" s="1" t="s">
        <v>1</v>
      </c>
    </row>
    <row r="12" spans="2:12" x14ac:dyDescent="0.4">
      <c r="B12" s="31" t="s">
        <v>47</v>
      </c>
      <c r="C12" s="3">
        <f>FRDPARRC!D18</f>
        <v>5.08</v>
      </c>
      <c r="D12" s="1" t="s">
        <v>1</v>
      </c>
      <c r="F12" s="31" t="s">
        <v>47</v>
      </c>
      <c r="G12" s="3">
        <f>FRDPARRC!E18</f>
        <v>1.65</v>
      </c>
      <c r="H12" s="1" t="s">
        <v>1</v>
      </c>
      <c r="J12" s="31" t="s">
        <v>47</v>
      </c>
      <c r="K12" s="3">
        <f>FRDPARRC!F18</f>
        <v>4.4449999999999994</v>
      </c>
      <c r="L12" s="1" t="s">
        <v>1</v>
      </c>
    </row>
    <row r="13" spans="2:12" x14ac:dyDescent="0.4">
      <c r="B13" s="17" t="s">
        <v>48</v>
      </c>
      <c r="C13" s="4">
        <f>FRDPARRC!D20</f>
        <v>110.28787781453727</v>
      </c>
      <c r="D13" s="1" t="s">
        <v>1</v>
      </c>
      <c r="F13" s="17" t="s">
        <v>48</v>
      </c>
      <c r="G13" s="4">
        <f>FRDPARRC!E20</f>
        <v>108.50733639274056</v>
      </c>
      <c r="H13" s="1" t="s">
        <v>1</v>
      </c>
      <c r="J13" s="17" t="s">
        <v>48</v>
      </c>
      <c r="K13" s="4">
        <f>FRDPARRC!F20</f>
        <v>108.50733639274056</v>
      </c>
      <c r="L13" s="1" t="s">
        <v>1</v>
      </c>
    </row>
    <row r="14" spans="2:12" x14ac:dyDescent="0.4">
      <c r="B14" s="17" t="s">
        <v>49</v>
      </c>
      <c r="C14" s="1">
        <f>FRDPARRC!D19</f>
        <v>43.5</v>
      </c>
      <c r="D14" s="1" t="s">
        <v>45</v>
      </c>
      <c r="F14" s="17" t="s">
        <v>49</v>
      </c>
      <c r="G14" s="1">
        <f>FRDPARRC!E19</f>
        <v>42.5</v>
      </c>
      <c r="H14" s="1" t="s">
        <v>45</v>
      </c>
      <c r="J14" s="17" t="s">
        <v>49</v>
      </c>
      <c r="K14" s="1">
        <f>FRDPARRC!F19</f>
        <v>42.5</v>
      </c>
      <c r="L14" s="1" t="s">
        <v>45</v>
      </c>
    </row>
    <row r="15" spans="2:12" x14ac:dyDescent="0.4">
      <c r="B15" s="17" t="s">
        <v>50</v>
      </c>
      <c r="C15" s="3">
        <f>C11*C12</f>
        <v>32.257999999999996</v>
      </c>
      <c r="D15" s="1" t="s">
        <v>51</v>
      </c>
      <c r="F15" s="17" t="s">
        <v>50</v>
      </c>
      <c r="G15" s="3">
        <f>G11*G12</f>
        <v>10.477499999999999</v>
      </c>
      <c r="H15" s="1" t="s">
        <v>51</v>
      </c>
      <c r="J15" s="17" t="s">
        <v>50</v>
      </c>
      <c r="K15" s="3">
        <f>K11*K12</f>
        <v>28.225749999999994</v>
      </c>
      <c r="L15" s="1" t="s">
        <v>51</v>
      </c>
    </row>
    <row r="16" spans="2:12" x14ac:dyDescent="0.4">
      <c r="B16" s="17" t="s">
        <v>52</v>
      </c>
      <c r="C16" s="3">
        <f>C12^3*C11/12</f>
        <v>69.371904266666661</v>
      </c>
      <c r="D16" s="1" t="s">
        <v>27</v>
      </c>
      <c r="F16" s="17" t="s">
        <v>52</v>
      </c>
      <c r="G16" s="3">
        <f>G12^3*G11/12</f>
        <v>2.3770828124999999</v>
      </c>
      <c r="H16" s="1" t="s">
        <v>27</v>
      </c>
      <c r="J16" s="17" t="s">
        <v>52</v>
      </c>
      <c r="K16" s="3">
        <f>K12^3*K11/12</f>
        <v>46.473756178645822</v>
      </c>
      <c r="L16" s="1" t="s">
        <v>27</v>
      </c>
    </row>
    <row r="17" spans="2:12" x14ac:dyDescent="0.4">
      <c r="B17" s="17"/>
      <c r="F17" s="17"/>
    </row>
    <row r="18" spans="2:12" x14ac:dyDescent="0.4">
      <c r="B18" s="175" t="s">
        <v>53</v>
      </c>
      <c r="C18" s="175"/>
      <c r="D18" s="175"/>
      <c r="F18" s="175" t="s">
        <v>53</v>
      </c>
      <c r="G18" s="175"/>
      <c r="H18" s="175"/>
      <c r="J18" s="175" t="s">
        <v>17</v>
      </c>
      <c r="K18" s="175"/>
      <c r="L18" s="175"/>
    </row>
    <row r="19" spans="2:12" x14ac:dyDescent="0.4">
      <c r="B19" s="1" t="s">
        <v>11</v>
      </c>
      <c r="C19" s="5">
        <v>400</v>
      </c>
      <c r="D19" s="1" t="s">
        <v>0</v>
      </c>
      <c r="F19" s="1" t="s">
        <v>11</v>
      </c>
      <c r="G19" s="5">
        <v>2700</v>
      </c>
      <c r="H19" s="1" t="s">
        <v>0</v>
      </c>
      <c r="J19" s="1" t="s">
        <v>11</v>
      </c>
      <c r="K19" s="5">
        <v>1420</v>
      </c>
      <c r="L19" s="1" t="s">
        <v>0</v>
      </c>
    </row>
    <row r="20" spans="2:12" x14ac:dyDescent="0.4">
      <c r="B20" s="1" t="s">
        <v>12</v>
      </c>
      <c r="C20" s="1">
        <v>9</v>
      </c>
      <c r="D20" s="1" t="s">
        <v>14</v>
      </c>
      <c r="F20" s="1" t="s">
        <v>12</v>
      </c>
      <c r="G20" s="1">
        <v>70</v>
      </c>
      <c r="H20" s="1" t="s">
        <v>14</v>
      </c>
      <c r="J20" s="1" t="s">
        <v>12</v>
      </c>
      <c r="K20" s="1">
        <v>3</v>
      </c>
      <c r="L20" s="1" t="s">
        <v>14</v>
      </c>
    </row>
    <row r="21" spans="2:12" x14ac:dyDescent="0.4">
      <c r="B21" s="1" t="s">
        <v>13</v>
      </c>
      <c r="C21" s="1">
        <v>30</v>
      </c>
      <c r="D21" s="1" t="s">
        <v>2</v>
      </c>
      <c r="F21" s="1" t="s">
        <v>13</v>
      </c>
      <c r="G21" s="1">
        <v>270</v>
      </c>
      <c r="H21" s="1" t="s">
        <v>2</v>
      </c>
      <c r="J21" s="1" t="s">
        <v>13</v>
      </c>
      <c r="K21" s="1">
        <v>80</v>
      </c>
      <c r="L21" s="1" t="s">
        <v>2</v>
      </c>
    </row>
    <row r="22" spans="2:12" x14ac:dyDescent="0.4">
      <c r="B22" s="1" t="s">
        <v>24</v>
      </c>
      <c r="C22" s="1">
        <v>0.33</v>
      </c>
      <c r="F22" s="1" t="s">
        <v>24</v>
      </c>
      <c r="G22" s="1">
        <v>0.33</v>
      </c>
      <c r="J22" s="1" t="s">
        <v>24</v>
      </c>
      <c r="K22" s="1">
        <v>0.33</v>
      </c>
    </row>
    <row r="24" spans="2:12" x14ac:dyDescent="0.4">
      <c r="C24" s="5"/>
      <c r="G24" s="5"/>
      <c r="K24" s="5"/>
    </row>
    <row r="25" spans="2:12" x14ac:dyDescent="0.4">
      <c r="B25" s="175" t="s">
        <v>54</v>
      </c>
      <c r="C25" s="175"/>
      <c r="D25" s="175"/>
      <c r="F25" s="175" t="s">
        <v>54</v>
      </c>
      <c r="G25" s="175"/>
      <c r="H25" s="175"/>
      <c r="J25" s="175" t="s">
        <v>54</v>
      </c>
      <c r="K25" s="175"/>
      <c r="L25" s="175"/>
    </row>
    <row r="26" spans="2:12" x14ac:dyDescent="0.4">
      <c r="B26" s="1" t="s">
        <v>55</v>
      </c>
      <c r="C26" s="5">
        <f>C19*C8*C13*C15*(0.001^3)*1000</f>
        <v>5.6922661800661487</v>
      </c>
      <c r="D26" s="1" t="s">
        <v>3</v>
      </c>
      <c r="F26" s="1" t="s">
        <v>55</v>
      </c>
      <c r="G26" s="5">
        <f>G19*G8*G13*G15*(0.001^3)*1000</f>
        <v>15.347955830241679</v>
      </c>
      <c r="H26" s="1" t="s">
        <v>3</v>
      </c>
      <c r="J26" s="1" t="s">
        <v>55</v>
      </c>
      <c r="K26" s="5">
        <f>K19*K8*K13*K15*(0.001^3)*1000</f>
        <v>21.745176746330511</v>
      </c>
      <c r="L26" s="1" t="s">
        <v>3</v>
      </c>
    </row>
    <row r="27" spans="2:12" x14ac:dyDescent="0.4">
      <c r="B27" s="1" t="s">
        <v>15</v>
      </c>
      <c r="C27" s="5">
        <f>C19*PI()*C4^2*C6*(0.001^3)*1000/4</f>
        <v>12.767432544188921</v>
      </c>
      <c r="D27" s="1" t="s">
        <v>3</v>
      </c>
      <c r="F27" s="1" t="s">
        <v>15</v>
      </c>
      <c r="G27" s="5">
        <f>G19*PI()*G4^2*G6*(0.001^3)*1000/4</f>
        <v>86.18016967327523</v>
      </c>
      <c r="H27" s="1" t="s">
        <v>3</v>
      </c>
      <c r="J27" s="1" t="s">
        <v>15</v>
      </c>
      <c r="K27" s="5">
        <f>K19*PI()*K4^2*K6*(0.001^3)*1000/4</f>
        <v>45.324385531870661</v>
      </c>
      <c r="L27" s="1" t="s">
        <v>3</v>
      </c>
    </row>
    <row r="28" spans="2:12" x14ac:dyDescent="0.4">
      <c r="B28" s="1" t="s">
        <v>16</v>
      </c>
      <c r="C28" s="5">
        <f>C26+C27</f>
        <v>18.45969872425507</v>
      </c>
      <c r="D28" s="1" t="s">
        <v>3</v>
      </c>
      <c r="F28" s="1" t="s">
        <v>16</v>
      </c>
      <c r="G28" s="5">
        <f>G26+G27</f>
        <v>101.5281255035169</v>
      </c>
      <c r="H28" s="1" t="s">
        <v>3</v>
      </c>
      <c r="J28" s="1" t="s">
        <v>16</v>
      </c>
      <c r="K28" s="5">
        <f>K26+K27</f>
        <v>67.069562278201175</v>
      </c>
      <c r="L28" s="1" t="s">
        <v>3</v>
      </c>
    </row>
    <row r="30" spans="2:12" x14ac:dyDescent="0.4">
      <c r="B30" s="175" t="s">
        <v>56</v>
      </c>
      <c r="C30" s="175"/>
      <c r="D30" s="175"/>
      <c r="F30" s="175" t="s">
        <v>56</v>
      </c>
      <c r="G30" s="175"/>
      <c r="H30" s="175"/>
      <c r="J30" s="175" t="s">
        <v>56</v>
      </c>
      <c r="K30" s="175"/>
      <c r="L30" s="175"/>
    </row>
    <row r="31" spans="2:12" x14ac:dyDescent="0.4">
      <c r="B31" s="1" t="s">
        <v>58</v>
      </c>
      <c r="C31" s="1">
        <v>1200</v>
      </c>
      <c r="D31" s="1" t="s">
        <v>3</v>
      </c>
      <c r="F31" s="1" t="s">
        <v>58</v>
      </c>
      <c r="G31" s="1">
        <f>C31</f>
        <v>1200</v>
      </c>
      <c r="H31" s="1" t="s">
        <v>3</v>
      </c>
      <c r="J31" s="1" t="s">
        <v>58</v>
      </c>
      <c r="K31" s="1">
        <f>G31</f>
        <v>1200</v>
      </c>
      <c r="L31" s="1" t="s">
        <v>3</v>
      </c>
    </row>
    <row r="32" spans="2:12" x14ac:dyDescent="0.4">
      <c r="B32" s="1" t="s">
        <v>59</v>
      </c>
      <c r="C32" s="1">
        <v>500</v>
      </c>
      <c r="D32" s="1" t="s">
        <v>3</v>
      </c>
      <c r="F32" s="1" t="s">
        <v>59</v>
      </c>
      <c r="G32" s="1">
        <f>C32</f>
        <v>500</v>
      </c>
      <c r="H32" s="1" t="s">
        <v>3</v>
      </c>
      <c r="J32" s="1" t="s">
        <v>59</v>
      </c>
      <c r="K32" s="1">
        <f>G32</f>
        <v>500</v>
      </c>
      <c r="L32" s="1" t="s">
        <v>3</v>
      </c>
    </row>
    <row r="34" spans="2:12" x14ac:dyDescent="0.4">
      <c r="B34" s="1" t="s">
        <v>57</v>
      </c>
      <c r="C34" s="4">
        <f>(C20*1000/C13)*((SIN(C14*PI()/180)^2*C13^2/(3*C16))+(COS(C14*PI()/180)^2/C15))^(-1)</f>
        <v>2.9449905857661678</v>
      </c>
      <c r="D34" s="1" t="s">
        <v>60</v>
      </c>
      <c r="F34" s="1" t="s">
        <v>57</v>
      </c>
      <c r="G34" s="3">
        <f>(G20*1000/G13)*((SIN(G14*PI()/180)^2*G13^2/(3*G16))+(COS(G14*PI()/180)^2/G15))^(-1)</f>
        <v>0.85603142447602043</v>
      </c>
      <c r="H34" s="1" t="s">
        <v>60</v>
      </c>
      <c r="J34" s="1" t="s">
        <v>57</v>
      </c>
      <c r="K34" s="2">
        <f>(K20*1000/K13)*((SIN(K14*PI()/180)^2*K13^2/(3*K16))+(COS(K14*PI()/180)^2/K15))^(-1)</f>
        <v>0.71695078764083531</v>
      </c>
      <c r="L34" s="1" t="s">
        <v>60</v>
      </c>
    </row>
    <row r="35" spans="2:12" ht="24.6" x14ac:dyDescent="0.4">
      <c r="B35" s="69" t="s">
        <v>156</v>
      </c>
      <c r="C35" s="5">
        <f>(1/3)*(C31+C28)*0.001*9.81*((SIN(C14*PI()/180)*C13*C12/(2*C16))+(COS(C14*PI()/180)/C15))</f>
        <v>11.164729404012295</v>
      </c>
      <c r="D35" s="1" t="s">
        <v>2</v>
      </c>
      <c r="F35" s="69" t="s">
        <v>156</v>
      </c>
      <c r="G35" s="5">
        <f>(1/3)*(G31+G28)*0.001*9.81*((SIN(G14*PI()/180)*G13*G12/(2*G16))+(COS(G14*PI()/180)/G15))</f>
        <v>108.58076825078449</v>
      </c>
      <c r="H35" s="1" t="s">
        <v>2</v>
      </c>
      <c r="J35" s="69" t="s">
        <v>156</v>
      </c>
      <c r="K35" s="5">
        <f>(1/3)*(K31+K28)*0.001*9.81*((SIN(K14*PI()/180)*K13*K12/(2*K16))+(COS(K14*PI()/180)/K15))</f>
        <v>14.633511223170146</v>
      </c>
      <c r="L35" s="1" t="s">
        <v>2</v>
      </c>
    </row>
    <row r="36" spans="2:12" ht="24.6" x14ac:dyDescent="0.4">
      <c r="B36" s="69" t="s">
        <v>113</v>
      </c>
      <c r="C36" s="5">
        <f>(1/C8)*(C31+C28)*0.001*9.81*((SIN(C14*PI()/180)*C13*C12/(2*C16))+(COS(C14*PI()/180)/C15))</f>
        <v>8.3735470530092222</v>
      </c>
      <c r="D36" s="1" t="s">
        <v>2</v>
      </c>
      <c r="F36" s="69" t="s">
        <v>113</v>
      </c>
      <c r="G36" s="5">
        <f>(1/G8)*(G31+G28)*0.001*9.81*((SIN(G14*PI()/180)*G13*G12/(2*G16))+(COS(G14*PI()/180)/G15))</f>
        <v>65.148460950470707</v>
      </c>
      <c r="H36" s="1" t="s">
        <v>2</v>
      </c>
      <c r="J36" s="69" t="s">
        <v>113</v>
      </c>
      <c r="K36" s="5">
        <f>(1/K8)*(K31+K28)*0.001*9.81*((SIN(K14*PI()/180)*K13*K12/(2*K16))+(COS(K14*PI()/180)/K15))</f>
        <v>8.7801067339020875</v>
      </c>
      <c r="L36" s="1" t="s">
        <v>2</v>
      </c>
    </row>
    <row r="37" spans="2:12" ht="24.6" x14ac:dyDescent="0.4">
      <c r="B37" s="69" t="s">
        <v>109</v>
      </c>
      <c r="C37" s="70">
        <f>(C32+C28)*0.001*9.81/((3)*C34)</f>
        <v>0.57567695564882393</v>
      </c>
      <c r="D37" s="1" t="s">
        <v>1</v>
      </c>
      <c r="F37" s="69" t="s">
        <v>109</v>
      </c>
      <c r="G37" s="70">
        <f>(G32+G28)*0.001*9.81/((3)*G34)</f>
        <v>2.2978093025037083</v>
      </c>
      <c r="H37" s="1" t="s">
        <v>1</v>
      </c>
      <c r="J37" s="69" t="s">
        <v>109</v>
      </c>
      <c r="K37" s="70">
        <f>(K32+K28)*0.001*9.81/((3)*K34)</f>
        <v>2.5863943531625764</v>
      </c>
      <c r="L37" s="1" t="s">
        <v>1</v>
      </c>
    </row>
    <row r="38" spans="2:12" ht="24.6" x14ac:dyDescent="0.4">
      <c r="B38" s="69" t="s">
        <v>110</v>
      </c>
      <c r="C38" s="70">
        <f>(C31+C28)*0.001*9.81/((3)*C34)</f>
        <v>1.3529290158296865</v>
      </c>
      <c r="D38" s="1" t="s">
        <v>1</v>
      </c>
      <c r="F38" s="69" t="s">
        <v>110</v>
      </c>
      <c r="G38" s="70">
        <f>(G31+G28)*0.001*9.81/((3)*G34)</f>
        <v>4.9717765594897525</v>
      </c>
      <c r="H38" s="1" t="s">
        <v>1</v>
      </c>
      <c r="J38" s="69" t="s">
        <v>110</v>
      </c>
      <c r="K38" s="70">
        <f>(K31+K28)*0.001*9.81/((3)*K34)</f>
        <v>5.7790821072719991</v>
      </c>
      <c r="L38" s="1" t="s">
        <v>1</v>
      </c>
    </row>
    <row r="39" spans="2:12" ht="24.6" x14ac:dyDescent="0.4">
      <c r="B39" s="69" t="s">
        <v>111</v>
      </c>
      <c r="C39" s="70">
        <f>(C32+C28)*0.001*9.81/((C8-1)*C34)</f>
        <v>0.57567695564882393</v>
      </c>
      <c r="D39" s="1" t="s">
        <v>1</v>
      </c>
      <c r="F39" s="69" t="s">
        <v>111</v>
      </c>
      <c r="G39" s="70">
        <f>(G32+G28)*0.001*9.81/((G8-1)*G34)</f>
        <v>1.7233569768777812</v>
      </c>
      <c r="H39" s="1" t="s">
        <v>1</v>
      </c>
      <c r="J39" s="69" t="s">
        <v>111</v>
      </c>
      <c r="K39" s="70">
        <f>(K32+K28)*0.001*9.81/((K8-1)*K34)</f>
        <v>1.9397957648719322</v>
      </c>
      <c r="L39" s="1" t="s">
        <v>1</v>
      </c>
    </row>
    <row r="40" spans="2:12" ht="24.6" x14ac:dyDescent="0.4">
      <c r="B40" s="69" t="s">
        <v>112</v>
      </c>
      <c r="C40" s="70">
        <f>(C31+C28)*0.001*9.81/((C8-1)*C34)</f>
        <v>1.3529290158296865</v>
      </c>
      <c r="D40" s="1" t="s">
        <v>1</v>
      </c>
      <c r="F40" s="69" t="s">
        <v>112</v>
      </c>
      <c r="G40" s="70">
        <f>(G31+G28)*0.001*9.81/((G8-1)*G34)</f>
        <v>3.7288324196173144</v>
      </c>
      <c r="H40" s="1" t="s">
        <v>1</v>
      </c>
      <c r="J40" s="69" t="s">
        <v>112</v>
      </c>
      <c r="K40" s="70">
        <f>(K31+K28)*0.001*9.81/((K8-1)*K34)</f>
        <v>4.3343115804539991</v>
      </c>
      <c r="L40" s="1" t="s">
        <v>1</v>
      </c>
    </row>
    <row r="41" spans="2:12" ht="24.6" x14ac:dyDescent="0.4">
      <c r="B41" s="69" t="s">
        <v>62</v>
      </c>
      <c r="C41" s="71">
        <f>ASIN(C37/(2*(C5+C13*SIN(C14*PI()/180))))*180/PI()</f>
        <v>0.16342068533745274</v>
      </c>
      <c r="D41" s="1" t="s">
        <v>45</v>
      </c>
      <c r="F41" s="69" t="s">
        <v>62</v>
      </c>
      <c r="G41" s="71">
        <f>ASIN(G37/(2*(G5+G13*SIN(G14*PI()/180))))*180/PI()</f>
        <v>0.6696290708115461</v>
      </c>
      <c r="H41" s="1" t="s">
        <v>45</v>
      </c>
      <c r="J41" s="69" t="s">
        <v>62</v>
      </c>
      <c r="K41" s="71">
        <f>ASIN(K37/(2*(K5+K13*SIN(K14*PI()/180))))*180/PI()</f>
        <v>0.75373329360847596</v>
      </c>
      <c r="L41" s="1" t="s">
        <v>45</v>
      </c>
    </row>
    <row r="42" spans="2:12" ht="24.6" x14ac:dyDescent="0.4">
      <c r="B42" s="69" t="s">
        <v>68</v>
      </c>
      <c r="C42" s="71">
        <f>ASIN(C38/(2*(C6+C13*SIN(C14*PI()/180))))*180/PI()</f>
        <v>0.4711356945253472</v>
      </c>
      <c r="D42" s="1" t="s">
        <v>45</v>
      </c>
      <c r="F42" s="69" t="s">
        <v>68</v>
      </c>
      <c r="G42" s="71">
        <f>ASIN(G38/(2*(G6+G13*SIN(G14*PI()/180))))*180/PI()</f>
        <v>1.7883543343469843</v>
      </c>
      <c r="H42" s="1" t="s">
        <v>45</v>
      </c>
      <c r="J42" s="69" t="s">
        <v>68</v>
      </c>
      <c r="K42" s="71">
        <f>ASIN(K38/(2*(K6+K13*SIN(K14*PI()/180))))*180/PI()</f>
        <v>2.0788617422029958</v>
      </c>
      <c r="L42" s="1" t="s">
        <v>45</v>
      </c>
    </row>
  </sheetData>
  <mergeCells count="18">
    <mergeCell ref="B30:D30"/>
    <mergeCell ref="F10:H10"/>
    <mergeCell ref="F30:H30"/>
    <mergeCell ref="J10:L10"/>
    <mergeCell ref="B2:D2"/>
    <mergeCell ref="J30:L30"/>
    <mergeCell ref="B3:D3"/>
    <mergeCell ref="B18:D18"/>
    <mergeCell ref="B25:D25"/>
    <mergeCell ref="J25:L25"/>
    <mergeCell ref="F2:H2"/>
    <mergeCell ref="F3:H3"/>
    <mergeCell ref="F18:H18"/>
    <mergeCell ref="F25:H25"/>
    <mergeCell ref="J2:L2"/>
    <mergeCell ref="J3:L3"/>
    <mergeCell ref="J18:L18"/>
    <mergeCell ref="B10:D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17"/>
  <sheetViews>
    <sheetView zoomScale="85" zoomScaleNormal="85" workbookViewId="0">
      <selection activeCell="F34" sqref="F34"/>
    </sheetView>
  </sheetViews>
  <sheetFormatPr defaultColWidth="8.89453125" defaultRowHeight="13.8" x14ac:dyDescent="0.45"/>
  <cols>
    <col min="1" max="1" width="8.89453125" style="15"/>
    <col min="2" max="2" width="29.1015625" style="15" customWidth="1"/>
    <col min="3" max="3" width="16.68359375" style="15" customWidth="1"/>
    <col min="4" max="4" width="10" style="15" customWidth="1"/>
    <col min="5" max="5" width="9.41796875" style="15" customWidth="1"/>
    <col min="6" max="6" width="10.41796875" style="15" customWidth="1"/>
    <col min="7" max="7" width="12.1015625" style="15" customWidth="1"/>
    <col min="8" max="8" width="17" style="15" customWidth="1"/>
    <col min="9" max="9" width="8.89453125" style="15"/>
    <col min="10" max="10" width="27.20703125" style="15" bestFit="1" customWidth="1"/>
    <col min="11" max="11" width="8.89453125" style="15"/>
    <col min="12" max="12" width="5.89453125" style="15" bestFit="1" customWidth="1"/>
    <col min="13" max="16384" width="8.89453125" style="15"/>
  </cols>
  <sheetData>
    <row r="2" spans="1:12" ht="14.1" x14ac:dyDescent="0.5">
      <c r="B2" s="178" t="s">
        <v>32</v>
      </c>
      <c r="C2" s="179"/>
      <c r="D2" s="180"/>
      <c r="E2" s="178" t="s">
        <v>78</v>
      </c>
      <c r="F2" s="179"/>
      <c r="G2" s="179"/>
      <c r="H2" s="180"/>
      <c r="J2" s="182" t="s">
        <v>98</v>
      </c>
      <c r="K2" s="183"/>
      <c r="L2" s="184"/>
    </row>
    <row r="3" spans="1:12" x14ac:dyDescent="0.45">
      <c r="B3" s="51"/>
      <c r="C3" s="50" t="s">
        <v>28</v>
      </c>
      <c r="D3" s="57" t="s">
        <v>31</v>
      </c>
      <c r="E3" s="49" t="s">
        <v>29</v>
      </c>
      <c r="F3" s="50" t="s">
        <v>28</v>
      </c>
      <c r="G3" s="54" t="s">
        <v>30</v>
      </c>
      <c r="H3" s="54" t="s">
        <v>33</v>
      </c>
      <c r="J3" s="8" t="s">
        <v>43</v>
      </c>
      <c r="K3" s="103">
        <v>5</v>
      </c>
      <c r="L3" s="104" t="s">
        <v>44</v>
      </c>
    </row>
    <row r="4" spans="1:12" x14ac:dyDescent="0.45">
      <c r="B4" s="52" t="s">
        <v>96</v>
      </c>
      <c r="C4" s="44">
        <v>1.65</v>
      </c>
      <c r="D4" s="55">
        <v>0.02</v>
      </c>
      <c r="E4" s="43">
        <v>1.99</v>
      </c>
      <c r="F4" s="44">
        <v>2.06</v>
      </c>
      <c r="G4" s="55">
        <v>2.15</v>
      </c>
      <c r="H4" s="45">
        <f>MAX(G4/F4-1,1-E4/F4)*100</f>
        <v>4.3689320388349495</v>
      </c>
      <c r="J4" s="10" t="s">
        <v>46</v>
      </c>
      <c r="K4" s="95">
        <v>6.35</v>
      </c>
      <c r="L4" s="11" t="s">
        <v>1</v>
      </c>
    </row>
    <row r="5" spans="1:12" x14ac:dyDescent="0.45">
      <c r="B5" s="52" t="s">
        <v>94</v>
      </c>
      <c r="C5" s="44">
        <v>108.5</v>
      </c>
      <c r="D5" s="55">
        <v>1</v>
      </c>
      <c r="E5" s="43">
        <v>2.12</v>
      </c>
      <c r="F5" s="44">
        <v>2.06</v>
      </c>
      <c r="G5" s="55">
        <v>2.0099999999999998</v>
      </c>
      <c r="H5" s="45">
        <f>MAX(1-G5/F5,E5/F5-1)*100</f>
        <v>2.9126213592232997</v>
      </c>
      <c r="J5" s="10" t="s">
        <v>47</v>
      </c>
      <c r="K5" s="106">
        <v>1.651</v>
      </c>
      <c r="L5" s="11" t="s">
        <v>1</v>
      </c>
    </row>
    <row r="6" spans="1:12" x14ac:dyDescent="0.45">
      <c r="B6" s="52" t="s">
        <v>95</v>
      </c>
      <c r="C6" s="46">
        <v>6.35</v>
      </c>
      <c r="D6" s="58">
        <v>0.1</v>
      </c>
      <c r="E6" s="43">
        <v>2.0299999999999998</v>
      </c>
      <c r="F6" s="44">
        <v>2.06</v>
      </c>
      <c r="G6" s="55">
        <v>2.1</v>
      </c>
      <c r="H6" s="45">
        <f>MAX(G6/F6-1,1-E6/F6)*100</f>
        <v>1.9417475728155331</v>
      </c>
      <c r="J6" s="10" t="s">
        <v>48</v>
      </c>
      <c r="K6" s="107">
        <v>108.5</v>
      </c>
      <c r="L6" s="11" t="s">
        <v>1</v>
      </c>
    </row>
    <row r="7" spans="1:12" x14ac:dyDescent="0.45">
      <c r="B7" s="53" t="s">
        <v>97</v>
      </c>
      <c r="C7" s="60">
        <v>42.5</v>
      </c>
      <c r="D7" s="108">
        <v>0.5</v>
      </c>
      <c r="E7" s="109">
        <v>2.1</v>
      </c>
      <c r="F7" s="47">
        <v>2.06</v>
      </c>
      <c r="G7" s="56">
        <v>2.0299999999999998</v>
      </c>
      <c r="H7" s="48">
        <f>MAX(1-(G7/F7),E7/F7-1)*100</f>
        <v>1.9417475728155331</v>
      </c>
      <c r="J7" s="10" t="s">
        <v>49</v>
      </c>
      <c r="K7" s="107">
        <v>42.5</v>
      </c>
      <c r="L7" s="11" t="s">
        <v>45</v>
      </c>
    </row>
    <row r="8" spans="1:12" x14ac:dyDescent="0.45">
      <c r="B8" s="92"/>
      <c r="C8" s="44"/>
      <c r="D8" s="44"/>
      <c r="E8" s="44"/>
      <c r="F8" s="44"/>
      <c r="G8" s="44"/>
      <c r="H8" s="59"/>
      <c r="J8" s="10" t="s">
        <v>50</v>
      </c>
      <c r="K8" s="96">
        <f>K5*K4</f>
        <v>10.48385</v>
      </c>
      <c r="L8" s="11" t="s">
        <v>51</v>
      </c>
    </row>
    <row r="9" spans="1:12" x14ac:dyDescent="0.45">
      <c r="C9" s="16"/>
      <c r="D9" s="16"/>
      <c r="E9" s="16"/>
      <c r="F9" s="16"/>
      <c r="G9" s="16"/>
      <c r="J9" s="10" t="s">
        <v>52</v>
      </c>
      <c r="K9" s="96">
        <f>K5^3*K4/12</f>
        <v>2.3814074011541666</v>
      </c>
      <c r="L9" s="11" t="s">
        <v>27</v>
      </c>
    </row>
    <row r="10" spans="1:12" x14ac:dyDescent="0.45">
      <c r="B10" s="92"/>
      <c r="C10" s="44"/>
      <c r="D10" s="44"/>
      <c r="E10" s="44"/>
      <c r="F10" s="44"/>
      <c r="G10" s="44"/>
      <c r="J10" s="10" t="s">
        <v>12</v>
      </c>
      <c r="K10" s="95">
        <v>70</v>
      </c>
      <c r="L10" s="11" t="s">
        <v>14</v>
      </c>
    </row>
    <row r="11" spans="1:12" x14ac:dyDescent="0.45">
      <c r="A11" s="92"/>
      <c r="B11" s="92"/>
      <c r="C11" s="44"/>
      <c r="D11" s="44"/>
      <c r="E11" s="44"/>
      <c r="F11" s="44"/>
      <c r="G11" s="44"/>
      <c r="J11" s="10" t="s">
        <v>16</v>
      </c>
      <c r="K11" s="99">
        <v>422</v>
      </c>
      <c r="L11" s="11" t="s">
        <v>3</v>
      </c>
    </row>
    <row r="12" spans="1:12" ht="14.1" x14ac:dyDescent="0.5">
      <c r="A12" s="92"/>
      <c r="B12" s="181"/>
      <c r="C12" s="181"/>
      <c r="D12" s="181"/>
      <c r="E12" s="177"/>
      <c r="F12" s="177"/>
      <c r="G12" s="177"/>
      <c r="J12" s="12" t="s">
        <v>59</v>
      </c>
      <c r="K12" s="105">
        <v>300</v>
      </c>
      <c r="L12" s="13" t="s">
        <v>3</v>
      </c>
    </row>
    <row r="13" spans="1:12" ht="14.1" x14ac:dyDescent="0.5">
      <c r="A13" s="92"/>
      <c r="B13" s="93"/>
      <c r="C13" s="44"/>
      <c r="D13" s="94"/>
      <c r="E13" s="44"/>
      <c r="F13" s="44"/>
      <c r="G13" s="44"/>
      <c r="J13" s="42"/>
      <c r="K13" s="97"/>
      <c r="L13" s="42"/>
    </row>
    <row r="14" spans="1:12" x14ac:dyDescent="0.45">
      <c r="A14" s="92"/>
      <c r="B14" s="92"/>
      <c r="C14" s="46"/>
      <c r="D14" s="44"/>
      <c r="E14" s="59"/>
      <c r="F14" s="44"/>
      <c r="G14" s="59"/>
      <c r="J14" s="8" t="s">
        <v>57</v>
      </c>
      <c r="K14" s="102">
        <f>(K10*1000/K6)*((SIN(K7*PI()/180)^2*K6^2/(3*K9))+(COS(K7*PI()/180)^2/K8))^(-1)</f>
        <v>0.85776268240936748</v>
      </c>
      <c r="L14" s="9" t="s">
        <v>60</v>
      </c>
    </row>
    <row r="15" spans="1:12" ht="24.9" x14ac:dyDescent="0.45">
      <c r="A15" s="92"/>
      <c r="B15" s="92"/>
      <c r="C15" s="44"/>
      <c r="D15" s="44"/>
      <c r="E15" s="59"/>
      <c r="F15" s="44"/>
      <c r="G15" s="59"/>
      <c r="J15" s="100" t="s">
        <v>61</v>
      </c>
      <c r="K15" s="101">
        <f>(K11+K12)*0.001*9.81/((K3-1)*K14)</f>
        <v>2.0643297223263093</v>
      </c>
      <c r="L15" s="13" t="s">
        <v>1</v>
      </c>
    </row>
    <row r="16" spans="1:12" x14ac:dyDescent="0.45">
      <c r="A16" s="92"/>
      <c r="B16" s="92"/>
      <c r="C16" s="44"/>
      <c r="D16" s="44"/>
      <c r="E16" s="44"/>
      <c r="F16" s="44"/>
      <c r="G16" s="44"/>
    </row>
    <row r="17" spans="1:12" x14ac:dyDescent="0.45">
      <c r="A17" s="92"/>
      <c r="J17" s="42"/>
      <c r="K17" s="98"/>
      <c r="L17" s="42"/>
    </row>
  </sheetData>
  <mergeCells count="5">
    <mergeCell ref="E12:G12"/>
    <mergeCell ref="B2:D2"/>
    <mergeCell ref="E2:H2"/>
    <mergeCell ref="B12:D12"/>
    <mergeCell ref="J2:L2"/>
  </mergeCells>
  <pageMargins left="0.7" right="0.7" top="0.75" bottom="0.75" header="0.3" footer="0.3"/>
  <pageSetup orientation="portrait" horizontalDpi="4294967295" verticalDpi="4294967295" r:id="rId1"/>
  <ignoredErrors>
    <ignoredError sqref="H7 H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03C5-B958-4C75-9B79-580AA0D412CD}">
  <dimension ref="A3:E25"/>
  <sheetViews>
    <sheetView topLeftCell="A6" workbookViewId="0">
      <selection activeCell="C38" sqref="C38"/>
    </sheetView>
  </sheetViews>
  <sheetFormatPr defaultRowHeight="14.4" x14ac:dyDescent="0.55000000000000004"/>
  <cols>
    <col min="1" max="1" width="23.83984375" customWidth="1"/>
    <col min="2" max="2" width="22.26171875" customWidth="1"/>
    <col min="4" max="4" width="6" customWidth="1"/>
  </cols>
  <sheetData>
    <row r="3" spans="1:3" x14ac:dyDescent="0.55000000000000004">
      <c r="A3" s="6" t="s">
        <v>116</v>
      </c>
      <c r="B3" s="7"/>
    </row>
    <row r="4" spans="1:3" x14ac:dyDescent="0.55000000000000004">
      <c r="A4" s="38" t="s">
        <v>117</v>
      </c>
      <c r="B4" s="38" t="s">
        <v>115</v>
      </c>
    </row>
    <row r="5" spans="1:3" x14ac:dyDescent="0.55000000000000004">
      <c r="A5" s="116">
        <v>1</v>
      </c>
      <c r="B5" s="116">
        <v>0.24</v>
      </c>
    </row>
    <row r="6" spans="1:3" x14ac:dyDescent="0.55000000000000004">
      <c r="A6" s="116">
        <v>2.6</v>
      </c>
      <c r="B6" s="116">
        <v>0.49</v>
      </c>
    </row>
    <row r="7" spans="1:3" x14ac:dyDescent="0.55000000000000004">
      <c r="A7" s="116">
        <v>4.5</v>
      </c>
      <c r="B7" s="116">
        <v>0.78</v>
      </c>
    </row>
    <row r="8" spans="1:3" x14ac:dyDescent="0.55000000000000004">
      <c r="A8" s="116">
        <v>5.7</v>
      </c>
      <c r="B8" s="116">
        <v>1.25</v>
      </c>
    </row>
    <row r="9" spans="1:3" x14ac:dyDescent="0.55000000000000004">
      <c r="A9" s="116">
        <v>7.2</v>
      </c>
      <c r="B9" s="116">
        <v>1.43</v>
      </c>
    </row>
    <row r="13" spans="1:3" x14ac:dyDescent="0.55000000000000004">
      <c r="A13" s="122" t="s">
        <v>123</v>
      </c>
      <c r="B13" s="123"/>
      <c r="C13" s="123"/>
    </row>
    <row r="14" spans="1:3" ht="28.8" x14ac:dyDescent="0.55000000000000004">
      <c r="A14" s="119" t="s">
        <v>118</v>
      </c>
      <c r="B14" s="120" t="s">
        <v>119</v>
      </c>
      <c r="C14" s="118" t="s">
        <v>124</v>
      </c>
    </row>
    <row r="15" spans="1:3" ht="43.2" x14ac:dyDescent="0.55000000000000004">
      <c r="A15" s="119" t="s">
        <v>120</v>
      </c>
      <c r="B15" s="121" t="s">
        <v>158</v>
      </c>
      <c r="C15" s="121" t="s">
        <v>159</v>
      </c>
    </row>
    <row r="16" spans="1:3" ht="28.8" x14ac:dyDescent="0.55000000000000004">
      <c r="A16" s="119" t="s">
        <v>121</v>
      </c>
      <c r="B16" s="121" t="s">
        <v>122</v>
      </c>
      <c r="C16" s="121" t="s">
        <v>125</v>
      </c>
    </row>
    <row r="18" spans="1:5" x14ac:dyDescent="0.55000000000000004">
      <c r="A18" t="s">
        <v>126</v>
      </c>
      <c r="C18" s="116" t="s">
        <v>160</v>
      </c>
    </row>
    <row r="23" spans="1:5" x14ac:dyDescent="0.55000000000000004">
      <c r="D23" t="s">
        <v>144</v>
      </c>
      <c r="E23" t="s">
        <v>145</v>
      </c>
    </row>
    <row r="24" spans="1:5" x14ac:dyDescent="0.55000000000000004">
      <c r="E24" t="s">
        <v>146</v>
      </c>
    </row>
    <row r="25" spans="1:5" x14ac:dyDescent="0.55000000000000004">
      <c r="E25" t="s">
        <v>147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25"/>
  <sheetViews>
    <sheetView workbookViewId="0">
      <selection activeCell="C38" sqref="C38"/>
    </sheetView>
  </sheetViews>
  <sheetFormatPr defaultRowHeight="14.4" x14ac:dyDescent="0.55000000000000004"/>
  <cols>
    <col min="1" max="1" width="24.734375" customWidth="1"/>
    <col min="2" max="2" width="23.05078125" customWidth="1"/>
    <col min="3" max="3" width="34.3125" customWidth="1"/>
    <col min="7" max="7" width="25.3671875" customWidth="1"/>
  </cols>
  <sheetData>
    <row r="2" spans="1:3" x14ac:dyDescent="0.55000000000000004">
      <c r="A2" s="182" t="s">
        <v>127</v>
      </c>
      <c r="B2" s="183"/>
      <c r="C2" s="183"/>
    </row>
    <row r="3" spans="1:3" x14ac:dyDescent="0.55000000000000004">
      <c r="A3" s="124" t="s">
        <v>130</v>
      </c>
      <c r="B3" s="38" t="s">
        <v>128</v>
      </c>
      <c r="C3" s="38" t="s">
        <v>129</v>
      </c>
    </row>
    <row r="4" spans="1:3" x14ac:dyDescent="0.55000000000000004">
      <c r="A4" s="116">
        <v>2</v>
      </c>
      <c r="B4" s="126">
        <f>ATAN(B11/B7)*180/PI()</f>
        <v>0.8348222769916589</v>
      </c>
      <c r="C4" s="126">
        <f>ATAN(B12/B7)*180/PI()</f>
        <v>0.48495626681899917</v>
      </c>
    </row>
    <row r="5" spans="1:3" x14ac:dyDescent="0.55000000000000004">
      <c r="A5" s="116">
        <v>4.8</v>
      </c>
      <c r="B5" s="126">
        <f>ATAN(B13/B7)*180/PI()</f>
        <v>1.3789249732791993</v>
      </c>
      <c r="C5" s="126">
        <f>ATAN(B14/B7)*180/PI()</f>
        <v>0.7243437634382387</v>
      </c>
    </row>
    <row r="7" spans="1:3" ht="28.8" x14ac:dyDescent="0.55000000000000004">
      <c r="A7" s="117" t="s">
        <v>142</v>
      </c>
      <c r="B7" s="127">
        <v>2800</v>
      </c>
    </row>
    <row r="8" spans="1:3" x14ac:dyDescent="0.55000000000000004">
      <c r="B8" s="14"/>
    </row>
    <row r="9" spans="1:3" x14ac:dyDescent="0.55000000000000004">
      <c r="B9" s="38" t="s">
        <v>132</v>
      </c>
    </row>
    <row r="10" spans="1:3" x14ac:dyDescent="0.55000000000000004">
      <c r="A10" t="s">
        <v>131</v>
      </c>
      <c r="B10" s="125">
        <v>0</v>
      </c>
    </row>
    <row r="11" spans="1:3" x14ac:dyDescent="0.55000000000000004">
      <c r="A11" t="s">
        <v>104</v>
      </c>
      <c r="B11" s="141">
        <v>40.799999999999997</v>
      </c>
    </row>
    <row r="12" spans="1:3" x14ac:dyDescent="0.55000000000000004">
      <c r="A12" t="s">
        <v>133</v>
      </c>
      <c r="B12" s="141">
        <v>23.7</v>
      </c>
    </row>
    <row r="13" spans="1:3" x14ac:dyDescent="0.55000000000000004">
      <c r="A13" t="s">
        <v>103</v>
      </c>
      <c r="B13" s="141">
        <v>67.400000000000006</v>
      </c>
    </row>
    <row r="14" spans="1:3" x14ac:dyDescent="0.55000000000000004">
      <c r="A14" t="s">
        <v>134</v>
      </c>
      <c r="B14" s="141">
        <v>35.4</v>
      </c>
    </row>
    <row r="15" spans="1:3" x14ac:dyDescent="0.55000000000000004">
      <c r="C15" s="40"/>
    </row>
    <row r="16" spans="1:3" x14ac:dyDescent="0.55000000000000004">
      <c r="C16" s="14"/>
    </row>
    <row r="17" spans="3:14" x14ac:dyDescent="0.55000000000000004">
      <c r="C17" s="14"/>
    </row>
    <row r="18" spans="3:14" x14ac:dyDescent="0.55000000000000004">
      <c r="C18" s="39"/>
    </row>
    <row r="19" spans="3:14" x14ac:dyDescent="0.55000000000000004">
      <c r="C19" s="61"/>
    </row>
    <row r="25" spans="3:14" x14ac:dyDescent="0.55000000000000004">
      <c r="N25" s="1"/>
    </row>
  </sheetData>
  <mergeCells count="1">
    <mergeCell ref="A2:C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FRDPARRC</vt:lpstr>
      <vt:lpstr>E - STIFFNESS AND DEFLECTION</vt:lpstr>
      <vt:lpstr>A- ANALYSIS</vt:lpstr>
      <vt:lpstr>B - TOLERANCE EVALUATION</vt:lpstr>
      <vt:lpstr>C - HEIGHT DIFFERENCES</vt:lpstr>
      <vt:lpstr>D - TILT UNDER PAYLOAD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sahils</dc:creator>
  <cp:lastModifiedBy>Victor PROST</cp:lastModifiedBy>
  <cp:lastPrinted>2018-02-16T18:10:56Z</cp:lastPrinted>
  <dcterms:created xsi:type="dcterms:W3CDTF">2018-02-15T00:30:26Z</dcterms:created>
  <dcterms:modified xsi:type="dcterms:W3CDTF">2018-03-10T23:25:59Z</dcterms:modified>
</cp:coreProperties>
</file>