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eab9f1018ab48/Posdoc/GeneradorInstancias/Small_Instances/"/>
    </mc:Choice>
  </mc:AlternateContent>
  <xr:revisionPtr revIDLastSave="3009" documentId="13_ncr:1_{B7525C32-7D70-45F6-93D8-25394FB83E93}" xr6:coauthVersionLast="45" xr6:coauthVersionMax="45" xr10:uidLastSave="{F29B335B-3C33-4302-907A-D591FE9891A8}"/>
  <bookViews>
    <workbookView xWindow="-108" yWindow="-108" windowWidth="23256" windowHeight="12576" xr2:uid="{0BCFAFD6-D31E-4893-8795-6F0D7C80EA08}"/>
  </bookViews>
  <sheets>
    <sheet name="Probabilidades" sheetId="1" r:id="rId1"/>
    <sheet name="Segmentos" sheetId="2" r:id="rId2"/>
  </sheets>
  <definedNames>
    <definedName name="_xlnm._FilterDatabase" localSheetId="0" hidden="1">Probabilidades!$AF$1:$AI$159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95" i="1" l="1"/>
  <c r="AM94" i="1"/>
  <c r="AM93" i="1"/>
  <c r="AM92" i="1"/>
  <c r="AM91" i="1"/>
  <c r="AM90" i="1"/>
  <c r="AM89" i="1"/>
  <c r="AM88" i="1"/>
  <c r="AH88" i="1"/>
  <c r="AI88" i="1" s="1"/>
  <c r="AH86" i="1"/>
  <c r="AI86" i="1" s="1"/>
  <c r="AH84" i="1"/>
  <c r="AI84" i="1" s="1"/>
  <c r="AI83" i="1"/>
  <c r="AI85" i="1"/>
  <c r="AI87" i="1"/>
  <c r="AI89" i="1"/>
  <c r="AI90" i="1"/>
  <c r="AH82" i="1"/>
  <c r="AI82" i="1" s="1"/>
  <c r="AI81" i="1"/>
  <c r="AH87" i="1"/>
  <c r="AH85" i="1"/>
  <c r="AH83" i="1"/>
  <c r="AH81" i="1"/>
  <c r="AL88" i="1"/>
  <c r="AP82" i="1"/>
  <c r="AH34" i="1" l="1"/>
  <c r="AH33" i="1"/>
  <c r="AH159" i="1"/>
  <c r="AH158" i="1"/>
  <c r="AI158" i="1" s="1"/>
  <c r="AI159" i="1"/>
  <c r="AH157" i="1"/>
  <c r="AI157" i="1"/>
  <c r="AH156" i="1"/>
  <c r="AI156" i="1" s="1"/>
  <c r="AH155" i="1"/>
  <c r="AI155" i="1" s="1"/>
  <c r="AH154" i="1"/>
  <c r="AI154" i="1"/>
  <c r="AH153" i="1"/>
  <c r="AI153" i="1" s="1"/>
  <c r="AH152" i="1"/>
  <c r="AI152" i="1" s="1"/>
  <c r="AH151" i="1"/>
  <c r="AH150" i="1"/>
  <c r="AI150" i="1"/>
  <c r="AH147" i="1"/>
  <c r="AH146" i="1"/>
  <c r="AH149" i="1"/>
  <c r="AH148" i="1"/>
  <c r="AH145" i="1"/>
  <c r="AH144" i="1"/>
  <c r="AI144" i="1"/>
  <c r="AH143" i="1"/>
  <c r="AI143" i="1" s="1"/>
  <c r="AH142" i="1"/>
  <c r="AH141" i="1"/>
  <c r="AI141" i="1"/>
  <c r="AH140" i="1"/>
  <c r="AH139" i="1"/>
  <c r="AI139" i="1"/>
  <c r="AH138" i="1"/>
  <c r="AH137" i="1"/>
  <c r="AI137" i="1" s="1"/>
  <c r="AH136" i="1"/>
  <c r="AH135" i="1"/>
  <c r="AI135" i="1" s="1"/>
  <c r="AH134" i="1"/>
  <c r="AI134" i="1" s="1"/>
  <c r="AH133" i="1"/>
  <c r="AH132" i="1"/>
  <c r="AI132" i="1" s="1"/>
  <c r="AH131" i="1"/>
  <c r="AI131" i="1"/>
  <c r="AH130" i="1"/>
  <c r="AH129" i="1"/>
  <c r="AI129" i="1" s="1"/>
  <c r="AH128" i="1"/>
  <c r="AI128" i="1" s="1"/>
  <c r="AH127" i="1"/>
  <c r="AI127" i="1" s="1"/>
  <c r="AH126" i="1"/>
  <c r="AI126" i="1" s="1"/>
  <c r="AH125" i="1"/>
  <c r="AH124" i="1"/>
  <c r="AH123" i="1"/>
  <c r="AI123" i="1" s="1"/>
  <c r="AH122" i="1"/>
  <c r="AH121" i="1"/>
  <c r="AH120" i="1"/>
  <c r="AH119" i="1"/>
  <c r="AH118" i="1"/>
  <c r="AI118" i="1" s="1"/>
  <c r="AH117" i="1"/>
  <c r="AH116" i="1"/>
  <c r="AI116" i="1" s="1"/>
  <c r="AH115" i="1"/>
  <c r="AH114" i="1"/>
  <c r="AH113" i="1"/>
  <c r="AI113" i="1"/>
  <c r="AH112" i="1"/>
  <c r="AH111" i="1"/>
  <c r="AI111" i="1" s="1"/>
  <c r="AH110" i="1"/>
  <c r="AH109" i="1"/>
  <c r="AH108" i="1"/>
  <c r="AI108" i="1" s="1"/>
  <c r="AH107" i="1"/>
  <c r="AI107" i="1" s="1"/>
  <c r="AH106" i="1"/>
  <c r="AH105" i="1"/>
  <c r="AI105" i="1" s="1"/>
  <c r="AH104" i="1"/>
  <c r="AH103" i="1"/>
  <c r="AH100" i="1"/>
  <c r="AI100" i="1" s="1"/>
  <c r="AH99" i="1"/>
  <c r="AI99" i="1"/>
  <c r="AH98" i="1"/>
  <c r="AH97" i="1"/>
  <c r="AH96" i="1"/>
  <c r="AH102" i="1"/>
  <c r="AH101" i="1"/>
  <c r="AI101" i="1" s="1"/>
  <c r="AI96" i="1"/>
  <c r="AH95" i="1"/>
  <c r="AH94" i="1"/>
  <c r="AI94" i="1" s="1"/>
  <c r="AH93" i="1"/>
  <c r="AI93" i="1" s="1"/>
  <c r="AH92" i="1"/>
  <c r="AI92" i="1" s="1"/>
  <c r="AH91" i="1"/>
  <c r="AI91" i="1" s="1"/>
  <c r="AH80" i="1"/>
  <c r="AH79" i="1"/>
  <c r="AI79" i="1" s="1"/>
  <c r="AH78" i="1"/>
  <c r="AH77" i="1"/>
  <c r="AI77" i="1" s="1"/>
  <c r="V59" i="1"/>
  <c r="W59" i="1" s="1"/>
  <c r="V135" i="1"/>
  <c r="V134" i="1"/>
  <c r="V133" i="1"/>
  <c r="W133" i="1" s="1"/>
  <c r="V132" i="1"/>
  <c r="W132" i="1" s="1"/>
  <c r="J22" i="1"/>
  <c r="AH76" i="1"/>
  <c r="AH75" i="1"/>
  <c r="AH74" i="1"/>
  <c r="AI74" i="1" s="1"/>
  <c r="AH73" i="1"/>
  <c r="AH72" i="1"/>
  <c r="AH71" i="1"/>
  <c r="AH70" i="1"/>
  <c r="AH69" i="1"/>
  <c r="AI69" i="1"/>
  <c r="AH68" i="1"/>
  <c r="AI68" i="1" s="1"/>
  <c r="AH67" i="1"/>
  <c r="AI67" i="1"/>
  <c r="AH66" i="1"/>
  <c r="AI66" i="1" s="1"/>
  <c r="AH65" i="1"/>
  <c r="AI65" i="1"/>
  <c r="AH64" i="1"/>
  <c r="AH63" i="1"/>
  <c r="AH62" i="1"/>
  <c r="AI62" i="1" s="1"/>
  <c r="AH61" i="1"/>
  <c r="AI61" i="1" s="1"/>
  <c r="AH60" i="1"/>
  <c r="AH59" i="1"/>
  <c r="AH58" i="1"/>
  <c r="AH57" i="1"/>
  <c r="AI57" i="1" s="1"/>
  <c r="AH56" i="1"/>
  <c r="AI56" i="1" s="1"/>
  <c r="AH55" i="1"/>
  <c r="AI55" i="1" s="1"/>
  <c r="AH54" i="1"/>
  <c r="AH53" i="1"/>
  <c r="AI53" i="1" s="1"/>
  <c r="AH52" i="1"/>
  <c r="AH51" i="1"/>
  <c r="AH50" i="1"/>
  <c r="AH49" i="1"/>
  <c r="AH48" i="1"/>
  <c r="AH47" i="1"/>
  <c r="AH46" i="1"/>
  <c r="AI46" i="1" s="1"/>
  <c r="AH45" i="1"/>
  <c r="AI45" i="1" s="1"/>
  <c r="AH44" i="1"/>
  <c r="AI44" i="1" s="1"/>
  <c r="AH43" i="1"/>
  <c r="AH42" i="1"/>
  <c r="AH41" i="1"/>
  <c r="AH40" i="1"/>
  <c r="AI40" i="1" s="1"/>
  <c r="AH39" i="1"/>
  <c r="AI39" i="1" s="1"/>
  <c r="AH38" i="1"/>
  <c r="AH37" i="1"/>
  <c r="AH36" i="1"/>
  <c r="AI36" i="1" s="1"/>
  <c r="AH35" i="1"/>
  <c r="AI35" i="1" s="1"/>
  <c r="AI33" i="1"/>
  <c r="AH32" i="1"/>
  <c r="AH31" i="1"/>
  <c r="AI31" i="1" s="1"/>
  <c r="AF76" i="1"/>
  <c r="AI76" i="1" s="1"/>
  <c r="AF75" i="1"/>
  <c r="AF74" i="1"/>
  <c r="AF73" i="1"/>
  <c r="AF72" i="1"/>
  <c r="AF71" i="1"/>
  <c r="AF123" i="1"/>
  <c r="AF122" i="1"/>
  <c r="AF121" i="1"/>
  <c r="AF105" i="1"/>
  <c r="AF104" i="1"/>
  <c r="AF103" i="1"/>
  <c r="AF49" i="1"/>
  <c r="AF48" i="1"/>
  <c r="AF47" i="1"/>
  <c r="AF16" i="1"/>
  <c r="AF15" i="1"/>
  <c r="AF14" i="1"/>
  <c r="V154" i="1"/>
  <c r="W154" i="1" s="1"/>
  <c r="V153" i="1"/>
  <c r="V152" i="1"/>
  <c r="V151" i="1"/>
  <c r="V150" i="1"/>
  <c r="W150" i="1" s="1"/>
  <c r="V149" i="1"/>
  <c r="V148" i="1"/>
  <c r="V147" i="1"/>
  <c r="W147" i="1" s="1"/>
  <c r="V146" i="1"/>
  <c r="V145" i="1"/>
  <c r="W144" i="1"/>
  <c r="V143" i="1"/>
  <c r="W143" i="1" s="1"/>
  <c r="V142" i="1"/>
  <c r="W142" i="1" s="1"/>
  <c r="V141" i="1"/>
  <c r="W141" i="1" s="1"/>
  <c r="V140" i="1"/>
  <c r="W140" i="1" s="1"/>
  <c r="V139" i="1"/>
  <c r="V138" i="1"/>
  <c r="V137" i="1"/>
  <c r="W137" i="1" s="1"/>
  <c r="V136" i="1"/>
  <c r="W136" i="1" s="1"/>
  <c r="W135" i="1"/>
  <c r="V131" i="1"/>
  <c r="V130" i="1"/>
  <c r="W130" i="1" s="1"/>
  <c r="V129" i="1"/>
  <c r="V128" i="1"/>
  <c r="V127" i="1"/>
  <c r="W127" i="1" s="1"/>
  <c r="V126" i="1"/>
  <c r="V125" i="1"/>
  <c r="W125" i="1" s="1"/>
  <c r="V124" i="1"/>
  <c r="V121" i="1"/>
  <c r="W121" i="1" s="1"/>
  <c r="V120" i="1"/>
  <c r="W120" i="1" s="1"/>
  <c r="V123" i="1"/>
  <c r="V122" i="1"/>
  <c r="W122" i="1" s="1"/>
  <c r="V119" i="1"/>
  <c r="W119" i="1" s="1"/>
  <c r="V118" i="1"/>
  <c r="V117" i="1"/>
  <c r="V116" i="1"/>
  <c r="T105" i="1"/>
  <c r="T106" i="1"/>
  <c r="T107" i="1"/>
  <c r="W107" i="1" s="1"/>
  <c r="T108" i="1"/>
  <c r="T109" i="1"/>
  <c r="T110" i="1"/>
  <c r="W110" i="1" s="1"/>
  <c r="T111" i="1"/>
  <c r="T112" i="1"/>
  <c r="T113" i="1"/>
  <c r="T114" i="1"/>
  <c r="T115" i="1"/>
  <c r="T104" i="1"/>
  <c r="W104" i="1" s="1"/>
  <c r="T146" i="1"/>
  <c r="T145" i="1"/>
  <c r="T144" i="1"/>
  <c r="T81" i="1"/>
  <c r="T80" i="1"/>
  <c r="W80" i="1" s="1"/>
  <c r="T79" i="1"/>
  <c r="T78" i="1"/>
  <c r="T77" i="1"/>
  <c r="T76" i="1"/>
  <c r="T65" i="1"/>
  <c r="T64" i="1"/>
  <c r="T63" i="1"/>
  <c r="T62" i="1"/>
  <c r="W62" i="1" s="1"/>
  <c r="T61" i="1"/>
  <c r="T60" i="1"/>
  <c r="T49" i="1"/>
  <c r="T48" i="1"/>
  <c r="T47" i="1"/>
  <c r="T42" i="1"/>
  <c r="T41" i="1"/>
  <c r="T40" i="1"/>
  <c r="T39" i="1"/>
  <c r="T38" i="1"/>
  <c r="T37" i="1"/>
  <c r="T32" i="1"/>
  <c r="T31" i="1"/>
  <c r="W31" i="1" s="1"/>
  <c r="T30" i="1"/>
  <c r="T29" i="1"/>
  <c r="T28" i="1"/>
  <c r="W28" i="1" s="1"/>
  <c r="T27" i="1"/>
  <c r="W27" i="1" s="1"/>
  <c r="T26" i="1"/>
  <c r="W26" i="1" s="1"/>
  <c r="T25" i="1"/>
  <c r="T24" i="1"/>
  <c r="W24" i="1" s="1"/>
  <c r="V115" i="1"/>
  <c r="V114" i="1"/>
  <c r="V113" i="1"/>
  <c r="V112" i="1"/>
  <c r="W112" i="1" s="1"/>
  <c r="V111" i="1"/>
  <c r="V110" i="1"/>
  <c r="V109" i="1"/>
  <c r="W109" i="1" s="1"/>
  <c r="V108" i="1"/>
  <c r="W108" i="1" s="1"/>
  <c r="V107" i="1"/>
  <c r="V106" i="1"/>
  <c r="W106" i="1" s="1"/>
  <c r="V105" i="1"/>
  <c r="V104" i="1"/>
  <c r="V103" i="1"/>
  <c r="V102" i="1"/>
  <c r="W102" i="1" s="1"/>
  <c r="V101" i="1"/>
  <c r="W101" i="1" s="1"/>
  <c r="V100" i="1"/>
  <c r="W100" i="1" s="1"/>
  <c r="V99" i="1"/>
  <c r="V98" i="1"/>
  <c r="W98" i="1" s="1"/>
  <c r="V97" i="1"/>
  <c r="W97" i="1" s="1"/>
  <c r="V96" i="1"/>
  <c r="W96" i="1" s="1"/>
  <c r="V93" i="1"/>
  <c r="V92" i="1"/>
  <c r="V91" i="1"/>
  <c r="V90" i="1"/>
  <c r="W90" i="1" s="1"/>
  <c r="V89" i="1"/>
  <c r="W89" i="1" s="1"/>
  <c r="V88" i="1"/>
  <c r="W88" i="1" s="1"/>
  <c r="V87" i="1"/>
  <c r="V86" i="1"/>
  <c r="V85" i="1"/>
  <c r="W85" i="1" s="1"/>
  <c r="V84" i="1"/>
  <c r="V83" i="1"/>
  <c r="W83" i="1" s="1"/>
  <c r="V82" i="1"/>
  <c r="V81" i="1"/>
  <c r="V80" i="1"/>
  <c r="V79" i="1"/>
  <c r="W79" i="1" s="1"/>
  <c r="V78" i="1"/>
  <c r="W78" i="1" s="1"/>
  <c r="V77" i="1"/>
  <c r="V76" i="1"/>
  <c r="V75" i="1"/>
  <c r="V74" i="1"/>
  <c r="W74" i="1" s="1"/>
  <c r="V73" i="1"/>
  <c r="W73" i="1" s="1"/>
  <c r="V72" i="1"/>
  <c r="W72" i="1" s="1"/>
  <c r="V71" i="1"/>
  <c r="W71" i="1" s="1"/>
  <c r="V70" i="1"/>
  <c r="W70" i="1" s="1"/>
  <c r="V69" i="1"/>
  <c r="W69" i="1" s="1"/>
  <c r="V68" i="1"/>
  <c r="V67" i="1"/>
  <c r="V66" i="1"/>
  <c r="W66" i="1"/>
  <c r="V65" i="1"/>
  <c r="W65" i="1" s="1"/>
  <c r="V64" i="1"/>
  <c r="W64" i="1" s="1"/>
  <c r="V63" i="1"/>
  <c r="V62" i="1"/>
  <c r="V61" i="1"/>
  <c r="W61" i="1" s="1"/>
  <c r="V60" i="1"/>
  <c r="W60" i="1" s="1"/>
  <c r="V58" i="1"/>
  <c r="W58" i="1" s="1"/>
  <c r="V57" i="1"/>
  <c r="V56" i="1"/>
  <c r="V55" i="1"/>
  <c r="W55" i="1" s="1"/>
  <c r="V54" i="1"/>
  <c r="W54" i="1" s="1"/>
  <c r="V53" i="1"/>
  <c r="W53" i="1" s="1"/>
  <c r="V52" i="1"/>
  <c r="W52" i="1" s="1"/>
  <c r="V51" i="1"/>
  <c r="V50" i="1"/>
  <c r="W50" i="1" s="1"/>
  <c r="V49" i="1"/>
  <c r="V48" i="1"/>
  <c r="V47" i="1"/>
  <c r="V46" i="1"/>
  <c r="W46" i="1" s="1"/>
  <c r="V45" i="1"/>
  <c r="V44" i="1"/>
  <c r="W44" i="1" s="1"/>
  <c r="V43" i="1"/>
  <c r="V42" i="1"/>
  <c r="V41" i="1"/>
  <c r="W41" i="1" s="1"/>
  <c r="V40" i="1"/>
  <c r="V39" i="1"/>
  <c r="W39" i="1" s="1"/>
  <c r="V38" i="1"/>
  <c r="V37" i="1"/>
  <c r="V36" i="1"/>
  <c r="W36" i="1" s="1"/>
  <c r="V35" i="1"/>
  <c r="W35" i="1" s="1"/>
  <c r="V34" i="1"/>
  <c r="W34" i="1" s="1"/>
  <c r="V33" i="1"/>
  <c r="W33" i="1" s="1"/>
  <c r="V32" i="1"/>
  <c r="V31" i="1"/>
  <c r="V30" i="1"/>
  <c r="H6" i="1"/>
  <c r="K6" i="1" s="1"/>
  <c r="H5" i="1"/>
  <c r="K5" i="1" s="1"/>
  <c r="H4" i="1"/>
  <c r="J78" i="1"/>
  <c r="K78" i="1" s="1"/>
  <c r="J77" i="1"/>
  <c r="J76" i="1"/>
  <c r="J75" i="1"/>
  <c r="J74" i="1"/>
  <c r="K74" i="1" s="1"/>
  <c r="J73" i="1"/>
  <c r="J72" i="1"/>
  <c r="J71" i="1"/>
  <c r="J70" i="1"/>
  <c r="J69" i="1"/>
  <c r="K69" i="1" s="1"/>
  <c r="J68" i="1"/>
  <c r="K68" i="1" s="1"/>
  <c r="J61" i="1"/>
  <c r="J60" i="1"/>
  <c r="K60" i="1"/>
  <c r="J59" i="1"/>
  <c r="K59" i="1" s="1"/>
  <c r="J58" i="1"/>
  <c r="J57" i="1"/>
  <c r="J56" i="1"/>
  <c r="K56" i="1" s="1"/>
  <c r="J55" i="1"/>
  <c r="J54" i="1"/>
  <c r="J53" i="1"/>
  <c r="K53" i="1" s="1"/>
  <c r="J52" i="1"/>
  <c r="K52" i="1" s="1"/>
  <c r="J51" i="1"/>
  <c r="K51" i="1" s="1"/>
  <c r="J50" i="1"/>
  <c r="J49" i="1"/>
  <c r="J48" i="1"/>
  <c r="K48" i="1" s="1"/>
  <c r="J47" i="1"/>
  <c r="K47" i="1" s="1"/>
  <c r="J46" i="1"/>
  <c r="J45" i="1"/>
  <c r="J44" i="1"/>
  <c r="K44" i="1" s="1"/>
  <c r="J43" i="1"/>
  <c r="J42" i="1"/>
  <c r="K42" i="1" s="1"/>
  <c r="J64" i="1"/>
  <c r="J63" i="1"/>
  <c r="K63" i="1" s="1"/>
  <c r="J62" i="1"/>
  <c r="J38" i="1"/>
  <c r="K38" i="1" s="1"/>
  <c r="J37" i="1"/>
  <c r="J36" i="1"/>
  <c r="J39" i="1"/>
  <c r="J65" i="1"/>
  <c r="K65" i="1" s="1"/>
  <c r="J67" i="1"/>
  <c r="K67" i="1" s="1"/>
  <c r="J66" i="1"/>
  <c r="K66" i="1" s="1"/>
  <c r="J41" i="1"/>
  <c r="K41" i="1" s="1"/>
  <c r="J40" i="1"/>
  <c r="K40" i="1" s="1"/>
  <c r="J35" i="1"/>
  <c r="J34" i="1"/>
  <c r="H78" i="1"/>
  <c r="H77" i="1"/>
  <c r="H76" i="1"/>
  <c r="H75" i="1"/>
  <c r="H74" i="1"/>
  <c r="H73" i="1"/>
  <c r="K73" i="1" s="1"/>
  <c r="H72" i="1"/>
  <c r="K72" i="1" s="1"/>
  <c r="H71" i="1"/>
  <c r="K71" i="1" s="1"/>
  <c r="H70" i="1"/>
  <c r="H61" i="1"/>
  <c r="H60" i="1"/>
  <c r="H59" i="1"/>
  <c r="H58" i="1"/>
  <c r="H57" i="1"/>
  <c r="H56" i="1"/>
  <c r="H49" i="1"/>
  <c r="H48" i="1"/>
  <c r="H47" i="1"/>
  <c r="H46" i="1"/>
  <c r="H45" i="1"/>
  <c r="H44" i="1"/>
  <c r="H35" i="1"/>
  <c r="H34" i="1"/>
  <c r="H33" i="1"/>
  <c r="K33" i="1" s="1"/>
  <c r="H32" i="1"/>
  <c r="K32" i="1" s="1"/>
  <c r="H31" i="1"/>
  <c r="K31" i="1" s="1"/>
  <c r="H30" i="1"/>
  <c r="K30" i="1" s="1"/>
  <c r="H29" i="1"/>
  <c r="H28" i="1"/>
  <c r="K28" i="1" s="1"/>
  <c r="H27" i="1"/>
  <c r="K27" i="1" s="1"/>
  <c r="H26" i="1"/>
  <c r="K26" i="1" s="1"/>
  <c r="H25" i="1"/>
  <c r="K25" i="1" s="1"/>
  <c r="H24" i="1"/>
  <c r="K24" i="1" s="1"/>
  <c r="H17" i="1"/>
  <c r="K17" i="1" s="1"/>
  <c r="H16" i="1"/>
  <c r="K16" i="1" s="1"/>
  <c r="H15" i="1"/>
  <c r="K15" i="1" s="1"/>
  <c r="AH30" i="1"/>
  <c r="AI30" i="1" s="1"/>
  <c r="AH29" i="1"/>
  <c r="AI29" i="1" s="1"/>
  <c r="AH28" i="1"/>
  <c r="AH27" i="1"/>
  <c r="AH26" i="1"/>
  <c r="AI26" i="1" s="1"/>
  <c r="AH25" i="1"/>
  <c r="AI25" i="1" s="1"/>
  <c r="AH24" i="1"/>
  <c r="AI24" i="1" s="1"/>
  <c r="AH23" i="1"/>
  <c r="AI23" i="1" s="1"/>
  <c r="AH22" i="1"/>
  <c r="AH21" i="1"/>
  <c r="AH20" i="1"/>
  <c r="AI20" i="1" s="1"/>
  <c r="AH19" i="1"/>
  <c r="AI19" i="1" s="1"/>
  <c r="AH18" i="1"/>
  <c r="AI18" i="1" s="1"/>
  <c r="AH17" i="1"/>
  <c r="AH16" i="1"/>
  <c r="AI16" i="1" s="1"/>
  <c r="AH15" i="1"/>
  <c r="AI15" i="1" s="1"/>
  <c r="AH14" i="1"/>
  <c r="AH13" i="1"/>
  <c r="AI13" i="1" s="1"/>
  <c r="AH12" i="1"/>
  <c r="AI12" i="1" s="1"/>
  <c r="AH11" i="1"/>
  <c r="AI11" i="1" s="1"/>
  <c r="AH10" i="1"/>
  <c r="AI10" i="1" s="1"/>
  <c r="AH9" i="1"/>
  <c r="AI9" i="1" s="1"/>
  <c r="AH8" i="1"/>
  <c r="AI8" i="1" s="1"/>
  <c r="AI136" i="1"/>
  <c r="AI138" i="1"/>
  <c r="AI140" i="1"/>
  <c r="AI142" i="1"/>
  <c r="AI145" i="1"/>
  <c r="AI146" i="1"/>
  <c r="AI147" i="1"/>
  <c r="AI148" i="1"/>
  <c r="AI149" i="1"/>
  <c r="AI151" i="1"/>
  <c r="AI3" i="1"/>
  <c r="AI4" i="1"/>
  <c r="AI5" i="1"/>
  <c r="AI6" i="1"/>
  <c r="AI7" i="1"/>
  <c r="AI17" i="1"/>
  <c r="AI21" i="1"/>
  <c r="AI22" i="1"/>
  <c r="AI27" i="1"/>
  <c r="AI28" i="1"/>
  <c r="AI32" i="1"/>
  <c r="AI34" i="1"/>
  <c r="AI37" i="1"/>
  <c r="AI38" i="1"/>
  <c r="AI41" i="1"/>
  <c r="AI42" i="1"/>
  <c r="AI43" i="1"/>
  <c r="AI47" i="1"/>
  <c r="AI48" i="1"/>
  <c r="AI50" i="1"/>
  <c r="AI51" i="1"/>
  <c r="AI52" i="1"/>
  <c r="AI54" i="1"/>
  <c r="AI58" i="1"/>
  <c r="AI59" i="1"/>
  <c r="AI60" i="1"/>
  <c r="AI63" i="1"/>
  <c r="AI64" i="1"/>
  <c r="AI70" i="1"/>
  <c r="AI73" i="1"/>
  <c r="AI78" i="1"/>
  <c r="AI80" i="1"/>
  <c r="AI95" i="1"/>
  <c r="AI97" i="1"/>
  <c r="AI98" i="1"/>
  <c r="AI102" i="1"/>
  <c r="AI103" i="1"/>
  <c r="AI104" i="1"/>
  <c r="AI106" i="1"/>
  <c r="AI109" i="1"/>
  <c r="AI110" i="1"/>
  <c r="AI112" i="1"/>
  <c r="AI114" i="1"/>
  <c r="AI115" i="1"/>
  <c r="AI117" i="1"/>
  <c r="AI119" i="1"/>
  <c r="AI120" i="1"/>
  <c r="AI122" i="1"/>
  <c r="AI124" i="1"/>
  <c r="AI125" i="1"/>
  <c r="AI130" i="1"/>
  <c r="AI133" i="1"/>
  <c r="AI2" i="1"/>
  <c r="K3" i="1"/>
  <c r="K4" i="1"/>
  <c r="K7" i="1"/>
  <c r="K8" i="1"/>
  <c r="K9" i="1"/>
  <c r="K10" i="1"/>
  <c r="K11" i="1"/>
  <c r="K12" i="1"/>
  <c r="K13" i="1"/>
  <c r="K14" i="1"/>
  <c r="K18" i="1"/>
  <c r="K19" i="1"/>
  <c r="K20" i="1"/>
  <c r="K21" i="1"/>
  <c r="K22" i="1"/>
  <c r="K23" i="1"/>
  <c r="K29" i="1"/>
  <c r="K35" i="1"/>
  <c r="K36" i="1"/>
  <c r="K37" i="1"/>
  <c r="K39" i="1"/>
  <c r="K43" i="1"/>
  <c r="K50" i="1"/>
  <c r="K54" i="1"/>
  <c r="K55" i="1"/>
  <c r="K61" i="1"/>
  <c r="K62" i="1"/>
  <c r="K64" i="1"/>
  <c r="K77" i="1"/>
  <c r="K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5" i="1"/>
  <c r="W29" i="1"/>
  <c r="W30" i="1"/>
  <c r="W38" i="1"/>
  <c r="W43" i="1"/>
  <c r="W45" i="1"/>
  <c r="W47" i="1"/>
  <c r="W51" i="1"/>
  <c r="W56" i="1"/>
  <c r="W57" i="1"/>
  <c r="W63" i="1"/>
  <c r="W67" i="1"/>
  <c r="W68" i="1"/>
  <c r="W75" i="1"/>
  <c r="W82" i="1"/>
  <c r="W84" i="1"/>
  <c r="W86" i="1"/>
  <c r="W87" i="1"/>
  <c r="W91" i="1"/>
  <c r="W92" i="1"/>
  <c r="W93" i="1"/>
  <c r="W94" i="1"/>
  <c r="W95" i="1"/>
  <c r="W99" i="1"/>
  <c r="W103" i="1"/>
  <c r="W105" i="1"/>
  <c r="W114" i="1"/>
  <c r="W115" i="1"/>
  <c r="W116" i="1"/>
  <c r="W117" i="1"/>
  <c r="W118" i="1"/>
  <c r="W123" i="1"/>
  <c r="W124" i="1"/>
  <c r="W126" i="1"/>
  <c r="W128" i="1"/>
  <c r="W129" i="1"/>
  <c r="W131" i="1"/>
  <c r="W134" i="1"/>
  <c r="W138" i="1"/>
  <c r="W139" i="1"/>
  <c r="W145" i="1"/>
  <c r="W148" i="1"/>
  <c r="W149" i="1"/>
  <c r="W151" i="1"/>
  <c r="W152" i="1"/>
  <c r="W153" i="1"/>
  <c r="W2" i="1"/>
  <c r="AH5" i="1"/>
  <c r="AH4" i="1"/>
  <c r="AH3" i="1"/>
  <c r="AH2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J23" i="1"/>
  <c r="J21" i="1"/>
  <c r="J20" i="1"/>
  <c r="J19" i="1"/>
  <c r="J18" i="1"/>
  <c r="J17" i="1"/>
  <c r="J16" i="1"/>
  <c r="J14" i="1"/>
  <c r="J13" i="1"/>
  <c r="J10" i="1"/>
  <c r="J9" i="1"/>
  <c r="J15" i="1"/>
  <c r="J12" i="1"/>
  <c r="J11" i="1"/>
  <c r="J8" i="1"/>
  <c r="J7" i="1"/>
  <c r="V4" i="1"/>
  <c r="V3" i="1"/>
  <c r="V2" i="1"/>
  <c r="J24" i="1"/>
  <c r="J6" i="1"/>
  <c r="J5" i="1"/>
  <c r="J4" i="1"/>
  <c r="J3" i="1"/>
  <c r="J2" i="1"/>
  <c r="J33" i="1"/>
  <c r="J32" i="1"/>
  <c r="J31" i="1"/>
  <c r="J30" i="1"/>
  <c r="J29" i="1"/>
  <c r="J28" i="1"/>
  <c r="J27" i="1"/>
  <c r="J26" i="1"/>
  <c r="J25" i="1"/>
  <c r="AM99" i="1" l="1"/>
  <c r="AI121" i="1"/>
  <c r="AI75" i="1"/>
  <c r="AI72" i="1"/>
  <c r="AI71" i="1"/>
  <c r="AI49" i="1"/>
  <c r="AI14" i="1"/>
  <c r="W156" i="1" a="1"/>
  <c r="W156" i="1" s="1"/>
  <c r="W146" i="1"/>
  <c r="W113" i="1"/>
  <c r="W111" i="1"/>
  <c r="W37" i="1"/>
  <c r="W76" i="1"/>
  <c r="W77" i="1"/>
  <c r="W40" i="1"/>
  <c r="W48" i="1"/>
  <c r="W49" i="1"/>
  <c r="W42" i="1"/>
  <c r="W81" i="1"/>
  <c r="W32" i="1"/>
  <c r="K76" i="1"/>
  <c r="K75" i="1"/>
  <c r="K70" i="1"/>
  <c r="K58" i="1"/>
  <c r="K57" i="1"/>
  <c r="K49" i="1"/>
  <c r="K46" i="1"/>
  <c r="K45" i="1"/>
  <c r="K34" i="1"/>
  <c r="AK83" i="1"/>
  <c r="K80" i="1" l="1" a="1"/>
  <c r="K80" i="1" s="1"/>
  <c r="W155" i="1" a="1"/>
  <c r="W155" i="1" s="1"/>
  <c r="K79" i="1" a="1"/>
  <c r="K79" i="1" s="1"/>
  <c r="V144" i="1"/>
  <c r="AO85" i="1" l="1"/>
  <c r="AO86" i="1" l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<sst xmlns="http://schemas.openxmlformats.org/spreadsheetml/2006/main" count="431" uniqueCount="198">
  <si>
    <t>nodos</t>
  </si>
  <si>
    <t>lineas</t>
  </si>
  <si>
    <t>p</t>
  </si>
  <si>
    <t>q</t>
  </si>
  <si>
    <t>l</t>
  </si>
  <si>
    <t>i</t>
  </si>
  <si>
    <t>j</t>
  </si>
  <si>
    <t>nueva pi</t>
  </si>
  <si>
    <t>vieja pi</t>
  </si>
  <si>
    <t>1/3.</t>
  </si>
  <si>
    <t>1/6.</t>
  </si>
  <si>
    <t>Demanda</t>
  </si>
  <si>
    <t>7/12.</t>
  </si>
  <si>
    <t>3/8.</t>
  </si>
  <si>
    <t>5/8.</t>
  </si>
  <si>
    <t>1/8.</t>
  </si>
  <si>
    <t>3/7.</t>
  </si>
  <si>
    <t>4/7.</t>
  </si>
  <si>
    <t>1/12.</t>
  </si>
  <si>
    <t>7/16.</t>
  </si>
  <si>
    <t>9/16.</t>
  </si>
  <si>
    <t>2/9.</t>
  </si>
  <si>
    <t>4/9.</t>
  </si>
  <si>
    <t>3/5.</t>
  </si>
  <si>
    <t>2/5.</t>
  </si>
  <si>
    <t>15/31</t>
  </si>
  <si>
    <t>16/31</t>
  </si>
  <si>
    <t>15/54</t>
  </si>
  <si>
    <t>23/54</t>
  </si>
  <si>
    <t>8/27.</t>
  </si>
  <si>
    <t>11/30.</t>
  </si>
  <si>
    <t>13/30.</t>
  </si>
  <si>
    <t>1/5.</t>
  </si>
  <si>
    <t>5/12.</t>
  </si>
  <si>
    <t>5/24.</t>
  </si>
  <si>
    <t>7/24.</t>
  </si>
  <si>
    <t>6/17.</t>
  </si>
  <si>
    <t>19/51.</t>
  </si>
  <si>
    <t>14/51.</t>
  </si>
  <si>
    <t>23/96.</t>
  </si>
  <si>
    <t>25/96.</t>
  </si>
  <si>
    <t>11/48.</t>
  </si>
  <si>
    <t>13/48.</t>
  </si>
  <si>
    <t>31/96</t>
  </si>
  <si>
    <t>35/96</t>
  </si>
  <si>
    <t>5/16.</t>
  </si>
  <si>
    <t>11/20.</t>
  </si>
  <si>
    <t>9/20.</t>
  </si>
  <si>
    <t>13/36.</t>
  </si>
  <si>
    <t>7/18.</t>
  </si>
  <si>
    <t>1/4.</t>
  </si>
  <si>
    <t>11/36.</t>
  </si>
  <si>
    <t>7/36.</t>
  </si>
  <si>
    <t>5/18.</t>
  </si>
  <si>
    <t>11/24.</t>
  </si>
  <si>
    <t>13/24.</t>
  </si>
  <si>
    <t>25/51.</t>
  </si>
  <si>
    <t>26/51.</t>
  </si>
  <si>
    <t>7/48.</t>
  </si>
  <si>
    <t>37/72.</t>
  </si>
  <si>
    <t>35/72.</t>
  </si>
  <si>
    <t>7/15.</t>
  </si>
  <si>
    <t>8/15.</t>
  </si>
  <si>
    <t>17/45.</t>
  </si>
  <si>
    <t>13/45.</t>
  </si>
  <si>
    <t>5/48.</t>
  </si>
  <si>
    <t>3/16.</t>
  </si>
  <si>
    <t>1/16.</t>
  </si>
  <si>
    <t>43/48</t>
  </si>
  <si>
    <t>25/126.</t>
  </si>
  <si>
    <t>17/126.</t>
  </si>
  <si>
    <t>21/126.</t>
  </si>
  <si>
    <t>13/126.</t>
  </si>
  <si>
    <t>11/126</t>
  </si>
  <si>
    <t>39/126.</t>
  </si>
  <si>
    <t>25/119.</t>
  </si>
  <si>
    <t>14/119.</t>
  </si>
  <si>
    <t>21/119.</t>
  </si>
  <si>
    <t>3/119.</t>
  </si>
  <si>
    <t>13/119.</t>
  </si>
  <si>
    <t>12/119.</t>
  </si>
  <si>
    <t>17/119.</t>
  </si>
  <si>
    <t>Factorización</t>
  </si>
  <si>
    <t>No. total segmentos</t>
  </si>
  <si>
    <t>Nvo. No. de segmentos</t>
  </si>
  <si>
    <t>64/225.</t>
  </si>
  <si>
    <t>53/225.</t>
  </si>
  <si>
    <t>56/225.</t>
  </si>
  <si>
    <t>52/225.</t>
  </si>
  <si>
    <t>12/30.</t>
  </si>
  <si>
    <t>7/30.</t>
  </si>
  <si>
    <t>7/39.</t>
  </si>
  <si>
    <t>9/39.</t>
  </si>
  <si>
    <t>11/39.</t>
  </si>
  <si>
    <t>12/39.</t>
  </si>
  <si>
    <t>25/48</t>
  </si>
  <si>
    <t>23/48</t>
  </si>
  <si>
    <t>19/72</t>
  </si>
  <si>
    <t>11/72.</t>
  </si>
  <si>
    <t>7/72.</t>
  </si>
  <si>
    <t>35/72</t>
  </si>
  <si>
    <t>16/42</t>
  </si>
  <si>
    <t>19/42</t>
  </si>
  <si>
    <t>7/42.</t>
  </si>
  <si>
    <t>13/78.</t>
  </si>
  <si>
    <t>13/78</t>
  </si>
  <si>
    <t>17/78</t>
  </si>
  <si>
    <t>19/78</t>
  </si>
  <si>
    <t>29/78</t>
  </si>
  <si>
    <t>59/300</t>
  </si>
  <si>
    <t>73/300</t>
  </si>
  <si>
    <t>67/300</t>
  </si>
  <si>
    <t>41/300</t>
  </si>
  <si>
    <t>93/187</t>
  </si>
  <si>
    <t>94/187</t>
  </si>
  <si>
    <t>16/65</t>
  </si>
  <si>
    <t>13/65</t>
  </si>
  <si>
    <t>17/65</t>
  </si>
  <si>
    <t>19/65</t>
  </si>
  <si>
    <t>22/81</t>
  </si>
  <si>
    <t>35/81</t>
  </si>
  <si>
    <t>24/81</t>
  </si>
  <si>
    <t>61/247</t>
  </si>
  <si>
    <t>62/247</t>
  </si>
  <si>
    <t>41/247</t>
  </si>
  <si>
    <t>83/247</t>
  </si>
  <si>
    <t>29/120</t>
  </si>
  <si>
    <t>19/120</t>
  </si>
  <si>
    <t>23/120</t>
  </si>
  <si>
    <t>17/120</t>
  </si>
  <si>
    <t>32/120</t>
  </si>
  <si>
    <t>201/404</t>
  </si>
  <si>
    <t>203/404</t>
  </si>
  <si>
    <t>28/115</t>
  </si>
  <si>
    <t>23/115</t>
  </si>
  <si>
    <t>31/115</t>
  </si>
  <si>
    <t>33/115</t>
  </si>
  <si>
    <t>40/119</t>
  </si>
  <si>
    <t>37/119</t>
  </si>
  <si>
    <t>42/119</t>
  </si>
  <si>
    <t>25/102</t>
  </si>
  <si>
    <t>29/102</t>
  </si>
  <si>
    <t>23/102</t>
  </si>
  <si>
    <t>109/219</t>
  </si>
  <si>
    <t>110/219</t>
  </si>
  <si>
    <t>24/96</t>
  </si>
  <si>
    <t>23/96</t>
  </si>
  <si>
    <t>25/96</t>
  </si>
  <si>
    <t>547/1633</t>
  </si>
  <si>
    <t>545/1633</t>
  </si>
  <si>
    <t>541/1633</t>
  </si>
  <si>
    <t>91/365</t>
  </si>
  <si>
    <t>92/365</t>
  </si>
  <si>
    <t>136/365</t>
  </si>
  <si>
    <t>46/365</t>
  </si>
  <si>
    <t>83/419</t>
  </si>
  <si>
    <t>84/419</t>
  </si>
  <si>
    <t>9/419</t>
  </si>
  <si>
    <t>23/419</t>
  </si>
  <si>
    <t>220/419</t>
  </si>
  <si>
    <t>19/24.</t>
  </si>
  <si>
    <t>19/24</t>
  </si>
  <si>
    <t>34/69</t>
  </si>
  <si>
    <t>35/69</t>
  </si>
  <si>
    <t>23/72</t>
  </si>
  <si>
    <t>29/72</t>
  </si>
  <si>
    <t>20/72</t>
  </si>
  <si>
    <t>49/384</t>
  </si>
  <si>
    <t>47/384</t>
  </si>
  <si>
    <t>55/384</t>
  </si>
  <si>
    <t>41/384</t>
  </si>
  <si>
    <t>53/384</t>
  </si>
  <si>
    <t>43/384</t>
  </si>
  <si>
    <t>59/384</t>
  </si>
  <si>
    <t>37/384</t>
  </si>
  <si>
    <t>21/215</t>
  </si>
  <si>
    <t>22/215</t>
  </si>
  <si>
    <t>24/215</t>
  </si>
  <si>
    <t>18/215</t>
  </si>
  <si>
    <t>28/215</t>
  </si>
  <si>
    <t>14/215</t>
  </si>
  <si>
    <t>32/215</t>
  </si>
  <si>
    <t>10/215</t>
  </si>
  <si>
    <t>34/215</t>
  </si>
  <si>
    <t>1/2.</t>
  </si>
  <si>
    <t>3/4.</t>
  </si>
  <si>
    <t>dif_pi</t>
  </si>
  <si>
    <t>maximo cambio</t>
  </si>
  <si>
    <t>mínimo cambio</t>
  </si>
  <si>
    <t>máximo cambio</t>
  </si>
  <si>
    <t>111/221</t>
  </si>
  <si>
    <t>110/221</t>
  </si>
  <si>
    <t>12/215</t>
  </si>
  <si>
    <t>60/300</t>
  </si>
  <si>
    <t>4/24.</t>
  </si>
  <si>
    <t>1/24.</t>
  </si>
  <si>
    <t>14/24.</t>
  </si>
  <si>
    <t>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</si>
</sst>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0" borderId="1" xfId="0" applyFill="1" applyBorder="1"/>
    <xf numFmtId="17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right"/>
    </xf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right"/>
    </xf>
    <xf numFmtId="17" fontId="0" fillId="0" borderId="2" xfId="0" applyNumberFormat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1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2" xfId="0" applyFont="1" applyBorder="1"/>
    <xf numFmtId="16" fontId="0" fillId="0" borderId="2" xfId="0" applyNumberFormat="1" applyBorder="1" applyAlignment="1">
      <alignment horizontal="right"/>
    </xf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17" fontId="0" fillId="0" borderId="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/>
    <xf numFmtId="164" fontId="0" fillId="3" borderId="0" xfId="0" applyNumberFormat="1" applyFill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 applyAlignment="1">
      <alignment horizontal="right"/>
    </xf>
    <xf numFmtId="164" fontId="0" fillId="0" borderId="2" xfId="0" applyNumberFormat="1" applyBorder="1"/>
    <xf numFmtId="164" fontId="0" fillId="0" borderId="0" xfId="0" applyNumberFormat="1" applyFill="1" applyBorder="1"/>
    <xf numFmtId="164" fontId="0" fillId="0" borderId="2" xfId="0" applyNumberFormat="1" applyFill="1" applyBorder="1"/>
    <xf numFmtId="0" fontId="0" fillId="4" borderId="0" xfId="0" applyFill="1"/>
    <xf numFmtId="164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0" fillId="4" borderId="0" xfId="0" applyNumberFormat="1" applyFill="1"/>
    <xf numFmtId="164" fontId="2" fillId="0" borderId="0" xfId="0" applyNumberFormat="1" applyFont="1"/>
    <xf numFmtId="0" fontId="0" fillId="0" borderId="0" xfId="0" applyFill="1"/>
    <xf numFmtId="164" fontId="0" fillId="0" borderId="0" xfId="0" applyNumberFormat="1" applyFill="1"/>
    <xf numFmtId="164" fontId="2" fillId="0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E970-392F-4EB7-A18E-1D6CE6BD1B6F}">
  <dimension ref="A1:AP173"/>
  <sheetViews>
    <sheetView tabSelected="1" topLeftCell="J70" workbookViewId="0">
      <selection activeCell="U94" sqref="U94:W95"/>
    </sheetView>
  </sheetViews>
  <sheetFormatPr baseColWidth="10" defaultRowHeight="14.4" x14ac:dyDescent="0.3"/>
  <cols>
    <col min="1" max="1" width="6" style="1" bestFit="1" customWidth="1"/>
    <col min="2" max="2" width="5.6640625" style="1" bestFit="1" customWidth="1"/>
    <col min="3" max="3" width="2" bestFit="1" customWidth="1"/>
    <col min="4" max="4" width="3" bestFit="1" customWidth="1"/>
    <col min="5" max="6" width="2" bestFit="1" customWidth="1"/>
    <col min="7" max="7" width="3" bestFit="1" customWidth="1"/>
    <col min="8" max="8" width="8.5546875" style="33" bestFit="1" customWidth="1"/>
    <col min="9" max="9" width="6.33203125" style="2" customWidth="1"/>
    <col min="10" max="10" width="6.6640625" style="33" customWidth="1"/>
    <col min="11" max="11" width="8.88671875" style="2" bestFit="1" customWidth="1"/>
    <col min="13" max="13" width="6" style="1" bestFit="1" customWidth="1"/>
    <col min="14" max="14" width="5.6640625" style="1" bestFit="1" customWidth="1"/>
    <col min="15" max="19" width="3" bestFit="1" customWidth="1"/>
    <col min="20" max="20" width="7.33203125" style="38" customWidth="1"/>
    <col min="21" max="21" width="8" style="2" customWidth="1"/>
    <col min="22" max="22" width="6.5546875" style="33" customWidth="1"/>
    <col min="23" max="23" width="8.109375" style="2" customWidth="1"/>
    <col min="24" max="24" width="11.33203125" customWidth="1"/>
    <col min="25" max="25" width="6" style="1" bestFit="1" customWidth="1"/>
    <col min="26" max="26" width="5.6640625" style="1" bestFit="1" customWidth="1"/>
    <col min="27" max="28" width="3" bestFit="1" customWidth="1"/>
    <col min="29" max="29" width="2" bestFit="1" customWidth="1"/>
    <col min="30" max="31" width="3" bestFit="1" customWidth="1"/>
    <col min="32" max="32" width="6.88671875" style="38" bestFit="1" customWidth="1"/>
    <col min="33" max="33" width="8.44140625" style="2" customWidth="1"/>
    <col min="34" max="34" width="6.5546875" style="38" bestFit="1" customWidth="1"/>
    <col min="35" max="35" width="7.5546875" bestFit="1" customWidth="1"/>
    <col min="36" max="36" width="8.77734375" customWidth="1"/>
    <col min="37" max="37" width="8.77734375" bestFit="1" customWidth="1"/>
    <col min="38" max="38" width="9.88671875" customWidth="1"/>
  </cols>
  <sheetData>
    <row r="1" spans="1:3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3" t="s">
        <v>8</v>
      </c>
      <c r="I1" s="59" t="s">
        <v>7</v>
      </c>
      <c r="J1" s="59"/>
      <c r="K1" s="15" t="s">
        <v>186</v>
      </c>
      <c r="M1" s="1" t="s">
        <v>0</v>
      </c>
      <c r="N1" s="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s="33" t="s">
        <v>8</v>
      </c>
      <c r="U1" s="59" t="s">
        <v>7</v>
      </c>
      <c r="V1" s="59"/>
      <c r="W1" s="15" t="s">
        <v>186</v>
      </c>
      <c r="Y1" s="13" t="s">
        <v>0</v>
      </c>
      <c r="Z1" s="13" t="s">
        <v>1</v>
      </c>
      <c r="AA1" s="14" t="s">
        <v>2</v>
      </c>
      <c r="AB1" s="14" t="s">
        <v>3</v>
      </c>
      <c r="AC1" s="14" t="s">
        <v>4</v>
      </c>
      <c r="AD1" s="14" t="s">
        <v>5</v>
      </c>
      <c r="AE1" s="14" t="s">
        <v>6</v>
      </c>
      <c r="AF1" s="43" t="s">
        <v>8</v>
      </c>
      <c r="AG1" s="59" t="s">
        <v>7</v>
      </c>
      <c r="AH1" s="59"/>
      <c r="AI1" s="14" t="s">
        <v>186</v>
      </c>
    </row>
    <row r="2" spans="1:35" x14ac:dyDescent="0.3">
      <c r="A2" s="3">
        <v>4</v>
      </c>
      <c r="B2" s="3">
        <v>2</v>
      </c>
      <c r="C2" s="4">
        <v>3</v>
      </c>
      <c r="D2" s="4">
        <v>1</v>
      </c>
      <c r="E2" s="4">
        <v>0</v>
      </c>
      <c r="F2" s="4">
        <v>3</v>
      </c>
      <c r="G2" s="4">
        <v>1</v>
      </c>
      <c r="H2" s="40">
        <v>0.5</v>
      </c>
      <c r="I2" s="31" t="s">
        <v>47</v>
      </c>
      <c r="J2" s="34">
        <f>9/20</f>
        <v>0.45</v>
      </c>
      <c r="K2" s="34">
        <f>H2-J2</f>
        <v>4.9999999999999989E-2</v>
      </c>
      <c r="M2" s="3">
        <v>10</v>
      </c>
      <c r="N2" s="3">
        <v>1</v>
      </c>
      <c r="O2" s="4">
        <v>7</v>
      </c>
      <c r="P2" s="4">
        <v>2</v>
      </c>
      <c r="Q2" s="4">
        <v>0</v>
      </c>
      <c r="R2" s="4">
        <v>7</v>
      </c>
      <c r="S2" s="4">
        <v>6</v>
      </c>
      <c r="T2" s="40">
        <v>0.5</v>
      </c>
      <c r="U2" s="8" t="s">
        <v>12</v>
      </c>
      <c r="V2" s="34">
        <f>7/12</f>
        <v>0.58333333333333337</v>
      </c>
      <c r="W2" s="34">
        <f>T2-V2</f>
        <v>-8.333333333333337E-2</v>
      </c>
      <c r="Y2" s="1">
        <v>16</v>
      </c>
      <c r="Z2" s="1">
        <v>1</v>
      </c>
      <c r="AA2">
        <v>0</v>
      </c>
      <c r="AB2">
        <v>4</v>
      </c>
      <c r="AC2">
        <v>0</v>
      </c>
      <c r="AD2">
        <v>0</v>
      </c>
      <c r="AE2">
        <v>2</v>
      </c>
      <c r="AF2">
        <v>0.5</v>
      </c>
      <c r="AG2" s="2" t="s">
        <v>95</v>
      </c>
      <c r="AH2" s="38">
        <f>25/48</f>
        <v>0.52083333333333337</v>
      </c>
      <c r="AI2" s="38">
        <f>AF2-AH2</f>
        <v>-2.083333333333337E-2</v>
      </c>
    </row>
    <row r="3" spans="1:35" x14ac:dyDescent="0.3">
      <c r="A3" s="6"/>
      <c r="B3" s="6"/>
      <c r="C3" s="7">
        <v>3</v>
      </c>
      <c r="D3" s="7">
        <v>1</v>
      </c>
      <c r="E3" s="7">
        <v>1</v>
      </c>
      <c r="F3" s="7">
        <v>3</v>
      </c>
      <c r="G3" s="7">
        <v>1</v>
      </c>
      <c r="H3" s="34">
        <v>0.5</v>
      </c>
      <c r="I3" s="8" t="s">
        <v>46</v>
      </c>
      <c r="J3" s="34">
        <f>11/20</f>
        <v>0.55000000000000004</v>
      </c>
      <c r="K3" s="34">
        <f t="shared" ref="K3:K66" si="0">H3-J3</f>
        <v>-5.0000000000000044E-2</v>
      </c>
      <c r="O3">
        <v>7</v>
      </c>
      <c r="P3">
        <v>2</v>
      </c>
      <c r="Q3">
        <v>0</v>
      </c>
      <c r="R3">
        <v>6</v>
      </c>
      <c r="S3">
        <v>3</v>
      </c>
      <c r="T3" s="33">
        <v>0.5</v>
      </c>
      <c r="U3" s="2" t="s">
        <v>12</v>
      </c>
      <c r="V3" s="34">
        <f>7/12</f>
        <v>0.58333333333333337</v>
      </c>
      <c r="W3" s="34">
        <f t="shared" ref="W3:W66" si="1">T3-V3</f>
        <v>-8.333333333333337E-2</v>
      </c>
      <c r="AA3">
        <v>0</v>
      </c>
      <c r="AB3">
        <v>4</v>
      </c>
      <c r="AC3">
        <v>0</v>
      </c>
      <c r="AD3">
        <v>2</v>
      </c>
      <c r="AE3">
        <v>4</v>
      </c>
      <c r="AF3">
        <v>0.5</v>
      </c>
      <c r="AG3" s="2" t="s">
        <v>95</v>
      </c>
      <c r="AH3" s="38">
        <f>25/48</f>
        <v>0.52083333333333337</v>
      </c>
      <c r="AI3" s="38">
        <f t="shared" ref="AI3:AI66" si="2">AF3-AH3</f>
        <v>-2.083333333333337E-2</v>
      </c>
    </row>
    <row r="4" spans="1:35" x14ac:dyDescent="0.3">
      <c r="A4" s="3">
        <v>4</v>
      </c>
      <c r="B4" s="3">
        <v>3</v>
      </c>
      <c r="C4" s="4">
        <v>1</v>
      </c>
      <c r="D4" s="4">
        <v>3</v>
      </c>
      <c r="E4" s="4">
        <v>0</v>
      </c>
      <c r="F4" s="4">
        <v>1</v>
      </c>
      <c r="G4" s="4">
        <v>3</v>
      </c>
      <c r="H4" s="40">
        <f>1/3</f>
        <v>0.33333333333333331</v>
      </c>
      <c r="I4" s="5">
        <v>0.25</v>
      </c>
      <c r="J4" s="34">
        <f>1/4</f>
        <v>0.25</v>
      </c>
      <c r="K4" s="34">
        <f t="shared" si="0"/>
        <v>8.3333333333333315E-2</v>
      </c>
      <c r="O4">
        <v>7</v>
      </c>
      <c r="P4">
        <v>2</v>
      </c>
      <c r="Q4">
        <v>0</v>
      </c>
      <c r="R4">
        <v>3</v>
      </c>
      <c r="S4">
        <v>2</v>
      </c>
      <c r="T4" s="33">
        <v>0.5</v>
      </c>
      <c r="U4" s="2" t="s">
        <v>12</v>
      </c>
      <c r="V4" s="34">
        <f>7/12</f>
        <v>0.58333333333333337</v>
      </c>
      <c r="W4" s="34">
        <f t="shared" si="1"/>
        <v>-8.333333333333337E-2</v>
      </c>
      <c r="AA4">
        <v>0</v>
      </c>
      <c r="AB4">
        <v>4</v>
      </c>
      <c r="AC4">
        <v>0</v>
      </c>
      <c r="AD4">
        <v>0</v>
      </c>
      <c r="AE4">
        <v>14</v>
      </c>
      <c r="AF4">
        <v>0.5</v>
      </c>
      <c r="AG4" s="2" t="s">
        <v>96</v>
      </c>
      <c r="AH4" s="38">
        <f>23/48</f>
        <v>0.47916666666666669</v>
      </c>
      <c r="AI4" s="38">
        <f t="shared" si="2"/>
        <v>2.0833333333333315E-2</v>
      </c>
    </row>
    <row r="5" spans="1:35" x14ac:dyDescent="0.3">
      <c r="A5" s="6"/>
      <c r="B5" s="6"/>
      <c r="C5" s="7">
        <v>1</v>
      </c>
      <c r="D5" s="7">
        <v>3</v>
      </c>
      <c r="E5" s="7">
        <v>1</v>
      </c>
      <c r="F5" s="7">
        <v>1</v>
      </c>
      <c r="G5" s="7">
        <v>3</v>
      </c>
      <c r="H5" s="34">
        <f>1/3</f>
        <v>0.33333333333333331</v>
      </c>
      <c r="I5" s="8" t="s">
        <v>10</v>
      </c>
      <c r="J5" s="34">
        <f>1/6</f>
        <v>0.16666666666666666</v>
      </c>
      <c r="K5" s="34">
        <f t="shared" si="0"/>
        <v>0.16666666666666666</v>
      </c>
      <c r="O5">
        <v>7</v>
      </c>
      <c r="P5">
        <v>2</v>
      </c>
      <c r="Q5">
        <v>0</v>
      </c>
      <c r="R5">
        <v>7</v>
      </c>
      <c r="S5">
        <v>0</v>
      </c>
      <c r="T5" s="33">
        <v>0.5</v>
      </c>
      <c r="U5" s="2" t="s">
        <v>33</v>
      </c>
      <c r="V5" s="33">
        <f>5/12</f>
        <v>0.41666666666666669</v>
      </c>
      <c r="W5" s="34">
        <f t="shared" si="1"/>
        <v>8.3333333333333315E-2</v>
      </c>
      <c r="Y5" s="13"/>
      <c r="Z5" s="13"/>
      <c r="AA5" s="14">
        <v>0</v>
      </c>
      <c r="AB5" s="14">
        <v>4</v>
      </c>
      <c r="AC5" s="14">
        <v>0</v>
      </c>
      <c r="AD5" s="14">
        <v>14</v>
      </c>
      <c r="AE5" s="14">
        <v>4</v>
      </c>
      <c r="AF5" s="14">
        <v>0.5</v>
      </c>
      <c r="AG5" s="15" t="s">
        <v>96</v>
      </c>
      <c r="AH5" s="38">
        <f>23/48</f>
        <v>0.47916666666666669</v>
      </c>
      <c r="AI5" s="38">
        <f t="shared" si="2"/>
        <v>2.0833333333333315E-2</v>
      </c>
    </row>
    <row r="6" spans="1:35" x14ac:dyDescent="0.3">
      <c r="A6" s="6"/>
      <c r="B6" s="6"/>
      <c r="C6" s="7">
        <v>1</v>
      </c>
      <c r="D6" s="7">
        <v>3</v>
      </c>
      <c r="E6" s="7">
        <v>2</v>
      </c>
      <c r="F6" s="7">
        <v>1</v>
      </c>
      <c r="G6" s="7">
        <v>3</v>
      </c>
      <c r="H6" s="34">
        <f>1/3</f>
        <v>0.33333333333333331</v>
      </c>
      <c r="I6" s="8" t="s">
        <v>12</v>
      </c>
      <c r="J6" s="34">
        <f>7/12</f>
        <v>0.58333333333333337</v>
      </c>
      <c r="K6" s="34">
        <f t="shared" si="0"/>
        <v>-0.25000000000000006</v>
      </c>
      <c r="O6">
        <v>7</v>
      </c>
      <c r="P6">
        <v>2</v>
      </c>
      <c r="Q6">
        <v>0</v>
      </c>
      <c r="R6">
        <v>0</v>
      </c>
      <c r="S6">
        <v>1</v>
      </c>
      <c r="T6" s="33">
        <v>0.5</v>
      </c>
      <c r="U6" s="2" t="s">
        <v>33</v>
      </c>
      <c r="V6" s="33">
        <f>5/12</f>
        <v>0.41666666666666669</v>
      </c>
      <c r="W6" s="34">
        <f t="shared" si="1"/>
        <v>8.3333333333333315E-2</v>
      </c>
      <c r="Y6" s="1">
        <v>16</v>
      </c>
      <c r="Z6" s="1">
        <v>2</v>
      </c>
      <c r="AA6" s="17">
        <v>12</v>
      </c>
      <c r="AB6" s="17">
        <v>8</v>
      </c>
      <c r="AC6">
        <v>0</v>
      </c>
      <c r="AD6">
        <v>12</v>
      </c>
      <c r="AE6">
        <v>10</v>
      </c>
      <c r="AF6">
        <v>0.25</v>
      </c>
      <c r="AG6" s="18" t="s">
        <v>97</v>
      </c>
      <c r="AH6" s="38">
        <v>0.2638888888888889</v>
      </c>
      <c r="AI6" s="38">
        <f t="shared" si="2"/>
        <v>-1.3888888888888895E-2</v>
      </c>
    </row>
    <row r="7" spans="1:35" x14ac:dyDescent="0.3">
      <c r="A7" s="3">
        <v>5</v>
      </c>
      <c r="B7" s="3">
        <v>1</v>
      </c>
      <c r="C7" s="4">
        <v>3</v>
      </c>
      <c r="D7" s="4">
        <v>1</v>
      </c>
      <c r="E7" s="4">
        <v>0</v>
      </c>
      <c r="F7" s="4">
        <v>3</v>
      </c>
      <c r="G7" s="4">
        <v>2</v>
      </c>
      <c r="H7" s="40">
        <v>0.5</v>
      </c>
      <c r="I7" s="5" t="s">
        <v>13</v>
      </c>
      <c r="J7" s="34">
        <f>3/8</f>
        <v>0.375</v>
      </c>
      <c r="K7" s="34">
        <f t="shared" si="0"/>
        <v>0.125</v>
      </c>
      <c r="O7">
        <v>7</v>
      </c>
      <c r="P7">
        <v>2</v>
      </c>
      <c r="Q7">
        <v>0</v>
      </c>
      <c r="R7">
        <v>1</v>
      </c>
      <c r="S7">
        <v>2</v>
      </c>
      <c r="T7" s="33">
        <v>0.5</v>
      </c>
      <c r="U7" s="2" t="s">
        <v>33</v>
      </c>
      <c r="V7" s="33">
        <f>5/12</f>
        <v>0.41666666666666669</v>
      </c>
      <c r="W7" s="34">
        <f t="shared" si="1"/>
        <v>8.3333333333333315E-2</v>
      </c>
      <c r="AA7">
        <v>12</v>
      </c>
      <c r="AB7">
        <v>8</v>
      </c>
      <c r="AC7">
        <v>0</v>
      </c>
      <c r="AD7">
        <v>10</v>
      </c>
      <c r="AE7">
        <v>8</v>
      </c>
      <c r="AF7">
        <v>0.25</v>
      </c>
      <c r="AG7" s="18" t="s">
        <v>97</v>
      </c>
      <c r="AH7" s="38">
        <v>0.2638888888888889</v>
      </c>
      <c r="AI7" s="38">
        <f t="shared" si="2"/>
        <v>-1.3888888888888895E-2</v>
      </c>
    </row>
    <row r="8" spans="1:35" x14ac:dyDescent="0.3">
      <c r="A8" s="6"/>
      <c r="B8" s="6"/>
      <c r="C8" s="7">
        <v>3</v>
      </c>
      <c r="D8" s="7">
        <v>1</v>
      </c>
      <c r="E8" s="7">
        <v>0</v>
      </c>
      <c r="F8" s="7">
        <v>2</v>
      </c>
      <c r="G8" s="7">
        <v>1</v>
      </c>
      <c r="H8" s="34">
        <v>0.5</v>
      </c>
      <c r="I8" s="8" t="s">
        <v>13</v>
      </c>
      <c r="J8" s="34">
        <f>3/8</f>
        <v>0.375</v>
      </c>
      <c r="K8" s="34">
        <f t="shared" si="0"/>
        <v>0.125</v>
      </c>
      <c r="M8" s="3">
        <v>10</v>
      </c>
      <c r="N8" s="3">
        <v>2</v>
      </c>
      <c r="O8" s="4">
        <v>2</v>
      </c>
      <c r="P8" s="4">
        <v>8</v>
      </c>
      <c r="Q8" s="4">
        <v>0</v>
      </c>
      <c r="R8" s="4">
        <v>2</v>
      </c>
      <c r="S8" s="4">
        <v>1</v>
      </c>
      <c r="T8" s="40">
        <v>0.25</v>
      </c>
      <c r="U8" s="5" t="s">
        <v>10</v>
      </c>
      <c r="V8" s="34">
        <f>1/6</f>
        <v>0.16666666666666666</v>
      </c>
      <c r="W8" s="34">
        <f t="shared" si="1"/>
        <v>8.3333333333333343E-2</v>
      </c>
      <c r="AA8">
        <v>12</v>
      </c>
      <c r="AB8">
        <v>8</v>
      </c>
      <c r="AC8">
        <v>1</v>
      </c>
      <c r="AD8">
        <v>12</v>
      </c>
      <c r="AE8">
        <v>10</v>
      </c>
      <c r="AF8">
        <v>0.25</v>
      </c>
      <c r="AG8" s="11" t="s">
        <v>98</v>
      </c>
      <c r="AH8" s="38">
        <f>11/72</f>
        <v>0.15277777777777779</v>
      </c>
      <c r="AI8" s="38">
        <f t="shared" si="2"/>
        <v>9.722222222222221E-2</v>
      </c>
    </row>
    <row r="9" spans="1:35" x14ac:dyDescent="0.3">
      <c r="A9" s="6"/>
      <c r="B9" s="6"/>
      <c r="C9" s="7">
        <v>3</v>
      </c>
      <c r="D9" s="7">
        <v>1</v>
      </c>
      <c r="E9" s="7">
        <v>0</v>
      </c>
      <c r="F9" s="7">
        <v>3</v>
      </c>
      <c r="G9" s="7">
        <v>0</v>
      </c>
      <c r="H9" s="34">
        <v>0.5</v>
      </c>
      <c r="I9" s="8" t="s">
        <v>14</v>
      </c>
      <c r="J9" s="34">
        <f>5/8</f>
        <v>0.625</v>
      </c>
      <c r="K9" s="34">
        <f t="shared" si="0"/>
        <v>-0.125</v>
      </c>
      <c r="O9">
        <v>2</v>
      </c>
      <c r="P9">
        <v>8</v>
      </c>
      <c r="Q9">
        <v>0</v>
      </c>
      <c r="R9">
        <v>1</v>
      </c>
      <c r="S9">
        <v>0</v>
      </c>
      <c r="T9" s="33">
        <v>0.25</v>
      </c>
      <c r="U9" s="2" t="s">
        <v>10</v>
      </c>
      <c r="V9" s="34">
        <f>1/6</f>
        <v>0.16666666666666666</v>
      </c>
      <c r="W9" s="34">
        <f t="shared" si="1"/>
        <v>8.3333333333333343E-2</v>
      </c>
      <c r="AA9">
        <v>12</v>
      </c>
      <c r="AB9">
        <v>8</v>
      </c>
      <c r="AC9">
        <v>1</v>
      </c>
      <c r="AD9">
        <v>10</v>
      </c>
      <c r="AE9">
        <v>8</v>
      </c>
      <c r="AF9">
        <v>0.25</v>
      </c>
      <c r="AG9" s="18" t="s">
        <v>98</v>
      </c>
      <c r="AH9" s="38">
        <f>11/72</f>
        <v>0.15277777777777779</v>
      </c>
      <c r="AI9" s="38">
        <f t="shared" si="2"/>
        <v>9.722222222222221E-2</v>
      </c>
    </row>
    <row r="10" spans="1:35" x14ac:dyDescent="0.3">
      <c r="A10" s="6"/>
      <c r="B10" s="6"/>
      <c r="C10" s="7">
        <v>3</v>
      </c>
      <c r="D10" s="7">
        <v>1</v>
      </c>
      <c r="E10" s="7">
        <v>0</v>
      </c>
      <c r="F10" s="7">
        <v>0</v>
      </c>
      <c r="G10" s="7">
        <v>1</v>
      </c>
      <c r="H10" s="34">
        <v>0.5</v>
      </c>
      <c r="I10" s="8" t="s">
        <v>14</v>
      </c>
      <c r="J10" s="34">
        <f>5/8</f>
        <v>0.625</v>
      </c>
      <c r="K10" s="34">
        <f t="shared" si="0"/>
        <v>-0.125</v>
      </c>
      <c r="O10">
        <v>2</v>
      </c>
      <c r="P10">
        <v>8</v>
      </c>
      <c r="Q10">
        <v>0</v>
      </c>
      <c r="R10">
        <v>0</v>
      </c>
      <c r="S10">
        <v>9</v>
      </c>
      <c r="T10" s="33">
        <v>0.25</v>
      </c>
      <c r="U10" s="2" t="s">
        <v>10</v>
      </c>
      <c r="V10" s="34">
        <f>1/6</f>
        <v>0.16666666666666666</v>
      </c>
      <c r="W10" s="34">
        <f t="shared" si="1"/>
        <v>8.3333333333333343E-2</v>
      </c>
      <c r="AA10">
        <v>12</v>
      </c>
      <c r="AB10">
        <v>8</v>
      </c>
      <c r="AC10">
        <v>0</v>
      </c>
      <c r="AD10">
        <v>12</v>
      </c>
      <c r="AE10">
        <v>7</v>
      </c>
      <c r="AF10">
        <v>0.25</v>
      </c>
      <c r="AG10" s="18" t="s">
        <v>99</v>
      </c>
      <c r="AH10" s="38">
        <f>7/72</f>
        <v>9.7222222222222224E-2</v>
      </c>
      <c r="AI10" s="38">
        <f t="shared" si="2"/>
        <v>0.15277777777777779</v>
      </c>
    </row>
    <row r="11" spans="1:35" x14ac:dyDescent="0.3">
      <c r="A11" s="3">
        <v>5</v>
      </c>
      <c r="B11" s="3">
        <v>2</v>
      </c>
      <c r="C11" s="4">
        <v>4</v>
      </c>
      <c r="D11" s="4">
        <v>1</v>
      </c>
      <c r="E11" s="4">
        <v>0</v>
      </c>
      <c r="F11" s="4">
        <v>4</v>
      </c>
      <c r="G11" s="4">
        <v>0</v>
      </c>
      <c r="H11" s="41">
        <v>0.5</v>
      </c>
      <c r="I11" s="5" t="s">
        <v>13</v>
      </c>
      <c r="J11" s="34">
        <f>3/8</f>
        <v>0.375</v>
      </c>
      <c r="K11" s="34">
        <f t="shared" si="0"/>
        <v>0.125</v>
      </c>
      <c r="O11">
        <v>2</v>
      </c>
      <c r="P11">
        <v>8</v>
      </c>
      <c r="Q11">
        <v>0</v>
      </c>
      <c r="R11">
        <v>9</v>
      </c>
      <c r="S11">
        <v>8</v>
      </c>
      <c r="T11" s="33">
        <v>0.25</v>
      </c>
      <c r="U11" s="2" t="s">
        <v>10</v>
      </c>
      <c r="V11" s="34">
        <f>1/6</f>
        <v>0.16666666666666666</v>
      </c>
      <c r="W11" s="34">
        <f t="shared" si="1"/>
        <v>8.3333333333333343E-2</v>
      </c>
      <c r="AA11">
        <v>12</v>
      </c>
      <c r="AB11">
        <v>8</v>
      </c>
      <c r="AC11">
        <v>0</v>
      </c>
      <c r="AD11">
        <v>7</v>
      </c>
      <c r="AE11">
        <v>8</v>
      </c>
      <c r="AF11">
        <v>0.25</v>
      </c>
      <c r="AG11" s="18" t="s">
        <v>99</v>
      </c>
      <c r="AH11" s="38">
        <f>7/72</f>
        <v>9.7222222222222224E-2</v>
      </c>
      <c r="AI11" s="38">
        <f t="shared" si="2"/>
        <v>0.15277777777777779</v>
      </c>
    </row>
    <row r="12" spans="1:35" x14ac:dyDescent="0.3">
      <c r="A12" s="6"/>
      <c r="B12" s="6"/>
      <c r="C12" s="7">
        <v>4</v>
      </c>
      <c r="D12" s="7">
        <v>1</v>
      </c>
      <c r="E12" s="7">
        <v>0</v>
      </c>
      <c r="F12" s="7">
        <v>0</v>
      </c>
      <c r="G12" s="7">
        <v>1</v>
      </c>
      <c r="H12" s="42">
        <v>0.5</v>
      </c>
      <c r="I12" s="8" t="s">
        <v>13</v>
      </c>
      <c r="J12" s="34">
        <f>3/8</f>
        <v>0.375</v>
      </c>
      <c r="K12" s="34">
        <f t="shared" si="0"/>
        <v>0.125</v>
      </c>
      <c r="O12">
        <v>2</v>
      </c>
      <c r="P12">
        <v>8</v>
      </c>
      <c r="Q12">
        <v>1</v>
      </c>
      <c r="R12">
        <v>2</v>
      </c>
      <c r="S12">
        <v>1</v>
      </c>
      <c r="T12" s="33">
        <v>0.25</v>
      </c>
      <c r="U12" s="2" t="s">
        <v>34</v>
      </c>
      <c r="V12" s="33">
        <f>5/24</f>
        <v>0.20833333333333334</v>
      </c>
      <c r="W12" s="34">
        <f t="shared" si="1"/>
        <v>4.1666666666666657E-2</v>
      </c>
      <c r="Y12" s="6"/>
      <c r="Z12" s="6"/>
      <c r="AA12" s="7">
        <v>12</v>
      </c>
      <c r="AB12" s="7">
        <v>8</v>
      </c>
      <c r="AC12" s="7">
        <v>1</v>
      </c>
      <c r="AD12" s="7">
        <v>12</v>
      </c>
      <c r="AE12" s="7">
        <v>7</v>
      </c>
      <c r="AF12" s="7">
        <v>0.25</v>
      </c>
      <c r="AG12" s="18" t="s">
        <v>100</v>
      </c>
      <c r="AH12" s="38">
        <f>35/72</f>
        <v>0.4861111111111111</v>
      </c>
      <c r="AI12" s="38">
        <f t="shared" si="2"/>
        <v>-0.2361111111111111</v>
      </c>
    </row>
    <row r="13" spans="1:35" x14ac:dyDescent="0.3">
      <c r="A13" s="6"/>
      <c r="B13" s="6"/>
      <c r="C13" s="7">
        <v>4</v>
      </c>
      <c r="D13" s="7">
        <v>1</v>
      </c>
      <c r="E13" s="7">
        <v>1</v>
      </c>
      <c r="F13" s="7">
        <v>4</v>
      </c>
      <c r="G13" s="7">
        <v>0</v>
      </c>
      <c r="H13" s="42">
        <v>0.5</v>
      </c>
      <c r="I13" s="8" t="s">
        <v>14</v>
      </c>
      <c r="J13" s="34">
        <f>5/8</f>
        <v>0.625</v>
      </c>
      <c r="K13" s="34">
        <f t="shared" si="0"/>
        <v>-0.125</v>
      </c>
      <c r="O13">
        <v>2</v>
      </c>
      <c r="P13">
        <v>8</v>
      </c>
      <c r="Q13">
        <v>1</v>
      </c>
      <c r="R13">
        <v>1</v>
      </c>
      <c r="S13">
        <v>0</v>
      </c>
      <c r="T13" s="33">
        <v>0.25</v>
      </c>
      <c r="U13" s="2" t="s">
        <v>34</v>
      </c>
      <c r="V13" s="33">
        <f>5/24</f>
        <v>0.20833333333333334</v>
      </c>
      <c r="W13" s="34">
        <f t="shared" si="1"/>
        <v>4.1666666666666657E-2</v>
      </c>
      <c r="Y13" s="13"/>
      <c r="Z13" s="13"/>
      <c r="AA13" s="14">
        <v>12</v>
      </c>
      <c r="AB13" s="14">
        <v>8</v>
      </c>
      <c r="AC13" s="14">
        <v>1</v>
      </c>
      <c r="AD13" s="14">
        <v>7</v>
      </c>
      <c r="AE13" s="14">
        <v>8</v>
      </c>
      <c r="AF13" s="14">
        <v>0.25</v>
      </c>
      <c r="AG13" s="19" t="s">
        <v>100</v>
      </c>
      <c r="AH13" s="38">
        <f>35/72</f>
        <v>0.4861111111111111</v>
      </c>
      <c r="AI13" s="38">
        <f t="shared" si="2"/>
        <v>-0.2361111111111111</v>
      </c>
    </row>
    <row r="14" spans="1:35" x14ac:dyDescent="0.3">
      <c r="A14" s="6"/>
      <c r="B14" s="6"/>
      <c r="C14" s="7">
        <v>4</v>
      </c>
      <c r="D14" s="7">
        <v>1</v>
      </c>
      <c r="E14" s="7">
        <v>1</v>
      </c>
      <c r="F14" s="7">
        <v>0</v>
      </c>
      <c r="G14" s="7">
        <v>1</v>
      </c>
      <c r="H14" s="42">
        <v>0.5</v>
      </c>
      <c r="I14" s="8" t="s">
        <v>14</v>
      </c>
      <c r="J14" s="34">
        <f>5/8</f>
        <v>0.625</v>
      </c>
      <c r="K14" s="34">
        <f t="shared" si="0"/>
        <v>-0.125</v>
      </c>
      <c r="O14">
        <v>2</v>
      </c>
      <c r="P14">
        <v>8</v>
      </c>
      <c r="Q14">
        <v>1</v>
      </c>
      <c r="R14">
        <v>0</v>
      </c>
      <c r="S14">
        <v>9</v>
      </c>
      <c r="T14" s="33">
        <v>0.25</v>
      </c>
      <c r="U14" s="2" t="s">
        <v>34</v>
      </c>
      <c r="V14" s="33">
        <f>5/24</f>
        <v>0.20833333333333334</v>
      </c>
      <c r="W14" s="34">
        <f t="shared" si="1"/>
        <v>4.1666666666666657E-2</v>
      </c>
      <c r="Y14" s="1">
        <v>16</v>
      </c>
      <c r="Z14" s="1">
        <v>3</v>
      </c>
      <c r="AA14" s="17">
        <v>13</v>
      </c>
      <c r="AB14" s="17">
        <v>9</v>
      </c>
      <c r="AC14">
        <v>0</v>
      </c>
      <c r="AD14">
        <v>13</v>
      </c>
      <c r="AE14">
        <v>9</v>
      </c>
      <c r="AF14" s="38">
        <f>1/3</f>
        <v>0.33333333333333331</v>
      </c>
      <c r="AG14" s="18" t="s">
        <v>101</v>
      </c>
      <c r="AH14" s="38">
        <f>16/42</f>
        <v>0.38095238095238093</v>
      </c>
      <c r="AI14" s="38">
        <f t="shared" si="2"/>
        <v>-4.7619047619047616E-2</v>
      </c>
    </row>
    <row r="15" spans="1:35" x14ac:dyDescent="0.3">
      <c r="A15" s="3">
        <v>5</v>
      </c>
      <c r="B15" s="3">
        <v>3</v>
      </c>
      <c r="C15" s="4">
        <v>4</v>
      </c>
      <c r="D15" s="4">
        <v>0</v>
      </c>
      <c r="E15" s="4">
        <v>0</v>
      </c>
      <c r="F15" s="4">
        <v>4</v>
      </c>
      <c r="G15" s="4">
        <v>0</v>
      </c>
      <c r="H15" s="40">
        <f>1/3</f>
        <v>0.33333333333333331</v>
      </c>
      <c r="I15" s="5" t="s">
        <v>13</v>
      </c>
      <c r="J15" s="34">
        <f>3/8</f>
        <v>0.375</v>
      </c>
      <c r="K15" s="34">
        <f>H15-J15</f>
        <v>-4.1666666666666685E-2</v>
      </c>
      <c r="O15">
        <v>2</v>
      </c>
      <c r="P15">
        <v>8</v>
      </c>
      <c r="Q15">
        <v>1</v>
      </c>
      <c r="R15">
        <v>9</v>
      </c>
      <c r="S15">
        <v>8</v>
      </c>
      <c r="T15" s="33">
        <v>0.25</v>
      </c>
      <c r="U15" s="2" t="s">
        <v>34</v>
      </c>
      <c r="V15" s="33">
        <f>5/24</f>
        <v>0.20833333333333334</v>
      </c>
      <c r="W15" s="34">
        <f t="shared" si="1"/>
        <v>4.1666666666666657E-2</v>
      </c>
      <c r="Y15" s="6"/>
      <c r="Z15" s="6"/>
      <c r="AA15" s="7">
        <v>13</v>
      </c>
      <c r="AB15" s="7">
        <v>9</v>
      </c>
      <c r="AC15" s="7">
        <v>1</v>
      </c>
      <c r="AD15" s="7">
        <v>13</v>
      </c>
      <c r="AE15" s="7">
        <v>9</v>
      </c>
      <c r="AF15" s="42">
        <f>1/3</f>
        <v>0.33333333333333331</v>
      </c>
      <c r="AG15" s="18" t="s">
        <v>102</v>
      </c>
      <c r="AH15" s="38">
        <f>19/42</f>
        <v>0.45238095238095238</v>
      </c>
      <c r="AI15" s="38">
        <f t="shared" si="2"/>
        <v>-0.11904761904761907</v>
      </c>
    </row>
    <row r="16" spans="1:35" x14ac:dyDescent="0.3">
      <c r="C16">
        <v>4</v>
      </c>
      <c r="D16">
        <v>0</v>
      </c>
      <c r="E16">
        <v>1</v>
      </c>
      <c r="F16">
        <v>4</v>
      </c>
      <c r="G16">
        <v>0</v>
      </c>
      <c r="H16" s="40">
        <f>1/3</f>
        <v>0.33333333333333331</v>
      </c>
      <c r="I16" s="2" t="s">
        <v>184</v>
      </c>
      <c r="J16" s="33">
        <f>1/2</f>
        <v>0.5</v>
      </c>
      <c r="K16" s="34">
        <f t="shared" si="0"/>
        <v>-0.16666666666666669</v>
      </c>
      <c r="O16">
        <v>2</v>
      </c>
      <c r="P16">
        <v>8</v>
      </c>
      <c r="Q16">
        <v>0</v>
      </c>
      <c r="R16">
        <v>2</v>
      </c>
      <c r="S16">
        <v>3</v>
      </c>
      <c r="T16" s="33">
        <v>0.25</v>
      </c>
      <c r="U16" s="2" t="s">
        <v>35</v>
      </c>
      <c r="V16" s="33">
        <f>7/24</f>
        <v>0.29166666666666669</v>
      </c>
      <c r="W16" s="34">
        <f t="shared" si="1"/>
        <v>-4.1666666666666685E-2</v>
      </c>
      <c r="Y16" s="13"/>
      <c r="Z16" s="13"/>
      <c r="AA16" s="14">
        <v>13</v>
      </c>
      <c r="AB16" s="14">
        <v>9</v>
      </c>
      <c r="AC16" s="14">
        <v>2</v>
      </c>
      <c r="AD16" s="14">
        <v>13</v>
      </c>
      <c r="AE16" s="14">
        <v>9</v>
      </c>
      <c r="AF16" s="44">
        <f>1/3</f>
        <v>0.33333333333333331</v>
      </c>
      <c r="AG16" s="19" t="s">
        <v>103</v>
      </c>
      <c r="AH16" s="38">
        <f>7/42</f>
        <v>0.16666666666666666</v>
      </c>
      <c r="AI16" s="38">
        <f t="shared" si="2"/>
        <v>0.16666666666666666</v>
      </c>
    </row>
    <row r="17" spans="1:35" x14ac:dyDescent="0.3">
      <c r="C17">
        <v>4</v>
      </c>
      <c r="D17">
        <v>0</v>
      </c>
      <c r="E17">
        <v>2</v>
      </c>
      <c r="F17">
        <v>4</v>
      </c>
      <c r="G17">
        <v>0</v>
      </c>
      <c r="H17" s="40">
        <f>1/3</f>
        <v>0.33333333333333331</v>
      </c>
      <c r="I17" s="2" t="s">
        <v>15</v>
      </c>
      <c r="J17" s="33">
        <f>1/8</f>
        <v>0.125</v>
      </c>
      <c r="K17" s="34">
        <f t="shared" si="0"/>
        <v>0.20833333333333331</v>
      </c>
      <c r="O17">
        <v>2</v>
      </c>
      <c r="P17">
        <v>8</v>
      </c>
      <c r="Q17">
        <v>0</v>
      </c>
      <c r="R17">
        <v>3</v>
      </c>
      <c r="S17">
        <v>6</v>
      </c>
      <c r="T17" s="33">
        <v>0.25</v>
      </c>
      <c r="U17" s="2" t="s">
        <v>35</v>
      </c>
      <c r="V17" s="33">
        <f>7/24</f>
        <v>0.29166666666666669</v>
      </c>
      <c r="W17" s="34">
        <f t="shared" si="1"/>
        <v>-4.1666666666666685E-2</v>
      </c>
      <c r="Y17" s="1">
        <v>16</v>
      </c>
      <c r="Z17" s="1">
        <v>4</v>
      </c>
      <c r="AA17" s="17">
        <v>11</v>
      </c>
      <c r="AB17" s="17">
        <v>2</v>
      </c>
      <c r="AC17">
        <v>0</v>
      </c>
      <c r="AD17">
        <v>11</v>
      </c>
      <c r="AE17">
        <v>12</v>
      </c>
      <c r="AF17">
        <v>0.25</v>
      </c>
      <c r="AG17" s="18" t="s">
        <v>104</v>
      </c>
      <c r="AH17" s="38">
        <f>13/78</f>
        <v>0.16666666666666666</v>
      </c>
      <c r="AI17" s="38">
        <f t="shared" si="2"/>
        <v>8.3333333333333343E-2</v>
      </c>
    </row>
    <row r="18" spans="1:35" x14ac:dyDescent="0.3">
      <c r="A18" s="3">
        <v>6</v>
      </c>
      <c r="B18" s="3">
        <v>1</v>
      </c>
      <c r="C18" s="4">
        <v>5</v>
      </c>
      <c r="D18" s="4">
        <v>3</v>
      </c>
      <c r="E18" s="4">
        <v>0</v>
      </c>
      <c r="F18" s="4">
        <v>5</v>
      </c>
      <c r="G18" s="4">
        <v>4</v>
      </c>
      <c r="H18" s="40">
        <v>0.5</v>
      </c>
      <c r="I18" s="5" t="s">
        <v>185</v>
      </c>
      <c r="J18" s="34">
        <f>3/4</f>
        <v>0.75</v>
      </c>
      <c r="K18" s="34">
        <f t="shared" si="0"/>
        <v>-0.25</v>
      </c>
      <c r="O18">
        <v>2</v>
      </c>
      <c r="P18">
        <v>8</v>
      </c>
      <c r="Q18">
        <v>0</v>
      </c>
      <c r="R18">
        <v>6</v>
      </c>
      <c r="S18">
        <v>7</v>
      </c>
      <c r="T18" s="33">
        <v>0.25</v>
      </c>
      <c r="U18" s="2" t="s">
        <v>35</v>
      </c>
      <c r="V18" s="33">
        <f>7/24</f>
        <v>0.29166666666666669</v>
      </c>
      <c r="W18" s="34">
        <f t="shared" si="1"/>
        <v>-4.1666666666666685E-2</v>
      </c>
      <c r="AA18">
        <v>11</v>
      </c>
      <c r="AB18">
        <v>2</v>
      </c>
      <c r="AC18">
        <v>0</v>
      </c>
      <c r="AD18">
        <v>12</v>
      </c>
      <c r="AE18">
        <v>2</v>
      </c>
      <c r="AF18">
        <v>0.25</v>
      </c>
      <c r="AG18" s="18" t="s">
        <v>105</v>
      </c>
      <c r="AH18" s="38">
        <f>13/78</f>
        <v>0.16666666666666666</v>
      </c>
      <c r="AI18" s="38">
        <f t="shared" si="2"/>
        <v>8.3333333333333343E-2</v>
      </c>
    </row>
    <row r="19" spans="1:35" x14ac:dyDescent="0.3">
      <c r="C19">
        <v>5</v>
      </c>
      <c r="D19">
        <v>3</v>
      </c>
      <c r="E19">
        <v>0</v>
      </c>
      <c r="F19">
        <v>4</v>
      </c>
      <c r="G19">
        <v>3</v>
      </c>
      <c r="H19" s="33">
        <v>0.5</v>
      </c>
      <c r="I19" s="8" t="s">
        <v>185</v>
      </c>
      <c r="J19" s="34">
        <f>3/4</f>
        <v>0.75</v>
      </c>
      <c r="K19" s="34">
        <f t="shared" si="0"/>
        <v>-0.25</v>
      </c>
      <c r="O19">
        <v>2</v>
      </c>
      <c r="P19">
        <v>8</v>
      </c>
      <c r="Q19">
        <v>0</v>
      </c>
      <c r="R19">
        <v>7</v>
      </c>
      <c r="S19">
        <v>8</v>
      </c>
      <c r="T19" s="33">
        <v>0.25</v>
      </c>
      <c r="U19" s="2" t="s">
        <v>35</v>
      </c>
      <c r="V19" s="33">
        <f>7/24</f>
        <v>0.29166666666666669</v>
      </c>
      <c r="W19" s="34">
        <f t="shared" si="1"/>
        <v>-4.1666666666666685E-2</v>
      </c>
      <c r="AA19">
        <v>11</v>
      </c>
      <c r="AB19">
        <v>2</v>
      </c>
      <c r="AC19">
        <v>1</v>
      </c>
      <c r="AD19">
        <v>11</v>
      </c>
      <c r="AE19">
        <v>12</v>
      </c>
      <c r="AF19">
        <v>0.25</v>
      </c>
      <c r="AG19" s="18" t="s">
        <v>106</v>
      </c>
      <c r="AH19" s="38">
        <f>17/78</f>
        <v>0.21794871794871795</v>
      </c>
      <c r="AI19" s="38">
        <f t="shared" si="2"/>
        <v>3.2051282051282048E-2</v>
      </c>
    </row>
    <row r="20" spans="1:35" x14ac:dyDescent="0.3">
      <c r="C20">
        <v>5</v>
      </c>
      <c r="D20">
        <v>3</v>
      </c>
      <c r="E20">
        <v>0</v>
      </c>
      <c r="F20">
        <v>5</v>
      </c>
      <c r="G20">
        <v>0</v>
      </c>
      <c r="H20" s="33">
        <v>0.5</v>
      </c>
      <c r="I20" s="8" t="s">
        <v>50</v>
      </c>
      <c r="J20" s="34">
        <f>1/4</f>
        <v>0.25</v>
      </c>
      <c r="K20" s="34">
        <f t="shared" si="0"/>
        <v>0.25</v>
      </c>
      <c r="O20">
        <v>2</v>
      </c>
      <c r="P20">
        <v>8</v>
      </c>
      <c r="Q20">
        <v>1</v>
      </c>
      <c r="R20">
        <v>2</v>
      </c>
      <c r="S20">
        <v>3</v>
      </c>
      <c r="T20" s="33">
        <v>0.25</v>
      </c>
      <c r="U20" s="2" t="s">
        <v>9</v>
      </c>
      <c r="V20" s="33">
        <f>1/3</f>
        <v>0.33333333333333331</v>
      </c>
      <c r="W20" s="34">
        <f t="shared" si="1"/>
        <v>-8.3333333333333315E-2</v>
      </c>
      <c r="AA20">
        <v>11</v>
      </c>
      <c r="AB20">
        <v>2</v>
      </c>
      <c r="AC20">
        <v>1</v>
      </c>
      <c r="AD20">
        <v>12</v>
      </c>
      <c r="AE20">
        <v>2</v>
      </c>
      <c r="AF20">
        <v>0.25</v>
      </c>
      <c r="AG20" s="18" t="s">
        <v>106</v>
      </c>
      <c r="AH20" s="38">
        <f>17/78</f>
        <v>0.21794871794871795</v>
      </c>
      <c r="AI20" s="38">
        <f t="shared" si="2"/>
        <v>3.2051282051282048E-2</v>
      </c>
    </row>
    <row r="21" spans="1:35" x14ac:dyDescent="0.3">
      <c r="C21">
        <v>5</v>
      </c>
      <c r="D21">
        <v>3</v>
      </c>
      <c r="E21">
        <v>0</v>
      </c>
      <c r="F21">
        <v>0</v>
      </c>
      <c r="G21">
        <v>3</v>
      </c>
      <c r="H21" s="33">
        <v>0.5</v>
      </c>
      <c r="I21" s="8" t="s">
        <v>50</v>
      </c>
      <c r="J21" s="34">
        <f>1/4</f>
        <v>0.25</v>
      </c>
      <c r="K21" s="34">
        <f t="shared" si="0"/>
        <v>0.25</v>
      </c>
      <c r="O21">
        <v>2</v>
      </c>
      <c r="P21">
        <v>8</v>
      </c>
      <c r="Q21">
        <v>1</v>
      </c>
      <c r="R21">
        <v>3</v>
      </c>
      <c r="S21">
        <v>6</v>
      </c>
      <c r="T21" s="33">
        <v>0.25</v>
      </c>
      <c r="U21" s="2" t="s">
        <v>9</v>
      </c>
      <c r="V21" s="33">
        <f>1/3</f>
        <v>0.33333333333333331</v>
      </c>
      <c r="W21" s="34">
        <f t="shared" si="1"/>
        <v>-8.3333333333333315E-2</v>
      </c>
      <c r="AA21">
        <v>11</v>
      </c>
      <c r="AB21">
        <v>2</v>
      </c>
      <c r="AC21">
        <v>2</v>
      </c>
      <c r="AD21">
        <v>11</v>
      </c>
      <c r="AE21">
        <v>12</v>
      </c>
      <c r="AF21">
        <v>0.25</v>
      </c>
      <c r="AG21" s="18" t="s">
        <v>107</v>
      </c>
      <c r="AH21" s="38">
        <f>19/78</f>
        <v>0.24358974358974358</v>
      </c>
      <c r="AI21" s="38">
        <f t="shared" si="2"/>
        <v>6.4102564102564152E-3</v>
      </c>
    </row>
    <row r="22" spans="1:35" x14ac:dyDescent="0.3">
      <c r="A22" s="3">
        <v>6</v>
      </c>
      <c r="B22" s="3">
        <v>2</v>
      </c>
      <c r="C22" s="4">
        <v>2</v>
      </c>
      <c r="D22" s="4">
        <v>3</v>
      </c>
      <c r="E22" s="4">
        <v>0</v>
      </c>
      <c r="F22" s="4">
        <v>2</v>
      </c>
      <c r="G22" s="4">
        <v>3</v>
      </c>
      <c r="H22" s="40">
        <v>0.5</v>
      </c>
      <c r="I22" s="5" t="s">
        <v>16</v>
      </c>
      <c r="J22" s="34">
        <f>3/7</f>
        <v>0.42857142857142855</v>
      </c>
      <c r="K22" s="34">
        <f t="shared" si="0"/>
        <v>7.1428571428571452E-2</v>
      </c>
      <c r="O22">
        <v>2</v>
      </c>
      <c r="P22">
        <v>8</v>
      </c>
      <c r="Q22">
        <v>1</v>
      </c>
      <c r="R22">
        <v>6</v>
      </c>
      <c r="S22">
        <v>7</v>
      </c>
      <c r="T22" s="33">
        <v>0.25</v>
      </c>
      <c r="U22" s="2" t="s">
        <v>9</v>
      </c>
      <c r="V22" s="33">
        <f>1/3</f>
        <v>0.33333333333333331</v>
      </c>
      <c r="W22" s="34">
        <f t="shared" si="1"/>
        <v>-8.3333333333333315E-2</v>
      </c>
      <c r="AA22">
        <v>11</v>
      </c>
      <c r="AB22">
        <v>2</v>
      </c>
      <c r="AC22">
        <v>2</v>
      </c>
      <c r="AD22">
        <v>12</v>
      </c>
      <c r="AE22">
        <v>2</v>
      </c>
      <c r="AF22">
        <v>0.25</v>
      </c>
      <c r="AG22" s="18" t="s">
        <v>107</v>
      </c>
      <c r="AH22" s="38">
        <f>19/78</f>
        <v>0.24358974358974358</v>
      </c>
      <c r="AI22" s="38">
        <f t="shared" si="2"/>
        <v>6.4102564102564152E-3</v>
      </c>
    </row>
    <row r="23" spans="1:35" x14ac:dyDescent="0.3">
      <c r="C23">
        <v>2</v>
      </c>
      <c r="D23">
        <v>3</v>
      </c>
      <c r="E23">
        <v>1</v>
      </c>
      <c r="F23">
        <v>2</v>
      </c>
      <c r="G23">
        <v>3</v>
      </c>
      <c r="H23" s="43">
        <v>0.5</v>
      </c>
      <c r="I23" s="2" t="s">
        <v>17</v>
      </c>
      <c r="J23" s="33">
        <f>4/7</f>
        <v>0.5714285714285714</v>
      </c>
      <c r="K23" s="34">
        <f t="shared" si="0"/>
        <v>-7.1428571428571397E-2</v>
      </c>
      <c r="O23">
        <v>2</v>
      </c>
      <c r="P23">
        <v>8</v>
      </c>
      <c r="Q23">
        <v>1</v>
      </c>
      <c r="R23">
        <v>7</v>
      </c>
      <c r="S23">
        <v>8</v>
      </c>
      <c r="T23" s="33">
        <v>0.25</v>
      </c>
      <c r="U23" s="2" t="s">
        <v>9</v>
      </c>
      <c r="V23" s="33">
        <f>1/3</f>
        <v>0.33333333333333331</v>
      </c>
      <c r="W23" s="34">
        <f t="shared" si="1"/>
        <v>-8.3333333333333315E-2</v>
      </c>
      <c r="AA23">
        <v>11</v>
      </c>
      <c r="AB23">
        <v>2</v>
      </c>
      <c r="AC23">
        <v>3</v>
      </c>
      <c r="AD23">
        <v>11</v>
      </c>
      <c r="AE23">
        <v>12</v>
      </c>
      <c r="AF23">
        <v>0.25</v>
      </c>
      <c r="AG23" s="18" t="s">
        <v>108</v>
      </c>
      <c r="AH23" s="38">
        <f>29/78</f>
        <v>0.37179487179487181</v>
      </c>
      <c r="AI23" s="38">
        <f t="shared" si="2"/>
        <v>-0.12179487179487181</v>
      </c>
    </row>
    <row r="24" spans="1:35" x14ac:dyDescent="0.3">
      <c r="A24" s="3">
        <v>6</v>
      </c>
      <c r="B24" s="3">
        <v>3</v>
      </c>
      <c r="C24" s="4">
        <v>2</v>
      </c>
      <c r="D24" s="4">
        <v>0</v>
      </c>
      <c r="E24" s="4">
        <v>0</v>
      </c>
      <c r="F24" s="4">
        <v>2</v>
      </c>
      <c r="G24" s="4">
        <v>1</v>
      </c>
      <c r="H24" s="34">
        <f t="shared" ref="H24:H35" si="3">1/6</f>
        <v>0.16666666666666666</v>
      </c>
      <c r="I24" s="5" t="s">
        <v>18</v>
      </c>
      <c r="J24" s="33">
        <f>1/12</f>
        <v>8.3333333333333329E-2</v>
      </c>
      <c r="K24" s="34">
        <f t="shared" si="0"/>
        <v>8.3333333333333329E-2</v>
      </c>
      <c r="M24" s="3">
        <v>10</v>
      </c>
      <c r="N24" s="3">
        <v>3</v>
      </c>
      <c r="O24" s="4">
        <v>1</v>
      </c>
      <c r="P24" s="4">
        <v>8</v>
      </c>
      <c r="Q24" s="4">
        <v>0</v>
      </c>
      <c r="R24" s="4">
        <v>1</v>
      </c>
      <c r="S24" s="4">
        <v>0</v>
      </c>
      <c r="T24" s="40">
        <f t="shared" ref="T24:T32" si="4">1/3</f>
        <v>0.33333333333333331</v>
      </c>
      <c r="U24" s="12" t="s">
        <v>36</v>
      </c>
      <c r="V24" s="34">
        <f>6/17</f>
        <v>0.35294117647058826</v>
      </c>
      <c r="W24" s="34">
        <f t="shared" si="1"/>
        <v>-1.9607843137254943E-2</v>
      </c>
      <c r="Y24" s="13"/>
      <c r="Z24" s="13"/>
      <c r="AA24" s="14">
        <v>11</v>
      </c>
      <c r="AB24" s="14">
        <v>2</v>
      </c>
      <c r="AC24" s="14">
        <v>3</v>
      </c>
      <c r="AD24" s="14">
        <v>12</v>
      </c>
      <c r="AE24" s="14">
        <v>2</v>
      </c>
      <c r="AF24" s="14">
        <v>0.25</v>
      </c>
      <c r="AG24" s="19" t="s">
        <v>108</v>
      </c>
      <c r="AH24" s="38">
        <f>29/78</f>
        <v>0.37179487179487181</v>
      </c>
      <c r="AI24" s="38">
        <f t="shared" si="2"/>
        <v>-0.12179487179487181</v>
      </c>
    </row>
    <row r="25" spans="1:35" x14ac:dyDescent="0.3">
      <c r="C25">
        <v>2</v>
      </c>
      <c r="D25">
        <v>0</v>
      </c>
      <c r="E25">
        <v>0</v>
      </c>
      <c r="F25">
        <v>1</v>
      </c>
      <c r="G25">
        <v>0</v>
      </c>
      <c r="H25" s="34">
        <f t="shared" si="3"/>
        <v>0.16666666666666666</v>
      </c>
      <c r="I25" s="2" t="s">
        <v>18</v>
      </c>
      <c r="J25" s="33">
        <f>1/12</f>
        <v>8.3333333333333329E-2</v>
      </c>
      <c r="K25" s="34">
        <f t="shared" si="0"/>
        <v>8.3333333333333329E-2</v>
      </c>
      <c r="O25">
        <v>1</v>
      </c>
      <c r="P25">
        <v>8</v>
      </c>
      <c r="Q25">
        <v>0</v>
      </c>
      <c r="R25">
        <v>0</v>
      </c>
      <c r="S25">
        <v>9</v>
      </c>
      <c r="T25" s="33">
        <f t="shared" si="4"/>
        <v>0.33333333333333331</v>
      </c>
      <c r="U25" s="2" t="s">
        <v>36</v>
      </c>
      <c r="V25" s="34">
        <f>6/17</f>
        <v>0.35294117647058826</v>
      </c>
      <c r="W25" s="34">
        <f t="shared" si="1"/>
        <v>-1.9607843137254943E-2</v>
      </c>
      <c r="Y25" s="1">
        <v>16</v>
      </c>
      <c r="Z25" s="1">
        <v>5</v>
      </c>
      <c r="AA25" s="17">
        <v>7</v>
      </c>
      <c r="AB25" s="17">
        <v>15</v>
      </c>
      <c r="AC25">
        <v>0</v>
      </c>
      <c r="AD25">
        <v>7</v>
      </c>
      <c r="AE25">
        <v>14</v>
      </c>
      <c r="AF25">
        <v>0.2</v>
      </c>
      <c r="AG25" s="18" t="s">
        <v>109</v>
      </c>
      <c r="AH25" s="38">
        <f>59/300</f>
        <v>0.19666666666666666</v>
      </c>
      <c r="AI25" s="38">
        <f t="shared" si="2"/>
        <v>3.3333333333333548E-3</v>
      </c>
    </row>
    <row r="26" spans="1:35" x14ac:dyDescent="0.3">
      <c r="C26">
        <v>2</v>
      </c>
      <c r="D26">
        <v>0</v>
      </c>
      <c r="E26">
        <v>1</v>
      </c>
      <c r="F26">
        <v>2</v>
      </c>
      <c r="G26">
        <v>1</v>
      </c>
      <c r="H26" s="34">
        <f t="shared" si="3"/>
        <v>0.16666666666666666</v>
      </c>
      <c r="I26" s="2">
        <v>0.25</v>
      </c>
      <c r="J26" s="33">
        <f>1/4</f>
        <v>0.25</v>
      </c>
      <c r="K26" s="34">
        <f t="shared" si="0"/>
        <v>-8.3333333333333343E-2</v>
      </c>
      <c r="O26">
        <v>1</v>
      </c>
      <c r="P26">
        <v>8</v>
      </c>
      <c r="Q26">
        <v>0</v>
      </c>
      <c r="R26">
        <v>9</v>
      </c>
      <c r="S26">
        <v>8</v>
      </c>
      <c r="T26" s="33">
        <f t="shared" si="4"/>
        <v>0.33333333333333331</v>
      </c>
      <c r="U26" s="2" t="s">
        <v>36</v>
      </c>
      <c r="V26" s="34">
        <f>6/17</f>
        <v>0.35294117647058826</v>
      </c>
      <c r="W26" s="34">
        <f t="shared" si="1"/>
        <v>-1.9607843137254943E-2</v>
      </c>
      <c r="AA26">
        <v>7</v>
      </c>
      <c r="AB26">
        <v>15</v>
      </c>
      <c r="AC26">
        <v>0</v>
      </c>
      <c r="AD26">
        <v>14</v>
      </c>
      <c r="AE26">
        <v>15</v>
      </c>
      <c r="AF26">
        <v>0.2</v>
      </c>
      <c r="AG26" s="18" t="s">
        <v>109</v>
      </c>
      <c r="AH26" s="38">
        <f>59/300</f>
        <v>0.19666666666666666</v>
      </c>
      <c r="AI26" s="38">
        <f t="shared" si="2"/>
        <v>3.3333333333333548E-3</v>
      </c>
    </row>
    <row r="27" spans="1:35" x14ac:dyDescent="0.3">
      <c r="C27">
        <v>2</v>
      </c>
      <c r="D27">
        <v>0</v>
      </c>
      <c r="E27">
        <v>1</v>
      </c>
      <c r="F27">
        <v>1</v>
      </c>
      <c r="G27">
        <v>0</v>
      </c>
      <c r="H27" s="34">
        <f t="shared" si="3"/>
        <v>0.16666666666666666</v>
      </c>
      <c r="I27" s="2">
        <v>0.25</v>
      </c>
      <c r="J27" s="33">
        <f>1/4</f>
        <v>0.25</v>
      </c>
      <c r="K27" s="34">
        <f t="shared" si="0"/>
        <v>-8.3333333333333343E-2</v>
      </c>
      <c r="O27">
        <v>1</v>
      </c>
      <c r="P27">
        <v>8</v>
      </c>
      <c r="Q27">
        <v>1</v>
      </c>
      <c r="R27">
        <v>1</v>
      </c>
      <c r="S27">
        <v>0</v>
      </c>
      <c r="T27" s="33">
        <f t="shared" si="4"/>
        <v>0.33333333333333331</v>
      </c>
      <c r="U27" s="2" t="s">
        <v>37</v>
      </c>
      <c r="V27" s="33">
        <f>19/51</f>
        <v>0.37254901960784315</v>
      </c>
      <c r="W27" s="34">
        <f t="shared" si="1"/>
        <v>-3.9215686274509831E-2</v>
      </c>
      <c r="AA27">
        <v>7</v>
      </c>
      <c r="AB27">
        <v>15</v>
      </c>
      <c r="AC27">
        <v>1</v>
      </c>
      <c r="AD27">
        <v>7</v>
      </c>
      <c r="AE27">
        <v>14</v>
      </c>
      <c r="AF27">
        <v>0.2</v>
      </c>
      <c r="AG27" s="18" t="s">
        <v>110</v>
      </c>
      <c r="AH27" s="38">
        <f>73/300</f>
        <v>0.24333333333333335</v>
      </c>
      <c r="AI27" s="38">
        <f t="shared" si="2"/>
        <v>-4.3333333333333335E-2</v>
      </c>
    </row>
    <row r="28" spans="1:35" x14ac:dyDescent="0.3">
      <c r="C28">
        <v>2</v>
      </c>
      <c r="D28">
        <v>0</v>
      </c>
      <c r="E28">
        <v>2</v>
      </c>
      <c r="F28">
        <v>2</v>
      </c>
      <c r="G28">
        <v>1</v>
      </c>
      <c r="H28" s="34">
        <f t="shared" si="3"/>
        <v>0.16666666666666666</v>
      </c>
      <c r="I28" s="2">
        <v>0.25</v>
      </c>
      <c r="J28" s="33">
        <f>1/4</f>
        <v>0.25</v>
      </c>
      <c r="K28" s="34">
        <f t="shared" si="0"/>
        <v>-8.3333333333333343E-2</v>
      </c>
      <c r="O28">
        <v>1</v>
      </c>
      <c r="P28">
        <v>8</v>
      </c>
      <c r="Q28">
        <v>1</v>
      </c>
      <c r="R28">
        <v>0</v>
      </c>
      <c r="S28">
        <v>9</v>
      </c>
      <c r="T28" s="33">
        <f t="shared" si="4"/>
        <v>0.33333333333333331</v>
      </c>
      <c r="U28" s="2" t="s">
        <v>37</v>
      </c>
      <c r="V28" s="33">
        <f>19/51</f>
        <v>0.37254901960784315</v>
      </c>
      <c r="W28" s="34">
        <f t="shared" si="1"/>
        <v>-3.9215686274509831E-2</v>
      </c>
      <c r="AA28">
        <v>7</v>
      </c>
      <c r="AB28">
        <v>15</v>
      </c>
      <c r="AC28">
        <v>1</v>
      </c>
      <c r="AD28">
        <v>14</v>
      </c>
      <c r="AE28">
        <v>15</v>
      </c>
      <c r="AF28">
        <v>0.2</v>
      </c>
      <c r="AG28" s="18" t="s">
        <v>110</v>
      </c>
      <c r="AH28" s="38">
        <f>73/300</f>
        <v>0.24333333333333335</v>
      </c>
      <c r="AI28" s="38">
        <f t="shared" si="2"/>
        <v>-4.3333333333333335E-2</v>
      </c>
    </row>
    <row r="29" spans="1:35" x14ac:dyDescent="0.3">
      <c r="C29">
        <v>2</v>
      </c>
      <c r="D29">
        <v>0</v>
      </c>
      <c r="E29">
        <v>2</v>
      </c>
      <c r="F29">
        <v>1</v>
      </c>
      <c r="G29">
        <v>0</v>
      </c>
      <c r="H29" s="34">
        <f t="shared" si="3"/>
        <v>0.16666666666666666</v>
      </c>
      <c r="I29" s="2">
        <v>0.25</v>
      </c>
      <c r="J29" s="33">
        <f>1/4</f>
        <v>0.25</v>
      </c>
      <c r="K29" s="34">
        <f t="shared" si="0"/>
        <v>-8.3333333333333343E-2</v>
      </c>
      <c r="O29">
        <v>1</v>
      </c>
      <c r="P29">
        <v>8</v>
      </c>
      <c r="Q29">
        <v>1</v>
      </c>
      <c r="R29">
        <v>9</v>
      </c>
      <c r="S29">
        <v>8</v>
      </c>
      <c r="T29" s="33">
        <f t="shared" si="4"/>
        <v>0.33333333333333331</v>
      </c>
      <c r="U29" s="2" t="s">
        <v>37</v>
      </c>
      <c r="V29" s="33">
        <f>19/51</f>
        <v>0.37254901960784315</v>
      </c>
      <c r="W29" s="34">
        <f t="shared" si="1"/>
        <v>-3.9215686274509831E-2</v>
      </c>
      <c r="AA29">
        <v>7</v>
      </c>
      <c r="AB29">
        <v>15</v>
      </c>
      <c r="AC29">
        <v>2</v>
      </c>
      <c r="AD29">
        <v>7</v>
      </c>
      <c r="AE29">
        <v>14</v>
      </c>
      <c r="AF29">
        <v>0.2</v>
      </c>
      <c r="AG29" s="18" t="s">
        <v>111</v>
      </c>
      <c r="AH29" s="38">
        <f>67/300</f>
        <v>0.22333333333333333</v>
      </c>
      <c r="AI29" s="38">
        <f t="shared" si="2"/>
        <v>-2.3333333333333317E-2</v>
      </c>
    </row>
    <row r="30" spans="1:35" x14ac:dyDescent="0.3">
      <c r="C30">
        <v>2</v>
      </c>
      <c r="D30">
        <v>0</v>
      </c>
      <c r="E30">
        <v>0</v>
      </c>
      <c r="F30">
        <v>2</v>
      </c>
      <c r="G30">
        <v>3</v>
      </c>
      <c r="H30" s="34">
        <f t="shared" si="3"/>
        <v>0.16666666666666666</v>
      </c>
      <c r="I30" s="2" t="s">
        <v>18</v>
      </c>
      <c r="J30" s="33">
        <f>1/12</f>
        <v>8.3333333333333329E-2</v>
      </c>
      <c r="K30" s="34">
        <f t="shared" si="0"/>
        <v>8.3333333333333329E-2</v>
      </c>
      <c r="O30">
        <v>1</v>
      </c>
      <c r="P30">
        <v>8</v>
      </c>
      <c r="Q30">
        <v>2</v>
      </c>
      <c r="R30">
        <v>1</v>
      </c>
      <c r="S30">
        <v>0</v>
      </c>
      <c r="T30" s="33">
        <f t="shared" si="4"/>
        <v>0.33333333333333331</v>
      </c>
      <c r="U30" s="2" t="s">
        <v>38</v>
      </c>
      <c r="V30" s="33">
        <f>14/51</f>
        <v>0.27450980392156865</v>
      </c>
      <c r="W30" s="34">
        <f t="shared" si="1"/>
        <v>5.8823529411764663E-2</v>
      </c>
      <c r="AA30">
        <v>7</v>
      </c>
      <c r="AB30">
        <v>15</v>
      </c>
      <c r="AC30">
        <v>2</v>
      </c>
      <c r="AD30">
        <v>14</v>
      </c>
      <c r="AE30">
        <v>15</v>
      </c>
      <c r="AF30">
        <v>0.2</v>
      </c>
      <c r="AG30" s="18" t="s">
        <v>111</v>
      </c>
      <c r="AH30" s="38">
        <f>67/300</f>
        <v>0.22333333333333333</v>
      </c>
      <c r="AI30" s="38">
        <f t="shared" si="2"/>
        <v>-2.3333333333333317E-2</v>
      </c>
    </row>
    <row r="31" spans="1:35" x14ac:dyDescent="0.3">
      <c r="C31">
        <v>2</v>
      </c>
      <c r="D31">
        <v>0</v>
      </c>
      <c r="E31">
        <v>0</v>
      </c>
      <c r="F31">
        <v>3</v>
      </c>
      <c r="G31">
        <v>0</v>
      </c>
      <c r="H31" s="34">
        <f t="shared" si="3"/>
        <v>0.16666666666666666</v>
      </c>
      <c r="I31" s="2" t="s">
        <v>18</v>
      </c>
      <c r="J31" s="33">
        <f>1/12</f>
        <v>8.3333333333333329E-2</v>
      </c>
      <c r="K31" s="34">
        <f t="shared" si="0"/>
        <v>8.3333333333333329E-2</v>
      </c>
      <c r="M31" s="6"/>
      <c r="N31" s="6"/>
      <c r="O31" s="7">
        <v>1</v>
      </c>
      <c r="P31" s="7">
        <v>8</v>
      </c>
      <c r="Q31" s="7">
        <v>2</v>
      </c>
      <c r="R31" s="7">
        <v>0</v>
      </c>
      <c r="S31" s="7">
        <v>9</v>
      </c>
      <c r="T31" s="33">
        <f t="shared" si="4"/>
        <v>0.33333333333333331</v>
      </c>
      <c r="U31" s="8" t="s">
        <v>38</v>
      </c>
      <c r="V31" s="33">
        <f>14/51</f>
        <v>0.27450980392156865</v>
      </c>
      <c r="W31" s="34">
        <f t="shared" si="1"/>
        <v>5.8823529411764663E-2</v>
      </c>
      <c r="AA31">
        <v>7</v>
      </c>
      <c r="AB31">
        <v>15</v>
      </c>
      <c r="AC31">
        <v>3</v>
      </c>
      <c r="AD31">
        <v>7</v>
      </c>
      <c r="AE31">
        <v>14</v>
      </c>
      <c r="AF31">
        <v>0.2</v>
      </c>
      <c r="AG31" s="18" t="s">
        <v>112</v>
      </c>
      <c r="AH31" s="38">
        <f>41/300</f>
        <v>0.13666666666666666</v>
      </c>
      <c r="AI31" s="38">
        <f t="shared" si="2"/>
        <v>6.3333333333333353E-2</v>
      </c>
    </row>
    <row r="32" spans="1:35" x14ac:dyDescent="0.3">
      <c r="C32">
        <v>2</v>
      </c>
      <c r="D32">
        <v>0</v>
      </c>
      <c r="E32">
        <v>1</v>
      </c>
      <c r="F32">
        <v>2</v>
      </c>
      <c r="G32">
        <v>3</v>
      </c>
      <c r="H32" s="34">
        <f t="shared" si="3"/>
        <v>0.16666666666666666</v>
      </c>
      <c r="I32" s="2" t="s">
        <v>18</v>
      </c>
      <c r="J32" s="33">
        <f>1/12</f>
        <v>8.3333333333333329E-2</v>
      </c>
      <c r="K32" s="34">
        <f t="shared" si="0"/>
        <v>8.3333333333333329E-2</v>
      </c>
      <c r="M32" s="13"/>
      <c r="N32" s="13"/>
      <c r="O32" s="14">
        <v>1</v>
      </c>
      <c r="P32" s="14">
        <v>8</v>
      </c>
      <c r="Q32" s="14">
        <v>2</v>
      </c>
      <c r="R32" s="14">
        <v>9</v>
      </c>
      <c r="S32" s="14">
        <v>8</v>
      </c>
      <c r="T32" s="33">
        <f t="shared" si="4"/>
        <v>0.33333333333333331</v>
      </c>
      <c r="U32" s="15" t="s">
        <v>38</v>
      </c>
      <c r="V32" s="33">
        <f>14/51</f>
        <v>0.27450980392156865</v>
      </c>
      <c r="W32" s="34">
        <f t="shared" si="1"/>
        <v>5.8823529411764663E-2</v>
      </c>
      <c r="AA32">
        <v>7</v>
      </c>
      <c r="AB32">
        <v>15</v>
      </c>
      <c r="AC32">
        <v>3</v>
      </c>
      <c r="AD32">
        <v>14</v>
      </c>
      <c r="AE32">
        <v>15</v>
      </c>
      <c r="AF32">
        <v>0.2</v>
      </c>
      <c r="AG32" s="18" t="s">
        <v>112</v>
      </c>
      <c r="AH32" s="38">
        <f>41/300</f>
        <v>0.13666666666666666</v>
      </c>
      <c r="AI32" s="38">
        <f t="shared" si="2"/>
        <v>6.3333333333333353E-2</v>
      </c>
    </row>
    <row r="33" spans="1:35" x14ac:dyDescent="0.3">
      <c r="C33">
        <v>2</v>
      </c>
      <c r="D33">
        <v>0</v>
      </c>
      <c r="E33">
        <v>1</v>
      </c>
      <c r="F33">
        <v>3</v>
      </c>
      <c r="G33">
        <v>0</v>
      </c>
      <c r="H33" s="34">
        <f t="shared" si="3"/>
        <v>0.16666666666666666</v>
      </c>
      <c r="I33" s="2" t="s">
        <v>18</v>
      </c>
      <c r="J33" s="33">
        <f>1/12</f>
        <v>8.3333333333333329E-2</v>
      </c>
      <c r="K33" s="34">
        <f t="shared" si="0"/>
        <v>8.3333333333333329E-2</v>
      </c>
      <c r="M33" s="1">
        <v>10</v>
      </c>
      <c r="N33" s="1">
        <v>3</v>
      </c>
      <c r="O33">
        <v>9</v>
      </c>
      <c r="P33">
        <v>8</v>
      </c>
      <c r="Q33">
        <v>0</v>
      </c>
      <c r="R33">
        <v>9</v>
      </c>
      <c r="S33">
        <v>8</v>
      </c>
      <c r="T33" s="33">
        <v>0.25</v>
      </c>
      <c r="U33" s="2" t="s">
        <v>39</v>
      </c>
      <c r="V33" s="33">
        <f>23/96</f>
        <v>0.23958333333333334</v>
      </c>
      <c r="W33" s="34">
        <f t="shared" si="1"/>
        <v>1.0416666666666657E-2</v>
      </c>
      <c r="AA33" s="53">
        <v>7</v>
      </c>
      <c r="AB33" s="53">
        <v>15</v>
      </c>
      <c r="AC33" s="53">
        <v>4</v>
      </c>
      <c r="AD33" s="53">
        <v>7</v>
      </c>
      <c r="AE33" s="53">
        <v>14</v>
      </c>
      <c r="AF33" s="53">
        <v>0.2</v>
      </c>
      <c r="AG33" s="25" t="s">
        <v>193</v>
      </c>
      <c r="AH33" s="54">
        <f>60/300</f>
        <v>0.2</v>
      </c>
      <c r="AI33" s="55">
        <f t="shared" si="2"/>
        <v>0</v>
      </c>
    </row>
    <row r="34" spans="1:35" x14ac:dyDescent="0.3">
      <c r="C34">
        <v>2</v>
      </c>
      <c r="D34">
        <v>0</v>
      </c>
      <c r="E34">
        <v>2</v>
      </c>
      <c r="F34">
        <v>2</v>
      </c>
      <c r="G34">
        <v>3</v>
      </c>
      <c r="H34" s="34">
        <f t="shared" si="3"/>
        <v>0.16666666666666666</v>
      </c>
      <c r="I34" s="2" t="s">
        <v>50</v>
      </c>
      <c r="J34" s="33">
        <f>1/4</f>
        <v>0.25</v>
      </c>
      <c r="K34" s="34">
        <f t="shared" si="0"/>
        <v>-8.3333333333333343E-2</v>
      </c>
      <c r="O34">
        <v>9</v>
      </c>
      <c r="P34">
        <v>8</v>
      </c>
      <c r="Q34">
        <v>1</v>
      </c>
      <c r="R34">
        <v>9</v>
      </c>
      <c r="S34">
        <v>8</v>
      </c>
      <c r="T34" s="33">
        <v>0.25</v>
      </c>
      <c r="U34" s="2" t="s">
        <v>40</v>
      </c>
      <c r="V34" s="33">
        <f>25/96</f>
        <v>0.26041666666666669</v>
      </c>
      <c r="W34" s="34">
        <f t="shared" si="1"/>
        <v>-1.0416666666666685E-2</v>
      </c>
      <c r="Y34" s="13"/>
      <c r="Z34" s="13"/>
      <c r="AA34" s="20">
        <v>7</v>
      </c>
      <c r="AB34" s="20">
        <v>15</v>
      </c>
      <c r="AC34" s="20">
        <v>4</v>
      </c>
      <c r="AD34" s="20">
        <v>14</v>
      </c>
      <c r="AE34" s="20">
        <v>15</v>
      </c>
      <c r="AF34" s="20">
        <v>0.2</v>
      </c>
      <c r="AG34" s="19" t="s">
        <v>193</v>
      </c>
      <c r="AH34" s="54">
        <f>60/300</f>
        <v>0.2</v>
      </c>
      <c r="AI34" s="55">
        <f t="shared" si="2"/>
        <v>0</v>
      </c>
    </row>
    <row r="35" spans="1:35" x14ac:dyDescent="0.3">
      <c r="C35">
        <v>2</v>
      </c>
      <c r="D35">
        <v>0</v>
      </c>
      <c r="E35">
        <v>2</v>
      </c>
      <c r="F35">
        <v>3</v>
      </c>
      <c r="G35">
        <v>0</v>
      </c>
      <c r="H35" s="34">
        <f t="shared" si="3"/>
        <v>0.16666666666666666</v>
      </c>
      <c r="I35" s="2" t="s">
        <v>50</v>
      </c>
      <c r="J35" s="33">
        <f>1/4</f>
        <v>0.25</v>
      </c>
      <c r="K35" s="34">
        <f t="shared" si="0"/>
        <v>-8.3333333333333343E-2</v>
      </c>
      <c r="O35">
        <v>9</v>
      </c>
      <c r="P35">
        <v>8</v>
      </c>
      <c r="Q35">
        <v>2</v>
      </c>
      <c r="R35">
        <v>9</v>
      </c>
      <c r="S35">
        <v>8</v>
      </c>
      <c r="T35" s="33">
        <v>0.25</v>
      </c>
      <c r="U35" s="11" t="s">
        <v>41</v>
      </c>
      <c r="V35" s="33">
        <f>11/48</f>
        <v>0.22916666666666666</v>
      </c>
      <c r="W35" s="34">
        <f t="shared" si="1"/>
        <v>2.0833333333333343E-2</v>
      </c>
      <c r="Y35" s="1">
        <v>17</v>
      </c>
      <c r="Z35" s="1">
        <v>1</v>
      </c>
      <c r="AA35">
        <v>13</v>
      </c>
      <c r="AB35">
        <v>1</v>
      </c>
      <c r="AC35">
        <v>0</v>
      </c>
      <c r="AD35">
        <v>13</v>
      </c>
      <c r="AE35">
        <v>15</v>
      </c>
      <c r="AF35">
        <v>0.5</v>
      </c>
      <c r="AG35" s="18" t="s">
        <v>113</v>
      </c>
      <c r="AH35" s="38">
        <f>93/187</f>
        <v>0.49732620320855614</v>
      </c>
      <c r="AI35" s="38">
        <f t="shared" si="2"/>
        <v>2.673796791443861E-3</v>
      </c>
    </row>
    <row r="36" spans="1:35" x14ac:dyDescent="0.3">
      <c r="A36" s="3">
        <v>7</v>
      </c>
      <c r="B36" s="3">
        <v>1</v>
      </c>
      <c r="C36" s="4">
        <v>2</v>
      </c>
      <c r="D36" s="4">
        <v>6</v>
      </c>
      <c r="E36" s="4">
        <v>0</v>
      </c>
      <c r="F36" s="4">
        <v>2</v>
      </c>
      <c r="G36" s="4">
        <v>1</v>
      </c>
      <c r="H36" s="40">
        <v>0.5</v>
      </c>
      <c r="I36" s="5" t="s">
        <v>185</v>
      </c>
      <c r="J36" s="34">
        <f>3/4</f>
        <v>0.75</v>
      </c>
      <c r="K36" s="34">
        <f t="shared" si="0"/>
        <v>-0.25</v>
      </c>
      <c r="M36" s="13"/>
      <c r="N36" s="13"/>
      <c r="O36" s="14">
        <v>9</v>
      </c>
      <c r="P36" s="14">
        <v>8</v>
      </c>
      <c r="Q36" s="14">
        <v>3</v>
      </c>
      <c r="R36" s="14">
        <v>9</v>
      </c>
      <c r="S36" s="14">
        <v>8</v>
      </c>
      <c r="T36" s="43">
        <v>0.25</v>
      </c>
      <c r="U36" s="16" t="s">
        <v>42</v>
      </c>
      <c r="V36" s="34">
        <f>13/48</f>
        <v>0.27083333333333331</v>
      </c>
      <c r="W36" s="34">
        <f t="shared" si="1"/>
        <v>-2.0833333333333315E-2</v>
      </c>
      <c r="AA36">
        <v>13</v>
      </c>
      <c r="AB36">
        <v>1</v>
      </c>
      <c r="AC36">
        <v>0</v>
      </c>
      <c r="AD36">
        <v>15</v>
      </c>
      <c r="AE36">
        <v>1</v>
      </c>
      <c r="AF36">
        <v>0.5</v>
      </c>
      <c r="AG36" s="18" t="s">
        <v>113</v>
      </c>
      <c r="AH36" s="38">
        <f>93/187</f>
        <v>0.49732620320855614</v>
      </c>
      <c r="AI36" s="38">
        <f t="shared" si="2"/>
        <v>2.673796791443861E-3</v>
      </c>
    </row>
    <row r="37" spans="1:35" x14ac:dyDescent="0.3">
      <c r="C37">
        <v>2</v>
      </c>
      <c r="D37">
        <v>6</v>
      </c>
      <c r="E37">
        <v>0</v>
      </c>
      <c r="F37">
        <v>1</v>
      </c>
      <c r="G37">
        <v>0</v>
      </c>
      <c r="H37" s="33">
        <v>0.5</v>
      </c>
      <c r="I37" s="5" t="s">
        <v>185</v>
      </c>
      <c r="J37" s="34">
        <f>3/4</f>
        <v>0.75</v>
      </c>
      <c r="K37" s="34">
        <f t="shared" si="0"/>
        <v>-0.25</v>
      </c>
      <c r="M37" s="1">
        <v>11</v>
      </c>
      <c r="N37" s="1">
        <v>1</v>
      </c>
      <c r="O37" s="17">
        <v>2</v>
      </c>
      <c r="P37" s="17">
        <v>10</v>
      </c>
      <c r="Q37">
        <v>0</v>
      </c>
      <c r="R37">
        <v>2</v>
      </c>
      <c r="S37">
        <v>1</v>
      </c>
      <c r="T37" s="33">
        <f t="shared" ref="T37:T42" si="5">1/3</f>
        <v>0.33333333333333331</v>
      </c>
      <c r="U37" s="32" t="s">
        <v>44</v>
      </c>
      <c r="V37" s="33">
        <f>35/96</f>
        <v>0.36458333333333331</v>
      </c>
      <c r="W37" s="34">
        <f t="shared" si="1"/>
        <v>-3.125E-2</v>
      </c>
      <c r="Y37" s="6"/>
      <c r="Z37" s="6"/>
      <c r="AA37" s="7">
        <v>13</v>
      </c>
      <c r="AB37" s="7">
        <v>1</v>
      </c>
      <c r="AC37" s="7">
        <v>0</v>
      </c>
      <c r="AD37" s="7">
        <v>13</v>
      </c>
      <c r="AE37" s="7">
        <v>16</v>
      </c>
      <c r="AF37" s="7">
        <v>0.5</v>
      </c>
      <c r="AG37" s="18" t="s">
        <v>114</v>
      </c>
      <c r="AH37" s="38">
        <f>94/187</f>
        <v>0.50267379679144386</v>
      </c>
      <c r="AI37" s="38">
        <f t="shared" si="2"/>
        <v>-2.673796791443861E-3</v>
      </c>
    </row>
    <row r="38" spans="1:35" x14ac:dyDescent="0.3">
      <c r="C38">
        <v>2</v>
      </c>
      <c r="D38">
        <v>6</v>
      </c>
      <c r="E38">
        <v>0</v>
      </c>
      <c r="F38">
        <v>0</v>
      </c>
      <c r="G38">
        <v>6</v>
      </c>
      <c r="H38" s="33">
        <v>0.5</v>
      </c>
      <c r="I38" s="5" t="s">
        <v>185</v>
      </c>
      <c r="J38" s="34">
        <f>3/4</f>
        <v>0.75</v>
      </c>
      <c r="K38" s="34">
        <f t="shared" si="0"/>
        <v>-0.25</v>
      </c>
      <c r="O38">
        <v>2</v>
      </c>
      <c r="P38">
        <v>10</v>
      </c>
      <c r="Q38">
        <v>0</v>
      </c>
      <c r="R38">
        <v>1</v>
      </c>
      <c r="S38">
        <v>10</v>
      </c>
      <c r="T38" s="33">
        <f t="shared" si="5"/>
        <v>0.33333333333333331</v>
      </c>
      <c r="U38" s="2" t="s">
        <v>44</v>
      </c>
      <c r="V38" s="33">
        <f>35/96</f>
        <v>0.36458333333333331</v>
      </c>
      <c r="W38" s="34">
        <f t="shared" si="1"/>
        <v>-3.125E-2</v>
      </c>
      <c r="Y38" s="13"/>
      <c r="Z38" s="13"/>
      <c r="AA38" s="14">
        <v>13</v>
      </c>
      <c r="AB38" s="14">
        <v>1</v>
      </c>
      <c r="AC38" s="14">
        <v>0</v>
      </c>
      <c r="AD38" s="14">
        <v>16</v>
      </c>
      <c r="AE38" s="14">
        <v>1</v>
      </c>
      <c r="AF38" s="14">
        <v>0.5</v>
      </c>
      <c r="AG38" s="19" t="s">
        <v>114</v>
      </c>
      <c r="AH38" s="38">
        <f>94/187</f>
        <v>0.50267379679144386</v>
      </c>
      <c r="AI38" s="38">
        <f t="shared" si="2"/>
        <v>-2.673796791443861E-3</v>
      </c>
    </row>
    <row r="39" spans="1:35" x14ac:dyDescent="0.3">
      <c r="C39">
        <v>2</v>
      </c>
      <c r="D39">
        <v>6</v>
      </c>
      <c r="E39">
        <v>0</v>
      </c>
      <c r="F39">
        <v>2</v>
      </c>
      <c r="G39">
        <v>3</v>
      </c>
      <c r="H39" s="33">
        <v>0.5</v>
      </c>
      <c r="I39" s="2" t="s">
        <v>50</v>
      </c>
      <c r="J39" s="33">
        <f>1/4</f>
        <v>0.25</v>
      </c>
      <c r="K39" s="34">
        <f t="shared" si="0"/>
        <v>0.25</v>
      </c>
      <c r="O39">
        <v>2</v>
      </c>
      <c r="P39">
        <v>10</v>
      </c>
      <c r="Q39">
        <v>0</v>
      </c>
      <c r="R39">
        <v>2</v>
      </c>
      <c r="S39">
        <v>0</v>
      </c>
      <c r="T39" s="33">
        <f t="shared" si="5"/>
        <v>0.33333333333333331</v>
      </c>
      <c r="U39" s="2" t="s">
        <v>43</v>
      </c>
      <c r="V39" s="33">
        <f>31/96</f>
        <v>0.32291666666666669</v>
      </c>
      <c r="W39" s="34">
        <f t="shared" si="1"/>
        <v>1.041666666666663E-2</v>
      </c>
      <c r="Y39" s="1">
        <v>17</v>
      </c>
      <c r="Z39" s="1">
        <v>2</v>
      </c>
      <c r="AA39">
        <v>4</v>
      </c>
      <c r="AB39">
        <v>8</v>
      </c>
      <c r="AC39">
        <v>0</v>
      </c>
      <c r="AD39">
        <v>4</v>
      </c>
      <c r="AE39">
        <v>5</v>
      </c>
      <c r="AF39">
        <v>0.25</v>
      </c>
      <c r="AG39" s="18" t="s">
        <v>115</v>
      </c>
      <c r="AH39" s="38">
        <f>16/65</f>
        <v>0.24615384615384617</v>
      </c>
      <c r="AI39" s="38">
        <f t="shared" si="2"/>
        <v>3.8461538461538325E-3</v>
      </c>
    </row>
    <row r="40" spans="1:35" x14ac:dyDescent="0.3">
      <c r="C40">
        <v>2</v>
      </c>
      <c r="D40">
        <v>6</v>
      </c>
      <c r="E40">
        <v>0</v>
      </c>
      <c r="F40">
        <v>3</v>
      </c>
      <c r="G40">
        <v>5</v>
      </c>
      <c r="H40" s="33">
        <v>0.5</v>
      </c>
      <c r="I40" s="2" t="s">
        <v>50</v>
      </c>
      <c r="J40" s="33">
        <f>1/4</f>
        <v>0.25</v>
      </c>
      <c r="K40" s="34">
        <f t="shared" si="0"/>
        <v>0.25</v>
      </c>
      <c r="O40">
        <v>2</v>
      </c>
      <c r="P40">
        <v>10</v>
      </c>
      <c r="Q40">
        <v>0</v>
      </c>
      <c r="R40">
        <v>0</v>
      </c>
      <c r="S40">
        <v>10</v>
      </c>
      <c r="T40" s="33">
        <f t="shared" si="5"/>
        <v>0.33333333333333331</v>
      </c>
      <c r="U40" s="2" t="s">
        <v>43</v>
      </c>
      <c r="V40" s="33">
        <f>31/96</f>
        <v>0.32291666666666669</v>
      </c>
      <c r="W40" s="34">
        <f t="shared" si="1"/>
        <v>1.041666666666663E-2</v>
      </c>
      <c r="AA40">
        <v>4</v>
      </c>
      <c r="AB40">
        <v>8</v>
      </c>
      <c r="AC40">
        <v>0</v>
      </c>
      <c r="AD40">
        <v>5</v>
      </c>
      <c r="AE40">
        <v>8</v>
      </c>
      <c r="AF40">
        <v>0.25</v>
      </c>
      <c r="AG40" s="18" t="s">
        <v>115</v>
      </c>
      <c r="AH40" s="38">
        <f>16/65</f>
        <v>0.24615384615384617</v>
      </c>
      <c r="AI40" s="38">
        <f t="shared" si="2"/>
        <v>3.8461538461538325E-3</v>
      </c>
    </row>
    <row r="41" spans="1:35" x14ac:dyDescent="0.3">
      <c r="C41">
        <v>2</v>
      </c>
      <c r="D41">
        <v>6</v>
      </c>
      <c r="E41">
        <v>0</v>
      </c>
      <c r="F41">
        <v>5</v>
      </c>
      <c r="G41">
        <v>6</v>
      </c>
      <c r="H41" s="33">
        <v>0.5</v>
      </c>
      <c r="I41" s="2" t="s">
        <v>50</v>
      </c>
      <c r="J41" s="33">
        <f>1/4</f>
        <v>0.25</v>
      </c>
      <c r="K41" s="34">
        <f t="shared" si="0"/>
        <v>0.25</v>
      </c>
      <c r="O41">
        <v>2</v>
      </c>
      <c r="P41">
        <v>10</v>
      </c>
      <c r="Q41">
        <v>0</v>
      </c>
      <c r="R41">
        <v>2</v>
      </c>
      <c r="S41">
        <v>8</v>
      </c>
      <c r="T41" s="33">
        <f t="shared" si="5"/>
        <v>0.33333333333333331</v>
      </c>
      <c r="U41" s="2" t="s">
        <v>45</v>
      </c>
      <c r="V41" s="33">
        <f>5/16</f>
        <v>0.3125</v>
      </c>
      <c r="W41" s="34">
        <f t="shared" si="1"/>
        <v>2.0833333333333315E-2</v>
      </c>
      <c r="AA41">
        <v>4</v>
      </c>
      <c r="AB41">
        <v>8</v>
      </c>
      <c r="AC41">
        <v>1</v>
      </c>
      <c r="AD41">
        <v>4</v>
      </c>
      <c r="AE41">
        <v>5</v>
      </c>
      <c r="AF41">
        <v>0.25</v>
      </c>
      <c r="AG41" s="18" t="s">
        <v>116</v>
      </c>
      <c r="AH41" s="38">
        <f>13/65</f>
        <v>0.2</v>
      </c>
      <c r="AI41" s="38">
        <f t="shared" si="2"/>
        <v>4.9999999999999989E-2</v>
      </c>
    </row>
    <row r="42" spans="1:35" x14ac:dyDescent="0.3">
      <c r="A42" s="3">
        <v>7</v>
      </c>
      <c r="B42" s="3">
        <v>2</v>
      </c>
      <c r="C42" s="4">
        <v>5</v>
      </c>
      <c r="D42" s="4">
        <v>3</v>
      </c>
      <c r="E42" s="4">
        <v>0</v>
      </c>
      <c r="F42" s="4">
        <v>5</v>
      </c>
      <c r="G42" s="4">
        <v>3</v>
      </c>
      <c r="H42" s="40">
        <v>0.5</v>
      </c>
      <c r="I42" s="5" t="s">
        <v>19</v>
      </c>
      <c r="J42" s="34">
        <f>7/16</f>
        <v>0.4375</v>
      </c>
      <c r="K42" s="34">
        <f t="shared" si="0"/>
        <v>6.25E-2</v>
      </c>
      <c r="M42" s="13"/>
      <c r="N42" s="13"/>
      <c r="O42" s="14">
        <v>2</v>
      </c>
      <c r="P42" s="14">
        <v>10</v>
      </c>
      <c r="Q42" s="14">
        <v>0</v>
      </c>
      <c r="R42" s="14">
        <v>8</v>
      </c>
      <c r="S42" s="14">
        <v>10</v>
      </c>
      <c r="T42" s="33">
        <f t="shared" si="5"/>
        <v>0.33333333333333331</v>
      </c>
      <c r="U42" s="15" t="s">
        <v>45</v>
      </c>
      <c r="V42" s="34">
        <f>5/16</f>
        <v>0.3125</v>
      </c>
      <c r="W42" s="34">
        <f t="shared" si="1"/>
        <v>2.0833333333333315E-2</v>
      </c>
      <c r="AA42">
        <v>4</v>
      </c>
      <c r="AB42">
        <v>8</v>
      </c>
      <c r="AC42">
        <v>1</v>
      </c>
      <c r="AD42">
        <v>5</v>
      </c>
      <c r="AE42">
        <v>8</v>
      </c>
      <c r="AF42">
        <v>0.25</v>
      </c>
      <c r="AG42" s="18" t="s">
        <v>116</v>
      </c>
      <c r="AH42" s="38">
        <f>13/65</f>
        <v>0.2</v>
      </c>
      <c r="AI42" s="38">
        <f t="shared" si="2"/>
        <v>4.9999999999999989E-2</v>
      </c>
    </row>
    <row r="43" spans="1:35" x14ac:dyDescent="0.3">
      <c r="C43">
        <v>5</v>
      </c>
      <c r="D43">
        <v>3</v>
      </c>
      <c r="E43">
        <v>1</v>
      </c>
      <c r="F43">
        <v>5</v>
      </c>
      <c r="G43">
        <v>3</v>
      </c>
      <c r="H43" s="33">
        <v>0.5</v>
      </c>
      <c r="I43" s="2" t="s">
        <v>20</v>
      </c>
      <c r="J43" s="33">
        <f>9/16</f>
        <v>0.5625</v>
      </c>
      <c r="K43" s="34">
        <f t="shared" si="0"/>
        <v>-6.25E-2</v>
      </c>
      <c r="M43" s="1">
        <v>11</v>
      </c>
      <c r="N43" s="1">
        <v>2</v>
      </c>
      <c r="O43">
        <v>5</v>
      </c>
      <c r="P43">
        <v>10</v>
      </c>
      <c r="Q43">
        <v>0</v>
      </c>
      <c r="R43">
        <v>5</v>
      </c>
      <c r="S43">
        <v>0</v>
      </c>
      <c r="T43" s="33">
        <v>0.5</v>
      </c>
      <c r="U43" s="2" t="s">
        <v>46</v>
      </c>
      <c r="V43" s="33">
        <f>11/20</f>
        <v>0.55000000000000004</v>
      </c>
      <c r="W43" s="34">
        <f t="shared" si="1"/>
        <v>-5.0000000000000044E-2</v>
      </c>
      <c r="AA43">
        <v>4</v>
      </c>
      <c r="AB43">
        <v>8</v>
      </c>
      <c r="AC43">
        <v>0</v>
      </c>
      <c r="AD43">
        <v>4</v>
      </c>
      <c r="AE43">
        <v>6</v>
      </c>
      <c r="AF43">
        <v>0.25</v>
      </c>
      <c r="AG43" s="18" t="s">
        <v>117</v>
      </c>
      <c r="AH43" s="38">
        <f>17/65</f>
        <v>0.26153846153846155</v>
      </c>
      <c r="AI43" s="38">
        <f t="shared" si="2"/>
        <v>-1.1538461538461553E-2</v>
      </c>
    </row>
    <row r="44" spans="1:35" x14ac:dyDescent="0.3">
      <c r="A44" s="3">
        <v>7</v>
      </c>
      <c r="B44" s="3">
        <v>3</v>
      </c>
      <c r="C44" s="4">
        <v>1</v>
      </c>
      <c r="D44" s="4">
        <v>5</v>
      </c>
      <c r="E44" s="4">
        <v>0</v>
      </c>
      <c r="F44" s="4">
        <v>1</v>
      </c>
      <c r="G44" s="4">
        <v>0</v>
      </c>
      <c r="H44" s="40">
        <f t="shared" ref="H44:H49" si="6">1/3</f>
        <v>0.33333333333333331</v>
      </c>
      <c r="I44" s="5" t="s">
        <v>21</v>
      </c>
      <c r="J44" s="34">
        <f>2/9</f>
        <v>0.22222222222222221</v>
      </c>
      <c r="K44" s="34">
        <f t="shared" si="0"/>
        <v>0.1111111111111111</v>
      </c>
      <c r="O44">
        <v>5</v>
      </c>
      <c r="P44">
        <v>10</v>
      </c>
      <c r="Q44">
        <v>0</v>
      </c>
      <c r="R44">
        <v>0</v>
      </c>
      <c r="S44">
        <v>10</v>
      </c>
      <c r="T44" s="33">
        <v>0.5</v>
      </c>
      <c r="U44" s="2" t="s">
        <v>46</v>
      </c>
      <c r="V44" s="33">
        <f>11/20</f>
        <v>0.55000000000000004</v>
      </c>
      <c r="W44" s="34">
        <f t="shared" si="1"/>
        <v>-5.0000000000000044E-2</v>
      </c>
      <c r="AA44">
        <v>4</v>
      </c>
      <c r="AB44">
        <v>8</v>
      </c>
      <c r="AC44">
        <v>0</v>
      </c>
      <c r="AD44">
        <v>6</v>
      </c>
      <c r="AE44">
        <v>8</v>
      </c>
      <c r="AF44">
        <v>0.25</v>
      </c>
      <c r="AG44" s="18" t="s">
        <v>117</v>
      </c>
      <c r="AH44" s="38">
        <f>17/65</f>
        <v>0.26153846153846155</v>
      </c>
      <c r="AI44" s="38">
        <f t="shared" si="2"/>
        <v>-1.1538461538461553E-2</v>
      </c>
    </row>
    <row r="45" spans="1:35" x14ac:dyDescent="0.3">
      <c r="C45">
        <v>1</v>
      </c>
      <c r="D45">
        <v>5</v>
      </c>
      <c r="E45">
        <v>0</v>
      </c>
      <c r="F45">
        <v>0</v>
      </c>
      <c r="G45">
        <v>5</v>
      </c>
      <c r="H45" s="33">
        <f t="shared" si="6"/>
        <v>0.33333333333333331</v>
      </c>
      <c r="I45" s="2" t="s">
        <v>21</v>
      </c>
      <c r="J45" s="34">
        <f>2/9</f>
        <v>0.22222222222222221</v>
      </c>
      <c r="K45" s="34">
        <f t="shared" si="0"/>
        <v>0.1111111111111111</v>
      </c>
      <c r="M45" s="6"/>
      <c r="N45" s="6"/>
      <c r="O45" s="7">
        <v>5</v>
      </c>
      <c r="P45" s="7">
        <v>10</v>
      </c>
      <c r="Q45" s="7">
        <v>1</v>
      </c>
      <c r="R45" s="7">
        <v>5</v>
      </c>
      <c r="S45" s="7">
        <v>0</v>
      </c>
      <c r="T45" s="34">
        <v>0.5</v>
      </c>
      <c r="U45" s="8" t="s">
        <v>47</v>
      </c>
      <c r="V45" s="34">
        <f>9/20</f>
        <v>0.45</v>
      </c>
      <c r="W45" s="34">
        <f t="shared" si="1"/>
        <v>4.9999999999999989E-2</v>
      </c>
      <c r="Y45" s="6"/>
      <c r="Z45" s="6"/>
      <c r="AA45" s="7">
        <v>4</v>
      </c>
      <c r="AB45" s="7">
        <v>8</v>
      </c>
      <c r="AC45" s="7">
        <v>1</v>
      </c>
      <c r="AD45" s="7">
        <v>4</v>
      </c>
      <c r="AE45" s="7">
        <v>6</v>
      </c>
      <c r="AF45" s="7">
        <v>0.25</v>
      </c>
      <c r="AG45" s="18" t="s">
        <v>118</v>
      </c>
      <c r="AH45" s="38">
        <f>19/65</f>
        <v>0.29230769230769232</v>
      </c>
      <c r="AI45" s="38">
        <f t="shared" si="2"/>
        <v>-4.2307692307692324E-2</v>
      </c>
    </row>
    <row r="46" spans="1:35" x14ac:dyDescent="0.3">
      <c r="C46">
        <v>1</v>
      </c>
      <c r="D46">
        <v>5</v>
      </c>
      <c r="E46">
        <v>1</v>
      </c>
      <c r="F46">
        <v>1</v>
      </c>
      <c r="G46">
        <v>0</v>
      </c>
      <c r="H46" s="33">
        <f t="shared" si="6"/>
        <v>0.33333333333333331</v>
      </c>
      <c r="I46" s="2" t="s">
        <v>22</v>
      </c>
      <c r="J46" s="33">
        <f>4/9</f>
        <v>0.44444444444444442</v>
      </c>
      <c r="K46" s="34">
        <f t="shared" si="0"/>
        <v>-0.1111111111111111</v>
      </c>
      <c r="M46" s="13"/>
      <c r="N46" s="13"/>
      <c r="O46" s="14">
        <v>5</v>
      </c>
      <c r="P46" s="14">
        <v>10</v>
      </c>
      <c r="Q46" s="14">
        <v>1</v>
      </c>
      <c r="R46" s="14">
        <v>0</v>
      </c>
      <c r="S46" s="14">
        <v>10</v>
      </c>
      <c r="T46" s="43">
        <v>0.5</v>
      </c>
      <c r="U46" s="15" t="s">
        <v>47</v>
      </c>
      <c r="V46" s="34">
        <f>9/20</f>
        <v>0.45</v>
      </c>
      <c r="W46" s="34">
        <f t="shared" si="1"/>
        <v>4.9999999999999989E-2</v>
      </c>
      <c r="Y46" s="13"/>
      <c r="Z46" s="13"/>
      <c r="AA46" s="14">
        <v>4</v>
      </c>
      <c r="AB46" s="14">
        <v>8</v>
      </c>
      <c r="AC46" s="14">
        <v>1</v>
      </c>
      <c r="AD46" s="14">
        <v>6</v>
      </c>
      <c r="AE46" s="14">
        <v>8</v>
      </c>
      <c r="AF46" s="14">
        <v>0.25</v>
      </c>
      <c r="AG46" s="19" t="s">
        <v>118</v>
      </c>
      <c r="AH46" s="38">
        <f>19/65</f>
        <v>0.29230769230769232</v>
      </c>
      <c r="AI46" s="38">
        <f t="shared" si="2"/>
        <v>-4.2307692307692324E-2</v>
      </c>
    </row>
    <row r="47" spans="1:35" x14ac:dyDescent="0.3">
      <c r="C47">
        <v>1</v>
      </c>
      <c r="D47">
        <v>5</v>
      </c>
      <c r="E47">
        <v>1</v>
      </c>
      <c r="F47">
        <v>0</v>
      </c>
      <c r="G47">
        <v>5</v>
      </c>
      <c r="H47" s="33">
        <f t="shared" si="6"/>
        <v>0.33333333333333331</v>
      </c>
      <c r="I47" s="2" t="s">
        <v>22</v>
      </c>
      <c r="J47" s="33">
        <f>4/9</f>
        <v>0.44444444444444442</v>
      </c>
      <c r="K47" s="34">
        <f t="shared" si="0"/>
        <v>-0.1111111111111111</v>
      </c>
      <c r="M47" s="1">
        <v>11</v>
      </c>
      <c r="N47" s="1">
        <v>3</v>
      </c>
      <c r="O47">
        <v>4</v>
      </c>
      <c r="P47">
        <v>0</v>
      </c>
      <c r="Q47">
        <v>0</v>
      </c>
      <c r="R47">
        <v>4</v>
      </c>
      <c r="S47">
        <v>0</v>
      </c>
      <c r="T47" s="33">
        <f t="shared" ref="T47:T49" si="7">1/3</f>
        <v>0.33333333333333331</v>
      </c>
      <c r="U47" s="2" t="s">
        <v>49</v>
      </c>
      <c r="V47" s="33">
        <f>7/18</f>
        <v>0.3888888888888889</v>
      </c>
      <c r="W47" s="34">
        <f t="shared" si="1"/>
        <v>-5.555555555555558E-2</v>
      </c>
      <c r="Y47" s="1">
        <v>17</v>
      </c>
      <c r="Z47" s="1">
        <v>3</v>
      </c>
      <c r="AA47" s="17">
        <v>16</v>
      </c>
      <c r="AB47" s="17">
        <v>0</v>
      </c>
      <c r="AC47">
        <v>0</v>
      </c>
      <c r="AD47">
        <v>16</v>
      </c>
      <c r="AE47">
        <v>0</v>
      </c>
      <c r="AF47" s="38">
        <f>1/3</f>
        <v>0.33333333333333331</v>
      </c>
      <c r="AG47" s="18" t="s">
        <v>119</v>
      </c>
      <c r="AH47" s="38">
        <f>22/81</f>
        <v>0.27160493827160492</v>
      </c>
      <c r="AI47" s="38">
        <f t="shared" si="2"/>
        <v>6.1728395061728392E-2</v>
      </c>
    </row>
    <row r="48" spans="1:35" x14ac:dyDescent="0.3">
      <c r="C48">
        <v>1</v>
      </c>
      <c r="D48">
        <v>5</v>
      </c>
      <c r="E48">
        <v>2</v>
      </c>
      <c r="F48">
        <v>1</v>
      </c>
      <c r="G48">
        <v>0</v>
      </c>
      <c r="H48" s="33">
        <f t="shared" si="6"/>
        <v>0.33333333333333331</v>
      </c>
      <c r="I48" s="2" t="s">
        <v>9</v>
      </c>
      <c r="J48" s="33">
        <f>1/3</f>
        <v>0.33333333333333331</v>
      </c>
      <c r="K48" s="50">
        <f t="shared" si="0"/>
        <v>0</v>
      </c>
      <c r="O48">
        <v>4</v>
      </c>
      <c r="P48">
        <v>0</v>
      </c>
      <c r="Q48">
        <v>1</v>
      </c>
      <c r="R48">
        <v>4</v>
      </c>
      <c r="S48">
        <v>0</v>
      </c>
      <c r="T48" s="33">
        <f t="shared" si="7"/>
        <v>0.33333333333333331</v>
      </c>
      <c r="U48" s="2" t="s">
        <v>48</v>
      </c>
      <c r="V48" s="33">
        <f>13/36</f>
        <v>0.3611111111111111</v>
      </c>
      <c r="W48" s="34">
        <f t="shared" si="1"/>
        <v>-2.777777777777779E-2</v>
      </c>
      <c r="Y48" s="6"/>
      <c r="Z48" s="6"/>
      <c r="AA48" s="7">
        <v>16</v>
      </c>
      <c r="AB48" s="7">
        <v>0</v>
      </c>
      <c r="AC48" s="7">
        <v>1</v>
      </c>
      <c r="AD48" s="7">
        <v>16</v>
      </c>
      <c r="AE48" s="7">
        <v>0</v>
      </c>
      <c r="AF48" s="42">
        <f>1/3</f>
        <v>0.33333333333333331</v>
      </c>
      <c r="AG48" s="18" t="s">
        <v>120</v>
      </c>
      <c r="AH48" s="38">
        <f>35/81</f>
        <v>0.43209876543209874</v>
      </c>
      <c r="AI48" s="38">
        <f t="shared" si="2"/>
        <v>-9.8765432098765427E-2</v>
      </c>
    </row>
    <row r="49" spans="1:35" x14ac:dyDescent="0.3">
      <c r="C49">
        <v>1</v>
      </c>
      <c r="D49">
        <v>5</v>
      </c>
      <c r="E49">
        <v>2</v>
      </c>
      <c r="F49">
        <v>0</v>
      </c>
      <c r="G49">
        <v>5</v>
      </c>
      <c r="H49" s="33">
        <f t="shared" si="6"/>
        <v>0.33333333333333331</v>
      </c>
      <c r="I49" s="2" t="s">
        <v>9</v>
      </c>
      <c r="J49" s="33">
        <f>1/3</f>
        <v>0.33333333333333331</v>
      </c>
      <c r="K49" s="50">
        <f t="shared" si="0"/>
        <v>0</v>
      </c>
      <c r="M49" s="13"/>
      <c r="N49" s="13"/>
      <c r="O49" s="14">
        <v>4</v>
      </c>
      <c r="P49" s="14">
        <v>0</v>
      </c>
      <c r="Q49" s="14">
        <v>2</v>
      </c>
      <c r="R49" s="14">
        <v>4</v>
      </c>
      <c r="S49" s="14">
        <v>0</v>
      </c>
      <c r="T49" s="33">
        <f t="shared" si="7"/>
        <v>0.33333333333333331</v>
      </c>
      <c r="U49" s="15" t="s">
        <v>50</v>
      </c>
      <c r="V49" s="34">
        <f>1/4</f>
        <v>0.25</v>
      </c>
      <c r="W49" s="34">
        <f t="shared" si="1"/>
        <v>8.3333333333333315E-2</v>
      </c>
      <c r="Y49" s="13"/>
      <c r="Z49" s="13"/>
      <c r="AA49" s="14">
        <v>16</v>
      </c>
      <c r="AB49" s="14">
        <v>0</v>
      </c>
      <c r="AC49" s="14">
        <v>2</v>
      </c>
      <c r="AD49" s="14">
        <v>16</v>
      </c>
      <c r="AE49" s="14">
        <v>0</v>
      </c>
      <c r="AF49" s="44">
        <f>1/3</f>
        <v>0.33333333333333331</v>
      </c>
      <c r="AG49" s="15" t="s">
        <v>121</v>
      </c>
      <c r="AH49" s="38">
        <f>24/81</f>
        <v>0.29629629629629628</v>
      </c>
      <c r="AI49" s="38">
        <f t="shared" si="2"/>
        <v>3.7037037037037035E-2</v>
      </c>
    </row>
    <row r="50" spans="1:35" x14ac:dyDescent="0.3">
      <c r="A50" s="3">
        <v>8</v>
      </c>
      <c r="B50" s="3">
        <v>1</v>
      </c>
      <c r="C50" s="4">
        <v>1</v>
      </c>
      <c r="D50" s="4">
        <v>7</v>
      </c>
      <c r="E50" s="4">
        <v>0</v>
      </c>
      <c r="F50" s="4">
        <v>1</v>
      </c>
      <c r="G50" s="4">
        <v>0</v>
      </c>
      <c r="H50" s="40">
        <v>0.5</v>
      </c>
      <c r="I50" s="5" t="s">
        <v>23</v>
      </c>
      <c r="J50" s="34">
        <f>3/5</f>
        <v>0.6</v>
      </c>
      <c r="K50" s="34">
        <f t="shared" si="0"/>
        <v>-9.9999999999999978E-2</v>
      </c>
      <c r="M50" s="1">
        <v>11</v>
      </c>
      <c r="N50" s="1">
        <v>4</v>
      </c>
      <c r="O50">
        <v>5</v>
      </c>
      <c r="P50">
        <v>3</v>
      </c>
      <c r="Q50">
        <v>0</v>
      </c>
      <c r="R50">
        <v>5</v>
      </c>
      <c r="S50">
        <v>3</v>
      </c>
      <c r="T50" s="33">
        <v>0.25</v>
      </c>
      <c r="U50" s="2" t="s">
        <v>51</v>
      </c>
      <c r="V50" s="33">
        <f>11/36</f>
        <v>0.30555555555555558</v>
      </c>
      <c r="W50" s="34">
        <f t="shared" si="1"/>
        <v>-5.555555555555558E-2</v>
      </c>
      <c r="Y50" s="1">
        <v>17</v>
      </c>
      <c r="Z50" s="1">
        <v>4</v>
      </c>
      <c r="AA50">
        <v>1</v>
      </c>
      <c r="AB50">
        <v>15</v>
      </c>
      <c r="AC50">
        <v>0</v>
      </c>
      <c r="AD50">
        <v>1</v>
      </c>
      <c r="AE50">
        <v>15</v>
      </c>
      <c r="AF50">
        <v>0.25</v>
      </c>
      <c r="AG50" s="18" t="s">
        <v>122</v>
      </c>
      <c r="AH50" s="38">
        <f>61/247</f>
        <v>0.24696356275303644</v>
      </c>
      <c r="AI50" s="38">
        <f t="shared" si="2"/>
        <v>3.0364372469635637E-3</v>
      </c>
    </row>
    <row r="51" spans="1:35" x14ac:dyDescent="0.3">
      <c r="C51">
        <v>1</v>
      </c>
      <c r="D51">
        <v>7</v>
      </c>
      <c r="E51">
        <v>0</v>
      </c>
      <c r="F51">
        <v>0</v>
      </c>
      <c r="G51">
        <v>7</v>
      </c>
      <c r="H51" s="33">
        <v>0.5</v>
      </c>
      <c r="I51" s="2" t="s">
        <v>23</v>
      </c>
      <c r="J51" s="34">
        <f>3/5</f>
        <v>0.6</v>
      </c>
      <c r="K51" s="34">
        <f t="shared" si="0"/>
        <v>-9.9999999999999978E-2</v>
      </c>
      <c r="O51">
        <v>5</v>
      </c>
      <c r="P51">
        <v>3</v>
      </c>
      <c r="Q51">
        <v>1</v>
      </c>
      <c r="R51">
        <v>5</v>
      </c>
      <c r="S51">
        <v>3</v>
      </c>
      <c r="T51" s="33">
        <v>0.25</v>
      </c>
      <c r="U51" s="2" t="s">
        <v>52</v>
      </c>
      <c r="V51" s="33">
        <f>7/36</f>
        <v>0.19444444444444445</v>
      </c>
      <c r="W51" s="34">
        <f t="shared" si="1"/>
        <v>5.5555555555555552E-2</v>
      </c>
      <c r="AA51">
        <v>1</v>
      </c>
      <c r="AB51">
        <v>15</v>
      </c>
      <c r="AC51">
        <v>1</v>
      </c>
      <c r="AD51">
        <v>1</v>
      </c>
      <c r="AE51">
        <v>15</v>
      </c>
      <c r="AF51">
        <v>0.25</v>
      </c>
      <c r="AG51" s="18" t="s">
        <v>123</v>
      </c>
      <c r="AH51" s="38">
        <f>62/247</f>
        <v>0.25101214574898784</v>
      </c>
      <c r="AI51" s="38">
        <f t="shared" si="2"/>
        <v>-1.012145748987836E-3</v>
      </c>
    </row>
    <row r="52" spans="1:35" x14ac:dyDescent="0.3">
      <c r="C52">
        <v>1</v>
      </c>
      <c r="D52">
        <v>7</v>
      </c>
      <c r="E52">
        <v>0</v>
      </c>
      <c r="F52">
        <v>1</v>
      </c>
      <c r="G52">
        <v>6</v>
      </c>
      <c r="H52" s="33">
        <v>0.5</v>
      </c>
      <c r="I52" s="2" t="s">
        <v>24</v>
      </c>
      <c r="J52" s="33">
        <f>2/5</f>
        <v>0.4</v>
      </c>
      <c r="K52" s="34">
        <f t="shared" si="0"/>
        <v>9.9999999999999978E-2</v>
      </c>
      <c r="M52" s="6"/>
      <c r="N52" s="6"/>
      <c r="O52" s="7">
        <v>5</v>
      </c>
      <c r="P52" s="7">
        <v>3</v>
      </c>
      <c r="Q52" s="7">
        <v>2</v>
      </c>
      <c r="R52" s="7">
        <v>5</v>
      </c>
      <c r="S52" s="7">
        <v>3</v>
      </c>
      <c r="T52" s="34">
        <v>0.25</v>
      </c>
      <c r="U52" s="8" t="s">
        <v>53</v>
      </c>
      <c r="V52" s="34">
        <f>5/18</f>
        <v>0.27777777777777779</v>
      </c>
      <c r="W52" s="34">
        <f t="shared" si="1"/>
        <v>-2.777777777777779E-2</v>
      </c>
      <c r="Y52" s="6"/>
      <c r="Z52" s="6"/>
      <c r="AA52" s="7">
        <v>1</v>
      </c>
      <c r="AB52" s="7">
        <v>15</v>
      </c>
      <c r="AC52" s="7">
        <v>2</v>
      </c>
      <c r="AD52" s="7">
        <v>1</v>
      </c>
      <c r="AE52" s="7">
        <v>15</v>
      </c>
      <c r="AF52" s="7">
        <v>0.25</v>
      </c>
      <c r="AG52" s="18" t="s">
        <v>124</v>
      </c>
      <c r="AH52" s="38">
        <f>41/247</f>
        <v>0.16599190283400811</v>
      </c>
      <c r="AI52" s="38">
        <f t="shared" si="2"/>
        <v>8.4008097165991891E-2</v>
      </c>
    </row>
    <row r="53" spans="1:35" x14ac:dyDescent="0.3">
      <c r="C53">
        <v>1</v>
      </c>
      <c r="D53">
        <v>7</v>
      </c>
      <c r="E53">
        <v>0</v>
      </c>
      <c r="F53">
        <v>6</v>
      </c>
      <c r="G53">
        <v>7</v>
      </c>
      <c r="H53" s="33">
        <v>0.5</v>
      </c>
      <c r="I53" s="2" t="s">
        <v>24</v>
      </c>
      <c r="J53" s="33">
        <f>2/5</f>
        <v>0.4</v>
      </c>
      <c r="K53" s="34">
        <f t="shared" si="0"/>
        <v>9.9999999999999978E-2</v>
      </c>
      <c r="M53" s="13"/>
      <c r="N53" s="13"/>
      <c r="O53" s="14">
        <v>5</v>
      </c>
      <c r="P53" s="14">
        <v>3</v>
      </c>
      <c r="Q53" s="14">
        <v>3</v>
      </c>
      <c r="R53" s="14">
        <v>5</v>
      </c>
      <c r="S53" s="14">
        <v>3</v>
      </c>
      <c r="T53" s="43">
        <v>0.25</v>
      </c>
      <c r="U53" s="15" t="s">
        <v>21</v>
      </c>
      <c r="V53" s="34">
        <f>2/9</f>
        <v>0.22222222222222221</v>
      </c>
      <c r="W53" s="34">
        <f t="shared" si="1"/>
        <v>2.777777777777779E-2</v>
      </c>
      <c r="Y53" s="13"/>
      <c r="Z53" s="13"/>
      <c r="AA53" s="14">
        <v>1</v>
      </c>
      <c r="AB53" s="14">
        <v>15</v>
      </c>
      <c r="AC53" s="14">
        <v>3</v>
      </c>
      <c r="AD53" s="14">
        <v>1</v>
      </c>
      <c r="AE53" s="14">
        <v>15</v>
      </c>
      <c r="AF53" s="14">
        <v>0.25</v>
      </c>
      <c r="AG53" s="15" t="s">
        <v>125</v>
      </c>
      <c r="AH53" s="38">
        <f>83/247</f>
        <v>0.33603238866396762</v>
      </c>
      <c r="AI53" s="38">
        <f t="shared" si="2"/>
        <v>-8.6032388663967618E-2</v>
      </c>
    </row>
    <row r="54" spans="1:35" x14ac:dyDescent="0.3">
      <c r="A54" s="3">
        <v>8</v>
      </c>
      <c r="B54" s="3">
        <v>2</v>
      </c>
      <c r="C54" s="4">
        <v>7</v>
      </c>
      <c r="D54" s="4">
        <v>3</v>
      </c>
      <c r="E54" s="4">
        <v>0</v>
      </c>
      <c r="F54" s="4">
        <v>7</v>
      </c>
      <c r="G54" s="4">
        <v>3</v>
      </c>
      <c r="H54" s="40">
        <v>0.5</v>
      </c>
      <c r="I54" s="5" t="s">
        <v>25</v>
      </c>
      <c r="J54" s="34">
        <f>15/31</f>
        <v>0.4838709677419355</v>
      </c>
      <c r="K54" s="34">
        <f t="shared" si="0"/>
        <v>1.6129032258064502E-2</v>
      </c>
      <c r="M54" s="1">
        <v>12</v>
      </c>
      <c r="N54" s="1">
        <v>1</v>
      </c>
      <c r="O54" s="17">
        <v>9</v>
      </c>
      <c r="P54">
        <v>6</v>
      </c>
      <c r="Q54">
        <v>0</v>
      </c>
      <c r="R54">
        <v>9</v>
      </c>
      <c r="S54">
        <v>8</v>
      </c>
      <c r="T54" s="33">
        <v>0.5</v>
      </c>
      <c r="U54" s="2" t="s">
        <v>55</v>
      </c>
      <c r="V54" s="33">
        <f>13/24</f>
        <v>0.54166666666666663</v>
      </c>
      <c r="W54" s="34">
        <f t="shared" si="1"/>
        <v>-4.166666666666663E-2</v>
      </c>
      <c r="Y54" s="1">
        <v>17</v>
      </c>
      <c r="Z54" s="1">
        <v>5</v>
      </c>
      <c r="AA54" s="17">
        <v>1</v>
      </c>
      <c r="AB54" s="17">
        <v>16</v>
      </c>
      <c r="AC54">
        <v>0</v>
      </c>
      <c r="AD54">
        <v>1</v>
      </c>
      <c r="AE54">
        <v>16</v>
      </c>
      <c r="AF54">
        <v>0.2</v>
      </c>
      <c r="AG54" s="18" t="s">
        <v>126</v>
      </c>
      <c r="AH54" s="38">
        <f>29/120</f>
        <v>0.24166666666666667</v>
      </c>
      <c r="AI54" s="38">
        <f t="shared" si="2"/>
        <v>-4.1666666666666657E-2</v>
      </c>
    </row>
    <row r="55" spans="1:35" x14ac:dyDescent="0.3">
      <c r="A55" s="6"/>
      <c r="B55" s="6"/>
      <c r="C55" s="7">
        <v>7</v>
      </c>
      <c r="D55" s="7">
        <v>3</v>
      </c>
      <c r="E55" s="7">
        <v>1</v>
      </c>
      <c r="F55" s="7">
        <v>7</v>
      </c>
      <c r="G55" s="7">
        <v>3</v>
      </c>
      <c r="H55" s="43">
        <v>0.5</v>
      </c>
      <c r="I55" s="8" t="s">
        <v>26</v>
      </c>
      <c r="J55" s="34">
        <f>16/31</f>
        <v>0.5161290322580645</v>
      </c>
      <c r="K55" s="34">
        <f t="shared" si="0"/>
        <v>-1.6129032258064502E-2</v>
      </c>
      <c r="O55">
        <v>9</v>
      </c>
      <c r="P55">
        <v>6</v>
      </c>
      <c r="Q55">
        <v>0</v>
      </c>
      <c r="R55">
        <v>8</v>
      </c>
      <c r="S55">
        <v>6</v>
      </c>
      <c r="T55" s="33">
        <v>0.5</v>
      </c>
      <c r="U55" s="2" t="s">
        <v>55</v>
      </c>
      <c r="V55" s="33">
        <f>13/24</f>
        <v>0.54166666666666663</v>
      </c>
      <c r="W55" s="34">
        <f t="shared" si="1"/>
        <v>-4.166666666666663E-2</v>
      </c>
      <c r="AA55">
        <v>1</v>
      </c>
      <c r="AB55">
        <v>16</v>
      </c>
      <c r="AC55">
        <v>1</v>
      </c>
      <c r="AD55">
        <v>1</v>
      </c>
      <c r="AE55">
        <v>16</v>
      </c>
      <c r="AF55">
        <v>0.2</v>
      </c>
      <c r="AG55" s="18" t="s">
        <v>127</v>
      </c>
      <c r="AH55" s="38">
        <f>19/120</f>
        <v>0.15833333333333333</v>
      </c>
      <c r="AI55" s="38">
        <f t="shared" si="2"/>
        <v>4.1666666666666685E-2</v>
      </c>
    </row>
    <row r="56" spans="1:35" x14ac:dyDescent="0.3">
      <c r="A56" s="3">
        <v>8</v>
      </c>
      <c r="B56" s="3">
        <v>3</v>
      </c>
      <c r="C56" s="10">
        <v>2</v>
      </c>
      <c r="D56" s="10">
        <v>4</v>
      </c>
      <c r="E56" s="4">
        <v>0</v>
      </c>
      <c r="F56" s="4">
        <v>2</v>
      </c>
      <c r="G56" s="4">
        <v>3</v>
      </c>
      <c r="H56" s="33">
        <f t="shared" ref="H56:H61" si="8">1/3</f>
        <v>0.33333333333333331</v>
      </c>
      <c r="I56" s="5" t="s">
        <v>27</v>
      </c>
      <c r="J56" s="34">
        <f>15/54</f>
        <v>0.27777777777777779</v>
      </c>
      <c r="K56" s="34">
        <f t="shared" si="0"/>
        <v>5.5555555555555525E-2</v>
      </c>
      <c r="O56">
        <v>9</v>
      </c>
      <c r="P56">
        <v>6</v>
      </c>
      <c r="Q56">
        <v>0</v>
      </c>
      <c r="R56">
        <v>9</v>
      </c>
      <c r="S56">
        <v>7</v>
      </c>
      <c r="T56" s="33">
        <v>0.5</v>
      </c>
      <c r="U56" s="2" t="s">
        <v>54</v>
      </c>
      <c r="V56" s="33">
        <f>11/24</f>
        <v>0.45833333333333331</v>
      </c>
      <c r="W56" s="34">
        <f t="shared" si="1"/>
        <v>4.1666666666666685E-2</v>
      </c>
      <c r="AA56">
        <v>1</v>
      </c>
      <c r="AB56">
        <v>16</v>
      </c>
      <c r="AC56">
        <v>2</v>
      </c>
      <c r="AD56">
        <v>1</v>
      </c>
      <c r="AE56">
        <v>16</v>
      </c>
      <c r="AF56">
        <v>0.2</v>
      </c>
      <c r="AG56" s="18" t="s">
        <v>128</v>
      </c>
      <c r="AH56" s="38">
        <f>23/120</f>
        <v>0.19166666666666668</v>
      </c>
      <c r="AI56" s="38">
        <f t="shared" si="2"/>
        <v>8.3333333333333315E-3</v>
      </c>
    </row>
    <row r="57" spans="1:35" x14ac:dyDescent="0.3">
      <c r="C57">
        <v>2</v>
      </c>
      <c r="D57">
        <v>4</v>
      </c>
      <c r="E57">
        <v>0</v>
      </c>
      <c r="F57">
        <v>3</v>
      </c>
      <c r="G57">
        <v>4</v>
      </c>
      <c r="H57" s="33">
        <f t="shared" si="8"/>
        <v>0.33333333333333331</v>
      </c>
      <c r="I57" s="2" t="s">
        <v>27</v>
      </c>
      <c r="J57" s="34">
        <f>15/54</f>
        <v>0.27777777777777779</v>
      </c>
      <c r="K57" s="34">
        <f t="shared" si="0"/>
        <v>5.5555555555555525E-2</v>
      </c>
      <c r="M57" s="13"/>
      <c r="N57" s="13"/>
      <c r="O57" s="14">
        <v>9</v>
      </c>
      <c r="P57" s="14">
        <v>6</v>
      </c>
      <c r="Q57" s="14">
        <v>0</v>
      </c>
      <c r="R57" s="14">
        <v>7</v>
      </c>
      <c r="S57" s="14">
        <v>6</v>
      </c>
      <c r="T57" s="43">
        <v>0.5</v>
      </c>
      <c r="U57" s="15" t="s">
        <v>54</v>
      </c>
      <c r="V57" s="34">
        <f>11/24</f>
        <v>0.45833333333333331</v>
      </c>
      <c r="W57" s="34">
        <f t="shared" si="1"/>
        <v>4.1666666666666685E-2</v>
      </c>
      <c r="Y57" s="6"/>
      <c r="Z57" s="6"/>
      <c r="AA57" s="7">
        <v>1</v>
      </c>
      <c r="AB57" s="7">
        <v>16</v>
      </c>
      <c r="AC57" s="7">
        <v>3</v>
      </c>
      <c r="AD57" s="7">
        <v>1</v>
      </c>
      <c r="AE57" s="7">
        <v>16</v>
      </c>
      <c r="AF57" s="7">
        <v>0.2</v>
      </c>
      <c r="AG57" s="18" t="s">
        <v>129</v>
      </c>
      <c r="AH57" s="38">
        <f>17/120</f>
        <v>0.14166666666666666</v>
      </c>
      <c r="AI57" s="38">
        <f t="shared" si="2"/>
        <v>5.8333333333333348E-2</v>
      </c>
    </row>
    <row r="58" spans="1:35" x14ac:dyDescent="0.3">
      <c r="C58">
        <v>2</v>
      </c>
      <c r="D58">
        <v>4</v>
      </c>
      <c r="E58">
        <v>1</v>
      </c>
      <c r="F58">
        <v>2</v>
      </c>
      <c r="G58">
        <v>3</v>
      </c>
      <c r="H58" s="33">
        <f t="shared" si="8"/>
        <v>0.33333333333333331</v>
      </c>
      <c r="I58" s="2" t="s">
        <v>28</v>
      </c>
      <c r="J58" s="34">
        <f>23/54</f>
        <v>0.42592592592592593</v>
      </c>
      <c r="K58" s="34">
        <f t="shared" si="0"/>
        <v>-9.2592592592592615E-2</v>
      </c>
      <c r="M58" s="3">
        <v>12</v>
      </c>
      <c r="N58" s="3">
        <v>2</v>
      </c>
      <c r="O58" s="4">
        <v>2</v>
      </c>
      <c r="P58" s="4">
        <v>5</v>
      </c>
      <c r="Q58" s="4">
        <v>0</v>
      </c>
      <c r="R58" s="4">
        <v>2</v>
      </c>
      <c r="S58" s="4">
        <v>5</v>
      </c>
      <c r="T58" s="40">
        <v>0.5</v>
      </c>
      <c r="U58" s="5" t="s">
        <v>56</v>
      </c>
      <c r="V58" s="34">
        <f>25/51</f>
        <v>0.49019607843137253</v>
      </c>
      <c r="W58" s="34">
        <f t="shared" si="1"/>
        <v>9.8039215686274717E-3</v>
      </c>
      <c r="Y58" s="13"/>
      <c r="Z58" s="13"/>
      <c r="AA58" s="14">
        <v>1</v>
      </c>
      <c r="AB58" s="14">
        <v>16</v>
      </c>
      <c r="AC58" s="14">
        <v>4</v>
      </c>
      <c r="AD58" s="14">
        <v>1</v>
      </c>
      <c r="AE58" s="14">
        <v>16</v>
      </c>
      <c r="AF58" s="14">
        <v>0.2</v>
      </c>
      <c r="AG58" s="15" t="s">
        <v>130</v>
      </c>
      <c r="AH58" s="38">
        <f>32/120</f>
        <v>0.26666666666666666</v>
      </c>
      <c r="AI58" s="38">
        <f t="shared" si="2"/>
        <v>-6.6666666666666652E-2</v>
      </c>
    </row>
    <row r="59" spans="1:35" x14ac:dyDescent="0.3">
      <c r="C59">
        <v>2</v>
      </c>
      <c r="D59">
        <v>4</v>
      </c>
      <c r="E59">
        <v>1</v>
      </c>
      <c r="F59">
        <v>3</v>
      </c>
      <c r="G59">
        <v>4</v>
      </c>
      <c r="H59" s="33">
        <f t="shared" si="8"/>
        <v>0.33333333333333331</v>
      </c>
      <c r="I59" s="2" t="s">
        <v>28</v>
      </c>
      <c r="J59" s="34">
        <f>23/54</f>
        <v>0.42592592592592593</v>
      </c>
      <c r="K59" s="34">
        <f t="shared" si="0"/>
        <v>-9.2592592592592615E-2</v>
      </c>
      <c r="M59" s="13"/>
      <c r="N59" s="13"/>
      <c r="O59" s="14">
        <v>2</v>
      </c>
      <c r="P59" s="14">
        <v>5</v>
      </c>
      <c r="Q59" s="14">
        <v>1</v>
      </c>
      <c r="R59" s="14">
        <v>2</v>
      </c>
      <c r="S59" s="14">
        <v>5</v>
      </c>
      <c r="T59" s="43">
        <v>0.5</v>
      </c>
      <c r="U59" s="15" t="s">
        <v>57</v>
      </c>
      <c r="V59" s="34">
        <f>26/51</f>
        <v>0.50980392156862742</v>
      </c>
      <c r="W59" s="34">
        <f t="shared" si="1"/>
        <v>-9.8039215686274161E-3</v>
      </c>
      <c r="Y59" s="1">
        <v>18</v>
      </c>
      <c r="Z59" s="1">
        <v>1</v>
      </c>
      <c r="AA59" s="17">
        <v>7</v>
      </c>
      <c r="AB59" s="17">
        <v>1</v>
      </c>
      <c r="AC59">
        <v>0</v>
      </c>
      <c r="AD59">
        <v>7</v>
      </c>
      <c r="AE59">
        <v>8</v>
      </c>
      <c r="AF59">
        <v>0.5</v>
      </c>
      <c r="AG59" s="18" t="s">
        <v>131</v>
      </c>
      <c r="AH59" s="38">
        <f>201/404</f>
        <v>0.49752475247524752</v>
      </c>
      <c r="AI59" s="38">
        <f t="shared" si="2"/>
        <v>2.4752475247524774E-3</v>
      </c>
    </row>
    <row r="60" spans="1:35" x14ac:dyDescent="0.3">
      <c r="C60">
        <v>2</v>
      </c>
      <c r="D60">
        <v>4</v>
      </c>
      <c r="E60">
        <v>2</v>
      </c>
      <c r="F60">
        <v>2</v>
      </c>
      <c r="G60">
        <v>3</v>
      </c>
      <c r="H60" s="33">
        <f t="shared" si="8"/>
        <v>0.33333333333333331</v>
      </c>
      <c r="I60" s="11" t="s">
        <v>29</v>
      </c>
      <c r="J60" s="34">
        <f>8/27</f>
        <v>0.29629629629629628</v>
      </c>
      <c r="K60" s="34">
        <f t="shared" si="0"/>
        <v>3.7037037037037035E-2</v>
      </c>
      <c r="M60" s="3">
        <v>12</v>
      </c>
      <c r="N60" s="3">
        <v>3</v>
      </c>
      <c r="O60" s="17">
        <v>2</v>
      </c>
      <c r="P60" s="17">
        <v>8</v>
      </c>
      <c r="Q60">
        <v>0</v>
      </c>
      <c r="R60">
        <v>2</v>
      </c>
      <c r="S60">
        <v>4</v>
      </c>
      <c r="T60" s="33">
        <f t="shared" ref="T60:T65" si="9">1/3</f>
        <v>0.33333333333333331</v>
      </c>
      <c r="U60" s="18" t="s">
        <v>49</v>
      </c>
      <c r="V60" s="36">
        <f>7/18</f>
        <v>0.3888888888888889</v>
      </c>
      <c r="W60" s="34">
        <f t="shared" si="1"/>
        <v>-5.555555555555558E-2</v>
      </c>
      <c r="Y60" s="6"/>
      <c r="Z60" s="6"/>
      <c r="AA60" s="7">
        <v>7</v>
      </c>
      <c r="AB60" s="7">
        <v>1</v>
      </c>
      <c r="AC60" s="7">
        <v>0</v>
      </c>
      <c r="AD60" s="7">
        <v>8</v>
      </c>
      <c r="AE60" s="7">
        <v>1</v>
      </c>
      <c r="AF60" s="7">
        <v>0.5</v>
      </c>
      <c r="AG60" s="18" t="s">
        <v>131</v>
      </c>
      <c r="AH60" s="38">
        <f>201/404</f>
        <v>0.49752475247524752</v>
      </c>
      <c r="AI60" s="38">
        <f t="shared" si="2"/>
        <v>2.4752475247524774E-3</v>
      </c>
    </row>
    <row r="61" spans="1:35" x14ac:dyDescent="0.3">
      <c r="C61">
        <v>2</v>
      </c>
      <c r="D61">
        <v>4</v>
      </c>
      <c r="E61">
        <v>2</v>
      </c>
      <c r="F61">
        <v>3</v>
      </c>
      <c r="G61">
        <v>4</v>
      </c>
      <c r="H61" s="33">
        <f t="shared" si="8"/>
        <v>0.33333333333333331</v>
      </c>
      <c r="I61" s="15" t="s">
        <v>29</v>
      </c>
      <c r="J61" s="33">
        <f>8/27</f>
        <v>0.29629629629629628</v>
      </c>
      <c r="K61" s="34">
        <f t="shared" si="0"/>
        <v>3.7037037037037035E-2</v>
      </c>
      <c r="M61" s="6"/>
      <c r="N61" s="6"/>
      <c r="O61">
        <v>2</v>
      </c>
      <c r="P61">
        <v>8</v>
      </c>
      <c r="Q61">
        <v>0</v>
      </c>
      <c r="R61">
        <v>4</v>
      </c>
      <c r="S61">
        <v>8</v>
      </c>
      <c r="T61" s="33">
        <f t="shared" si="9"/>
        <v>0.33333333333333331</v>
      </c>
      <c r="U61" s="18" t="s">
        <v>49</v>
      </c>
      <c r="V61" s="36">
        <f>7/18</f>
        <v>0.3888888888888889</v>
      </c>
      <c r="W61" s="34">
        <f t="shared" si="1"/>
        <v>-5.555555555555558E-2</v>
      </c>
      <c r="Y61" s="6"/>
      <c r="Z61" s="6"/>
      <c r="AA61" s="7">
        <v>7</v>
      </c>
      <c r="AB61" s="7">
        <v>1</v>
      </c>
      <c r="AC61" s="7">
        <v>0</v>
      </c>
      <c r="AD61" s="7">
        <v>7</v>
      </c>
      <c r="AE61" s="7">
        <v>4</v>
      </c>
      <c r="AF61" s="7">
        <v>0.5</v>
      </c>
      <c r="AG61" s="18" t="s">
        <v>132</v>
      </c>
      <c r="AH61" s="38">
        <f>203/404</f>
        <v>0.50247524752475248</v>
      </c>
      <c r="AI61" s="38">
        <f t="shared" si="2"/>
        <v>-2.4752475247524774E-3</v>
      </c>
    </row>
    <row r="62" spans="1:35" x14ac:dyDescent="0.3">
      <c r="A62" s="3">
        <v>9</v>
      </c>
      <c r="B62" s="3">
        <v>1</v>
      </c>
      <c r="C62" s="4">
        <v>6</v>
      </c>
      <c r="D62" s="4">
        <v>0</v>
      </c>
      <c r="E62" s="4">
        <v>0</v>
      </c>
      <c r="F62" s="4">
        <v>6</v>
      </c>
      <c r="G62" s="4">
        <v>7</v>
      </c>
      <c r="H62" s="40">
        <v>0.5</v>
      </c>
      <c r="I62" s="8" t="s">
        <v>185</v>
      </c>
      <c r="J62" s="34">
        <f>3/4</f>
        <v>0.75</v>
      </c>
      <c r="K62" s="34">
        <f t="shared" si="0"/>
        <v>-0.25</v>
      </c>
      <c r="M62" s="6"/>
      <c r="N62" s="6"/>
      <c r="O62">
        <v>2</v>
      </c>
      <c r="P62">
        <v>8</v>
      </c>
      <c r="Q62">
        <v>1</v>
      </c>
      <c r="R62">
        <v>2</v>
      </c>
      <c r="S62">
        <v>4</v>
      </c>
      <c r="T62" s="33">
        <f t="shared" si="9"/>
        <v>0.33333333333333331</v>
      </c>
      <c r="U62" s="18" t="s">
        <v>48</v>
      </c>
      <c r="V62" s="36">
        <f>13/36</f>
        <v>0.3611111111111111</v>
      </c>
      <c r="W62" s="34">
        <f t="shared" si="1"/>
        <v>-2.777777777777779E-2</v>
      </c>
      <c r="Y62" s="13"/>
      <c r="Z62" s="13"/>
      <c r="AA62" s="14">
        <v>7</v>
      </c>
      <c r="AB62" s="14">
        <v>1</v>
      </c>
      <c r="AC62" s="14">
        <v>0</v>
      </c>
      <c r="AD62" s="14">
        <v>4</v>
      </c>
      <c r="AE62" s="14">
        <v>1</v>
      </c>
      <c r="AF62" s="14">
        <v>0.5</v>
      </c>
      <c r="AG62" s="19" t="s">
        <v>132</v>
      </c>
      <c r="AH62" s="38">
        <f>203/404</f>
        <v>0.50247524752475248</v>
      </c>
      <c r="AI62" s="38">
        <f t="shared" si="2"/>
        <v>-2.4752475247524774E-3</v>
      </c>
    </row>
    <row r="63" spans="1:35" x14ac:dyDescent="0.3">
      <c r="A63" s="6"/>
      <c r="B63" s="6"/>
      <c r="C63" s="7">
        <v>6</v>
      </c>
      <c r="D63" s="7">
        <v>0</v>
      </c>
      <c r="E63" s="7">
        <v>0</v>
      </c>
      <c r="F63" s="7">
        <v>7</v>
      </c>
      <c r="G63" s="7">
        <v>8</v>
      </c>
      <c r="H63" s="34">
        <v>0.5</v>
      </c>
      <c r="I63" s="8" t="s">
        <v>185</v>
      </c>
      <c r="J63" s="34">
        <f>3/4</f>
        <v>0.75</v>
      </c>
      <c r="K63" s="34">
        <f t="shared" si="0"/>
        <v>-0.25</v>
      </c>
      <c r="M63" s="6"/>
      <c r="N63" s="6"/>
      <c r="O63">
        <v>2</v>
      </c>
      <c r="P63">
        <v>8</v>
      </c>
      <c r="Q63">
        <v>1</v>
      </c>
      <c r="R63">
        <v>4</v>
      </c>
      <c r="S63">
        <v>8</v>
      </c>
      <c r="T63" s="33">
        <f t="shared" si="9"/>
        <v>0.33333333333333331</v>
      </c>
      <c r="U63" s="18" t="s">
        <v>48</v>
      </c>
      <c r="V63" s="36">
        <f>13/36</f>
        <v>0.3611111111111111</v>
      </c>
      <c r="W63" s="34">
        <f t="shared" si="1"/>
        <v>-2.777777777777779E-2</v>
      </c>
      <c r="Y63" s="1">
        <v>18</v>
      </c>
      <c r="Z63" s="1">
        <v>2</v>
      </c>
      <c r="AA63" s="17">
        <v>2</v>
      </c>
      <c r="AB63" s="17">
        <v>9</v>
      </c>
      <c r="AC63">
        <v>0</v>
      </c>
      <c r="AD63">
        <v>2</v>
      </c>
      <c r="AE63">
        <v>0</v>
      </c>
      <c r="AF63">
        <v>0.25</v>
      </c>
      <c r="AG63" s="18" t="s">
        <v>133</v>
      </c>
      <c r="AH63" s="38">
        <f>28/115</f>
        <v>0.24347826086956523</v>
      </c>
      <c r="AI63" s="38">
        <f t="shared" si="2"/>
        <v>6.5217391304347727E-3</v>
      </c>
    </row>
    <row r="64" spans="1:35" x14ac:dyDescent="0.3">
      <c r="A64" s="6"/>
      <c r="B64" s="6"/>
      <c r="C64" s="7">
        <v>6</v>
      </c>
      <c r="D64" s="7">
        <v>0</v>
      </c>
      <c r="E64" s="7">
        <v>0</v>
      </c>
      <c r="F64" s="7">
        <v>8</v>
      </c>
      <c r="G64" s="7">
        <v>0</v>
      </c>
      <c r="H64" s="34">
        <v>0.5</v>
      </c>
      <c r="I64" s="8" t="s">
        <v>185</v>
      </c>
      <c r="J64" s="34">
        <f>3/4</f>
        <v>0.75</v>
      </c>
      <c r="K64" s="34">
        <f t="shared" si="0"/>
        <v>-0.25</v>
      </c>
      <c r="M64" s="6"/>
      <c r="N64" s="6"/>
      <c r="O64" s="7">
        <v>2</v>
      </c>
      <c r="P64" s="7">
        <v>8</v>
      </c>
      <c r="Q64" s="7">
        <v>2</v>
      </c>
      <c r="R64" s="7">
        <v>2</v>
      </c>
      <c r="S64" s="7">
        <v>4</v>
      </c>
      <c r="T64" s="33">
        <f t="shared" si="9"/>
        <v>0.33333333333333331</v>
      </c>
      <c r="U64" s="18" t="s">
        <v>50</v>
      </c>
      <c r="V64" s="36">
        <f>1/4</f>
        <v>0.25</v>
      </c>
      <c r="W64" s="34">
        <f t="shared" si="1"/>
        <v>8.3333333333333315E-2</v>
      </c>
      <c r="AA64">
        <v>2</v>
      </c>
      <c r="AB64">
        <v>9</v>
      </c>
      <c r="AC64">
        <v>0</v>
      </c>
      <c r="AD64">
        <v>0</v>
      </c>
      <c r="AE64">
        <v>9</v>
      </c>
      <c r="AF64">
        <v>0.25</v>
      </c>
      <c r="AG64" s="18" t="s">
        <v>133</v>
      </c>
      <c r="AH64" s="38">
        <f>28/115</f>
        <v>0.24347826086956523</v>
      </c>
      <c r="AI64" s="38">
        <f t="shared" si="2"/>
        <v>6.5217391304347727E-3</v>
      </c>
    </row>
    <row r="65" spans="1:35" x14ac:dyDescent="0.3">
      <c r="A65" s="6"/>
      <c r="B65" s="6"/>
      <c r="C65" s="7">
        <v>6</v>
      </c>
      <c r="D65" s="7">
        <v>0</v>
      </c>
      <c r="E65" s="7">
        <v>0</v>
      </c>
      <c r="F65" s="7">
        <v>6</v>
      </c>
      <c r="G65" s="7">
        <v>4</v>
      </c>
      <c r="H65" s="34">
        <v>0.5</v>
      </c>
      <c r="I65" s="8" t="s">
        <v>50</v>
      </c>
      <c r="J65" s="34">
        <f>1/4</f>
        <v>0.25</v>
      </c>
      <c r="K65" s="34">
        <f t="shared" si="0"/>
        <v>0.25</v>
      </c>
      <c r="M65" s="13"/>
      <c r="N65" s="13"/>
      <c r="O65" s="14">
        <v>2</v>
      </c>
      <c r="P65" s="14">
        <v>8</v>
      </c>
      <c r="Q65" s="14">
        <v>2</v>
      </c>
      <c r="R65" s="14">
        <v>4</v>
      </c>
      <c r="S65" s="14">
        <v>8</v>
      </c>
      <c r="T65" s="33">
        <f t="shared" si="9"/>
        <v>0.33333333333333331</v>
      </c>
      <c r="U65" s="15" t="s">
        <v>50</v>
      </c>
      <c r="V65" s="34">
        <f>1/4</f>
        <v>0.25</v>
      </c>
      <c r="W65" s="34">
        <f t="shared" si="1"/>
        <v>8.3333333333333315E-2</v>
      </c>
      <c r="AA65">
        <v>2</v>
      </c>
      <c r="AB65">
        <v>9</v>
      </c>
      <c r="AC65">
        <v>1</v>
      </c>
      <c r="AD65">
        <v>2</v>
      </c>
      <c r="AE65">
        <v>0</v>
      </c>
      <c r="AF65">
        <v>0.25</v>
      </c>
      <c r="AG65" s="18" t="s">
        <v>134</v>
      </c>
      <c r="AH65" s="38">
        <f>23/115</f>
        <v>0.2</v>
      </c>
      <c r="AI65" s="38">
        <f t="shared" si="2"/>
        <v>4.9999999999999989E-2</v>
      </c>
    </row>
    <row r="66" spans="1:35" x14ac:dyDescent="0.3">
      <c r="A66" s="6"/>
      <c r="B66" s="6"/>
      <c r="C66" s="7">
        <v>6</v>
      </c>
      <c r="D66" s="7">
        <v>0</v>
      </c>
      <c r="E66" s="7">
        <v>0</v>
      </c>
      <c r="F66" s="7">
        <v>4</v>
      </c>
      <c r="G66" s="7">
        <v>1</v>
      </c>
      <c r="H66" s="34">
        <v>0.5</v>
      </c>
      <c r="I66" s="8" t="s">
        <v>50</v>
      </c>
      <c r="J66" s="33">
        <f>1/4</f>
        <v>0.25</v>
      </c>
      <c r="K66" s="34">
        <f t="shared" si="0"/>
        <v>0.25</v>
      </c>
      <c r="M66" s="6">
        <v>12</v>
      </c>
      <c r="N66" s="6">
        <v>4</v>
      </c>
      <c r="O66" s="17">
        <v>11</v>
      </c>
      <c r="P66" s="17">
        <v>1</v>
      </c>
      <c r="Q66">
        <v>0</v>
      </c>
      <c r="R66">
        <v>11</v>
      </c>
      <c r="S66">
        <v>1</v>
      </c>
      <c r="T66" s="38">
        <v>0.25</v>
      </c>
      <c r="U66" s="18" t="s">
        <v>45</v>
      </c>
      <c r="V66" s="36">
        <f>5/16</f>
        <v>0.3125</v>
      </c>
      <c r="W66" s="34">
        <f t="shared" si="1"/>
        <v>-6.25E-2</v>
      </c>
      <c r="AA66">
        <v>2</v>
      </c>
      <c r="AB66">
        <v>9</v>
      </c>
      <c r="AC66">
        <v>1</v>
      </c>
      <c r="AD66">
        <v>0</v>
      </c>
      <c r="AE66">
        <v>9</v>
      </c>
      <c r="AF66">
        <v>0.25</v>
      </c>
      <c r="AG66" s="18" t="s">
        <v>134</v>
      </c>
      <c r="AH66" s="38">
        <f>23/115</f>
        <v>0.2</v>
      </c>
      <c r="AI66" s="38">
        <f t="shared" si="2"/>
        <v>4.9999999999999989E-2</v>
      </c>
    </row>
    <row r="67" spans="1:35" x14ac:dyDescent="0.3">
      <c r="A67" s="6"/>
      <c r="B67" s="6"/>
      <c r="C67" s="7">
        <v>6</v>
      </c>
      <c r="D67" s="7">
        <v>0</v>
      </c>
      <c r="E67" s="7">
        <v>0</v>
      </c>
      <c r="F67" s="7">
        <v>1</v>
      </c>
      <c r="G67" s="7">
        <v>0</v>
      </c>
      <c r="H67" s="34">
        <v>0.5</v>
      </c>
      <c r="I67" s="8" t="s">
        <v>50</v>
      </c>
      <c r="J67" s="33">
        <f>1/4</f>
        <v>0.25</v>
      </c>
      <c r="K67" s="34">
        <f t="shared" ref="K67:K78" si="10">H67-J67</f>
        <v>0.25</v>
      </c>
      <c r="O67">
        <v>11</v>
      </c>
      <c r="P67">
        <v>1</v>
      </c>
      <c r="Q67">
        <v>1</v>
      </c>
      <c r="R67">
        <v>11</v>
      </c>
      <c r="S67">
        <v>1</v>
      </c>
      <c r="T67" s="38">
        <v>0.25</v>
      </c>
      <c r="U67" s="18" t="s">
        <v>35</v>
      </c>
      <c r="V67" s="36">
        <f>7/24</f>
        <v>0.29166666666666669</v>
      </c>
      <c r="W67" s="34">
        <f t="shared" ref="W67:W130" si="11">T67-V67</f>
        <v>-4.1666666666666685E-2</v>
      </c>
      <c r="AA67">
        <v>2</v>
      </c>
      <c r="AB67">
        <v>9</v>
      </c>
      <c r="AC67">
        <v>0</v>
      </c>
      <c r="AD67">
        <v>2</v>
      </c>
      <c r="AE67">
        <v>10</v>
      </c>
      <c r="AF67">
        <v>0.25</v>
      </c>
      <c r="AG67" s="18" t="s">
        <v>135</v>
      </c>
      <c r="AH67" s="38">
        <f>31/115</f>
        <v>0.26956521739130435</v>
      </c>
      <c r="AI67" s="38">
        <f t="shared" ref="AI67:AI81" si="12">AF67-AH67</f>
        <v>-1.9565217391304346E-2</v>
      </c>
    </row>
    <row r="68" spans="1:35" x14ac:dyDescent="0.3">
      <c r="A68" s="3">
        <v>9</v>
      </c>
      <c r="B68" s="3">
        <v>2</v>
      </c>
      <c r="C68" s="10">
        <v>0</v>
      </c>
      <c r="D68" s="10">
        <v>8</v>
      </c>
      <c r="E68" s="4">
        <v>0</v>
      </c>
      <c r="F68" s="4">
        <v>0</v>
      </c>
      <c r="G68" s="4">
        <v>8</v>
      </c>
      <c r="H68" s="40">
        <v>0.5</v>
      </c>
      <c r="I68" s="9" t="s">
        <v>14</v>
      </c>
      <c r="J68" s="34">
        <f>5/8</f>
        <v>0.625</v>
      </c>
      <c r="K68" s="34">
        <f t="shared" si="10"/>
        <v>-0.125</v>
      </c>
      <c r="M68" s="6"/>
      <c r="N68" s="6"/>
      <c r="O68" s="7">
        <v>11</v>
      </c>
      <c r="P68" s="7">
        <v>1</v>
      </c>
      <c r="Q68" s="7">
        <v>2</v>
      </c>
      <c r="R68" s="7">
        <v>11</v>
      </c>
      <c r="S68" s="7">
        <v>1</v>
      </c>
      <c r="T68" s="42">
        <v>0.25</v>
      </c>
      <c r="U68" s="18" t="s">
        <v>50</v>
      </c>
      <c r="V68" s="36">
        <f>1/4</f>
        <v>0.25</v>
      </c>
      <c r="W68" s="50">
        <f t="shared" si="11"/>
        <v>0</v>
      </c>
      <c r="AA68">
        <v>2</v>
      </c>
      <c r="AB68">
        <v>9</v>
      </c>
      <c r="AC68">
        <v>0</v>
      </c>
      <c r="AD68">
        <v>10</v>
      </c>
      <c r="AE68">
        <v>9</v>
      </c>
      <c r="AF68">
        <v>0.25</v>
      </c>
      <c r="AG68" s="18" t="s">
        <v>135</v>
      </c>
      <c r="AH68" s="38">
        <f>31/115</f>
        <v>0.26956521739130435</v>
      </c>
      <c r="AI68" s="38">
        <f t="shared" si="12"/>
        <v>-1.9565217391304346E-2</v>
      </c>
    </row>
    <row r="69" spans="1:35" x14ac:dyDescent="0.3">
      <c r="A69" s="6"/>
      <c r="B69" s="6"/>
      <c r="C69" s="7">
        <v>0</v>
      </c>
      <c r="D69" s="7">
        <v>8</v>
      </c>
      <c r="E69" s="7">
        <v>1</v>
      </c>
      <c r="F69" s="7">
        <v>0</v>
      </c>
      <c r="G69" s="7">
        <v>8</v>
      </c>
      <c r="H69" s="43">
        <v>0.5</v>
      </c>
      <c r="I69" s="8" t="s">
        <v>13</v>
      </c>
      <c r="J69" s="34">
        <f>3/8</f>
        <v>0.375</v>
      </c>
      <c r="K69" s="34">
        <f t="shared" si="10"/>
        <v>0.125</v>
      </c>
      <c r="M69" s="13"/>
      <c r="N69" s="13"/>
      <c r="O69" s="14">
        <v>11</v>
      </c>
      <c r="P69" s="14">
        <v>1</v>
      </c>
      <c r="Q69" s="14">
        <v>3</v>
      </c>
      <c r="R69" s="14">
        <v>11</v>
      </c>
      <c r="S69" s="14">
        <v>1</v>
      </c>
      <c r="T69" s="44">
        <v>0.25</v>
      </c>
      <c r="U69" s="19" t="s">
        <v>58</v>
      </c>
      <c r="V69" s="36">
        <f>7/48</f>
        <v>0.14583333333333334</v>
      </c>
      <c r="W69" s="34">
        <f t="shared" si="11"/>
        <v>0.10416666666666666</v>
      </c>
      <c r="Y69" s="6"/>
      <c r="Z69" s="6"/>
      <c r="AA69" s="7">
        <v>2</v>
      </c>
      <c r="AB69" s="7">
        <v>9</v>
      </c>
      <c r="AC69" s="7">
        <v>1</v>
      </c>
      <c r="AD69" s="7">
        <v>2</v>
      </c>
      <c r="AE69" s="7">
        <v>10</v>
      </c>
      <c r="AF69" s="7">
        <v>0.25</v>
      </c>
      <c r="AG69" s="8" t="s">
        <v>136</v>
      </c>
      <c r="AH69" s="38">
        <f>33/115</f>
        <v>0.28695652173913044</v>
      </c>
      <c r="AI69" s="38">
        <f t="shared" si="12"/>
        <v>-3.6956521739130443E-2</v>
      </c>
    </row>
    <row r="70" spans="1:35" x14ac:dyDescent="0.3">
      <c r="A70" s="3">
        <v>9</v>
      </c>
      <c r="B70" s="3">
        <v>3</v>
      </c>
      <c r="C70" s="10">
        <v>5</v>
      </c>
      <c r="D70" s="10">
        <v>0</v>
      </c>
      <c r="E70" s="4">
        <v>0</v>
      </c>
      <c r="F70" s="4">
        <v>5</v>
      </c>
      <c r="G70" s="4">
        <v>4</v>
      </c>
      <c r="H70" s="33">
        <f t="shared" ref="H70:H78" si="13">1/3</f>
        <v>0.33333333333333331</v>
      </c>
      <c r="I70" s="12" t="s">
        <v>30</v>
      </c>
      <c r="J70" s="34">
        <f>11/30</f>
        <v>0.36666666666666664</v>
      </c>
      <c r="K70" s="34">
        <f t="shared" si="10"/>
        <v>-3.3333333333333326E-2</v>
      </c>
      <c r="M70" s="1">
        <v>13</v>
      </c>
      <c r="N70" s="1">
        <v>1</v>
      </c>
      <c r="O70" s="17">
        <v>8</v>
      </c>
      <c r="P70" s="17">
        <v>11</v>
      </c>
      <c r="Q70">
        <v>0</v>
      </c>
      <c r="R70">
        <v>8</v>
      </c>
      <c r="S70">
        <v>9</v>
      </c>
      <c r="T70" s="45">
        <v>0.5</v>
      </c>
      <c r="U70" s="18" t="s">
        <v>59</v>
      </c>
      <c r="V70" s="36">
        <f>37/72</f>
        <v>0.51388888888888884</v>
      </c>
      <c r="W70" s="34">
        <f t="shared" si="11"/>
        <v>-1.388888888888884E-2</v>
      </c>
      <c r="Y70" s="13"/>
      <c r="Z70" s="13"/>
      <c r="AA70" s="14">
        <v>2</v>
      </c>
      <c r="AB70" s="14">
        <v>9</v>
      </c>
      <c r="AC70" s="14">
        <v>1</v>
      </c>
      <c r="AD70" s="14">
        <v>10</v>
      </c>
      <c r="AE70" s="14">
        <v>9</v>
      </c>
      <c r="AF70" s="14">
        <v>0.25</v>
      </c>
      <c r="AG70" s="15" t="s">
        <v>136</v>
      </c>
      <c r="AH70" s="38">
        <f>33/115</f>
        <v>0.28695652173913044</v>
      </c>
      <c r="AI70" s="38">
        <f t="shared" si="12"/>
        <v>-3.6956521739130443E-2</v>
      </c>
    </row>
    <row r="71" spans="1:35" x14ac:dyDescent="0.3">
      <c r="A71" s="6"/>
      <c r="B71" s="6"/>
      <c r="C71" s="7">
        <v>5</v>
      </c>
      <c r="D71" s="7">
        <v>0</v>
      </c>
      <c r="E71" s="7">
        <v>0</v>
      </c>
      <c r="F71" s="7">
        <v>4</v>
      </c>
      <c r="G71" s="7">
        <v>1</v>
      </c>
      <c r="H71" s="33">
        <f t="shared" si="13"/>
        <v>0.33333333333333331</v>
      </c>
      <c r="I71" s="8" t="s">
        <v>30</v>
      </c>
      <c r="J71" s="34">
        <f>11/30</f>
        <v>0.36666666666666664</v>
      </c>
      <c r="K71" s="34">
        <f t="shared" si="10"/>
        <v>-3.3333333333333326E-2</v>
      </c>
      <c r="M71" s="6"/>
      <c r="N71" s="6"/>
      <c r="O71" s="7">
        <v>8</v>
      </c>
      <c r="P71" s="7">
        <v>11</v>
      </c>
      <c r="Q71" s="7">
        <v>0</v>
      </c>
      <c r="R71" s="7">
        <v>9</v>
      </c>
      <c r="S71" s="7">
        <v>11</v>
      </c>
      <c r="T71" s="45">
        <v>0.5</v>
      </c>
      <c r="U71" s="18" t="s">
        <v>59</v>
      </c>
      <c r="V71" s="36">
        <f>37/72</f>
        <v>0.51388888888888884</v>
      </c>
      <c r="W71" s="34">
        <f t="shared" si="11"/>
        <v>-1.388888888888884E-2</v>
      </c>
      <c r="Y71" s="1">
        <v>18</v>
      </c>
      <c r="Z71" s="1">
        <v>3</v>
      </c>
      <c r="AA71" s="17">
        <v>2</v>
      </c>
      <c r="AB71" s="17">
        <v>12</v>
      </c>
      <c r="AC71">
        <v>0</v>
      </c>
      <c r="AD71">
        <v>2</v>
      </c>
      <c r="AE71">
        <v>10</v>
      </c>
      <c r="AF71" s="42">
        <f t="shared" ref="AF71:AF76" si="14">1/3</f>
        <v>0.33333333333333331</v>
      </c>
      <c r="AG71" s="18" t="s">
        <v>138</v>
      </c>
      <c r="AH71" s="38">
        <f>37/119</f>
        <v>0.31092436974789917</v>
      </c>
      <c r="AI71" s="38">
        <f t="shared" si="12"/>
        <v>2.240896358543415E-2</v>
      </c>
    </row>
    <row r="72" spans="1:35" x14ac:dyDescent="0.3">
      <c r="A72" s="6"/>
      <c r="B72" s="6"/>
      <c r="C72" s="7">
        <v>5</v>
      </c>
      <c r="D72" s="7">
        <v>0</v>
      </c>
      <c r="E72" s="7">
        <v>0</v>
      </c>
      <c r="F72" s="7">
        <v>1</v>
      </c>
      <c r="G72" s="7">
        <v>0</v>
      </c>
      <c r="H72" s="33">
        <f t="shared" si="13"/>
        <v>0.33333333333333331</v>
      </c>
      <c r="I72" s="8" t="s">
        <v>30</v>
      </c>
      <c r="J72" s="34">
        <f>11/30</f>
        <v>0.36666666666666664</v>
      </c>
      <c r="K72" s="34">
        <f t="shared" si="10"/>
        <v>-3.3333333333333326E-2</v>
      </c>
      <c r="M72" s="6"/>
      <c r="N72" s="6"/>
      <c r="O72" s="7">
        <v>8</v>
      </c>
      <c r="P72" s="7">
        <v>11</v>
      </c>
      <c r="Q72" s="7">
        <v>0</v>
      </c>
      <c r="R72" s="7">
        <v>8</v>
      </c>
      <c r="S72" s="7">
        <v>10</v>
      </c>
      <c r="T72" s="45">
        <v>0.5</v>
      </c>
      <c r="U72" s="18" t="s">
        <v>60</v>
      </c>
      <c r="V72" s="36">
        <f>35/72</f>
        <v>0.4861111111111111</v>
      </c>
      <c r="W72" s="34">
        <f t="shared" si="11"/>
        <v>1.3888888888888895E-2</v>
      </c>
      <c r="AA72">
        <v>2</v>
      </c>
      <c r="AB72">
        <v>12</v>
      </c>
      <c r="AC72">
        <v>0</v>
      </c>
      <c r="AD72">
        <v>10</v>
      </c>
      <c r="AE72">
        <v>12</v>
      </c>
      <c r="AF72" s="42">
        <f t="shared" si="14"/>
        <v>0.33333333333333331</v>
      </c>
      <c r="AG72" s="18" t="s">
        <v>138</v>
      </c>
      <c r="AH72" s="38">
        <f>37/119</f>
        <v>0.31092436974789917</v>
      </c>
      <c r="AI72" s="38">
        <f t="shared" si="12"/>
        <v>2.240896358543415E-2</v>
      </c>
    </row>
    <row r="73" spans="1:35" x14ac:dyDescent="0.3">
      <c r="A73" s="6"/>
      <c r="B73" s="6"/>
      <c r="C73" s="7">
        <v>5</v>
      </c>
      <c r="D73" s="7">
        <v>0</v>
      </c>
      <c r="E73" s="7">
        <v>1</v>
      </c>
      <c r="F73" s="7">
        <v>5</v>
      </c>
      <c r="G73" s="7">
        <v>4</v>
      </c>
      <c r="H73" s="33">
        <f t="shared" si="13"/>
        <v>0.33333333333333331</v>
      </c>
      <c r="I73" s="8" t="s">
        <v>31</v>
      </c>
      <c r="J73" s="34">
        <f>13/30</f>
        <v>0.43333333333333335</v>
      </c>
      <c r="K73" s="34">
        <f t="shared" si="10"/>
        <v>-0.10000000000000003</v>
      </c>
      <c r="M73" s="13"/>
      <c r="N73" s="13"/>
      <c r="O73" s="14">
        <v>8</v>
      </c>
      <c r="P73" s="14">
        <v>11</v>
      </c>
      <c r="Q73" s="14">
        <v>0</v>
      </c>
      <c r="R73" s="14">
        <v>10</v>
      </c>
      <c r="S73" s="14">
        <v>11</v>
      </c>
      <c r="T73" s="46">
        <v>0.5</v>
      </c>
      <c r="U73" s="19" t="s">
        <v>60</v>
      </c>
      <c r="V73" s="36">
        <f>35/72</f>
        <v>0.4861111111111111</v>
      </c>
      <c r="W73" s="34">
        <f t="shared" si="11"/>
        <v>1.3888888888888895E-2</v>
      </c>
      <c r="AA73">
        <v>2</v>
      </c>
      <c r="AB73">
        <v>12</v>
      </c>
      <c r="AC73">
        <v>1</v>
      </c>
      <c r="AD73">
        <v>2</v>
      </c>
      <c r="AE73">
        <v>10</v>
      </c>
      <c r="AF73" s="42">
        <f t="shared" si="14"/>
        <v>0.33333333333333331</v>
      </c>
      <c r="AG73" s="18" t="s">
        <v>137</v>
      </c>
      <c r="AH73" s="38">
        <f>40/119</f>
        <v>0.33613445378151263</v>
      </c>
      <c r="AI73" s="38">
        <f t="shared" si="12"/>
        <v>-2.8011204481793173E-3</v>
      </c>
    </row>
    <row r="74" spans="1:35" x14ac:dyDescent="0.3">
      <c r="A74" s="6"/>
      <c r="B74" s="6"/>
      <c r="C74" s="7">
        <v>5</v>
      </c>
      <c r="D74" s="7">
        <v>0</v>
      </c>
      <c r="E74" s="7">
        <v>1</v>
      </c>
      <c r="F74" s="7">
        <v>4</v>
      </c>
      <c r="G74" s="7">
        <v>1</v>
      </c>
      <c r="H74" s="33">
        <f t="shared" si="13"/>
        <v>0.33333333333333331</v>
      </c>
      <c r="I74" s="8" t="s">
        <v>31</v>
      </c>
      <c r="J74" s="34">
        <f>13/30</f>
        <v>0.43333333333333335</v>
      </c>
      <c r="K74" s="34">
        <f t="shared" si="10"/>
        <v>-0.10000000000000003</v>
      </c>
      <c r="M74" s="3">
        <v>13</v>
      </c>
      <c r="N74" s="3">
        <v>2</v>
      </c>
      <c r="O74" s="4">
        <v>11</v>
      </c>
      <c r="P74" s="4">
        <v>0</v>
      </c>
      <c r="Q74" s="4">
        <v>0</v>
      </c>
      <c r="R74" s="4">
        <v>11</v>
      </c>
      <c r="S74" s="4">
        <v>0</v>
      </c>
      <c r="T74" s="41">
        <v>0.5</v>
      </c>
      <c r="U74" s="21" t="s">
        <v>61</v>
      </c>
      <c r="V74" s="36">
        <f>7/15</f>
        <v>0.46666666666666667</v>
      </c>
      <c r="W74" s="34">
        <f t="shared" si="11"/>
        <v>3.3333333333333326E-2</v>
      </c>
      <c r="AA74">
        <v>2</v>
      </c>
      <c r="AB74">
        <v>12</v>
      </c>
      <c r="AC74">
        <v>1</v>
      </c>
      <c r="AD74">
        <v>10</v>
      </c>
      <c r="AE74">
        <v>12</v>
      </c>
      <c r="AF74" s="42">
        <f t="shared" si="14"/>
        <v>0.33333333333333331</v>
      </c>
      <c r="AG74" s="18" t="s">
        <v>137</v>
      </c>
      <c r="AH74" s="38">
        <f>40/119</f>
        <v>0.33613445378151263</v>
      </c>
      <c r="AI74" s="38">
        <f t="shared" si="12"/>
        <v>-2.8011204481793173E-3</v>
      </c>
    </row>
    <row r="75" spans="1:35" x14ac:dyDescent="0.3">
      <c r="A75" s="6"/>
      <c r="B75" s="6"/>
      <c r="C75" s="7">
        <v>5</v>
      </c>
      <c r="D75" s="7">
        <v>0</v>
      </c>
      <c r="E75" s="7">
        <v>1</v>
      </c>
      <c r="F75" s="7">
        <v>1</v>
      </c>
      <c r="G75" s="7">
        <v>0</v>
      </c>
      <c r="H75" s="33">
        <f t="shared" si="13"/>
        <v>0.33333333333333331</v>
      </c>
      <c r="I75" s="8" t="s">
        <v>31</v>
      </c>
      <c r="J75" s="34">
        <f>13/30</f>
        <v>0.43333333333333335</v>
      </c>
      <c r="K75" s="34">
        <f t="shared" si="10"/>
        <v>-0.10000000000000003</v>
      </c>
      <c r="M75" s="13"/>
      <c r="N75" s="13"/>
      <c r="O75" s="14">
        <v>11</v>
      </c>
      <c r="P75" s="14">
        <v>0</v>
      </c>
      <c r="Q75" s="14">
        <v>1</v>
      </c>
      <c r="R75" s="14">
        <v>11</v>
      </c>
      <c r="S75" s="14">
        <v>0</v>
      </c>
      <c r="T75" s="44">
        <v>0.5</v>
      </c>
      <c r="U75" s="19" t="s">
        <v>62</v>
      </c>
      <c r="V75" s="36">
        <f>8/15</f>
        <v>0.53333333333333333</v>
      </c>
      <c r="W75" s="34">
        <f t="shared" si="11"/>
        <v>-3.3333333333333326E-2</v>
      </c>
      <c r="Y75" s="6"/>
      <c r="Z75" s="6"/>
      <c r="AA75" s="7">
        <v>2</v>
      </c>
      <c r="AB75" s="7">
        <v>12</v>
      </c>
      <c r="AC75" s="7">
        <v>2</v>
      </c>
      <c r="AD75" s="7">
        <v>2</v>
      </c>
      <c r="AE75" s="7">
        <v>10</v>
      </c>
      <c r="AF75" s="42">
        <f t="shared" si="14"/>
        <v>0.33333333333333331</v>
      </c>
      <c r="AG75" s="8" t="s">
        <v>139</v>
      </c>
      <c r="AH75" s="38">
        <f>42/119</f>
        <v>0.35294117647058826</v>
      </c>
      <c r="AI75" s="38">
        <f t="shared" si="12"/>
        <v>-1.9607843137254943E-2</v>
      </c>
    </row>
    <row r="76" spans="1:35" x14ac:dyDescent="0.3">
      <c r="A76" s="6"/>
      <c r="B76" s="6"/>
      <c r="C76" s="7">
        <v>5</v>
      </c>
      <c r="D76" s="7">
        <v>0</v>
      </c>
      <c r="E76" s="7">
        <v>2</v>
      </c>
      <c r="F76" s="7">
        <v>5</v>
      </c>
      <c r="G76" s="7">
        <v>4</v>
      </c>
      <c r="H76" s="33">
        <f t="shared" si="13"/>
        <v>0.33333333333333331</v>
      </c>
      <c r="I76" s="8" t="s">
        <v>32</v>
      </c>
      <c r="J76" s="34">
        <f>1/5</f>
        <v>0.2</v>
      </c>
      <c r="K76" s="34">
        <f t="shared" si="10"/>
        <v>0.1333333333333333</v>
      </c>
      <c r="M76" s="1">
        <v>13</v>
      </c>
      <c r="N76" s="1">
        <v>3</v>
      </c>
      <c r="O76">
        <v>2</v>
      </c>
      <c r="P76">
        <v>11</v>
      </c>
      <c r="Q76">
        <v>0</v>
      </c>
      <c r="R76">
        <v>2</v>
      </c>
      <c r="S76">
        <v>0</v>
      </c>
      <c r="T76" s="33">
        <f t="shared" ref="T76:T81" si="15">1/3</f>
        <v>0.33333333333333331</v>
      </c>
      <c r="U76" s="22" t="s">
        <v>9</v>
      </c>
      <c r="V76" s="36">
        <f>1/3</f>
        <v>0.33333333333333331</v>
      </c>
      <c r="W76" s="50">
        <f t="shared" si="11"/>
        <v>0</v>
      </c>
      <c r="Y76" s="13"/>
      <c r="Z76" s="13"/>
      <c r="AA76" s="14">
        <v>2</v>
      </c>
      <c r="AB76" s="14">
        <v>12</v>
      </c>
      <c r="AC76" s="14">
        <v>2</v>
      </c>
      <c r="AD76" s="14">
        <v>10</v>
      </c>
      <c r="AE76" s="14">
        <v>12</v>
      </c>
      <c r="AF76" s="44">
        <f t="shared" si="14"/>
        <v>0.33333333333333331</v>
      </c>
      <c r="AG76" s="15" t="s">
        <v>139</v>
      </c>
      <c r="AH76" s="38">
        <f>42/119</f>
        <v>0.35294117647058826</v>
      </c>
      <c r="AI76" s="38">
        <f t="shared" si="12"/>
        <v>-1.9607843137254943E-2</v>
      </c>
    </row>
    <row r="77" spans="1:35" x14ac:dyDescent="0.3">
      <c r="A77" s="6"/>
      <c r="B77" s="6"/>
      <c r="C77" s="7">
        <v>5</v>
      </c>
      <c r="D77" s="7">
        <v>0</v>
      </c>
      <c r="E77" s="7">
        <v>2</v>
      </c>
      <c r="F77" s="7">
        <v>4</v>
      </c>
      <c r="G77" s="7">
        <v>1</v>
      </c>
      <c r="H77" s="33">
        <f t="shared" si="13"/>
        <v>0.33333333333333331</v>
      </c>
      <c r="I77" s="8" t="s">
        <v>32</v>
      </c>
      <c r="J77" s="34">
        <f>1/5</f>
        <v>0.2</v>
      </c>
      <c r="K77" s="34">
        <f t="shared" si="10"/>
        <v>0.1333333333333333</v>
      </c>
      <c r="O77">
        <v>2</v>
      </c>
      <c r="P77">
        <v>11</v>
      </c>
      <c r="Q77">
        <v>0</v>
      </c>
      <c r="R77">
        <v>0</v>
      </c>
      <c r="S77">
        <v>11</v>
      </c>
      <c r="T77" s="33">
        <f t="shared" si="15"/>
        <v>0.33333333333333331</v>
      </c>
      <c r="U77" s="18" t="s">
        <v>9</v>
      </c>
      <c r="V77" s="36">
        <f>1/3</f>
        <v>0.33333333333333331</v>
      </c>
      <c r="W77" s="50">
        <f t="shared" si="11"/>
        <v>0</v>
      </c>
      <c r="Y77" s="1">
        <v>18</v>
      </c>
      <c r="Z77" s="1">
        <v>4</v>
      </c>
      <c r="AA77" s="17">
        <v>8</v>
      </c>
      <c r="AB77" s="17">
        <v>4</v>
      </c>
      <c r="AC77">
        <v>0</v>
      </c>
      <c r="AD77">
        <v>8</v>
      </c>
      <c r="AE77">
        <v>4</v>
      </c>
      <c r="AF77">
        <v>0.25</v>
      </c>
      <c r="AG77" s="18" t="s">
        <v>140</v>
      </c>
      <c r="AH77" s="38">
        <f>25/102</f>
        <v>0.24509803921568626</v>
      </c>
      <c r="AI77" s="38">
        <f t="shared" si="12"/>
        <v>4.9019607843137358E-3</v>
      </c>
    </row>
    <row r="78" spans="1:35" x14ac:dyDescent="0.3">
      <c r="A78" s="6"/>
      <c r="B78" s="6"/>
      <c r="C78" s="7">
        <v>5</v>
      </c>
      <c r="D78" s="7">
        <v>0</v>
      </c>
      <c r="E78" s="7">
        <v>2</v>
      </c>
      <c r="F78" s="7">
        <v>1</v>
      </c>
      <c r="G78" s="7">
        <v>0</v>
      </c>
      <c r="H78" s="33">
        <f t="shared" si="13"/>
        <v>0.33333333333333331</v>
      </c>
      <c r="I78" s="8" t="s">
        <v>32</v>
      </c>
      <c r="J78" s="34">
        <f>1/5</f>
        <v>0.2</v>
      </c>
      <c r="K78" s="34">
        <f t="shared" si="10"/>
        <v>0.1333333333333333</v>
      </c>
      <c r="O78">
        <v>2</v>
      </c>
      <c r="P78">
        <v>11</v>
      </c>
      <c r="Q78">
        <v>1</v>
      </c>
      <c r="R78">
        <v>2</v>
      </c>
      <c r="S78">
        <v>0</v>
      </c>
      <c r="T78" s="33">
        <f t="shared" si="15"/>
        <v>0.33333333333333331</v>
      </c>
      <c r="U78" s="18" t="s">
        <v>63</v>
      </c>
      <c r="V78" s="36">
        <f>17/45</f>
        <v>0.37777777777777777</v>
      </c>
      <c r="W78" s="34">
        <f t="shared" si="11"/>
        <v>-4.4444444444444453E-2</v>
      </c>
      <c r="AA78">
        <v>8</v>
      </c>
      <c r="AB78">
        <v>4</v>
      </c>
      <c r="AC78">
        <v>1</v>
      </c>
      <c r="AD78">
        <v>8</v>
      </c>
      <c r="AE78">
        <v>4</v>
      </c>
      <c r="AF78">
        <v>0.25</v>
      </c>
      <c r="AG78" s="18" t="s">
        <v>141</v>
      </c>
      <c r="AH78" s="38">
        <f>29/102</f>
        <v>0.28431372549019607</v>
      </c>
      <c r="AI78" s="38">
        <f t="shared" si="12"/>
        <v>-3.4313725490196068E-2</v>
      </c>
    </row>
    <row r="79" spans="1:35" x14ac:dyDescent="0.3">
      <c r="A79" s="28"/>
      <c r="B79" s="28"/>
      <c r="C79" s="28"/>
      <c r="D79" s="28"/>
      <c r="E79" s="28"/>
      <c r="F79" s="28"/>
      <c r="G79" s="28"/>
      <c r="H79" s="35" t="s">
        <v>187</v>
      </c>
      <c r="I79" s="24"/>
      <c r="J79" s="35"/>
      <c r="K79" s="24" cm="1">
        <f t="array" ref="K79">MAX(ABS(K2:K78))</f>
        <v>0.25000000000000006</v>
      </c>
      <c r="O79">
        <v>2</v>
      </c>
      <c r="P79">
        <v>11</v>
      </c>
      <c r="Q79">
        <v>1</v>
      </c>
      <c r="R79">
        <v>0</v>
      </c>
      <c r="S79">
        <v>11</v>
      </c>
      <c r="T79" s="33">
        <f t="shared" si="15"/>
        <v>0.33333333333333331</v>
      </c>
      <c r="U79" s="18" t="s">
        <v>63</v>
      </c>
      <c r="V79" s="36">
        <f>17/45</f>
        <v>0.37777777777777777</v>
      </c>
      <c r="W79" s="34">
        <f t="shared" si="11"/>
        <v>-4.4444444444444453E-2</v>
      </c>
      <c r="Y79" s="6"/>
      <c r="Z79" s="6"/>
      <c r="AA79" s="7">
        <v>8</v>
      </c>
      <c r="AB79" s="7">
        <v>4</v>
      </c>
      <c r="AC79" s="7">
        <v>2</v>
      </c>
      <c r="AD79" s="7">
        <v>8</v>
      </c>
      <c r="AE79" s="7">
        <v>4</v>
      </c>
      <c r="AF79" s="7">
        <v>0.25</v>
      </c>
      <c r="AG79" s="18" t="s">
        <v>142</v>
      </c>
      <c r="AH79" s="38">
        <f>23/102</f>
        <v>0.22549019607843138</v>
      </c>
      <c r="AI79" s="38">
        <f t="shared" si="12"/>
        <v>2.4509803921568624E-2</v>
      </c>
    </row>
    <row r="80" spans="1:35" x14ac:dyDescent="0.3">
      <c r="A80" s="47"/>
      <c r="B80" s="47"/>
      <c r="C80" s="47"/>
      <c r="D80" s="47"/>
      <c r="E80" s="47"/>
      <c r="F80" s="47"/>
      <c r="G80" s="47"/>
      <c r="H80" s="48" t="s">
        <v>188</v>
      </c>
      <c r="I80" s="49"/>
      <c r="J80" s="48"/>
      <c r="K80" s="49" cm="1">
        <f t="array" ref="K80">MIN(ABS(K2:K47),ABS(K50:K78))</f>
        <v>1.6129032258064502E-2</v>
      </c>
      <c r="O80">
        <v>2</v>
      </c>
      <c r="P80">
        <v>11</v>
      </c>
      <c r="Q80">
        <v>2</v>
      </c>
      <c r="R80">
        <v>2</v>
      </c>
      <c r="S80">
        <v>0</v>
      </c>
      <c r="T80" s="33">
        <f t="shared" si="15"/>
        <v>0.33333333333333331</v>
      </c>
      <c r="U80" s="18" t="s">
        <v>64</v>
      </c>
      <c r="V80" s="36">
        <f>13/45</f>
        <v>0.28888888888888886</v>
      </c>
      <c r="W80" s="34">
        <f t="shared" si="11"/>
        <v>4.4444444444444453E-2</v>
      </c>
      <c r="Y80" s="13"/>
      <c r="Z80" s="13"/>
      <c r="AA80" s="14">
        <v>8</v>
      </c>
      <c r="AB80" s="14">
        <v>4</v>
      </c>
      <c r="AC80" s="14">
        <v>3</v>
      </c>
      <c r="AD80" s="14">
        <v>8</v>
      </c>
      <c r="AE80" s="14">
        <v>4</v>
      </c>
      <c r="AF80" s="14">
        <v>0.25</v>
      </c>
      <c r="AG80" s="15" t="s">
        <v>140</v>
      </c>
      <c r="AH80" s="38">
        <f>25/102</f>
        <v>0.24509803921568626</v>
      </c>
      <c r="AI80" s="38">
        <f t="shared" si="12"/>
        <v>4.9019607843137358E-3</v>
      </c>
    </row>
    <row r="81" spans="11:42" x14ac:dyDescent="0.3">
      <c r="M81" s="13"/>
      <c r="N81" s="13"/>
      <c r="O81" s="14">
        <v>2</v>
      </c>
      <c r="P81" s="14">
        <v>11</v>
      </c>
      <c r="Q81" s="14">
        <v>2</v>
      </c>
      <c r="R81" s="14">
        <v>0</v>
      </c>
      <c r="S81" s="14">
        <v>11</v>
      </c>
      <c r="T81" s="33">
        <f t="shared" si="15"/>
        <v>0.33333333333333331</v>
      </c>
      <c r="U81" s="19" t="s">
        <v>64</v>
      </c>
      <c r="V81" s="36">
        <f>13/45</f>
        <v>0.28888888888888886</v>
      </c>
      <c r="W81" s="34">
        <f t="shared" si="11"/>
        <v>4.4444444444444453E-2</v>
      </c>
      <c r="Y81" s="1">
        <v>18</v>
      </c>
      <c r="Z81" s="1">
        <v>5</v>
      </c>
      <c r="AA81" s="17">
        <v>13</v>
      </c>
      <c r="AB81" s="17">
        <v>5</v>
      </c>
      <c r="AC81">
        <v>0</v>
      </c>
      <c r="AD81">
        <v>13</v>
      </c>
      <c r="AE81">
        <v>14</v>
      </c>
      <c r="AF81">
        <v>0.2</v>
      </c>
      <c r="AG81" s="11" t="s">
        <v>194</v>
      </c>
      <c r="AH81" s="38">
        <f>4/24</f>
        <v>0.16666666666666666</v>
      </c>
      <c r="AI81" s="38">
        <f t="shared" si="12"/>
        <v>3.3333333333333354E-2</v>
      </c>
    </row>
    <row r="82" spans="11:42" x14ac:dyDescent="0.3">
      <c r="K82" s="33"/>
      <c r="M82" s="1">
        <v>13</v>
      </c>
      <c r="N82" s="1">
        <v>4</v>
      </c>
      <c r="O82" s="17">
        <v>6</v>
      </c>
      <c r="P82" s="17">
        <v>1</v>
      </c>
      <c r="Q82">
        <v>0</v>
      </c>
      <c r="R82">
        <v>6</v>
      </c>
      <c r="S82">
        <v>4</v>
      </c>
      <c r="T82" s="38">
        <v>0.125</v>
      </c>
      <c r="U82" s="18" t="s">
        <v>58</v>
      </c>
      <c r="V82" s="36">
        <f>7/48</f>
        <v>0.14583333333333334</v>
      </c>
      <c r="W82" s="34">
        <f t="shared" si="11"/>
        <v>-2.0833333333333343E-2</v>
      </c>
      <c r="AA82">
        <v>13</v>
      </c>
      <c r="AB82">
        <v>5</v>
      </c>
      <c r="AC82">
        <v>0</v>
      </c>
      <c r="AD82">
        <v>14</v>
      </c>
      <c r="AE82">
        <v>5</v>
      </c>
      <c r="AF82">
        <v>0.2</v>
      </c>
      <c r="AG82" s="11" t="s">
        <v>194</v>
      </c>
      <c r="AH82" s="38">
        <f>4/24</f>
        <v>0.16666666666666666</v>
      </c>
      <c r="AI82" s="38">
        <f t="shared" ref="AI82:AI90" si="16">AF82-AH82</f>
        <v>3.3333333333333354E-2</v>
      </c>
      <c r="AN82">
        <v>24</v>
      </c>
      <c r="AP82">
        <f>24/5</f>
        <v>4.8</v>
      </c>
    </row>
    <row r="83" spans="11:42" x14ac:dyDescent="0.3">
      <c r="O83">
        <v>6</v>
      </c>
      <c r="P83">
        <v>1</v>
      </c>
      <c r="Q83">
        <v>0</v>
      </c>
      <c r="R83">
        <v>4</v>
      </c>
      <c r="S83">
        <v>1</v>
      </c>
      <c r="T83" s="38">
        <v>0.125</v>
      </c>
      <c r="U83" s="18" t="s">
        <v>58</v>
      </c>
      <c r="V83" s="36">
        <f>7/48</f>
        <v>0.14583333333333334</v>
      </c>
      <c r="W83" s="34">
        <f t="shared" si="11"/>
        <v>-2.0833333333333343E-2</v>
      </c>
      <c r="AA83">
        <v>13</v>
      </c>
      <c r="AB83">
        <v>5</v>
      </c>
      <c r="AC83">
        <v>1</v>
      </c>
      <c r="AD83">
        <v>13</v>
      </c>
      <c r="AE83">
        <v>14</v>
      </c>
      <c r="AF83">
        <v>0.2</v>
      </c>
      <c r="AG83" s="2" t="s">
        <v>34</v>
      </c>
      <c r="AH83" s="38">
        <f>5/24</f>
        <v>0.20833333333333334</v>
      </c>
      <c r="AI83" s="38">
        <f t="shared" si="16"/>
        <v>-8.3333333333333315E-3</v>
      </c>
      <c r="AK83">
        <f ca="1">RANDBETWEEN(0,19)</f>
        <v>7</v>
      </c>
    </row>
    <row r="84" spans="11:42" x14ac:dyDescent="0.3">
      <c r="O84">
        <v>6</v>
      </c>
      <c r="P84">
        <v>1</v>
      </c>
      <c r="Q84">
        <v>1</v>
      </c>
      <c r="R84">
        <v>6</v>
      </c>
      <c r="S84">
        <v>4</v>
      </c>
      <c r="T84" s="38">
        <v>0.125</v>
      </c>
      <c r="U84" s="18" t="s">
        <v>65</v>
      </c>
      <c r="V84" s="36">
        <f>5/48</f>
        <v>0.10416666666666667</v>
      </c>
      <c r="W84" s="34">
        <f t="shared" si="11"/>
        <v>2.0833333333333329E-2</v>
      </c>
      <c r="AA84">
        <v>13</v>
      </c>
      <c r="AB84">
        <v>5</v>
      </c>
      <c r="AC84">
        <v>1</v>
      </c>
      <c r="AD84">
        <v>14</v>
      </c>
      <c r="AE84">
        <v>5</v>
      </c>
      <c r="AF84">
        <v>0.2</v>
      </c>
      <c r="AG84" s="2" t="s">
        <v>34</v>
      </c>
      <c r="AH84" s="38">
        <f>5/24</f>
        <v>0.20833333333333334</v>
      </c>
      <c r="AI84" s="38">
        <f t="shared" ref="AI84" si="17">AF84-AH84</f>
        <v>-8.3333333333333315E-3</v>
      </c>
      <c r="AO84" t="s">
        <v>82</v>
      </c>
    </row>
    <row r="85" spans="11:42" x14ac:dyDescent="0.3">
      <c r="O85">
        <v>6</v>
      </c>
      <c r="P85">
        <v>1</v>
      </c>
      <c r="Q85">
        <v>1</v>
      </c>
      <c r="R85">
        <v>4</v>
      </c>
      <c r="S85">
        <v>1</v>
      </c>
      <c r="T85" s="38">
        <v>0.125</v>
      </c>
      <c r="U85" s="18" t="s">
        <v>65</v>
      </c>
      <c r="V85" s="36">
        <f>5/48</f>
        <v>0.10416666666666667</v>
      </c>
      <c r="W85" s="34">
        <f t="shared" si="11"/>
        <v>2.0833333333333329E-2</v>
      </c>
      <c r="AA85">
        <v>13</v>
      </c>
      <c r="AB85">
        <v>5</v>
      </c>
      <c r="AC85">
        <v>2</v>
      </c>
      <c r="AD85">
        <v>13</v>
      </c>
      <c r="AE85">
        <v>14</v>
      </c>
      <c r="AF85">
        <v>0.2</v>
      </c>
      <c r="AG85" s="2" t="s">
        <v>195</v>
      </c>
      <c r="AH85" s="38">
        <f>1/24</f>
        <v>4.1666666666666664E-2</v>
      </c>
      <c r="AI85" s="38">
        <f t="shared" si="16"/>
        <v>0.15833333333333335</v>
      </c>
      <c r="AK85" t="s">
        <v>11</v>
      </c>
      <c r="AO85">
        <f>AM86</f>
        <v>497400</v>
      </c>
      <c r="AP85">
        <v>2</v>
      </c>
    </row>
    <row r="86" spans="11:42" x14ac:dyDescent="0.3">
      <c r="O86">
        <v>6</v>
      </c>
      <c r="P86">
        <v>1</v>
      </c>
      <c r="Q86">
        <v>2</v>
      </c>
      <c r="R86">
        <v>6</v>
      </c>
      <c r="S86">
        <v>4</v>
      </c>
      <c r="T86" s="38">
        <v>0.125</v>
      </c>
      <c r="U86" s="18" t="s">
        <v>66</v>
      </c>
      <c r="V86" s="36">
        <f>3/16</f>
        <v>0.1875</v>
      </c>
      <c r="W86" s="34">
        <f t="shared" si="11"/>
        <v>-6.25E-2</v>
      </c>
      <c r="AA86">
        <v>13</v>
      </c>
      <c r="AB86">
        <v>5</v>
      </c>
      <c r="AC86">
        <v>2</v>
      </c>
      <c r="AD86">
        <v>14</v>
      </c>
      <c r="AE86">
        <v>5</v>
      </c>
      <c r="AF86">
        <v>0.2</v>
      </c>
      <c r="AG86" s="2" t="s">
        <v>195</v>
      </c>
      <c r="AH86" s="38">
        <f>1/24</f>
        <v>4.1666666666666664E-2</v>
      </c>
      <c r="AI86" s="38">
        <f t="shared" ref="AI86" si="18">AF86-AH86</f>
        <v>0.15833333333333335</v>
      </c>
      <c r="AK86">
        <v>13</v>
      </c>
      <c r="AL86">
        <v>5</v>
      </c>
      <c r="AM86">
        <v>497400</v>
      </c>
      <c r="AO86">
        <f t="shared" ref="AO86:AO96" si="19">AO85/AP85</f>
        <v>248700</v>
      </c>
      <c r="AP86">
        <v>2</v>
      </c>
    </row>
    <row r="87" spans="11:42" x14ac:dyDescent="0.3">
      <c r="O87">
        <v>6</v>
      </c>
      <c r="P87">
        <v>1</v>
      </c>
      <c r="Q87">
        <v>2</v>
      </c>
      <c r="R87">
        <v>4</v>
      </c>
      <c r="S87">
        <v>1</v>
      </c>
      <c r="T87" s="38">
        <v>0.125</v>
      </c>
      <c r="U87" s="18" t="s">
        <v>66</v>
      </c>
      <c r="V87" s="36">
        <f>3/16</f>
        <v>0.1875</v>
      </c>
      <c r="W87" s="34">
        <f t="shared" si="11"/>
        <v>-6.25E-2</v>
      </c>
      <c r="AA87">
        <v>13</v>
      </c>
      <c r="AB87">
        <v>5</v>
      </c>
      <c r="AC87">
        <v>3</v>
      </c>
      <c r="AD87">
        <v>13</v>
      </c>
      <c r="AE87">
        <v>14</v>
      </c>
      <c r="AF87">
        <v>0.2</v>
      </c>
      <c r="AG87" s="2" t="s">
        <v>196</v>
      </c>
      <c r="AH87" s="38">
        <f>14/24</f>
        <v>0.58333333333333337</v>
      </c>
      <c r="AI87" s="38">
        <f t="shared" si="16"/>
        <v>-0.38333333333333336</v>
      </c>
      <c r="AO87">
        <f t="shared" si="19"/>
        <v>124350</v>
      </c>
      <c r="AP87">
        <v>2</v>
      </c>
    </row>
    <row r="88" spans="11:42" x14ac:dyDescent="0.3">
      <c r="O88">
        <v>6</v>
      </c>
      <c r="P88">
        <v>1</v>
      </c>
      <c r="Q88">
        <v>3</v>
      </c>
      <c r="R88">
        <v>6</v>
      </c>
      <c r="S88">
        <v>4</v>
      </c>
      <c r="T88" s="38">
        <v>0.125</v>
      </c>
      <c r="U88" s="18" t="s">
        <v>58</v>
      </c>
      <c r="V88" s="36">
        <f>7/48</f>
        <v>0.14583333333333334</v>
      </c>
      <c r="W88" s="34">
        <f t="shared" si="11"/>
        <v>-2.0833333333333343E-2</v>
      </c>
      <c r="AA88">
        <v>13</v>
      </c>
      <c r="AB88">
        <v>5</v>
      </c>
      <c r="AC88">
        <v>3</v>
      </c>
      <c r="AD88">
        <v>14</v>
      </c>
      <c r="AE88">
        <v>5</v>
      </c>
      <c r="AF88">
        <v>0.2</v>
      </c>
      <c r="AG88" s="2" t="s">
        <v>196</v>
      </c>
      <c r="AH88" s="38">
        <f>14/24</f>
        <v>0.58333333333333337</v>
      </c>
      <c r="AI88" s="38">
        <f t="shared" ref="AI88" si="20">AF88-AH88</f>
        <v>-0.38333333333333336</v>
      </c>
      <c r="AL88">
        <f>AM86/5</f>
        <v>99480</v>
      </c>
      <c r="AM88" s="56">
        <f>AM86*4/24</f>
        <v>82900</v>
      </c>
      <c r="AO88">
        <f t="shared" si="19"/>
        <v>62175</v>
      </c>
      <c r="AP88">
        <v>3</v>
      </c>
    </row>
    <row r="89" spans="11:42" x14ac:dyDescent="0.3">
      <c r="O89">
        <v>6</v>
      </c>
      <c r="P89">
        <v>1</v>
      </c>
      <c r="Q89">
        <v>3</v>
      </c>
      <c r="R89">
        <v>4</v>
      </c>
      <c r="S89">
        <v>1</v>
      </c>
      <c r="T89" s="38">
        <v>0.125</v>
      </c>
      <c r="U89" s="18" t="s">
        <v>58</v>
      </c>
      <c r="V89" s="36">
        <f>7/48</f>
        <v>0.14583333333333334</v>
      </c>
      <c r="W89" s="34">
        <f t="shared" si="11"/>
        <v>-2.0833333333333343E-2</v>
      </c>
      <c r="AA89">
        <v>13</v>
      </c>
      <c r="AB89">
        <v>5</v>
      </c>
      <c r="AC89">
        <v>4</v>
      </c>
      <c r="AD89">
        <v>13</v>
      </c>
      <c r="AE89">
        <v>14</v>
      </c>
      <c r="AF89">
        <v>0.2</v>
      </c>
      <c r="AG89" s="57" t="s">
        <v>197</v>
      </c>
      <c r="AH89" s="52">
        <v>0</v>
      </c>
      <c r="AI89" s="52">
        <f t="shared" si="16"/>
        <v>0.2</v>
      </c>
      <c r="AM89" s="56">
        <f>AM86*5/24</f>
        <v>103625</v>
      </c>
      <c r="AO89">
        <f t="shared" si="19"/>
        <v>20725</v>
      </c>
      <c r="AP89">
        <v>5</v>
      </c>
    </row>
    <row r="90" spans="11:42" x14ac:dyDescent="0.3">
      <c r="O90">
        <v>6</v>
      </c>
      <c r="P90">
        <v>1</v>
      </c>
      <c r="Q90">
        <v>0</v>
      </c>
      <c r="R90">
        <v>6</v>
      </c>
      <c r="S90">
        <v>8</v>
      </c>
      <c r="T90" s="38">
        <v>0.125</v>
      </c>
      <c r="U90" s="18" t="s">
        <v>41</v>
      </c>
      <c r="V90" s="36">
        <f>11/48</f>
        <v>0.22916666666666666</v>
      </c>
      <c r="W90" s="34">
        <f t="shared" si="11"/>
        <v>-0.10416666666666666</v>
      </c>
      <c r="AA90">
        <v>13</v>
      </c>
      <c r="AB90">
        <v>5</v>
      </c>
      <c r="AC90">
        <v>4</v>
      </c>
      <c r="AD90">
        <v>14</v>
      </c>
      <c r="AE90">
        <v>5</v>
      </c>
      <c r="AF90">
        <v>0.2</v>
      </c>
      <c r="AG90" s="57" t="s">
        <v>197</v>
      </c>
      <c r="AH90" s="52">
        <v>0</v>
      </c>
      <c r="AI90" s="52">
        <f t="shared" si="16"/>
        <v>0.2</v>
      </c>
      <c r="AM90" s="56">
        <f>AM86*1/24</f>
        <v>20725</v>
      </c>
      <c r="AO90">
        <f t="shared" si="19"/>
        <v>4145</v>
      </c>
      <c r="AP90">
        <v>5</v>
      </c>
    </row>
    <row r="91" spans="11:42" x14ac:dyDescent="0.3">
      <c r="O91">
        <v>6</v>
      </c>
      <c r="P91">
        <v>1</v>
      </c>
      <c r="Q91">
        <v>0</v>
      </c>
      <c r="R91">
        <v>8</v>
      </c>
      <c r="S91">
        <v>1</v>
      </c>
      <c r="T91" s="38">
        <v>0.125</v>
      </c>
      <c r="U91" s="18" t="s">
        <v>41</v>
      </c>
      <c r="V91" s="36">
        <f>11/48</f>
        <v>0.22916666666666666</v>
      </c>
      <c r="W91" s="34">
        <f t="shared" si="11"/>
        <v>-0.10416666666666666</v>
      </c>
      <c r="Y91" s="1">
        <v>19</v>
      </c>
      <c r="Z91" s="1">
        <v>1</v>
      </c>
      <c r="AA91">
        <v>6</v>
      </c>
      <c r="AB91">
        <v>12</v>
      </c>
      <c r="AC91">
        <v>0</v>
      </c>
      <c r="AD91">
        <v>6</v>
      </c>
      <c r="AE91">
        <v>5</v>
      </c>
      <c r="AF91">
        <v>0.5</v>
      </c>
      <c r="AG91" s="2" t="s">
        <v>143</v>
      </c>
      <c r="AH91" s="38">
        <f>109/219</f>
        <v>0.49771689497716892</v>
      </c>
      <c r="AI91" s="38">
        <f t="shared" ref="AI91:AI120" si="21">AF91-AH91</f>
        <v>2.2831050228310779E-3</v>
      </c>
      <c r="AM91" s="56">
        <f>AM86*14/24</f>
        <v>290150</v>
      </c>
      <c r="AO91">
        <f t="shared" si="19"/>
        <v>829</v>
      </c>
      <c r="AP91">
        <v>29</v>
      </c>
    </row>
    <row r="92" spans="11:42" x14ac:dyDescent="0.3">
      <c r="O92">
        <v>6</v>
      </c>
      <c r="P92">
        <v>1</v>
      </c>
      <c r="Q92">
        <v>1</v>
      </c>
      <c r="R92">
        <v>6</v>
      </c>
      <c r="S92">
        <v>8</v>
      </c>
      <c r="T92" s="38">
        <v>0.125</v>
      </c>
      <c r="U92" s="2" t="s">
        <v>67</v>
      </c>
      <c r="V92" s="33">
        <f>1/16</f>
        <v>6.25E-2</v>
      </c>
      <c r="W92" s="34">
        <f t="shared" si="11"/>
        <v>6.25E-2</v>
      </c>
      <c r="AA92">
        <v>6</v>
      </c>
      <c r="AB92">
        <v>12</v>
      </c>
      <c r="AC92">
        <v>0</v>
      </c>
      <c r="AD92">
        <v>5</v>
      </c>
      <c r="AE92">
        <v>12</v>
      </c>
      <c r="AF92">
        <v>0.5</v>
      </c>
      <c r="AG92" s="2" t="s">
        <v>143</v>
      </c>
      <c r="AH92" s="38">
        <f>109/219</f>
        <v>0.49771689497716892</v>
      </c>
      <c r="AI92" s="38">
        <f t="shared" si="21"/>
        <v>2.2831050228310779E-3</v>
      </c>
      <c r="AM92">
        <f>AM86*0/360</f>
        <v>0</v>
      </c>
      <c r="AO92">
        <f t="shared" si="19"/>
        <v>28.586206896551722</v>
      </c>
      <c r="AP92">
        <v>3</v>
      </c>
    </row>
    <row r="93" spans="11:42" x14ac:dyDescent="0.3">
      <c r="O93">
        <v>6</v>
      </c>
      <c r="P93">
        <v>1</v>
      </c>
      <c r="Q93">
        <v>1</v>
      </c>
      <c r="R93">
        <v>8</v>
      </c>
      <c r="S93">
        <v>1</v>
      </c>
      <c r="T93" s="38">
        <v>0.125</v>
      </c>
      <c r="U93" s="18" t="s">
        <v>67</v>
      </c>
      <c r="V93" s="36">
        <f>1/16</f>
        <v>6.25E-2</v>
      </c>
      <c r="W93" s="34">
        <f t="shared" si="11"/>
        <v>6.25E-2</v>
      </c>
      <c r="AA93">
        <v>6</v>
      </c>
      <c r="AB93">
        <v>12</v>
      </c>
      <c r="AC93">
        <v>0</v>
      </c>
      <c r="AD93">
        <v>6</v>
      </c>
      <c r="AE93">
        <v>7</v>
      </c>
      <c r="AF93">
        <v>0.5</v>
      </c>
      <c r="AG93" s="2" t="s">
        <v>144</v>
      </c>
      <c r="AH93" s="38">
        <f>110/219</f>
        <v>0.50228310502283102</v>
      </c>
      <c r="AI93" s="38">
        <f t="shared" si="21"/>
        <v>-2.2831050228310223E-3</v>
      </c>
      <c r="AM93">
        <f>AM86*0/360</f>
        <v>0</v>
      </c>
      <c r="AO93">
        <f t="shared" si="19"/>
        <v>9.5287356321839081</v>
      </c>
      <c r="AP93">
        <v>29</v>
      </c>
    </row>
    <row r="94" spans="11:42" x14ac:dyDescent="0.3">
      <c r="O94">
        <v>6</v>
      </c>
      <c r="P94">
        <v>1</v>
      </c>
      <c r="Q94">
        <v>2</v>
      </c>
      <c r="R94">
        <v>6</v>
      </c>
      <c r="S94">
        <v>8</v>
      </c>
      <c r="T94" s="38">
        <v>0.125</v>
      </c>
      <c r="U94" s="57">
        <v>0</v>
      </c>
      <c r="V94" s="58">
        <v>0</v>
      </c>
      <c r="W94" s="50">
        <f t="shared" si="11"/>
        <v>0.125</v>
      </c>
      <c r="Y94" s="13"/>
      <c r="Z94" s="13"/>
      <c r="AA94" s="14">
        <v>6</v>
      </c>
      <c r="AB94" s="14">
        <v>12</v>
      </c>
      <c r="AC94" s="14">
        <v>0</v>
      </c>
      <c r="AD94" s="14">
        <v>7</v>
      </c>
      <c r="AE94" s="14">
        <v>12</v>
      </c>
      <c r="AF94" s="14">
        <v>0.5</v>
      </c>
      <c r="AG94" s="15" t="s">
        <v>144</v>
      </c>
      <c r="AH94" s="38">
        <f>110/219</f>
        <v>0.50228310502283102</v>
      </c>
      <c r="AI94" s="38">
        <f t="shared" si="21"/>
        <v>-2.2831050228310223E-3</v>
      </c>
      <c r="AM94">
        <f>AM86*0/360</f>
        <v>0</v>
      </c>
      <c r="AO94">
        <f t="shared" si="19"/>
        <v>0.32857709076496233</v>
      </c>
      <c r="AP94">
        <v>5</v>
      </c>
    </row>
    <row r="95" spans="11:42" x14ac:dyDescent="0.3">
      <c r="O95">
        <v>6</v>
      </c>
      <c r="P95">
        <v>1</v>
      </c>
      <c r="Q95">
        <v>2</v>
      </c>
      <c r="R95">
        <v>8</v>
      </c>
      <c r="S95">
        <v>1</v>
      </c>
      <c r="T95" s="38">
        <v>0.125</v>
      </c>
      <c r="U95" s="57">
        <v>0</v>
      </c>
      <c r="V95" s="58">
        <v>0</v>
      </c>
      <c r="W95" s="50">
        <f t="shared" si="11"/>
        <v>0.125</v>
      </c>
      <c r="Y95" s="1">
        <v>19</v>
      </c>
      <c r="Z95" s="1">
        <v>2</v>
      </c>
      <c r="AA95" s="17">
        <v>14</v>
      </c>
      <c r="AB95" s="17">
        <v>18</v>
      </c>
      <c r="AC95">
        <v>0</v>
      </c>
      <c r="AD95">
        <v>14</v>
      </c>
      <c r="AE95">
        <v>15</v>
      </c>
      <c r="AF95" s="28">
        <v>0.25</v>
      </c>
      <c r="AG95" s="18" t="s">
        <v>145</v>
      </c>
      <c r="AH95" s="38">
        <f>24/96</f>
        <v>0.25</v>
      </c>
      <c r="AI95" s="52">
        <f t="shared" si="21"/>
        <v>0</v>
      </c>
      <c r="AM95">
        <f>AM86*0/360</f>
        <v>0</v>
      </c>
      <c r="AO95">
        <f t="shared" si="19"/>
        <v>6.5715418152992464E-2</v>
      </c>
      <c r="AP95">
        <v>17</v>
      </c>
    </row>
    <row r="96" spans="11:42" x14ac:dyDescent="0.3">
      <c r="M96" s="6"/>
      <c r="N96" s="6"/>
      <c r="O96" s="7">
        <v>6</v>
      </c>
      <c r="P96" s="7">
        <v>1</v>
      </c>
      <c r="Q96" s="7">
        <v>3</v>
      </c>
      <c r="R96" s="7">
        <v>6</v>
      </c>
      <c r="S96" s="7">
        <v>8</v>
      </c>
      <c r="T96" s="42">
        <v>0.125</v>
      </c>
      <c r="U96" s="8" t="s">
        <v>15</v>
      </c>
      <c r="V96" s="34">
        <f>1/8</f>
        <v>0.125</v>
      </c>
      <c r="W96" s="50">
        <f t="shared" si="11"/>
        <v>0</v>
      </c>
      <c r="AA96">
        <v>14</v>
      </c>
      <c r="AB96">
        <v>18</v>
      </c>
      <c r="AC96">
        <v>0</v>
      </c>
      <c r="AD96">
        <v>15</v>
      </c>
      <c r="AE96">
        <v>18</v>
      </c>
      <c r="AF96" s="28">
        <v>0.25</v>
      </c>
      <c r="AG96" s="18" t="s">
        <v>145</v>
      </c>
      <c r="AH96" s="38">
        <f>24/96</f>
        <v>0.25</v>
      </c>
      <c r="AI96" s="52">
        <f t="shared" si="21"/>
        <v>0</v>
      </c>
      <c r="AO96">
        <f t="shared" si="19"/>
        <v>3.8656128325289685E-3</v>
      </c>
    </row>
    <row r="97" spans="13:39" x14ac:dyDescent="0.3">
      <c r="M97" s="13"/>
      <c r="N97" s="13"/>
      <c r="O97" s="14">
        <v>6</v>
      </c>
      <c r="P97" s="14">
        <v>1</v>
      </c>
      <c r="Q97" s="14">
        <v>3</v>
      </c>
      <c r="R97" s="14">
        <v>8</v>
      </c>
      <c r="S97" s="14">
        <v>1</v>
      </c>
      <c r="T97" s="44">
        <v>0.125</v>
      </c>
      <c r="U97" s="15" t="s">
        <v>15</v>
      </c>
      <c r="V97" s="34">
        <f>1/8</f>
        <v>0.125</v>
      </c>
      <c r="W97" s="50">
        <f t="shared" si="11"/>
        <v>0</v>
      </c>
      <c r="AA97">
        <v>14</v>
      </c>
      <c r="AB97">
        <v>18</v>
      </c>
      <c r="AC97">
        <v>1</v>
      </c>
      <c r="AD97">
        <v>14</v>
      </c>
      <c r="AE97">
        <v>15</v>
      </c>
      <c r="AF97">
        <v>0.25</v>
      </c>
      <c r="AG97" s="2" t="s">
        <v>146</v>
      </c>
      <c r="AH97" s="38">
        <f>23/96</f>
        <v>0.23958333333333334</v>
      </c>
      <c r="AI97" s="38">
        <f t="shared" si="21"/>
        <v>1.0416666666666657E-2</v>
      </c>
    </row>
    <row r="98" spans="13:39" x14ac:dyDescent="0.3">
      <c r="M98" s="1">
        <v>14</v>
      </c>
      <c r="N98" s="1">
        <v>1</v>
      </c>
      <c r="O98" s="17">
        <v>13</v>
      </c>
      <c r="P98" s="17">
        <v>2</v>
      </c>
      <c r="Q98">
        <v>0</v>
      </c>
      <c r="R98">
        <v>13</v>
      </c>
      <c r="S98">
        <v>0</v>
      </c>
      <c r="T98" s="38">
        <v>0.5</v>
      </c>
      <c r="U98" s="23" t="s">
        <v>12</v>
      </c>
      <c r="V98" s="33">
        <f>7/12</f>
        <v>0.58333333333333337</v>
      </c>
      <c r="W98" s="34">
        <f t="shared" si="11"/>
        <v>-8.333333333333337E-2</v>
      </c>
      <c r="AA98">
        <v>14</v>
      </c>
      <c r="AB98">
        <v>18</v>
      </c>
      <c r="AC98">
        <v>1</v>
      </c>
      <c r="AD98">
        <v>15</v>
      </c>
      <c r="AE98">
        <v>18</v>
      </c>
      <c r="AF98">
        <v>0.25</v>
      </c>
      <c r="AG98" s="2" t="s">
        <v>146</v>
      </c>
      <c r="AH98" s="38">
        <f>23/96</f>
        <v>0.23958333333333334</v>
      </c>
      <c r="AI98" s="38">
        <f t="shared" si="21"/>
        <v>1.0416666666666657E-2</v>
      </c>
    </row>
    <row r="99" spans="13:39" x14ac:dyDescent="0.3">
      <c r="O99">
        <v>13</v>
      </c>
      <c r="P99">
        <v>2</v>
      </c>
      <c r="Q99">
        <v>0</v>
      </c>
      <c r="R99">
        <v>0</v>
      </c>
      <c r="S99">
        <v>2</v>
      </c>
      <c r="T99" s="38">
        <v>0.5</v>
      </c>
      <c r="U99" s="2" t="s">
        <v>12</v>
      </c>
      <c r="V99" s="33">
        <f>7/12</f>
        <v>0.58333333333333337</v>
      </c>
      <c r="W99" s="34">
        <f t="shared" si="11"/>
        <v>-8.333333333333337E-2</v>
      </c>
      <c r="AA99">
        <v>14</v>
      </c>
      <c r="AB99">
        <v>18</v>
      </c>
      <c r="AC99">
        <v>0</v>
      </c>
      <c r="AD99">
        <v>14</v>
      </c>
      <c r="AE99">
        <v>12</v>
      </c>
      <c r="AF99">
        <v>0.25</v>
      </c>
      <c r="AG99" s="2" t="s">
        <v>147</v>
      </c>
      <c r="AH99" s="38">
        <f>25/96</f>
        <v>0.26041666666666669</v>
      </c>
      <c r="AI99" s="38">
        <f t="shared" si="21"/>
        <v>-1.0416666666666685E-2</v>
      </c>
      <c r="AM99" s="1">
        <f>SUM(AM88:AM97)</f>
        <v>497400</v>
      </c>
    </row>
    <row r="100" spans="13:39" x14ac:dyDescent="0.3">
      <c r="O100">
        <v>13</v>
      </c>
      <c r="P100">
        <v>2</v>
      </c>
      <c r="Q100">
        <v>0</v>
      </c>
      <c r="R100">
        <v>13</v>
      </c>
      <c r="S100">
        <v>1</v>
      </c>
      <c r="T100" s="38">
        <v>0.5</v>
      </c>
      <c r="U100" s="2" t="s">
        <v>33</v>
      </c>
      <c r="V100" s="33">
        <f>5/12</f>
        <v>0.41666666666666669</v>
      </c>
      <c r="W100" s="34">
        <f t="shared" si="11"/>
        <v>8.3333333333333315E-2</v>
      </c>
      <c r="AA100">
        <v>14</v>
      </c>
      <c r="AB100">
        <v>18</v>
      </c>
      <c r="AC100">
        <v>0</v>
      </c>
      <c r="AD100">
        <v>12</v>
      </c>
      <c r="AE100">
        <v>18</v>
      </c>
      <c r="AF100">
        <v>0.25</v>
      </c>
      <c r="AG100" s="2" t="s">
        <v>147</v>
      </c>
      <c r="AH100" s="38">
        <f>25/96</f>
        <v>0.26041666666666669</v>
      </c>
      <c r="AI100" s="38">
        <f t="shared" si="21"/>
        <v>-1.0416666666666685E-2</v>
      </c>
    </row>
    <row r="101" spans="13:39" x14ac:dyDescent="0.3">
      <c r="M101" s="13"/>
      <c r="N101" s="13"/>
      <c r="O101" s="14">
        <v>13</v>
      </c>
      <c r="P101" s="14">
        <v>2</v>
      </c>
      <c r="Q101" s="14">
        <v>0</v>
      </c>
      <c r="R101" s="14">
        <v>1</v>
      </c>
      <c r="S101" s="14">
        <v>2</v>
      </c>
      <c r="T101" s="44">
        <v>0.5</v>
      </c>
      <c r="U101" s="15" t="s">
        <v>33</v>
      </c>
      <c r="V101" s="34">
        <f>5/12</f>
        <v>0.41666666666666669</v>
      </c>
      <c r="W101" s="34">
        <f t="shared" si="11"/>
        <v>8.3333333333333315E-2</v>
      </c>
      <c r="Y101" s="6"/>
      <c r="Z101" s="6"/>
      <c r="AA101" s="7">
        <v>14</v>
      </c>
      <c r="AB101" s="7">
        <v>18</v>
      </c>
      <c r="AC101" s="7">
        <v>1</v>
      </c>
      <c r="AD101" s="7">
        <v>14</v>
      </c>
      <c r="AE101" s="7">
        <v>12</v>
      </c>
      <c r="AF101" s="30">
        <v>0.25</v>
      </c>
      <c r="AG101" s="8" t="s">
        <v>145</v>
      </c>
      <c r="AH101" s="38">
        <f>24/96</f>
        <v>0.25</v>
      </c>
      <c r="AI101" s="52">
        <f t="shared" si="21"/>
        <v>0</v>
      </c>
    </row>
    <row r="102" spans="13:39" x14ac:dyDescent="0.3">
      <c r="M102" s="3">
        <v>14</v>
      </c>
      <c r="N102" s="3">
        <v>2</v>
      </c>
      <c r="O102" s="4">
        <v>11</v>
      </c>
      <c r="P102" s="4">
        <v>13</v>
      </c>
      <c r="Q102" s="4">
        <v>0</v>
      </c>
      <c r="R102" s="4">
        <v>11</v>
      </c>
      <c r="S102" s="4">
        <v>13</v>
      </c>
      <c r="T102" s="41">
        <v>0.5</v>
      </c>
      <c r="U102" s="5" t="s">
        <v>65</v>
      </c>
      <c r="V102" s="34">
        <f>5/48</f>
        <v>0.10416666666666667</v>
      </c>
      <c r="W102" s="34">
        <f t="shared" si="11"/>
        <v>0.39583333333333331</v>
      </c>
      <c r="Y102" s="13"/>
      <c r="Z102" s="13"/>
      <c r="AA102" s="14">
        <v>14</v>
      </c>
      <c r="AB102" s="14">
        <v>18</v>
      </c>
      <c r="AC102" s="14">
        <v>1</v>
      </c>
      <c r="AD102" s="14">
        <v>12</v>
      </c>
      <c r="AE102" s="14">
        <v>18</v>
      </c>
      <c r="AF102" s="29">
        <v>0.25</v>
      </c>
      <c r="AG102" s="15" t="s">
        <v>145</v>
      </c>
      <c r="AH102" s="38">
        <f>24/96</f>
        <v>0.25</v>
      </c>
      <c r="AI102" s="52">
        <f t="shared" si="21"/>
        <v>0</v>
      </c>
    </row>
    <row r="103" spans="13:39" x14ac:dyDescent="0.3">
      <c r="M103" s="13"/>
      <c r="N103" s="13"/>
      <c r="O103" s="14">
        <v>11</v>
      </c>
      <c r="P103" s="14">
        <v>13</v>
      </c>
      <c r="Q103" s="14">
        <v>1</v>
      </c>
      <c r="R103" s="14">
        <v>11</v>
      </c>
      <c r="S103" s="14">
        <v>13</v>
      </c>
      <c r="T103" s="44">
        <v>0.5</v>
      </c>
      <c r="U103" s="15" t="s">
        <v>68</v>
      </c>
      <c r="V103" s="34">
        <f>43/48</f>
        <v>0.89583333333333337</v>
      </c>
      <c r="W103" s="34">
        <f t="shared" si="11"/>
        <v>-0.39583333333333337</v>
      </c>
      <c r="Y103" s="1">
        <v>19</v>
      </c>
      <c r="Z103" s="1">
        <v>3</v>
      </c>
      <c r="AA103" s="17">
        <v>5</v>
      </c>
      <c r="AB103" s="17">
        <v>13</v>
      </c>
      <c r="AC103">
        <v>0</v>
      </c>
      <c r="AD103">
        <v>5</v>
      </c>
      <c r="AE103">
        <v>13</v>
      </c>
      <c r="AF103" s="38">
        <f>1/3</f>
        <v>0.33333333333333331</v>
      </c>
      <c r="AG103" s="2" t="s">
        <v>148</v>
      </c>
      <c r="AH103" s="38">
        <f>547/1633</f>
        <v>0.33496631965707285</v>
      </c>
      <c r="AI103" s="38">
        <f t="shared" si="21"/>
        <v>-1.6329863237395381E-3</v>
      </c>
    </row>
    <row r="104" spans="13:39" x14ac:dyDescent="0.3">
      <c r="M104" s="1">
        <v>14</v>
      </c>
      <c r="N104" s="1">
        <v>3</v>
      </c>
      <c r="O104">
        <v>3</v>
      </c>
      <c r="P104">
        <v>10</v>
      </c>
      <c r="Q104">
        <v>0</v>
      </c>
      <c r="R104">
        <v>3</v>
      </c>
      <c r="S104">
        <v>1</v>
      </c>
      <c r="T104" s="38">
        <f>1/6</f>
        <v>0.16666666666666666</v>
      </c>
      <c r="U104" s="2" t="s">
        <v>69</v>
      </c>
      <c r="V104" s="33">
        <f>25/126</f>
        <v>0.1984126984126984</v>
      </c>
      <c r="W104" s="34">
        <f t="shared" si="11"/>
        <v>-3.1746031746031744E-2</v>
      </c>
      <c r="AA104">
        <v>5</v>
      </c>
      <c r="AB104">
        <v>13</v>
      </c>
      <c r="AC104">
        <v>1</v>
      </c>
      <c r="AD104">
        <v>5</v>
      </c>
      <c r="AE104">
        <v>13</v>
      </c>
      <c r="AF104" s="42">
        <f>1/3</f>
        <v>0.33333333333333331</v>
      </c>
      <c r="AG104" s="2" t="s">
        <v>149</v>
      </c>
      <c r="AH104" s="38">
        <f>545/1633</f>
        <v>0.33374157991426823</v>
      </c>
      <c r="AI104" s="38">
        <f t="shared" si="21"/>
        <v>-4.0824658093491228E-4</v>
      </c>
    </row>
    <row r="105" spans="13:39" x14ac:dyDescent="0.3">
      <c r="O105">
        <v>3</v>
      </c>
      <c r="P105">
        <v>10</v>
      </c>
      <c r="Q105">
        <v>0</v>
      </c>
      <c r="R105">
        <v>1</v>
      </c>
      <c r="S105">
        <v>10</v>
      </c>
      <c r="T105" s="38">
        <f t="shared" ref="T105:T115" si="22">1/6</f>
        <v>0.16666666666666666</v>
      </c>
      <c r="U105" s="2" t="s">
        <v>69</v>
      </c>
      <c r="V105" s="33">
        <f>25/126</f>
        <v>0.1984126984126984</v>
      </c>
      <c r="W105" s="34">
        <f t="shared" si="11"/>
        <v>-3.1746031746031744E-2</v>
      </c>
      <c r="Y105" s="13"/>
      <c r="Z105" s="13"/>
      <c r="AA105" s="14">
        <v>5</v>
      </c>
      <c r="AB105" s="14">
        <v>13</v>
      </c>
      <c r="AC105" s="14">
        <v>2</v>
      </c>
      <c r="AD105" s="14">
        <v>5</v>
      </c>
      <c r="AE105" s="14">
        <v>13</v>
      </c>
      <c r="AF105" s="44">
        <f>1/3</f>
        <v>0.33333333333333331</v>
      </c>
      <c r="AG105" s="15" t="s">
        <v>150</v>
      </c>
      <c r="AH105" s="38">
        <f>541/1633</f>
        <v>0.33129210042865892</v>
      </c>
      <c r="AI105" s="38">
        <f t="shared" si="21"/>
        <v>2.0412329046743949E-3</v>
      </c>
    </row>
    <row r="106" spans="13:39" x14ac:dyDescent="0.3">
      <c r="O106">
        <v>3</v>
      </c>
      <c r="P106">
        <v>10</v>
      </c>
      <c r="Q106">
        <v>1</v>
      </c>
      <c r="R106">
        <v>3</v>
      </c>
      <c r="S106">
        <v>1</v>
      </c>
      <c r="T106" s="38">
        <f t="shared" si="22"/>
        <v>0.16666666666666666</v>
      </c>
      <c r="U106" s="2" t="s">
        <v>70</v>
      </c>
      <c r="V106" s="33">
        <f>17/126</f>
        <v>0.13492063492063491</v>
      </c>
      <c r="W106" s="34">
        <f t="shared" si="11"/>
        <v>3.1746031746031744E-2</v>
      </c>
      <c r="Y106" s="1">
        <v>19</v>
      </c>
      <c r="Z106" s="1">
        <v>4</v>
      </c>
      <c r="AA106" s="17">
        <v>10</v>
      </c>
      <c r="AB106" s="17">
        <v>9</v>
      </c>
      <c r="AC106">
        <v>0</v>
      </c>
      <c r="AD106">
        <v>10</v>
      </c>
      <c r="AE106">
        <v>9</v>
      </c>
      <c r="AF106">
        <v>0.25</v>
      </c>
      <c r="AG106" s="2" t="s">
        <v>151</v>
      </c>
      <c r="AH106" s="38">
        <f>91/365</f>
        <v>0.24931506849315069</v>
      </c>
      <c r="AI106" s="38">
        <f t="shared" si="21"/>
        <v>6.8493150684931225E-4</v>
      </c>
    </row>
    <row r="107" spans="13:39" x14ac:dyDescent="0.3">
      <c r="O107">
        <v>3</v>
      </c>
      <c r="P107">
        <v>10</v>
      </c>
      <c r="Q107">
        <v>1</v>
      </c>
      <c r="R107">
        <v>1</v>
      </c>
      <c r="S107">
        <v>10</v>
      </c>
      <c r="T107" s="38">
        <f t="shared" si="22"/>
        <v>0.16666666666666666</v>
      </c>
      <c r="U107" s="25" t="s">
        <v>70</v>
      </c>
      <c r="V107" s="33">
        <f>17/126</f>
        <v>0.13492063492063491</v>
      </c>
      <c r="W107" s="34">
        <f t="shared" si="11"/>
        <v>3.1746031746031744E-2</v>
      </c>
      <c r="AA107">
        <v>10</v>
      </c>
      <c r="AB107">
        <v>9</v>
      </c>
      <c r="AC107">
        <v>1</v>
      </c>
      <c r="AD107">
        <v>10</v>
      </c>
      <c r="AE107">
        <v>9</v>
      </c>
      <c r="AF107">
        <v>0.25</v>
      </c>
      <c r="AG107" s="2" t="s">
        <v>152</v>
      </c>
      <c r="AH107" s="38">
        <f>92/365</f>
        <v>0.25205479452054796</v>
      </c>
      <c r="AI107" s="38">
        <f t="shared" si="21"/>
        <v>-2.0547945205479645E-3</v>
      </c>
    </row>
    <row r="108" spans="13:39" x14ac:dyDescent="0.3">
      <c r="O108">
        <v>3</v>
      </c>
      <c r="P108">
        <v>10</v>
      </c>
      <c r="Q108">
        <v>2</v>
      </c>
      <c r="R108">
        <v>3</v>
      </c>
      <c r="S108">
        <v>1</v>
      </c>
      <c r="T108" s="38">
        <f t="shared" si="22"/>
        <v>0.16666666666666666</v>
      </c>
      <c r="U108" s="25" t="s">
        <v>71</v>
      </c>
      <c r="V108" s="37">
        <f>21/126</f>
        <v>0.16666666666666666</v>
      </c>
      <c r="W108" s="50">
        <f t="shared" si="11"/>
        <v>0</v>
      </c>
      <c r="Y108" s="6"/>
      <c r="Z108" s="6"/>
      <c r="AA108" s="7">
        <v>10</v>
      </c>
      <c r="AB108" s="7">
        <v>9</v>
      </c>
      <c r="AC108" s="7">
        <v>2</v>
      </c>
      <c r="AD108" s="7">
        <v>10</v>
      </c>
      <c r="AE108" s="7">
        <v>9</v>
      </c>
      <c r="AF108" s="7">
        <v>0.25</v>
      </c>
      <c r="AG108" s="8" t="s">
        <v>153</v>
      </c>
      <c r="AH108" s="38">
        <f>136/365</f>
        <v>0.37260273972602742</v>
      </c>
      <c r="AI108" s="38">
        <f t="shared" si="21"/>
        <v>-0.12260273972602742</v>
      </c>
    </row>
    <row r="109" spans="13:39" x14ac:dyDescent="0.3">
      <c r="O109">
        <v>3</v>
      </c>
      <c r="P109">
        <v>10</v>
      </c>
      <c r="Q109">
        <v>2</v>
      </c>
      <c r="R109">
        <v>1</v>
      </c>
      <c r="S109">
        <v>10</v>
      </c>
      <c r="T109" s="38">
        <f t="shared" si="22"/>
        <v>0.16666666666666666</v>
      </c>
      <c r="U109" s="25" t="s">
        <v>71</v>
      </c>
      <c r="V109" s="37">
        <f>21/126</f>
        <v>0.16666666666666666</v>
      </c>
      <c r="W109" s="50">
        <f t="shared" si="11"/>
        <v>0</v>
      </c>
      <c r="Y109" s="13"/>
      <c r="Z109" s="13"/>
      <c r="AA109" s="14">
        <v>10</v>
      </c>
      <c r="AB109" s="14">
        <v>9</v>
      </c>
      <c r="AC109" s="14">
        <v>3</v>
      </c>
      <c r="AD109" s="14">
        <v>10</v>
      </c>
      <c r="AE109" s="14">
        <v>9</v>
      </c>
      <c r="AF109" s="14">
        <v>0.25</v>
      </c>
      <c r="AG109" s="15" t="s">
        <v>154</v>
      </c>
      <c r="AH109" s="38">
        <f>46/365</f>
        <v>0.12602739726027398</v>
      </c>
      <c r="AI109" s="38">
        <f t="shared" si="21"/>
        <v>0.12397260273972602</v>
      </c>
    </row>
    <row r="110" spans="13:39" x14ac:dyDescent="0.3">
      <c r="O110">
        <v>3</v>
      </c>
      <c r="P110">
        <v>10</v>
      </c>
      <c r="Q110">
        <v>0</v>
      </c>
      <c r="R110">
        <v>3</v>
      </c>
      <c r="S110">
        <v>5</v>
      </c>
      <c r="T110" s="38">
        <f t="shared" si="22"/>
        <v>0.16666666666666666</v>
      </c>
      <c r="U110" s="25" t="s">
        <v>72</v>
      </c>
      <c r="V110" s="37">
        <f>13/126</f>
        <v>0.10317460317460317</v>
      </c>
      <c r="W110" s="34">
        <f t="shared" si="11"/>
        <v>6.3492063492063489E-2</v>
      </c>
      <c r="Y110" s="1">
        <v>19</v>
      </c>
      <c r="Z110" s="1">
        <v>5</v>
      </c>
      <c r="AA110" s="17">
        <v>14</v>
      </c>
      <c r="AB110" s="17">
        <v>5</v>
      </c>
      <c r="AC110">
        <v>0</v>
      </c>
      <c r="AD110">
        <v>14</v>
      </c>
      <c r="AE110">
        <v>5</v>
      </c>
      <c r="AF110">
        <v>0.2</v>
      </c>
      <c r="AG110" s="2" t="s">
        <v>155</v>
      </c>
      <c r="AH110" s="38">
        <f>83/419</f>
        <v>0.19809069212410502</v>
      </c>
      <c r="AI110" s="38">
        <f t="shared" si="21"/>
        <v>1.9093078758949944E-3</v>
      </c>
    </row>
    <row r="111" spans="13:39" x14ac:dyDescent="0.3">
      <c r="O111">
        <v>3</v>
      </c>
      <c r="P111">
        <v>10</v>
      </c>
      <c r="Q111">
        <v>0</v>
      </c>
      <c r="R111">
        <v>5</v>
      </c>
      <c r="S111">
        <v>10</v>
      </c>
      <c r="T111" s="38">
        <f t="shared" si="22"/>
        <v>0.16666666666666666</v>
      </c>
      <c r="U111" s="2" t="s">
        <v>72</v>
      </c>
      <c r="V111" s="37">
        <f>13/126</f>
        <v>0.10317460317460317</v>
      </c>
      <c r="W111" s="34">
        <f t="shared" si="11"/>
        <v>6.3492063492063489E-2</v>
      </c>
      <c r="AA111">
        <v>14</v>
      </c>
      <c r="AB111">
        <v>5</v>
      </c>
      <c r="AC111">
        <v>1</v>
      </c>
      <c r="AD111">
        <v>14</v>
      </c>
      <c r="AE111">
        <v>5</v>
      </c>
      <c r="AF111">
        <v>0.2</v>
      </c>
      <c r="AG111" s="2" t="s">
        <v>156</v>
      </c>
      <c r="AH111" s="38">
        <f>84/419</f>
        <v>0.20047732696897375</v>
      </c>
      <c r="AI111" s="38">
        <f t="shared" si="21"/>
        <v>-4.7732696897373472E-4</v>
      </c>
    </row>
    <row r="112" spans="13:39" x14ac:dyDescent="0.3">
      <c r="O112">
        <v>3</v>
      </c>
      <c r="P112">
        <v>10</v>
      </c>
      <c r="Q112">
        <v>1</v>
      </c>
      <c r="R112">
        <v>3</v>
      </c>
      <c r="S112">
        <v>5</v>
      </c>
      <c r="T112" s="38">
        <f t="shared" si="22"/>
        <v>0.16666666666666666</v>
      </c>
      <c r="U112" s="2" t="s">
        <v>73</v>
      </c>
      <c r="V112" s="33">
        <f>11/126</f>
        <v>8.7301587301587297E-2</v>
      </c>
      <c r="W112" s="34">
        <f t="shared" si="11"/>
        <v>7.9365079365079361E-2</v>
      </c>
      <c r="AA112">
        <v>14</v>
      </c>
      <c r="AB112">
        <v>5</v>
      </c>
      <c r="AC112">
        <v>2</v>
      </c>
      <c r="AD112">
        <v>14</v>
      </c>
      <c r="AE112">
        <v>5</v>
      </c>
      <c r="AF112">
        <v>0.2</v>
      </c>
      <c r="AG112" s="2" t="s">
        <v>157</v>
      </c>
      <c r="AH112" s="38">
        <f>9/419</f>
        <v>2.1479713603818614E-2</v>
      </c>
      <c r="AI112" s="38">
        <f t="shared" si="21"/>
        <v>0.17852028639618139</v>
      </c>
    </row>
    <row r="113" spans="13:35" x14ac:dyDescent="0.3">
      <c r="O113">
        <v>3</v>
      </c>
      <c r="P113">
        <v>10</v>
      </c>
      <c r="Q113">
        <v>1</v>
      </c>
      <c r="R113">
        <v>5</v>
      </c>
      <c r="S113">
        <v>10</v>
      </c>
      <c r="T113" s="38">
        <f t="shared" si="22"/>
        <v>0.16666666666666666</v>
      </c>
      <c r="U113" s="2" t="s">
        <v>73</v>
      </c>
      <c r="V113" s="33">
        <f>11/126</f>
        <v>8.7301587301587297E-2</v>
      </c>
      <c r="W113" s="34">
        <f t="shared" si="11"/>
        <v>7.9365079365079361E-2</v>
      </c>
      <c r="Y113" s="6"/>
      <c r="Z113" s="6"/>
      <c r="AA113" s="7">
        <v>14</v>
      </c>
      <c r="AB113" s="7">
        <v>5</v>
      </c>
      <c r="AC113" s="7">
        <v>3</v>
      </c>
      <c r="AD113" s="7">
        <v>14</v>
      </c>
      <c r="AE113" s="7">
        <v>5</v>
      </c>
      <c r="AF113" s="7">
        <v>0.2</v>
      </c>
      <c r="AG113" s="8" t="s">
        <v>158</v>
      </c>
      <c r="AH113" s="38">
        <f>23/419</f>
        <v>5.4892601431980909E-2</v>
      </c>
      <c r="AI113" s="38">
        <f t="shared" si="21"/>
        <v>0.1451073985680191</v>
      </c>
    </row>
    <row r="114" spans="13:35" x14ac:dyDescent="0.3">
      <c r="M114" s="6"/>
      <c r="N114" s="6"/>
      <c r="O114" s="7">
        <v>3</v>
      </c>
      <c r="P114" s="7">
        <v>10</v>
      </c>
      <c r="Q114" s="7">
        <v>2</v>
      </c>
      <c r="R114" s="7">
        <v>3</v>
      </c>
      <c r="S114" s="7">
        <v>5</v>
      </c>
      <c r="T114" s="38">
        <f t="shared" si="22"/>
        <v>0.16666666666666666</v>
      </c>
      <c r="U114" s="8" t="s">
        <v>74</v>
      </c>
      <c r="V114" s="34">
        <f>39/126</f>
        <v>0.30952380952380953</v>
      </c>
      <c r="W114" s="34">
        <f t="shared" si="11"/>
        <v>-0.14285714285714288</v>
      </c>
      <c r="Y114" s="13"/>
      <c r="Z114" s="13"/>
      <c r="AA114" s="14">
        <v>14</v>
      </c>
      <c r="AB114" s="14">
        <v>5</v>
      </c>
      <c r="AC114" s="14">
        <v>4</v>
      </c>
      <c r="AD114" s="14">
        <v>14</v>
      </c>
      <c r="AE114" s="14">
        <v>5</v>
      </c>
      <c r="AF114" s="14">
        <v>0.2</v>
      </c>
      <c r="AG114" s="15" t="s">
        <v>159</v>
      </c>
      <c r="AH114" s="38">
        <f>220/419</f>
        <v>0.52505966587112174</v>
      </c>
      <c r="AI114" s="38">
        <f t="shared" si="21"/>
        <v>-0.32505966587112173</v>
      </c>
    </row>
    <row r="115" spans="13:35" x14ac:dyDescent="0.3">
      <c r="M115" s="13"/>
      <c r="N115" s="13"/>
      <c r="O115" s="14">
        <v>3</v>
      </c>
      <c r="P115" s="14">
        <v>10</v>
      </c>
      <c r="Q115" s="14">
        <v>2</v>
      </c>
      <c r="R115" s="14">
        <v>5</v>
      </c>
      <c r="S115" s="14">
        <v>10</v>
      </c>
      <c r="T115" s="44">
        <f t="shared" si="22"/>
        <v>0.16666666666666666</v>
      </c>
      <c r="U115" s="15" t="s">
        <v>74</v>
      </c>
      <c r="V115" s="34">
        <f>39/126</f>
        <v>0.30952380952380953</v>
      </c>
      <c r="W115" s="34">
        <f t="shared" si="11"/>
        <v>-0.14285714285714288</v>
      </c>
      <c r="Y115" s="1">
        <v>20</v>
      </c>
      <c r="Z115" s="1">
        <v>1</v>
      </c>
      <c r="AA115" s="17">
        <v>3</v>
      </c>
      <c r="AB115" s="17">
        <v>19</v>
      </c>
      <c r="AC115">
        <v>0</v>
      </c>
      <c r="AD115">
        <v>3</v>
      </c>
      <c r="AE115">
        <v>2</v>
      </c>
      <c r="AF115">
        <v>0.5</v>
      </c>
      <c r="AG115" s="2" t="s">
        <v>34</v>
      </c>
      <c r="AH115" s="38">
        <f>5/24</f>
        <v>0.20833333333333334</v>
      </c>
      <c r="AI115" s="38">
        <f t="shared" si="21"/>
        <v>0.29166666666666663</v>
      </c>
    </row>
    <row r="116" spans="13:35" x14ac:dyDescent="0.3">
      <c r="M116" s="1">
        <v>14</v>
      </c>
      <c r="N116" s="1">
        <v>4</v>
      </c>
      <c r="O116" s="17">
        <v>6</v>
      </c>
      <c r="P116" s="17">
        <v>11</v>
      </c>
      <c r="Q116">
        <v>0</v>
      </c>
      <c r="R116">
        <v>6</v>
      </c>
      <c r="S116">
        <v>7</v>
      </c>
      <c r="T116" s="38">
        <v>0.125</v>
      </c>
      <c r="U116" s="2" t="s">
        <v>75</v>
      </c>
      <c r="V116" s="33">
        <f>25/119</f>
        <v>0.21008403361344538</v>
      </c>
      <c r="W116" s="34">
        <f t="shared" si="11"/>
        <v>-8.5084033613445381E-2</v>
      </c>
      <c r="AA116">
        <v>3</v>
      </c>
      <c r="AB116">
        <v>19</v>
      </c>
      <c r="AC116">
        <v>0</v>
      </c>
      <c r="AD116">
        <v>2</v>
      </c>
      <c r="AE116">
        <v>19</v>
      </c>
      <c r="AF116">
        <v>0.5</v>
      </c>
      <c r="AG116" s="2" t="s">
        <v>34</v>
      </c>
      <c r="AH116" s="38">
        <f>5/24</f>
        <v>0.20833333333333334</v>
      </c>
      <c r="AI116" s="38">
        <f t="shared" si="21"/>
        <v>0.29166666666666663</v>
      </c>
    </row>
    <row r="117" spans="13:35" x14ac:dyDescent="0.3">
      <c r="O117">
        <v>6</v>
      </c>
      <c r="P117">
        <v>11</v>
      </c>
      <c r="Q117">
        <v>0</v>
      </c>
      <c r="R117">
        <v>7</v>
      </c>
      <c r="S117">
        <v>11</v>
      </c>
      <c r="T117" s="38">
        <v>0.125</v>
      </c>
      <c r="U117" s="25" t="s">
        <v>75</v>
      </c>
      <c r="V117" s="33">
        <f>25/119</f>
        <v>0.21008403361344538</v>
      </c>
      <c r="W117" s="34">
        <f t="shared" si="11"/>
        <v>-8.5084033613445381E-2</v>
      </c>
      <c r="Y117" s="6"/>
      <c r="Z117" s="6"/>
      <c r="AA117" s="7">
        <v>3</v>
      </c>
      <c r="AB117" s="7">
        <v>19</v>
      </c>
      <c r="AC117" s="7">
        <v>0</v>
      </c>
      <c r="AD117" s="7">
        <v>3</v>
      </c>
      <c r="AE117" s="7">
        <v>1</v>
      </c>
      <c r="AF117" s="7">
        <v>0.5</v>
      </c>
      <c r="AG117" s="8" t="s">
        <v>160</v>
      </c>
      <c r="AH117" s="38">
        <f>19/24</f>
        <v>0.79166666666666663</v>
      </c>
      <c r="AI117" s="38">
        <f t="shared" si="21"/>
        <v>-0.29166666666666663</v>
      </c>
    </row>
    <row r="118" spans="13:35" x14ac:dyDescent="0.3">
      <c r="O118">
        <v>6</v>
      </c>
      <c r="P118">
        <v>11</v>
      </c>
      <c r="Q118">
        <v>1</v>
      </c>
      <c r="R118">
        <v>6</v>
      </c>
      <c r="S118">
        <v>7</v>
      </c>
      <c r="T118" s="38">
        <v>0.125</v>
      </c>
      <c r="U118" s="25" t="s">
        <v>76</v>
      </c>
      <c r="V118" s="37">
        <f>14/119</f>
        <v>0.11764705882352941</v>
      </c>
      <c r="W118" s="34">
        <f t="shared" si="11"/>
        <v>7.3529411764705899E-3</v>
      </c>
      <c r="Y118" s="13"/>
      <c r="Z118" s="13"/>
      <c r="AA118" s="14">
        <v>3</v>
      </c>
      <c r="AB118" s="14">
        <v>19</v>
      </c>
      <c r="AC118" s="14">
        <v>0</v>
      </c>
      <c r="AD118" s="14">
        <v>1</v>
      </c>
      <c r="AE118" s="14">
        <v>19</v>
      </c>
      <c r="AF118" s="14">
        <v>0.5</v>
      </c>
      <c r="AG118" s="15" t="s">
        <v>161</v>
      </c>
      <c r="AH118" s="38">
        <f>19/24</f>
        <v>0.79166666666666663</v>
      </c>
      <c r="AI118" s="38">
        <f t="shared" si="21"/>
        <v>-0.29166666666666663</v>
      </c>
    </row>
    <row r="119" spans="13:35" x14ac:dyDescent="0.3">
      <c r="O119">
        <v>6</v>
      </c>
      <c r="P119">
        <v>11</v>
      </c>
      <c r="Q119">
        <v>1</v>
      </c>
      <c r="R119">
        <v>7</v>
      </c>
      <c r="S119">
        <v>11</v>
      </c>
      <c r="T119" s="38">
        <v>0.125</v>
      </c>
      <c r="U119" s="25" t="s">
        <v>76</v>
      </c>
      <c r="V119" s="37">
        <f>14/119</f>
        <v>0.11764705882352941</v>
      </c>
      <c r="W119" s="34">
        <f t="shared" si="11"/>
        <v>7.3529411764705899E-3</v>
      </c>
      <c r="Y119" s="3">
        <v>20</v>
      </c>
      <c r="Z119" s="3">
        <v>2</v>
      </c>
      <c r="AA119" s="4">
        <v>2</v>
      </c>
      <c r="AB119" s="4">
        <v>11</v>
      </c>
      <c r="AC119" s="4">
        <v>0</v>
      </c>
      <c r="AD119" s="4">
        <v>2</v>
      </c>
      <c r="AE119" s="4">
        <v>11</v>
      </c>
      <c r="AF119" s="4">
        <v>0.5</v>
      </c>
      <c r="AG119" s="5" t="s">
        <v>162</v>
      </c>
      <c r="AH119" s="38">
        <f>34/69</f>
        <v>0.49275362318840582</v>
      </c>
      <c r="AI119" s="38">
        <f t="shared" si="21"/>
        <v>7.2463768115941796E-3</v>
      </c>
    </row>
    <row r="120" spans="13:35" x14ac:dyDescent="0.3">
      <c r="O120">
        <v>6</v>
      </c>
      <c r="P120">
        <v>11</v>
      </c>
      <c r="Q120">
        <v>2</v>
      </c>
      <c r="R120">
        <v>6</v>
      </c>
      <c r="S120">
        <v>7</v>
      </c>
      <c r="T120" s="38">
        <v>0.125</v>
      </c>
      <c r="U120" s="25" t="s">
        <v>77</v>
      </c>
      <c r="V120" s="37">
        <f>21/119</f>
        <v>0.17647058823529413</v>
      </c>
      <c r="W120" s="34">
        <f t="shared" si="11"/>
        <v>-5.1470588235294129E-2</v>
      </c>
      <c r="Y120" s="13"/>
      <c r="Z120" s="13"/>
      <c r="AA120" s="14">
        <v>2</v>
      </c>
      <c r="AB120" s="14">
        <v>11</v>
      </c>
      <c r="AC120" s="14">
        <v>1</v>
      </c>
      <c r="AD120" s="14">
        <v>2</v>
      </c>
      <c r="AE120" s="14">
        <v>11</v>
      </c>
      <c r="AF120" s="14">
        <v>0.5</v>
      </c>
      <c r="AG120" s="15" t="s">
        <v>163</v>
      </c>
      <c r="AH120" s="38">
        <f>35/69</f>
        <v>0.50724637681159424</v>
      </c>
      <c r="AI120" s="38">
        <f t="shared" si="21"/>
        <v>-7.2463768115942351E-3</v>
      </c>
    </row>
    <row r="121" spans="13:35" x14ac:dyDescent="0.3">
      <c r="O121">
        <v>6</v>
      </c>
      <c r="P121">
        <v>11</v>
      </c>
      <c r="Q121">
        <v>2</v>
      </c>
      <c r="R121">
        <v>7</v>
      </c>
      <c r="S121">
        <v>11</v>
      </c>
      <c r="T121" s="38">
        <v>0.125</v>
      </c>
      <c r="U121" s="25" t="s">
        <v>77</v>
      </c>
      <c r="V121" s="37">
        <f>21/119</f>
        <v>0.17647058823529413</v>
      </c>
      <c r="W121" s="34">
        <f t="shared" si="11"/>
        <v>-5.1470588235294129E-2</v>
      </c>
      <c r="Y121" s="1">
        <v>20</v>
      </c>
      <c r="Z121" s="1">
        <v>3</v>
      </c>
      <c r="AA121">
        <v>17</v>
      </c>
      <c r="AB121">
        <v>0</v>
      </c>
      <c r="AC121">
        <v>0</v>
      </c>
      <c r="AD121">
        <v>17</v>
      </c>
      <c r="AE121">
        <v>0</v>
      </c>
      <c r="AF121" s="38">
        <f>1/3</f>
        <v>0.33333333333333331</v>
      </c>
      <c r="AG121" s="2" t="s">
        <v>164</v>
      </c>
      <c r="AH121" s="38">
        <f>23/72</f>
        <v>0.31944444444444442</v>
      </c>
      <c r="AI121" s="38">
        <f t="shared" ref="AI121:AI159" si="23">AF121-AH121</f>
        <v>1.3888888888888895E-2</v>
      </c>
    </row>
    <row r="122" spans="13:35" x14ac:dyDescent="0.3">
      <c r="O122">
        <v>6</v>
      </c>
      <c r="P122">
        <v>11</v>
      </c>
      <c r="Q122">
        <v>3</v>
      </c>
      <c r="R122">
        <v>6</v>
      </c>
      <c r="S122">
        <v>7</v>
      </c>
      <c r="T122" s="38">
        <v>0.125</v>
      </c>
      <c r="U122" s="25" t="s">
        <v>76</v>
      </c>
      <c r="V122" s="37">
        <f>14/119</f>
        <v>0.11764705882352941</v>
      </c>
      <c r="W122" s="34">
        <f t="shared" si="11"/>
        <v>7.3529411764705899E-3</v>
      </c>
      <c r="Y122" s="6"/>
      <c r="Z122" s="6"/>
      <c r="AA122" s="7">
        <v>17</v>
      </c>
      <c r="AB122" s="7">
        <v>0</v>
      </c>
      <c r="AC122" s="7">
        <v>1</v>
      </c>
      <c r="AD122" s="7">
        <v>17</v>
      </c>
      <c r="AE122" s="7">
        <v>0</v>
      </c>
      <c r="AF122" s="42">
        <f>1/3</f>
        <v>0.33333333333333331</v>
      </c>
      <c r="AG122" s="8" t="s">
        <v>165</v>
      </c>
      <c r="AH122" s="38">
        <f>29/72</f>
        <v>0.40277777777777779</v>
      </c>
      <c r="AI122" s="38">
        <f t="shared" si="23"/>
        <v>-6.9444444444444475E-2</v>
      </c>
    </row>
    <row r="123" spans="13:35" x14ac:dyDescent="0.3">
      <c r="O123">
        <v>6</v>
      </c>
      <c r="P123">
        <v>11</v>
      </c>
      <c r="Q123">
        <v>3</v>
      </c>
      <c r="R123">
        <v>7</v>
      </c>
      <c r="S123">
        <v>11</v>
      </c>
      <c r="T123" s="38">
        <v>0.125</v>
      </c>
      <c r="U123" s="25" t="s">
        <v>76</v>
      </c>
      <c r="V123" s="37">
        <f>14/119</f>
        <v>0.11764705882352941</v>
      </c>
      <c r="W123" s="34">
        <f t="shared" si="11"/>
        <v>7.3529411764705899E-3</v>
      </c>
      <c r="Y123" s="13"/>
      <c r="Z123" s="13"/>
      <c r="AA123" s="14">
        <v>17</v>
      </c>
      <c r="AB123" s="14">
        <v>0</v>
      </c>
      <c r="AC123" s="14">
        <v>2</v>
      </c>
      <c r="AD123" s="14">
        <v>17</v>
      </c>
      <c r="AE123" s="14">
        <v>0</v>
      </c>
      <c r="AF123" s="44">
        <f>1/3</f>
        <v>0.33333333333333331</v>
      </c>
      <c r="AG123" s="15" t="s">
        <v>166</v>
      </c>
      <c r="AH123" s="38">
        <f>20/72</f>
        <v>0.27777777777777779</v>
      </c>
      <c r="AI123" s="38">
        <f t="shared" si="23"/>
        <v>5.5555555555555525E-2</v>
      </c>
    </row>
    <row r="124" spans="13:35" x14ac:dyDescent="0.3">
      <c r="O124">
        <v>6</v>
      </c>
      <c r="P124">
        <v>11</v>
      </c>
      <c r="Q124">
        <v>0</v>
      </c>
      <c r="R124">
        <v>6</v>
      </c>
      <c r="S124">
        <v>4</v>
      </c>
      <c r="T124" s="38">
        <v>0.125</v>
      </c>
      <c r="U124" s="25" t="s">
        <v>78</v>
      </c>
      <c r="V124" s="37">
        <f>3/119</f>
        <v>2.5210084033613446E-2</v>
      </c>
      <c r="W124" s="34">
        <f t="shared" si="11"/>
        <v>9.9789915966386561E-2</v>
      </c>
      <c r="Y124" s="1">
        <v>20</v>
      </c>
      <c r="Z124" s="1">
        <v>4</v>
      </c>
      <c r="AA124">
        <v>3</v>
      </c>
      <c r="AB124">
        <v>15</v>
      </c>
      <c r="AC124">
        <v>0</v>
      </c>
      <c r="AD124">
        <v>3</v>
      </c>
      <c r="AE124">
        <v>4</v>
      </c>
      <c r="AF124">
        <v>0.125</v>
      </c>
      <c r="AG124" s="2" t="s">
        <v>167</v>
      </c>
      <c r="AH124" s="38">
        <f>49/384</f>
        <v>0.12760416666666666</v>
      </c>
      <c r="AI124" s="38">
        <f t="shared" si="23"/>
        <v>-2.6041666666666574E-3</v>
      </c>
    </row>
    <row r="125" spans="13:35" x14ac:dyDescent="0.3">
      <c r="O125">
        <v>6</v>
      </c>
      <c r="P125">
        <v>11</v>
      </c>
      <c r="Q125">
        <v>0</v>
      </c>
      <c r="R125">
        <v>4</v>
      </c>
      <c r="S125">
        <v>11</v>
      </c>
      <c r="T125" s="38">
        <v>0.125</v>
      </c>
      <c r="U125" s="25" t="s">
        <v>78</v>
      </c>
      <c r="V125" s="37">
        <f>3/119</f>
        <v>2.5210084033613446E-2</v>
      </c>
      <c r="W125" s="34">
        <f t="shared" si="11"/>
        <v>9.9789915966386561E-2</v>
      </c>
      <c r="AA125">
        <v>3</v>
      </c>
      <c r="AB125">
        <v>15</v>
      </c>
      <c r="AC125">
        <v>0</v>
      </c>
      <c r="AD125">
        <v>4</v>
      </c>
      <c r="AE125">
        <v>15</v>
      </c>
      <c r="AF125">
        <v>0.125</v>
      </c>
      <c r="AG125" s="2" t="s">
        <v>167</v>
      </c>
      <c r="AH125" s="38">
        <f>49/384</f>
        <v>0.12760416666666666</v>
      </c>
      <c r="AI125" s="38">
        <f t="shared" si="23"/>
        <v>-2.6041666666666574E-3</v>
      </c>
    </row>
    <row r="126" spans="13:35" x14ac:dyDescent="0.3">
      <c r="O126">
        <v>6</v>
      </c>
      <c r="P126">
        <v>11</v>
      </c>
      <c r="Q126">
        <v>1</v>
      </c>
      <c r="R126">
        <v>6</v>
      </c>
      <c r="S126">
        <v>4</v>
      </c>
      <c r="T126" s="38">
        <v>0.125</v>
      </c>
      <c r="U126" s="25" t="s">
        <v>79</v>
      </c>
      <c r="V126" s="37">
        <f>13/119</f>
        <v>0.1092436974789916</v>
      </c>
      <c r="W126" s="34">
        <f t="shared" si="11"/>
        <v>1.5756302521008403E-2</v>
      </c>
      <c r="AA126">
        <v>3</v>
      </c>
      <c r="AB126">
        <v>15</v>
      </c>
      <c r="AC126">
        <v>1</v>
      </c>
      <c r="AD126">
        <v>3</v>
      </c>
      <c r="AE126">
        <v>4</v>
      </c>
      <c r="AF126">
        <v>0.125</v>
      </c>
      <c r="AG126" s="2" t="s">
        <v>168</v>
      </c>
      <c r="AH126" s="38">
        <f>47/384</f>
        <v>0.12239583333333333</v>
      </c>
      <c r="AI126" s="38">
        <f t="shared" si="23"/>
        <v>2.6041666666666713E-3</v>
      </c>
    </row>
    <row r="127" spans="13:35" x14ac:dyDescent="0.3">
      <c r="O127">
        <v>6</v>
      </c>
      <c r="P127">
        <v>11</v>
      </c>
      <c r="Q127">
        <v>1</v>
      </c>
      <c r="R127">
        <v>4</v>
      </c>
      <c r="S127">
        <v>11</v>
      </c>
      <c r="T127" s="38">
        <v>0.125</v>
      </c>
      <c r="U127" s="25" t="s">
        <v>79</v>
      </c>
      <c r="V127" s="37">
        <f>13/119</f>
        <v>0.1092436974789916</v>
      </c>
      <c r="W127" s="34">
        <f t="shared" si="11"/>
        <v>1.5756302521008403E-2</v>
      </c>
      <c r="AA127">
        <v>3</v>
      </c>
      <c r="AB127">
        <v>15</v>
      </c>
      <c r="AC127">
        <v>1</v>
      </c>
      <c r="AD127">
        <v>4</v>
      </c>
      <c r="AE127">
        <v>15</v>
      </c>
      <c r="AF127">
        <v>0.125</v>
      </c>
      <c r="AG127" s="2" t="s">
        <v>168</v>
      </c>
      <c r="AH127" s="38">
        <f>47/384</f>
        <v>0.12239583333333333</v>
      </c>
      <c r="AI127" s="38">
        <f t="shared" si="23"/>
        <v>2.6041666666666713E-3</v>
      </c>
    </row>
    <row r="128" spans="13:35" x14ac:dyDescent="0.3">
      <c r="O128">
        <v>6</v>
      </c>
      <c r="P128">
        <v>11</v>
      </c>
      <c r="Q128">
        <v>2</v>
      </c>
      <c r="R128">
        <v>6</v>
      </c>
      <c r="S128">
        <v>4</v>
      </c>
      <c r="T128" s="38">
        <v>0.125</v>
      </c>
      <c r="U128" s="25" t="s">
        <v>80</v>
      </c>
      <c r="V128" s="37">
        <f>12/119</f>
        <v>0.10084033613445378</v>
      </c>
      <c r="W128" s="34">
        <f t="shared" si="11"/>
        <v>2.4159663865546216E-2</v>
      </c>
      <c r="AA128">
        <v>3</v>
      </c>
      <c r="AB128">
        <v>15</v>
      </c>
      <c r="AC128">
        <v>2</v>
      </c>
      <c r="AD128">
        <v>3</v>
      </c>
      <c r="AE128">
        <v>4</v>
      </c>
      <c r="AF128">
        <v>0.125</v>
      </c>
      <c r="AG128" s="2" t="s">
        <v>171</v>
      </c>
      <c r="AH128" s="38">
        <f>53/384</f>
        <v>0.13802083333333334</v>
      </c>
      <c r="AI128" s="38">
        <f t="shared" si="23"/>
        <v>-1.3020833333333343E-2</v>
      </c>
    </row>
    <row r="129" spans="13:35" x14ac:dyDescent="0.3">
      <c r="O129">
        <v>6</v>
      </c>
      <c r="P129">
        <v>11</v>
      </c>
      <c r="Q129">
        <v>2</v>
      </c>
      <c r="R129">
        <v>4</v>
      </c>
      <c r="S129">
        <v>11</v>
      </c>
      <c r="T129" s="38">
        <v>0.125</v>
      </c>
      <c r="U129" s="25" t="s">
        <v>80</v>
      </c>
      <c r="V129" s="37">
        <f>12/119</f>
        <v>0.10084033613445378</v>
      </c>
      <c r="W129" s="34">
        <f t="shared" si="11"/>
        <v>2.4159663865546216E-2</v>
      </c>
      <c r="AA129">
        <v>3</v>
      </c>
      <c r="AB129">
        <v>15</v>
      </c>
      <c r="AC129">
        <v>2</v>
      </c>
      <c r="AD129">
        <v>4</v>
      </c>
      <c r="AE129">
        <v>15</v>
      </c>
      <c r="AF129">
        <v>0.125</v>
      </c>
      <c r="AG129" s="2" t="s">
        <v>171</v>
      </c>
      <c r="AH129" s="38">
        <f>53/384</f>
        <v>0.13802083333333334</v>
      </c>
      <c r="AI129" s="38">
        <f t="shared" si="23"/>
        <v>-1.3020833333333343E-2</v>
      </c>
    </row>
    <row r="130" spans="13:35" x14ac:dyDescent="0.3">
      <c r="O130">
        <v>6</v>
      </c>
      <c r="P130">
        <v>11</v>
      </c>
      <c r="Q130">
        <v>3</v>
      </c>
      <c r="R130">
        <v>6</v>
      </c>
      <c r="S130">
        <v>4</v>
      </c>
      <c r="T130" s="38">
        <v>0.125</v>
      </c>
      <c r="U130" s="25" t="s">
        <v>81</v>
      </c>
      <c r="V130" s="37">
        <f>17/119</f>
        <v>0.14285714285714285</v>
      </c>
      <c r="W130" s="34">
        <f t="shared" si="11"/>
        <v>-1.7857142857142849E-2</v>
      </c>
      <c r="AA130">
        <v>3</v>
      </c>
      <c r="AB130">
        <v>15</v>
      </c>
      <c r="AC130">
        <v>3</v>
      </c>
      <c r="AD130">
        <v>3</v>
      </c>
      <c r="AE130">
        <v>4</v>
      </c>
      <c r="AF130">
        <v>0.125</v>
      </c>
      <c r="AG130" s="2" t="s">
        <v>172</v>
      </c>
      <c r="AH130" s="38">
        <f>43/384</f>
        <v>0.11197916666666667</v>
      </c>
      <c r="AI130" s="38">
        <f t="shared" si="23"/>
        <v>1.3020833333333329E-2</v>
      </c>
    </row>
    <row r="131" spans="13:35" x14ac:dyDescent="0.3">
      <c r="M131" s="13"/>
      <c r="N131" s="13"/>
      <c r="O131" s="14">
        <v>6</v>
      </c>
      <c r="P131" s="14">
        <v>11</v>
      </c>
      <c r="Q131" s="14">
        <v>3</v>
      </c>
      <c r="R131" s="14">
        <v>4</v>
      </c>
      <c r="S131" s="14">
        <v>11</v>
      </c>
      <c r="T131" s="44">
        <v>0.125</v>
      </c>
      <c r="U131" s="19" t="s">
        <v>81</v>
      </c>
      <c r="V131" s="37">
        <f>17/119</f>
        <v>0.14285714285714285</v>
      </c>
      <c r="W131" s="34">
        <f t="shared" ref="W131:W154" si="24">T131-V131</f>
        <v>-1.7857142857142849E-2</v>
      </c>
      <c r="AA131">
        <v>3</v>
      </c>
      <c r="AB131">
        <v>15</v>
      </c>
      <c r="AC131">
        <v>3</v>
      </c>
      <c r="AD131">
        <v>4</v>
      </c>
      <c r="AE131">
        <v>15</v>
      </c>
      <c r="AF131">
        <v>0.125</v>
      </c>
      <c r="AG131" s="2" t="s">
        <v>172</v>
      </c>
      <c r="AH131" s="38">
        <f>43/384</f>
        <v>0.11197916666666667</v>
      </c>
      <c r="AI131" s="38">
        <f t="shared" si="23"/>
        <v>1.3020833333333329E-2</v>
      </c>
    </row>
    <row r="132" spans="13:35" x14ac:dyDescent="0.3">
      <c r="M132" s="1">
        <v>15</v>
      </c>
      <c r="N132" s="1">
        <v>1</v>
      </c>
      <c r="O132">
        <v>5</v>
      </c>
      <c r="P132">
        <v>2</v>
      </c>
      <c r="Q132">
        <v>0</v>
      </c>
      <c r="R132">
        <v>5</v>
      </c>
      <c r="S132">
        <v>4</v>
      </c>
      <c r="T132" s="38">
        <v>0.5</v>
      </c>
      <c r="U132" s="25" t="s">
        <v>190</v>
      </c>
      <c r="V132" s="37">
        <f>111/221</f>
        <v>0.50226244343891402</v>
      </c>
      <c r="W132" s="34">
        <f t="shared" si="24"/>
        <v>-2.2624434389140191E-3</v>
      </c>
      <c r="AA132">
        <v>3</v>
      </c>
      <c r="AB132">
        <v>15</v>
      </c>
      <c r="AC132">
        <v>0</v>
      </c>
      <c r="AD132">
        <v>3</v>
      </c>
      <c r="AE132">
        <v>16</v>
      </c>
      <c r="AF132">
        <v>0.125</v>
      </c>
      <c r="AG132" s="2" t="s">
        <v>169</v>
      </c>
      <c r="AH132" s="38">
        <f>55/384</f>
        <v>0.14322916666666666</v>
      </c>
      <c r="AI132" s="38">
        <f t="shared" si="23"/>
        <v>-1.8229166666666657E-2</v>
      </c>
    </row>
    <row r="133" spans="13:35" x14ac:dyDescent="0.3">
      <c r="O133">
        <v>5</v>
      </c>
      <c r="P133">
        <v>2</v>
      </c>
      <c r="Q133">
        <v>0</v>
      </c>
      <c r="R133">
        <v>4</v>
      </c>
      <c r="S133">
        <v>2</v>
      </c>
      <c r="T133" s="38">
        <v>0.5</v>
      </c>
      <c r="U133" s="2" t="s">
        <v>190</v>
      </c>
      <c r="V133" s="37">
        <f>111/221</f>
        <v>0.50226244343891402</v>
      </c>
      <c r="W133" s="34">
        <f t="shared" si="24"/>
        <v>-2.2624434389140191E-3</v>
      </c>
      <c r="AA133">
        <v>3</v>
      </c>
      <c r="AB133">
        <v>15</v>
      </c>
      <c r="AC133">
        <v>0</v>
      </c>
      <c r="AD133">
        <v>16</v>
      </c>
      <c r="AE133">
        <v>15</v>
      </c>
      <c r="AF133">
        <v>0.125</v>
      </c>
      <c r="AG133" s="2" t="s">
        <v>169</v>
      </c>
      <c r="AH133" s="38">
        <f>55/384</f>
        <v>0.14322916666666666</v>
      </c>
      <c r="AI133" s="38">
        <f t="shared" si="23"/>
        <v>-1.8229166666666657E-2</v>
      </c>
    </row>
    <row r="134" spans="13:35" x14ac:dyDescent="0.3">
      <c r="O134">
        <v>5</v>
      </c>
      <c r="P134">
        <v>2</v>
      </c>
      <c r="Q134">
        <v>0</v>
      </c>
      <c r="R134">
        <v>5</v>
      </c>
      <c r="S134">
        <v>3</v>
      </c>
      <c r="T134" s="38">
        <v>0.5</v>
      </c>
      <c r="U134" s="2" t="s">
        <v>191</v>
      </c>
      <c r="V134" s="33">
        <f>110/221</f>
        <v>0.49773755656108598</v>
      </c>
      <c r="W134" s="34">
        <f t="shared" si="24"/>
        <v>2.2624434389140191E-3</v>
      </c>
      <c r="AA134">
        <v>3</v>
      </c>
      <c r="AB134">
        <v>15</v>
      </c>
      <c r="AC134">
        <v>1</v>
      </c>
      <c r="AD134">
        <v>3</v>
      </c>
      <c r="AE134">
        <v>16</v>
      </c>
      <c r="AF134">
        <v>0.125</v>
      </c>
      <c r="AG134" s="2" t="s">
        <v>170</v>
      </c>
      <c r="AH134" s="38">
        <f>41/384</f>
        <v>0.10677083333333333</v>
      </c>
      <c r="AI134" s="38">
        <f t="shared" si="23"/>
        <v>1.8229166666666671E-2</v>
      </c>
    </row>
    <row r="135" spans="13:35" x14ac:dyDescent="0.3">
      <c r="M135" s="13"/>
      <c r="N135" s="13"/>
      <c r="O135" s="14">
        <v>5</v>
      </c>
      <c r="P135" s="14">
        <v>2</v>
      </c>
      <c r="Q135" s="14">
        <v>0</v>
      </c>
      <c r="R135" s="14">
        <v>3</v>
      </c>
      <c r="S135" s="14">
        <v>2</v>
      </c>
      <c r="T135" s="44">
        <v>0.5</v>
      </c>
      <c r="U135" s="15" t="s">
        <v>191</v>
      </c>
      <c r="V135" s="33">
        <f>110/221</f>
        <v>0.49773755656108598</v>
      </c>
      <c r="W135" s="34">
        <f t="shared" si="24"/>
        <v>2.2624434389140191E-3</v>
      </c>
      <c r="AA135">
        <v>3</v>
      </c>
      <c r="AB135">
        <v>15</v>
      </c>
      <c r="AC135">
        <v>1</v>
      </c>
      <c r="AD135">
        <v>16</v>
      </c>
      <c r="AE135">
        <v>15</v>
      </c>
      <c r="AF135">
        <v>0.125</v>
      </c>
      <c r="AG135" s="2" t="s">
        <v>170</v>
      </c>
      <c r="AH135" s="38">
        <f>41/384</f>
        <v>0.10677083333333333</v>
      </c>
      <c r="AI135" s="38">
        <f t="shared" si="23"/>
        <v>1.8229166666666671E-2</v>
      </c>
    </row>
    <row r="136" spans="13:35" x14ac:dyDescent="0.3">
      <c r="M136" s="1">
        <v>15</v>
      </c>
      <c r="N136" s="1">
        <v>2</v>
      </c>
      <c r="O136" s="17">
        <v>14</v>
      </c>
      <c r="P136" s="17">
        <v>11</v>
      </c>
      <c r="Q136">
        <v>0</v>
      </c>
      <c r="R136">
        <v>14</v>
      </c>
      <c r="S136">
        <v>13</v>
      </c>
      <c r="T136" s="38">
        <v>0.25</v>
      </c>
      <c r="U136" s="2" t="s">
        <v>85</v>
      </c>
      <c r="V136" s="33">
        <f>64/225</f>
        <v>0.28444444444444444</v>
      </c>
      <c r="W136" s="34">
        <f t="shared" si="24"/>
        <v>-3.4444444444444444E-2</v>
      </c>
      <c r="AA136">
        <v>3</v>
      </c>
      <c r="AB136">
        <v>15</v>
      </c>
      <c r="AC136">
        <v>2</v>
      </c>
      <c r="AD136">
        <v>3</v>
      </c>
      <c r="AE136">
        <v>16</v>
      </c>
      <c r="AF136">
        <v>0.125</v>
      </c>
      <c r="AG136" s="2" t="s">
        <v>173</v>
      </c>
      <c r="AH136" s="38">
        <f>59/384</f>
        <v>0.15364583333333334</v>
      </c>
      <c r="AI136" s="38">
        <f t="shared" si="23"/>
        <v>-2.8645833333333343E-2</v>
      </c>
    </row>
    <row r="137" spans="13:35" x14ac:dyDescent="0.3">
      <c r="O137">
        <v>14</v>
      </c>
      <c r="P137">
        <v>11</v>
      </c>
      <c r="Q137">
        <v>0</v>
      </c>
      <c r="R137">
        <v>13</v>
      </c>
      <c r="S137">
        <v>11</v>
      </c>
      <c r="T137" s="38">
        <v>0.25</v>
      </c>
      <c r="U137" s="2" t="s">
        <v>85</v>
      </c>
      <c r="V137" s="33">
        <f>64/225</f>
        <v>0.28444444444444444</v>
      </c>
      <c r="W137" s="34">
        <f t="shared" si="24"/>
        <v>-3.4444444444444444E-2</v>
      </c>
      <c r="AA137">
        <v>3</v>
      </c>
      <c r="AB137">
        <v>15</v>
      </c>
      <c r="AC137">
        <v>2</v>
      </c>
      <c r="AD137">
        <v>16</v>
      </c>
      <c r="AE137">
        <v>15</v>
      </c>
      <c r="AF137">
        <v>0.125</v>
      </c>
      <c r="AG137" s="2" t="s">
        <v>173</v>
      </c>
      <c r="AH137" s="38">
        <f>59/384</f>
        <v>0.15364583333333334</v>
      </c>
      <c r="AI137" s="38">
        <f t="shared" si="23"/>
        <v>-2.8645833333333343E-2</v>
      </c>
    </row>
    <row r="138" spans="13:35" x14ac:dyDescent="0.3">
      <c r="O138">
        <v>14</v>
      </c>
      <c r="P138">
        <v>11</v>
      </c>
      <c r="Q138">
        <v>1</v>
      </c>
      <c r="R138">
        <v>14</v>
      </c>
      <c r="S138">
        <v>13</v>
      </c>
      <c r="T138" s="38">
        <v>0.25</v>
      </c>
      <c r="U138" s="2" t="s">
        <v>86</v>
      </c>
      <c r="V138" s="33">
        <f>53/225</f>
        <v>0.23555555555555555</v>
      </c>
      <c r="W138" s="34">
        <f t="shared" si="24"/>
        <v>1.4444444444444454E-2</v>
      </c>
      <c r="Y138" s="6"/>
      <c r="Z138" s="6"/>
      <c r="AA138" s="7">
        <v>3</v>
      </c>
      <c r="AB138" s="7">
        <v>15</v>
      </c>
      <c r="AC138" s="7">
        <v>3</v>
      </c>
      <c r="AD138" s="7">
        <v>3</v>
      </c>
      <c r="AE138" s="7">
        <v>16</v>
      </c>
      <c r="AF138" s="7">
        <v>0.125</v>
      </c>
      <c r="AG138" s="8" t="s">
        <v>174</v>
      </c>
      <c r="AH138" s="38">
        <f>37/384</f>
        <v>9.6354166666666671E-2</v>
      </c>
      <c r="AI138" s="38">
        <f t="shared" si="23"/>
        <v>2.8645833333333329E-2</v>
      </c>
    </row>
    <row r="139" spans="13:35" x14ac:dyDescent="0.3">
      <c r="O139">
        <v>14</v>
      </c>
      <c r="P139">
        <v>11</v>
      </c>
      <c r="Q139">
        <v>1</v>
      </c>
      <c r="R139">
        <v>13</v>
      </c>
      <c r="S139">
        <v>11</v>
      </c>
      <c r="T139" s="38">
        <v>0.25</v>
      </c>
      <c r="U139" s="2" t="s">
        <v>86</v>
      </c>
      <c r="V139" s="33">
        <f>53/225</f>
        <v>0.23555555555555555</v>
      </c>
      <c r="W139" s="34">
        <f t="shared" si="24"/>
        <v>1.4444444444444454E-2</v>
      </c>
      <c r="Y139" s="13"/>
      <c r="Z139" s="13"/>
      <c r="AA139" s="14">
        <v>3</v>
      </c>
      <c r="AB139" s="14">
        <v>15</v>
      </c>
      <c r="AC139" s="14">
        <v>3</v>
      </c>
      <c r="AD139" s="14">
        <v>16</v>
      </c>
      <c r="AE139" s="14">
        <v>15</v>
      </c>
      <c r="AF139" s="14">
        <v>0.125</v>
      </c>
      <c r="AG139" s="15" t="s">
        <v>174</v>
      </c>
      <c r="AH139" s="38">
        <f>37/384</f>
        <v>9.6354166666666671E-2</v>
      </c>
      <c r="AI139" s="38">
        <f t="shared" si="23"/>
        <v>2.8645833333333329E-2</v>
      </c>
    </row>
    <row r="140" spans="13:35" x14ac:dyDescent="0.3">
      <c r="O140">
        <v>14</v>
      </c>
      <c r="P140">
        <v>11</v>
      </c>
      <c r="Q140">
        <v>0</v>
      </c>
      <c r="R140">
        <v>14</v>
      </c>
      <c r="S140">
        <v>12</v>
      </c>
      <c r="T140" s="38">
        <v>0.25</v>
      </c>
      <c r="U140" s="2" t="s">
        <v>87</v>
      </c>
      <c r="V140" s="33">
        <f>56/225</f>
        <v>0.24888888888888888</v>
      </c>
      <c r="W140" s="34">
        <f t="shared" si="24"/>
        <v>1.1111111111111183E-3</v>
      </c>
      <c r="Y140" s="1">
        <v>20</v>
      </c>
      <c r="Z140" s="1">
        <v>5</v>
      </c>
      <c r="AA140">
        <v>19</v>
      </c>
      <c r="AB140">
        <v>4</v>
      </c>
      <c r="AC140">
        <v>0</v>
      </c>
      <c r="AD140">
        <v>19</v>
      </c>
      <c r="AE140">
        <v>1</v>
      </c>
      <c r="AF140">
        <v>0.1</v>
      </c>
      <c r="AG140" s="2" t="s">
        <v>175</v>
      </c>
      <c r="AH140" s="38">
        <f>21/215</f>
        <v>9.7674418604651161E-2</v>
      </c>
      <c r="AI140" s="38">
        <f t="shared" si="23"/>
        <v>2.3255813953488441E-3</v>
      </c>
    </row>
    <row r="141" spans="13:35" x14ac:dyDescent="0.3">
      <c r="O141">
        <v>14</v>
      </c>
      <c r="P141">
        <v>11</v>
      </c>
      <c r="Q141">
        <v>0</v>
      </c>
      <c r="R141">
        <v>12</v>
      </c>
      <c r="S141">
        <v>11</v>
      </c>
      <c r="T141" s="38">
        <v>0.25</v>
      </c>
      <c r="U141" s="2" t="s">
        <v>87</v>
      </c>
      <c r="V141" s="33">
        <f>56/225</f>
        <v>0.24888888888888888</v>
      </c>
      <c r="W141" s="34">
        <f t="shared" si="24"/>
        <v>1.1111111111111183E-3</v>
      </c>
      <c r="AA141">
        <v>19</v>
      </c>
      <c r="AB141">
        <v>4</v>
      </c>
      <c r="AC141">
        <v>0</v>
      </c>
      <c r="AD141">
        <v>1</v>
      </c>
      <c r="AE141">
        <v>4</v>
      </c>
      <c r="AF141">
        <v>0.1</v>
      </c>
      <c r="AG141" s="2" t="s">
        <v>175</v>
      </c>
      <c r="AH141" s="38">
        <f>21/215</f>
        <v>9.7674418604651161E-2</v>
      </c>
      <c r="AI141" s="38">
        <f t="shared" si="23"/>
        <v>2.3255813953488441E-3</v>
      </c>
    </row>
    <row r="142" spans="13:35" x14ac:dyDescent="0.3">
      <c r="M142" s="6"/>
      <c r="N142" s="6"/>
      <c r="O142" s="7">
        <v>14</v>
      </c>
      <c r="P142" s="7">
        <v>11</v>
      </c>
      <c r="Q142" s="7">
        <v>1</v>
      </c>
      <c r="R142" s="7">
        <v>14</v>
      </c>
      <c r="S142" s="7">
        <v>12</v>
      </c>
      <c r="T142" s="42">
        <v>0.25</v>
      </c>
      <c r="U142" s="8" t="s">
        <v>88</v>
      </c>
      <c r="V142" s="34">
        <f>52/225</f>
        <v>0.2311111111111111</v>
      </c>
      <c r="W142" s="34">
        <f t="shared" si="24"/>
        <v>1.8888888888888899E-2</v>
      </c>
      <c r="AA142">
        <v>19</v>
      </c>
      <c r="AB142">
        <v>4</v>
      </c>
      <c r="AC142">
        <v>1</v>
      </c>
      <c r="AD142">
        <v>19</v>
      </c>
      <c r="AE142">
        <v>1</v>
      </c>
      <c r="AF142">
        <v>0.1</v>
      </c>
      <c r="AG142" s="2" t="s">
        <v>176</v>
      </c>
      <c r="AH142" s="38">
        <f>22/215</f>
        <v>0.10232558139534884</v>
      </c>
      <c r="AI142" s="38">
        <f t="shared" si="23"/>
        <v>-2.3255813953488302E-3</v>
      </c>
    </row>
    <row r="143" spans="13:35" x14ac:dyDescent="0.3">
      <c r="M143" s="13"/>
      <c r="N143" s="13"/>
      <c r="O143" s="14">
        <v>14</v>
      </c>
      <c r="P143" s="14">
        <v>11</v>
      </c>
      <c r="Q143" s="14">
        <v>1</v>
      </c>
      <c r="R143" s="14">
        <v>12</v>
      </c>
      <c r="S143" s="14">
        <v>11</v>
      </c>
      <c r="T143" s="44">
        <v>0.25</v>
      </c>
      <c r="U143" s="15" t="s">
        <v>88</v>
      </c>
      <c r="V143" s="34">
        <f>52/225</f>
        <v>0.2311111111111111</v>
      </c>
      <c r="W143" s="34">
        <f t="shared" si="24"/>
        <v>1.8888888888888899E-2</v>
      </c>
      <c r="AA143">
        <v>19</v>
      </c>
      <c r="AB143">
        <v>4</v>
      </c>
      <c r="AC143">
        <v>1</v>
      </c>
      <c r="AD143">
        <v>1</v>
      </c>
      <c r="AE143">
        <v>4</v>
      </c>
      <c r="AF143">
        <v>0.1</v>
      </c>
      <c r="AG143" s="2" t="s">
        <v>176</v>
      </c>
      <c r="AH143" s="38">
        <f>22/215</f>
        <v>0.10232558139534884</v>
      </c>
      <c r="AI143" s="38">
        <f t="shared" si="23"/>
        <v>-2.3255813953488302E-3</v>
      </c>
    </row>
    <row r="144" spans="13:35" x14ac:dyDescent="0.3">
      <c r="M144" s="1">
        <v>15</v>
      </c>
      <c r="N144" s="1">
        <v>3</v>
      </c>
      <c r="O144" s="17">
        <v>8</v>
      </c>
      <c r="P144" s="17">
        <v>4</v>
      </c>
      <c r="Q144">
        <v>0</v>
      </c>
      <c r="R144">
        <v>8</v>
      </c>
      <c r="S144">
        <v>4</v>
      </c>
      <c r="T144" s="33">
        <f t="shared" ref="T144:T146" si="25">1/3</f>
        <v>0.33333333333333331</v>
      </c>
      <c r="U144" s="2" t="s">
        <v>30</v>
      </c>
      <c r="V144" s="2">
        <f>11/30</f>
        <v>0.36666666666666664</v>
      </c>
      <c r="W144" s="34">
        <f>T144-V144</f>
        <v>-3.3333333333333326E-2</v>
      </c>
      <c r="AA144">
        <v>19</v>
      </c>
      <c r="AB144">
        <v>4</v>
      </c>
      <c r="AC144">
        <v>2</v>
      </c>
      <c r="AD144">
        <v>19</v>
      </c>
      <c r="AE144">
        <v>1</v>
      </c>
      <c r="AF144">
        <v>0.1</v>
      </c>
      <c r="AG144" s="2" t="s">
        <v>177</v>
      </c>
      <c r="AH144" s="38">
        <f>24/215</f>
        <v>0.11162790697674418</v>
      </c>
      <c r="AI144" s="38">
        <f t="shared" si="23"/>
        <v>-1.1627906976744179E-2</v>
      </c>
    </row>
    <row r="145" spans="13:35" x14ac:dyDescent="0.3">
      <c r="O145">
        <v>8</v>
      </c>
      <c r="P145">
        <v>4</v>
      </c>
      <c r="Q145">
        <v>1</v>
      </c>
      <c r="R145">
        <v>8</v>
      </c>
      <c r="S145">
        <v>4</v>
      </c>
      <c r="T145" s="33">
        <f t="shared" si="25"/>
        <v>0.33333333333333331</v>
      </c>
      <c r="U145" s="23" t="s">
        <v>89</v>
      </c>
      <c r="V145" s="33">
        <f>12/30</f>
        <v>0.4</v>
      </c>
      <c r="W145" s="34">
        <f t="shared" si="24"/>
        <v>-6.6666666666666707E-2</v>
      </c>
      <c r="AA145">
        <v>19</v>
      </c>
      <c r="AB145">
        <v>4</v>
      </c>
      <c r="AC145">
        <v>2</v>
      </c>
      <c r="AD145">
        <v>1</v>
      </c>
      <c r="AE145">
        <v>4</v>
      </c>
      <c r="AF145">
        <v>0.1</v>
      </c>
      <c r="AG145" s="2" t="s">
        <v>177</v>
      </c>
      <c r="AH145" s="38">
        <f>24/215</f>
        <v>0.11162790697674418</v>
      </c>
      <c r="AI145" s="38">
        <f t="shared" si="23"/>
        <v>-1.1627906976744179E-2</v>
      </c>
    </row>
    <row r="146" spans="13:35" x14ac:dyDescent="0.3">
      <c r="M146" s="13"/>
      <c r="N146" s="13"/>
      <c r="O146" s="14">
        <v>8</v>
      </c>
      <c r="P146" s="14">
        <v>4</v>
      </c>
      <c r="Q146" s="14">
        <v>2</v>
      </c>
      <c r="R146" s="14">
        <v>8</v>
      </c>
      <c r="S146" s="14">
        <v>4</v>
      </c>
      <c r="T146" s="43">
        <f t="shared" si="25"/>
        <v>0.33333333333333331</v>
      </c>
      <c r="U146" s="27" t="s">
        <v>90</v>
      </c>
      <c r="V146" s="34">
        <f>7/30</f>
        <v>0.23333333333333334</v>
      </c>
      <c r="W146" s="34">
        <f t="shared" si="24"/>
        <v>9.9999999999999978E-2</v>
      </c>
      <c r="AA146">
        <v>19</v>
      </c>
      <c r="AB146">
        <v>4</v>
      </c>
      <c r="AC146">
        <v>3</v>
      </c>
      <c r="AD146">
        <v>19</v>
      </c>
      <c r="AE146">
        <v>1</v>
      </c>
      <c r="AF146">
        <v>0.1</v>
      </c>
      <c r="AG146" s="2" t="s">
        <v>178</v>
      </c>
      <c r="AH146" s="38">
        <f>18/215</f>
        <v>8.3720930232558138E-2</v>
      </c>
      <c r="AI146" s="38">
        <f t="shared" si="23"/>
        <v>1.6279069767441867E-2</v>
      </c>
    </row>
    <row r="147" spans="13:35" x14ac:dyDescent="0.3">
      <c r="M147" s="1">
        <v>15</v>
      </c>
      <c r="N147" s="1">
        <v>4</v>
      </c>
      <c r="O147" s="17">
        <v>11</v>
      </c>
      <c r="P147" s="17">
        <v>1</v>
      </c>
      <c r="Q147">
        <v>0</v>
      </c>
      <c r="R147">
        <v>11</v>
      </c>
      <c r="S147">
        <v>13</v>
      </c>
      <c r="T147" s="38">
        <v>0.25</v>
      </c>
      <c r="U147" s="11" t="s">
        <v>91</v>
      </c>
      <c r="V147" s="33">
        <f>7/39</f>
        <v>0.17948717948717949</v>
      </c>
      <c r="W147" s="34">
        <f t="shared" si="24"/>
        <v>7.0512820512820512E-2</v>
      </c>
      <c r="AA147">
        <v>19</v>
      </c>
      <c r="AB147">
        <v>4</v>
      </c>
      <c r="AC147">
        <v>3</v>
      </c>
      <c r="AD147">
        <v>1</v>
      </c>
      <c r="AE147">
        <v>4</v>
      </c>
      <c r="AF147">
        <v>0.1</v>
      </c>
      <c r="AG147" s="2" t="s">
        <v>178</v>
      </c>
      <c r="AH147" s="38">
        <f>18/215</f>
        <v>8.3720930232558138E-2</v>
      </c>
      <c r="AI147" s="38">
        <f t="shared" si="23"/>
        <v>1.6279069767441867E-2</v>
      </c>
    </row>
    <row r="148" spans="13:35" x14ac:dyDescent="0.3">
      <c r="O148">
        <v>11</v>
      </c>
      <c r="P148">
        <v>1</v>
      </c>
      <c r="Q148">
        <v>0</v>
      </c>
      <c r="R148">
        <v>13</v>
      </c>
      <c r="S148">
        <v>1</v>
      </c>
      <c r="T148" s="38">
        <v>0.25</v>
      </c>
      <c r="U148" s="2" t="s">
        <v>91</v>
      </c>
      <c r="V148" s="33">
        <f>7/39</f>
        <v>0.17948717948717949</v>
      </c>
      <c r="W148" s="34">
        <f t="shared" si="24"/>
        <v>7.0512820512820512E-2</v>
      </c>
      <c r="AA148">
        <v>19</v>
      </c>
      <c r="AB148">
        <v>4</v>
      </c>
      <c r="AC148">
        <v>4</v>
      </c>
      <c r="AD148">
        <v>19</v>
      </c>
      <c r="AE148">
        <v>1</v>
      </c>
      <c r="AF148">
        <v>0.1</v>
      </c>
      <c r="AG148" s="2" t="s">
        <v>179</v>
      </c>
      <c r="AH148" s="38">
        <f>28/215</f>
        <v>0.13023255813953488</v>
      </c>
      <c r="AI148" s="38">
        <f t="shared" si="23"/>
        <v>-3.0232558139534876E-2</v>
      </c>
    </row>
    <row r="149" spans="13:35" x14ac:dyDescent="0.3">
      <c r="O149">
        <v>11</v>
      </c>
      <c r="P149">
        <v>1</v>
      </c>
      <c r="Q149">
        <v>1</v>
      </c>
      <c r="R149">
        <v>11</v>
      </c>
      <c r="S149">
        <v>13</v>
      </c>
      <c r="T149" s="38">
        <v>0.25</v>
      </c>
      <c r="U149" s="2" t="s">
        <v>92</v>
      </c>
      <c r="V149" s="33">
        <f>9/39</f>
        <v>0.23076923076923078</v>
      </c>
      <c r="W149" s="34">
        <f t="shared" si="24"/>
        <v>1.9230769230769218E-2</v>
      </c>
      <c r="AA149">
        <v>19</v>
      </c>
      <c r="AB149">
        <v>4</v>
      </c>
      <c r="AC149">
        <v>4</v>
      </c>
      <c r="AD149">
        <v>1</v>
      </c>
      <c r="AE149">
        <v>4</v>
      </c>
      <c r="AF149">
        <v>0.1</v>
      </c>
      <c r="AG149" s="2" t="s">
        <v>179</v>
      </c>
      <c r="AH149" s="38">
        <f>28/215</f>
        <v>0.13023255813953488</v>
      </c>
      <c r="AI149" s="38">
        <f t="shared" si="23"/>
        <v>-3.0232558139534876E-2</v>
      </c>
    </row>
    <row r="150" spans="13:35" x14ac:dyDescent="0.3">
      <c r="O150">
        <v>11</v>
      </c>
      <c r="P150">
        <v>1</v>
      </c>
      <c r="Q150">
        <v>1</v>
      </c>
      <c r="R150">
        <v>13</v>
      </c>
      <c r="S150">
        <v>1</v>
      </c>
      <c r="T150" s="38">
        <v>0.25</v>
      </c>
      <c r="U150" s="2" t="s">
        <v>92</v>
      </c>
      <c r="V150" s="33">
        <f>9/39</f>
        <v>0.23076923076923078</v>
      </c>
      <c r="W150" s="34">
        <f t="shared" si="24"/>
        <v>1.9230769230769218E-2</v>
      </c>
      <c r="AA150">
        <v>19</v>
      </c>
      <c r="AB150">
        <v>4</v>
      </c>
      <c r="AC150">
        <v>0</v>
      </c>
      <c r="AD150">
        <v>19</v>
      </c>
      <c r="AE150">
        <v>2</v>
      </c>
      <c r="AF150">
        <v>0.1</v>
      </c>
      <c r="AG150" s="2" t="s">
        <v>180</v>
      </c>
      <c r="AH150" s="38">
        <f>14/215</f>
        <v>6.5116279069767441E-2</v>
      </c>
      <c r="AI150" s="38">
        <f t="shared" si="23"/>
        <v>3.4883720930232565E-2</v>
      </c>
    </row>
    <row r="151" spans="13:35" x14ac:dyDescent="0.3">
      <c r="O151">
        <v>11</v>
      </c>
      <c r="P151">
        <v>1</v>
      </c>
      <c r="Q151">
        <v>2</v>
      </c>
      <c r="R151">
        <v>11</v>
      </c>
      <c r="S151">
        <v>13</v>
      </c>
      <c r="T151" s="38">
        <v>0.25</v>
      </c>
      <c r="U151" s="2" t="s">
        <v>93</v>
      </c>
      <c r="V151" s="33">
        <f>11/39</f>
        <v>0.28205128205128205</v>
      </c>
      <c r="W151" s="34">
        <f t="shared" si="24"/>
        <v>-3.2051282051282048E-2</v>
      </c>
      <c r="AA151">
        <v>19</v>
      </c>
      <c r="AB151">
        <v>4</v>
      </c>
      <c r="AC151">
        <v>0</v>
      </c>
      <c r="AD151">
        <v>2</v>
      </c>
      <c r="AE151">
        <v>4</v>
      </c>
      <c r="AF151">
        <v>0.1</v>
      </c>
      <c r="AG151" s="2" t="s">
        <v>180</v>
      </c>
      <c r="AH151" s="38">
        <f>14/215</f>
        <v>6.5116279069767441E-2</v>
      </c>
      <c r="AI151" s="38">
        <f t="shared" si="23"/>
        <v>3.4883720930232565E-2</v>
      </c>
    </row>
    <row r="152" spans="13:35" x14ac:dyDescent="0.3">
      <c r="O152">
        <v>11</v>
      </c>
      <c r="P152">
        <v>1</v>
      </c>
      <c r="Q152">
        <v>2</v>
      </c>
      <c r="R152">
        <v>13</v>
      </c>
      <c r="S152">
        <v>1</v>
      </c>
      <c r="T152" s="38">
        <v>0.25</v>
      </c>
      <c r="U152" s="2" t="s">
        <v>93</v>
      </c>
      <c r="V152" s="33">
        <f>11/39</f>
        <v>0.28205128205128205</v>
      </c>
      <c r="W152" s="34">
        <f t="shared" si="24"/>
        <v>-3.2051282051282048E-2</v>
      </c>
      <c r="AA152">
        <v>19</v>
      </c>
      <c r="AB152">
        <v>4</v>
      </c>
      <c r="AC152">
        <v>1</v>
      </c>
      <c r="AD152">
        <v>19</v>
      </c>
      <c r="AE152">
        <v>2</v>
      </c>
      <c r="AF152">
        <v>0.1</v>
      </c>
      <c r="AG152" s="2" t="s">
        <v>181</v>
      </c>
      <c r="AH152" s="38">
        <f>32/215</f>
        <v>0.14883720930232558</v>
      </c>
      <c r="AI152" s="38">
        <f t="shared" si="23"/>
        <v>-4.8837209302325574E-2</v>
      </c>
    </row>
    <row r="153" spans="13:35" x14ac:dyDescent="0.3">
      <c r="O153">
        <v>11</v>
      </c>
      <c r="P153">
        <v>1</v>
      </c>
      <c r="Q153">
        <v>3</v>
      </c>
      <c r="R153">
        <v>11</v>
      </c>
      <c r="S153">
        <v>13</v>
      </c>
      <c r="T153" s="38">
        <v>0.25</v>
      </c>
      <c r="U153" s="2" t="s">
        <v>94</v>
      </c>
      <c r="V153" s="33">
        <f>12/39</f>
        <v>0.30769230769230771</v>
      </c>
      <c r="W153" s="34">
        <f t="shared" si="24"/>
        <v>-5.7692307692307709E-2</v>
      </c>
      <c r="AA153">
        <v>19</v>
      </c>
      <c r="AB153">
        <v>4</v>
      </c>
      <c r="AC153">
        <v>1</v>
      </c>
      <c r="AD153">
        <v>2</v>
      </c>
      <c r="AE153">
        <v>4</v>
      </c>
      <c r="AF153">
        <v>0.1</v>
      </c>
      <c r="AG153" s="2" t="s">
        <v>181</v>
      </c>
      <c r="AH153" s="38">
        <f>32/215</f>
        <v>0.14883720930232558</v>
      </c>
      <c r="AI153" s="38">
        <f t="shared" si="23"/>
        <v>-4.8837209302325574E-2</v>
      </c>
    </row>
    <row r="154" spans="13:35" x14ac:dyDescent="0.3">
      <c r="O154">
        <v>11</v>
      </c>
      <c r="P154">
        <v>1</v>
      </c>
      <c r="Q154">
        <v>3</v>
      </c>
      <c r="R154">
        <v>13</v>
      </c>
      <c r="S154">
        <v>1</v>
      </c>
      <c r="T154" s="38">
        <v>0.25</v>
      </c>
      <c r="U154" s="2" t="s">
        <v>94</v>
      </c>
      <c r="V154" s="33">
        <f>12/39</f>
        <v>0.30769230769230771</v>
      </c>
      <c r="W154" s="34">
        <f t="shared" si="24"/>
        <v>-5.7692307692307709E-2</v>
      </c>
      <c r="AA154">
        <v>19</v>
      </c>
      <c r="AB154">
        <v>4</v>
      </c>
      <c r="AC154">
        <v>2</v>
      </c>
      <c r="AD154">
        <v>19</v>
      </c>
      <c r="AE154">
        <v>2</v>
      </c>
      <c r="AF154">
        <v>0.1</v>
      </c>
      <c r="AG154" s="2" t="s">
        <v>182</v>
      </c>
      <c r="AH154" s="38">
        <f>10/215</f>
        <v>4.6511627906976744E-2</v>
      </c>
      <c r="AI154" s="38">
        <f t="shared" si="23"/>
        <v>5.3488372093023262E-2</v>
      </c>
    </row>
    <row r="155" spans="13:35" x14ac:dyDescent="0.3">
      <c r="M155" s="28"/>
      <c r="N155" s="28"/>
      <c r="O155" s="28"/>
      <c r="P155" s="28"/>
      <c r="Q155" s="28"/>
      <c r="R155" s="28"/>
      <c r="S155" s="28"/>
      <c r="T155" s="39" t="s">
        <v>189</v>
      </c>
      <c r="U155" s="24"/>
      <c r="V155" s="35"/>
      <c r="W155" s="24" cm="1">
        <f t="array" ref="W155">MAX(ABS(W2:W154))</f>
        <v>0.39583333333333337</v>
      </c>
      <c r="AA155">
        <v>19</v>
      </c>
      <c r="AB155">
        <v>4</v>
      </c>
      <c r="AC155">
        <v>2</v>
      </c>
      <c r="AD155">
        <v>2</v>
      </c>
      <c r="AE155">
        <v>4</v>
      </c>
      <c r="AF155">
        <v>0.1</v>
      </c>
      <c r="AG155" s="2" t="s">
        <v>182</v>
      </c>
      <c r="AH155" s="38">
        <f>10/215</f>
        <v>4.6511627906976744E-2</v>
      </c>
      <c r="AI155" s="38">
        <f t="shared" si="23"/>
        <v>5.3488372093023262E-2</v>
      </c>
    </row>
    <row r="156" spans="13:35" x14ac:dyDescent="0.3">
      <c r="M156" s="47"/>
      <c r="N156" s="47"/>
      <c r="O156" s="47"/>
      <c r="P156" s="47"/>
      <c r="Q156" s="47"/>
      <c r="R156" s="47"/>
      <c r="S156" s="47"/>
      <c r="T156" s="51" t="s">
        <v>188</v>
      </c>
      <c r="U156" s="49"/>
      <c r="V156" s="48"/>
      <c r="W156" s="49" cm="1">
        <f t="array" ref="W156">MIN(ABS(W2:W67),ABS(W69:W75),ABS(W78:W95), ABS(W98:W107),ABS(W110:W154))</f>
        <v>1.1111111111111183E-3</v>
      </c>
      <c r="AA156">
        <v>19</v>
      </c>
      <c r="AB156">
        <v>4</v>
      </c>
      <c r="AC156">
        <v>3</v>
      </c>
      <c r="AD156">
        <v>19</v>
      </c>
      <c r="AE156">
        <v>2</v>
      </c>
      <c r="AF156">
        <v>0.1</v>
      </c>
      <c r="AG156" s="2" t="s">
        <v>183</v>
      </c>
      <c r="AH156" s="38">
        <f>34/215</f>
        <v>0.15813953488372093</v>
      </c>
      <c r="AI156" s="38">
        <f t="shared" si="23"/>
        <v>-5.8139534883720922E-2</v>
      </c>
    </row>
    <row r="157" spans="13:35" x14ac:dyDescent="0.3">
      <c r="AA157">
        <v>19</v>
      </c>
      <c r="AB157">
        <v>4</v>
      </c>
      <c r="AC157">
        <v>3</v>
      </c>
      <c r="AD157">
        <v>2</v>
      </c>
      <c r="AE157">
        <v>4</v>
      </c>
      <c r="AF157">
        <v>0.1</v>
      </c>
      <c r="AG157" s="2" t="s">
        <v>183</v>
      </c>
      <c r="AH157" s="38">
        <f>34/215</f>
        <v>0.15813953488372093</v>
      </c>
      <c r="AI157" s="38">
        <f t="shared" si="23"/>
        <v>-5.8139534883720922E-2</v>
      </c>
    </row>
    <row r="158" spans="13:35" x14ac:dyDescent="0.3">
      <c r="W158" s="33"/>
      <c r="AA158">
        <v>19</v>
      </c>
      <c r="AB158">
        <v>4</v>
      </c>
      <c r="AC158">
        <v>4</v>
      </c>
      <c r="AD158">
        <v>19</v>
      </c>
      <c r="AE158">
        <v>2</v>
      </c>
      <c r="AF158">
        <v>0.1</v>
      </c>
      <c r="AG158" s="2" t="s">
        <v>192</v>
      </c>
      <c r="AH158" s="38">
        <f>12/215</f>
        <v>5.5813953488372092E-2</v>
      </c>
      <c r="AI158" s="38">
        <f t="shared" si="23"/>
        <v>4.4186046511627913E-2</v>
      </c>
    </row>
    <row r="159" spans="13:35" x14ac:dyDescent="0.3">
      <c r="AA159">
        <v>19</v>
      </c>
      <c r="AB159">
        <v>4</v>
      </c>
      <c r="AC159">
        <v>4</v>
      </c>
      <c r="AD159">
        <v>2</v>
      </c>
      <c r="AE159">
        <v>4</v>
      </c>
      <c r="AF159">
        <v>0.1</v>
      </c>
      <c r="AG159" s="2" t="s">
        <v>192</v>
      </c>
      <c r="AH159" s="38">
        <f>12/215</f>
        <v>5.5813953488372092E-2</v>
      </c>
      <c r="AI159" s="38">
        <f t="shared" si="23"/>
        <v>4.4186046511627913E-2</v>
      </c>
    </row>
    <row r="160" spans="13:35" x14ac:dyDescent="0.3">
      <c r="Y160" s="28"/>
      <c r="Z160" s="28"/>
      <c r="AA160" s="28"/>
      <c r="AB160" s="28"/>
      <c r="AC160" s="28"/>
      <c r="AD160" s="28"/>
      <c r="AE160" s="28"/>
      <c r="AF160" s="39" t="s">
        <v>189</v>
      </c>
      <c r="AG160" s="24"/>
      <c r="AH160" s="39"/>
      <c r="AI160" s="39"/>
    </row>
    <row r="161" spans="25:35" x14ac:dyDescent="0.3">
      <c r="Y161" s="47"/>
      <c r="Z161" s="47"/>
      <c r="AA161" s="47"/>
      <c r="AB161" s="47"/>
      <c r="AC161" s="47"/>
      <c r="AD161" s="47"/>
      <c r="AE161" s="47"/>
      <c r="AF161" s="51" t="s">
        <v>188</v>
      </c>
      <c r="AG161" s="49"/>
      <c r="AH161" s="51"/>
      <c r="AI161" s="47"/>
    </row>
    <row r="173" spans="25:35" x14ac:dyDescent="0.3">
      <c r="AI173" s="38"/>
    </row>
  </sheetData>
  <autoFilter ref="AF1:AI169" xr:uid="{969509EB-8811-45BD-9677-E823ECA54FDE}">
    <filterColumn colId="1" showButton="0"/>
  </autoFilter>
  <mergeCells count="3">
    <mergeCell ref="U1:V1"/>
    <mergeCell ref="I1:J1"/>
    <mergeCell ref="AG1:A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52AD-5298-4F5A-8C14-1E19AA03803B}">
  <dimension ref="A1:N26"/>
  <sheetViews>
    <sheetView workbookViewId="0">
      <selection activeCell="N27" sqref="N27"/>
    </sheetView>
  </sheetViews>
  <sheetFormatPr baseColWidth="10" defaultRowHeight="14.4" x14ac:dyDescent="0.3"/>
  <cols>
    <col min="1" max="1" width="6" bestFit="1" customWidth="1"/>
    <col min="2" max="2" width="5.6640625" bestFit="1" customWidth="1"/>
    <col min="3" max="3" width="17.6640625" bestFit="1" customWidth="1"/>
    <col min="4" max="4" width="20.109375" bestFit="1" customWidth="1"/>
    <col min="5" max="5" width="5.44140625" customWidth="1"/>
    <col min="6" max="6" width="6" bestFit="1" customWidth="1"/>
    <col min="7" max="7" width="5.6640625" bestFit="1" customWidth="1"/>
    <col min="8" max="8" width="17.6640625" bestFit="1" customWidth="1"/>
    <col min="9" max="9" width="20.109375" bestFit="1" customWidth="1"/>
    <col min="10" max="10" width="5.88671875" customWidth="1"/>
    <col min="11" max="11" width="6" bestFit="1" customWidth="1"/>
    <col min="12" max="12" width="5.6640625" bestFit="1" customWidth="1"/>
    <col min="13" max="13" width="17.6640625" bestFit="1" customWidth="1"/>
    <col min="14" max="14" width="20.109375" bestFit="1" customWidth="1"/>
  </cols>
  <sheetData>
    <row r="1" spans="1:14" x14ac:dyDescent="0.3">
      <c r="A1" s="1" t="s">
        <v>0</v>
      </c>
      <c r="B1" s="1" t="s">
        <v>1</v>
      </c>
      <c r="C1" s="1" t="s">
        <v>83</v>
      </c>
      <c r="D1" s="1" t="s">
        <v>84</v>
      </c>
      <c r="F1" s="1" t="s">
        <v>0</v>
      </c>
      <c r="G1" s="1" t="s">
        <v>1</v>
      </c>
      <c r="H1" s="1" t="s">
        <v>83</v>
      </c>
      <c r="I1" s="1" t="s">
        <v>84</v>
      </c>
      <c r="K1" s="1" t="s">
        <v>0</v>
      </c>
      <c r="L1" s="1" t="s">
        <v>1</v>
      </c>
      <c r="M1" s="1" t="s">
        <v>83</v>
      </c>
      <c r="N1" s="1" t="s">
        <v>84</v>
      </c>
    </row>
    <row r="2" spans="1:14" x14ac:dyDescent="0.3">
      <c r="A2">
        <v>4</v>
      </c>
      <c r="B2">
        <v>1</v>
      </c>
      <c r="C2">
        <v>12</v>
      </c>
      <c r="D2">
        <v>6</v>
      </c>
      <c r="F2">
        <v>10</v>
      </c>
      <c r="G2">
        <v>1</v>
      </c>
      <c r="H2">
        <v>30</v>
      </c>
      <c r="I2">
        <v>15</v>
      </c>
      <c r="K2">
        <v>16</v>
      </c>
      <c r="L2">
        <v>1</v>
      </c>
      <c r="M2">
        <v>84</v>
      </c>
      <c r="N2">
        <v>42</v>
      </c>
    </row>
    <row r="3" spans="1:14" x14ac:dyDescent="0.3">
      <c r="A3" s="7"/>
      <c r="B3" s="7">
        <v>2</v>
      </c>
      <c r="C3" s="7">
        <v>24</v>
      </c>
      <c r="D3" s="7">
        <v>12</v>
      </c>
      <c r="F3" s="7"/>
      <c r="G3" s="7">
        <v>2</v>
      </c>
      <c r="H3" s="17">
        <v>60</v>
      </c>
      <c r="I3" s="7">
        <v>30</v>
      </c>
      <c r="K3" s="7"/>
      <c r="L3" s="7">
        <v>2</v>
      </c>
      <c r="M3" s="17">
        <v>168</v>
      </c>
      <c r="N3" s="17">
        <v>84</v>
      </c>
    </row>
    <row r="4" spans="1:14" x14ac:dyDescent="0.3">
      <c r="A4" s="26"/>
      <c r="B4" s="26">
        <v>3</v>
      </c>
      <c r="C4" s="26">
        <v>36</v>
      </c>
      <c r="D4" s="26">
        <v>18</v>
      </c>
      <c r="F4" s="7"/>
      <c r="G4">
        <v>3</v>
      </c>
      <c r="H4" s="7">
        <v>90</v>
      </c>
      <c r="I4" s="17">
        <v>45</v>
      </c>
      <c r="K4" s="7"/>
      <c r="L4">
        <v>3</v>
      </c>
      <c r="M4" s="7">
        <v>252</v>
      </c>
      <c r="N4" s="17">
        <v>126</v>
      </c>
    </row>
    <row r="5" spans="1:14" x14ac:dyDescent="0.3">
      <c r="A5">
        <v>5</v>
      </c>
      <c r="B5">
        <v>1</v>
      </c>
      <c r="C5">
        <v>12</v>
      </c>
      <c r="D5">
        <v>6</v>
      </c>
      <c r="F5" s="14"/>
      <c r="G5" s="14">
        <v>4</v>
      </c>
      <c r="H5" s="14">
        <v>120</v>
      </c>
      <c r="I5" s="14">
        <v>60</v>
      </c>
      <c r="L5">
        <v>4</v>
      </c>
      <c r="M5">
        <v>336</v>
      </c>
      <c r="N5" s="17">
        <v>168</v>
      </c>
    </row>
    <row r="6" spans="1:14" x14ac:dyDescent="0.3">
      <c r="A6" s="7"/>
      <c r="B6" s="7">
        <v>2</v>
      </c>
      <c r="C6" s="7">
        <v>24</v>
      </c>
      <c r="D6" s="7">
        <v>12</v>
      </c>
      <c r="F6">
        <v>11</v>
      </c>
      <c r="G6">
        <v>1</v>
      </c>
      <c r="H6" s="17">
        <v>56</v>
      </c>
      <c r="I6" s="17">
        <v>28</v>
      </c>
      <c r="K6" s="14"/>
      <c r="L6" s="14">
        <v>5</v>
      </c>
      <c r="M6" s="14">
        <v>420</v>
      </c>
      <c r="N6" s="14">
        <v>210</v>
      </c>
    </row>
    <row r="7" spans="1:14" x14ac:dyDescent="0.3">
      <c r="A7" s="14"/>
      <c r="B7" s="14">
        <v>3</v>
      </c>
      <c r="C7" s="14">
        <v>36</v>
      </c>
      <c r="D7" s="14">
        <v>18</v>
      </c>
      <c r="F7" s="7"/>
      <c r="G7" s="7">
        <v>2</v>
      </c>
      <c r="H7" s="17">
        <v>108</v>
      </c>
      <c r="I7" s="17">
        <v>54</v>
      </c>
      <c r="K7">
        <v>17</v>
      </c>
      <c r="L7">
        <v>1</v>
      </c>
      <c r="M7" s="17">
        <v>142</v>
      </c>
      <c r="N7" s="17">
        <v>71</v>
      </c>
    </row>
    <row r="8" spans="1:14" x14ac:dyDescent="0.3">
      <c r="A8">
        <v>6</v>
      </c>
      <c r="B8">
        <v>1</v>
      </c>
      <c r="C8">
        <v>16</v>
      </c>
      <c r="D8" s="17">
        <v>8</v>
      </c>
      <c r="F8" s="7"/>
      <c r="G8">
        <v>3</v>
      </c>
      <c r="H8" s="17">
        <v>192</v>
      </c>
      <c r="I8" s="17">
        <v>96</v>
      </c>
      <c r="K8" s="7"/>
      <c r="L8" s="7">
        <v>2</v>
      </c>
      <c r="M8" s="17">
        <v>284</v>
      </c>
      <c r="N8" s="17">
        <v>142</v>
      </c>
    </row>
    <row r="9" spans="1:14" x14ac:dyDescent="0.3">
      <c r="A9" s="7"/>
      <c r="B9" s="7">
        <v>2</v>
      </c>
      <c r="C9" s="7">
        <v>32</v>
      </c>
      <c r="D9" s="7">
        <v>16</v>
      </c>
      <c r="F9" s="14"/>
      <c r="G9" s="14">
        <v>4</v>
      </c>
      <c r="H9" s="14">
        <v>224</v>
      </c>
      <c r="I9" s="14">
        <v>112</v>
      </c>
      <c r="K9" s="7"/>
      <c r="L9">
        <v>3</v>
      </c>
      <c r="M9" s="17">
        <v>426</v>
      </c>
      <c r="N9" s="17">
        <v>213</v>
      </c>
    </row>
    <row r="10" spans="1:14" x14ac:dyDescent="0.3">
      <c r="A10" s="14"/>
      <c r="B10" s="14">
        <v>3</v>
      </c>
      <c r="C10" s="14">
        <v>48</v>
      </c>
      <c r="D10" s="14">
        <v>24</v>
      </c>
      <c r="F10">
        <v>12</v>
      </c>
      <c r="G10">
        <v>1</v>
      </c>
      <c r="H10" s="17">
        <v>58</v>
      </c>
      <c r="I10" s="17">
        <v>29</v>
      </c>
      <c r="L10">
        <v>4</v>
      </c>
      <c r="M10">
        <v>568</v>
      </c>
      <c r="N10" s="17">
        <v>284</v>
      </c>
    </row>
    <row r="11" spans="1:14" x14ac:dyDescent="0.3">
      <c r="A11">
        <v>7</v>
      </c>
      <c r="B11" s="17">
        <v>1</v>
      </c>
      <c r="C11" s="17">
        <v>18</v>
      </c>
      <c r="D11" s="17">
        <v>9</v>
      </c>
      <c r="F11" s="7"/>
      <c r="G11" s="7">
        <v>2</v>
      </c>
      <c r="H11" s="17">
        <v>116</v>
      </c>
      <c r="I11" s="17">
        <v>58</v>
      </c>
      <c r="K11" s="14"/>
      <c r="L11" s="14">
        <v>5</v>
      </c>
      <c r="M11" s="14">
        <v>710</v>
      </c>
      <c r="N11" s="14">
        <v>355</v>
      </c>
    </row>
    <row r="12" spans="1:14" x14ac:dyDescent="0.3">
      <c r="B12" s="17">
        <v>2</v>
      </c>
      <c r="C12" s="17">
        <v>36</v>
      </c>
      <c r="D12" s="17">
        <v>18</v>
      </c>
      <c r="F12" s="7"/>
      <c r="G12">
        <v>3</v>
      </c>
      <c r="H12" s="17">
        <v>174</v>
      </c>
      <c r="I12" s="17">
        <v>87</v>
      </c>
      <c r="K12">
        <v>18</v>
      </c>
      <c r="L12">
        <v>1</v>
      </c>
      <c r="M12">
        <v>140</v>
      </c>
      <c r="N12" s="17">
        <v>70</v>
      </c>
    </row>
    <row r="13" spans="1:14" x14ac:dyDescent="0.3">
      <c r="A13" s="14"/>
      <c r="B13" s="20">
        <v>3</v>
      </c>
      <c r="C13" s="14">
        <v>54</v>
      </c>
      <c r="D13" s="14">
        <v>27</v>
      </c>
      <c r="F13" s="14"/>
      <c r="G13" s="14">
        <v>4</v>
      </c>
      <c r="H13" s="14">
        <v>232</v>
      </c>
      <c r="I13" s="14">
        <v>116</v>
      </c>
      <c r="K13" s="7"/>
      <c r="L13" s="7">
        <v>2</v>
      </c>
      <c r="M13" s="17">
        <v>280</v>
      </c>
      <c r="N13" s="17">
        <v>140</v>
      </c>
    </row>
    <row r="14" spans="1:14" x14ac:dyDescent="0.3">
      <c r="A14">
        <v>8</v>
      </c>
      <c r="B14" s="17">
        <v>1</v>
      </c>
      <c r="C14" s="17">
        <v>24</v>
      </c>
      <c r="D14" s="17">
        <v>12</v>
      </c>
      <c r="F14">
        <v>13</v>
      </c>
      <c r="G14">
        <v>1</v>
      </c>
      <c r="H14" s="17">
        <v>66</v>
      </c>
      <c r="I14" s="17">
        <v>33</v>
      </c>
      <c r="K14" s="7"/>
      <c r="L14">
        <v>3</v>
      </c>
      <c r="M14" s="7">
        <v>420</v>
      </c>
      <c r="N14" s="17">
        <v>210</v>
      </c>
    </row>
    <row r="15" spans="1:14" x14ac:dyDescent="0.3">
      <c r="B15" s="17">
        <v>2</v>
      </c>
      <c r="C15" s="17">
        <v>48</v>
      </c>
      <c r="D15" s="17">
        <v>24</v>
      </c>
      <c r="F15" s="7"/>
      <c r="G15" s="7">
        <v>2</v>
      </c>
      <c r="H15" s="17">
        <v>132</v>
      </c>
      <c r="I15" s="17">
        <v>66</v>
      </c>
      <c r="L15">
        <v>4</v>
      </c>
      <c r="M15">
        <v>560</v>
      </c>
      <c r="N15" s="17">
        <v>280</v>
      </c>
    </row>
    <row r="16" spans="1:14" x14ac:dyDescent="0.3">
      <c r="A16" s="14"/>
      <c r="B16" s="20">
        <v>3</v>
      </c>
      <c r="C16" s="14">
        <v>72</v>
      </c>
      <c r="D16" s="14">
        <v>36</v>
      </c>
      <c r="F16" s="7"/>
      <c r="G16">
        <v>3</v>
      </c>
      <c r="H16" s="17">
        <v>198</v>
      </c>
      <c r="I16" s="17">
        <v>99</v>
      </c>
      <c r="K16" s="14"/>
      <c r="L16" s="14">
        <v>5</v>
      </c>
      <c r="M16" s="14">
        <v>700</v>
      </c>
      <c r="N16" s="14">
        <v>350</v>
      </c>
    </row>
    <row r="17" spans="1:14" x14ac:dyDescent="0.3">
      <c r="A17">
        <v>9</v>
      </c>
      <c r="B17" s="17">
        <v>1</v>
      </c>
      <c r="C17" s="17">
        <v>22</v>
      </c>
      <c r="D17" s="17">
        <v>11</v>
      </c>
      <c r="F17" s="14"/>
      <c r="G17" s="14">
        <v>4</v>
      </c>
      <c r="H17" s="14">
        <v>264</v>
      </c>
      <c r="I17" s="14">
        <v>132</v>
      </c>
      <c r="K17">
        <v>19</v>
      </c>
      <c r="L17">
        <v>1</v>
      </c>
      <c r="M17" s="17">
        <v>156</v>
      </c>
      <c r="N17" s="17">
        <v>78</v>
      </c>
    </row>
    <row r="18" spans="1:14" x14ac:dyDescent="0.3">
      <c r="A18" s="7"/>
      <c r="B18" s="17">
        <v>2</v>
      </c>
      <c r="C18" s="17">
        <v>44</v>
      </c>
      <c r="D18" s="7">
        <v>22</v>
      </c>
      <c r="F18">
        <v>14</v>
      </c>
      <c r="G18">
        <v>1</v>
      </c>
      <c r="H18" s="17">
        <v>80</v>
      </c>
      <c r="I18" s="17">
        <v>40</v>
      </c>
      <c r="K18" s="7"/>
      <c r="L18" s="7">
        <v>2</v>
      </c>
      <c r="M18" s="17">
        <v>312</v>
      </c>
      <c r="N18" s="17">
        <v>156</v>
      </c>
    </row>
    <row r="19" spans="1:14" x14ac:dyDescent="0.3">
      <c r="A19" s="14"/>
      <c r="B19" s="20">
        <v>3</v>
      </c>
      <c r="C19" s="14">
        <v>66</v>
      </c>
      <c r="D19" s="14">
        <v>33</v>
      </c>
      <c r="F19" s="7"/>
      <c r="G19" s="7">
        <v>2</v>
      </c>
      <c r="H19" s="17">
        <v>160</v>
      </c>
      <c r="I19" s="17">
        <v>80</v>
      </c>
      <c r="K19" s="7"/>
      <c r="L19">
        <v>3</v>
      </c>
      <c r="M19" s="17">
        <v>468</v>
      </c>
      <c r="N19" s="17">
        <v>234</v>
      </c>
    </row>
    <row r="20" spans="1:14" x14ac:dyDescent="0.3">
      <c r="F20" s="7"/>
      <c r="G20">
        <v>3</v>
      </c>
      <c r="H20" s="17">
        <v>240</v>
      </c>
      <c r="I20" s="17">
        <v>120</v>
      </c>
      <c r="L20">
        <v>4</v>
      </c>
      <c r="M20">
        <v>624</v>
      </c>
      <c r="N20" s="17">
        <v>312</v>
      </c>
    </row>
    <row r="21" spans="1:14" x14ac:dyDescent="0.3">
      <c r="F21" s="14"/>
      <c r="G21" s="14">
        <v>4</v>
      </c>
      <c r="H21" s="14">
        <v>320</v>
      </c>
      <c r="I21" s="14">
        <v>160</v>
      </c>
      <c r="K21" s="14"/>
      <c r="L21" s="14">
        <v>5</v>
      </c>
      <c r="M21" s="14">
        <v>780</v>
      </c>
      <c r="N21" s="14">
        <v>390</v>
      </c>
    </row>
    <row r="22" spans="1:14" x14ac:dyDescent="0.3">
      <c r="F22">
        <v>15</v>
      </c>
      <c r="G22">
        <v>1</v>
      </c>
      <c r="H22" s="17">
        <v>86</v>
      </c>
      <c r="I22" s="17">
        <v>43</v>
      </c>
      <c r="K22">
        <v>20</v>
      </c>
      <c r="L22">
        <v>1</v>
      </c>
      <c r="M22">
        <v>160</v>
      </c>
      <c r="N22" s="17">
        <v>80</v>
      </c>
    </row>
    <row r="23" spans="1:14" x14ac:dyDescent="0.3">
      <c r="F23" s="7"/>
      <c r="G23" s="7">
        <v>2</v>
      </c>
      <c r="H23" s="7">
        <v>172</v>
      </c>
      <c r="I23" s="17">
        <v>86</v>
      </c>
      <c r="K23" s="7"/>
      <c r="L23" s="7">
        <v>2</v>
      </c>
      <c r="M23" s="17">
        <v>320</v>
      </c>
      <c r="N23" s="17">
        <v>160</v>
      </c>
    </row>
    <row r="24" spans="1:14" x14ac:dyDescent="0.3">
      <c r="F24" s="7"/>
      <c r="G24">
        <v>3</v>
      </c>
      <c r="H24" s="17">
        <v>258</v>
      </c>
      <c r="I24" s="17">
        <v>129</v>
      </c>
      <c r="K24" s="7"/>
      <c r="L24">
        <v>3</v>
      </c>
      <c r="M24" s="7">
        <v>480</v>
      </c>
      <c r="N24" s="17">
        <v>240</v>
      </c>
    </row>
    <row r="25" spans="1:14" x14ac:dyDescent="0.3">
      <c r="F25" s="14"/>
      <c r="G25" s="14">
        <v>4</v>
      </c>
      <c r="H25" s="14">
        <v>344</v>
      </c>
      <c r="I25" s="14">
        <v>172</v>
      </c>
      <c r="L25">
        <v>4</v>
      </c>
      <c r="M25">
        <v>640</v>
      </c>
      <c r="N25" s="17">
        <v>320</v>
      </c>
    </row>
    <row r="26" spans="1:14" x14ac:dyDescent="0.3">
      <c r="K26" s="14"/>
      <c r="L26" s="14">
        <v>5</v>
      </c>
      <c r="M26" s="14">
        <v>800</v>
      </c>
      <c r="N26" s="1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Probabilidades</vt:lpstr>
      <vt:lpstr>Segmentos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MARIA VICTORIA CHAVEZ HERNANDEZ</cp:lastModifiedBy>
  <dcterms:created xsi:type="dcterms:W3CDTF">2020-11-05T02:01:05Z</dcterms:created>
  <dcterms:modified xsi:type="dcterms:W3CDTF">2020-11-19T16:41:07Z</dcterms:modified>
</cp:coreProperties>
</file>