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Χαρακτηρισμός της τροφοδοσίας" sheetId="1" state="visible" r:id="rId3"/>
    <sheet name="Steam explosion yields" sheetId="2" state="visible" r:id="rId4"/>
    <sheet name="Bioreactor mass balance" sheetId="3" state="visible" r:id="rId5"/>
    <sheet name="Mass Yields" sheetId="4" state="visible" r:id="rId6"/>
  </sheets>
  <definedNames/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<sst xmlns="http://schemas.openxmlformats.org/spreadsheetml/2006/main" count="154" uniqueCount="121">
  <si>
    <t xml:space="preserve">Ισοζύγια μάζας</t>
  </si>
  <si>
    <t xml:space="preserve">Ροή μάζας κυτταρίνης (kg/kg f.u.)</t>
  </si>
  <si>
    <t xml:space="preserve">Τροφοδοσία (kg/kg f.u.)</t>
  </si>
  <si>
    <t xml:space="preserve">Ροή μάζας ημικυτταρίνης (kg/kg f.u.)</t>
  </si>
  <si>
    <t xml:space="preserve">Σύσταση σε κυτταρίνη</t>
  </si>
  <si>
    <t xml:space="preserve">koutsomitopoulou2014</t>
  </si>
  <si>
    <t xml:space="preserve">Ροή μάζας λιγνίνης (kg/kg f.u.)</t>
  </si>
  <si>
    <t xml:space="preserve">Fernanez-bolanos1999</t>
  </si>
  <si>
    <t xml:space="preserve">Mean</t>
  </si>
  <si>
    <t xml:space="preserve">Σύσταση σε ημικυτταρίνη</t>
  </si>
  <si>
    <t xml:space="preserve">Σύσταση σε λιγνίνη</t>
  </si>
  <si>
    <t xml:space="preserve">Σύσταση σε υγρασία</t>
  </si>
  <si>
    <t xml:space="preserve">gonzalez2004</t>
  </si>
  <si>
    <t xml:space="preserve">Τέφρα</t>
  </si>
  <si>
    <t xml:space="preserve">Σύνολο</t>
  </si>
  <si>
    <t xml:space="preserve">Το υπόλοιπο είναι trace elements</t>
  </si>
  <si>
    <t xml:space="preserve">Σύνολο + trace elements</t>
  </si>
  <si>
    <t xml:space="preserve">Στοιχειακή ανάλυση</t>
  </si>
  <si>
    <t xml:space="preserve">C</t>
  </si>
  <si>
    <t xml:space="preserve">O</t>
  </si>
  <si>
    <t xml:space="preserve">H</t>
  </si>
  <si>
    <t xml:space="preserve">N</t>
  </si>
  <si>
    <t xml:space="preserve">Cl</t>
  </si>
  <si>
    <t xml:space="preserve">N (kg/kg f.u.)</t>
  </si>
  <si>
    <t xml:space="preserve">Cl (kg/kg f.u.)</t>
  </si>
  <si>
    <t xml:space="preserve">Fe (mg/kg)</t>
  </si>
  <si>
    <t xml:space="preserve">Fe (kg/kg f.u.)</t>
  </si>
  <si>
    <t xml:space="preserve">Fe (%)</t>
  </si>
  <si>
    <t xml:space="preserve">Al (mg/kg)</t>
  </si>
  <si>
    <t xml:space="preserve">Al (kg/kg f.u.)</t>
  </si>
  <si>
    <t xml:space="preserve">Al (%)</t>
  </si>
  <si>
    <t xml:space="preserve">Other metals (mg/kg)</t>
  </si>
  <si>
    <t xml:space="preserve">Other metals (kg/kg f.u.)</t>
  </si>
  <si>
    <t xml:space="preserve">Other metals (%)</t>
  </si>
  <si>
    <t xml:space="preserve">Sum</t>
  </si>
  <si>
    <t xml:space="preserve">η στοιχειακή ανάλυση είναι μάλλον ελιππής</t>
  </si>
  <si>
    <t xml:space="preserve">Trace Elements</t>
  </si>
  <si>
    <t xml:space="preserve">(N, Cl, Fe, Al)</t>
  </si>
  <si>
    <t xml:space="preserve">Απόδοση της έκρηξης ατμού</t>
  </si>
  <si>
    <t xml:space="preserve">Συνθήκες</t>
  </si>
  <si>
    <t xml:space="preserve">T = 232 C, t = 2 min</t>
  </si>
  <si>
    <t xml:space="preserve">Ro = 4.22</t>
  </si>
  <si>
    <t xml:space="preserve">Τροφοδοσία</t>
  </si>
  <si>
    <t xml:space="preserve">Κυτταρίνη + Λιγνίνη στη βιομάζα</t>
  </si>
  <si>
    <t xml:space="preserve">Νερό στη βιομάζα (kg/kg f.u.)</t>
  </si>
  <si>
    <t xml:space="preserve">Άζωτο στη βιομάζα (kg/kg f.u.)</t>
  </si>
  <si>
    <t xml:space="preserve">Δεδομένα από Fernandez-bolanos2001</t>
  </si>
  <si>
    <t xml:space="preserve">(%)</t>
  </si>
  <si>
    <t xml:space="preserve">(kg/kg f.u.)</t>
  </si>
  <si>
    <t xml:space="preserve">Υδατοδιαλυτή φάση</t>
  </si>
  <si>
    <t xml:space="preserve">Μη υδατοδιαλυτή φάση</t>
  </si>
  <si>
    <t xml:space="preserve">Κυτταρινική φάση</t>
  </si>
  <si>
    <t xml:space="preserve">Κλάσμα λιγνίνης</t>
  </si>
  <si>
    <t xml:space="preserve">Αέρια φάση</t>
  </si>
  <si>
    <t xml:space="preserve">Ποσόστο ανάκτησης λιγνίνης</t>
  </si>
  <si>
    <t xml:space="preserve">Σύσταση υδατοδιαλυτούς φάσης</t>
  </si>
  <si>
    <t xml:space="preserve">Ζάχαρες</t>
  </si>
  <si>
    <t xml:space="preserve">Φαινόλες</t>
  </si>
  <si>
    <t xml:space="preserve">Ουρονικά οξέα</t>
  </si>
  <si>
    <t xml:space="preserve">Άλλα</t>
  </si>
  <si>
    <t xml:space="preserve">Όλα εκτός από τις φαινόλες προέρχονται</t>
  </si>
  <si>
    <t xml:space="preserve">από την ημικυτταρίνη</t>
  </si>
  <si>
    <t xml:space="preserve">Ποσοστό ανάκτησης ημικυτταρίνης</t>
  </si>
  <si>
    <t xml:space="preserve">Συνολική βιομάζα που ανακτήθηκε</t>
  </si>
  <si>
    <t xml:space="preserve">Βιομάζα που καταστράφηκε</t>
  </si>
  <si>
    <t xml:space="preserve">Ημικυτταρίνη που δύναται να καταστράφηκε</t>
  </si>
  <si>
    <t xml:space="preserve">Κυτταρίνη + Λιγνίνη που καταστράφηκαν</t>
  </si>
  <si>
    <t xml:space="preserve">Λιγνίνη που διασπάστηκε</t>
  </si>
  <si>
    <t xml:space="preserve">Κυτταρίνη που διασπάστηκε</t>
  </si>
  <si>
    <t xml:space="preserve">Κυτταρίνη στην στερεή φάση</t>
  </si>
  <si>
    <t xml:space="preserve">Λιγνίνη στην στερεή φάση</t>
  </si>
  <si>
    <t xml:space="preserve">Σύνολο στερεής φάσης</t>
  </si>
  <si>
    <t xml:space="preserve">Επαλήθευση</t>
  </si>
  <si>
    <t xml:space="preserve">Ανάκτηση κυτταρίνης</t>
  </si>
  <si>
    <t xml:space="preserve">Ποσοστό λιγνίνης στην κυτταρινική φάση</t>
  </si>
  <si>
    <t xml:space="preserve">Γλυκόζη από υδρόλυση (% dry substrate)</t>
  </si>
  <si>
    <t xml:space="preserve">Γλυκόζη από υδρόλυση (kg/kg f.u.)</t>
  </si>
  <si>
    <t xml:space="preserve">Άζωτο που υπάρχει στην κυτταρίνη (kg/kg f.u.)</t>
  </si>
  <si>
    <t xml:space="preserve">Άζωτο που απελευθερώνεται στη διεργασία (kg/kg f.u.)</t>
  </si>
  <si>
    <t xml:space="preserve">Σύσταση ημικυτταρινικών σακχάρων</t>
  </si>
  <si>
    <t xml:space="preserve">(% της υδατοδιαλυτούς φάσης)</t>
  </si>
  <si>
    <t xml:space="preserve">Ξυλόζη</t>
  </si>
  <si>
    <t xml:space="preserve">Αραβινόζη</t>
  </si>
  <si>
    <t xml:space="preserve">Μανόζη</t>
  </si>
  <si>
    <t xml:space="preserve">Γαλακτόζη</t>
  </si>
  <si>
    <t xml:space="preserve">Γλυκόζη</t>
  </si>
  <si>
    <t xml:space="preserve">Ισοζύγιο μάζας στο βιοαντιδραστήρα</t>
  </si>
  <si>
    <t xml:space="preserve">Κυτταρίνη (tn/y)</t>
  </si>
  <si>
    <t xml:space="preserve">Γλυκόζη (tn/y)</t>
  </si>
  <si>
    <t xml:space="preserve">Σε κάθε batch</t>
  </si>
  <si>
    <t xml:space="preserve">Γλυκόζη (g/l)</t>
  </si>
  <si>
    <t xml:space="preserve">Ουρία (g/l)</t>
  </si>
  <si>
    <t xml:space="preserve">Corn Steep liquor (g/l)</t>
  </si>
  <si>
    <t xml:space="preserve">Ουρία</t>
  </si>
  <si>
    <t xml:space="preserve">Mr (g/mol)</t>
  </si>
  <si>
    <t xml:space="preserve">Nitrogen content (g/mol)</t>
  </si>
  <si>
    <t xml:space="preserve">Nitrogen content (% mass)</t>
  </si>
  <si>
    <t xml:space="preserve">Ουρία στο τέλος της αντίδρασης (g/l)</t>
  </si>
  <si>
    <t xml:space="preserve">Άζωτο στο τέλος της αντίδρασης (g/l)</t>
  </si>
  <si>
    <t xml:space="preserve">CSL</t>
  </si>
  <si>
    <t xml:space="preserve">Nitrogen content (%)</t>
  </si>
  <si>
    <t xml:space="preserve">CSL στο τέλος της αντίδρασης (g/l)</t>
  </si>
  <si>
    <t xml:space="preserve">Άζωτο του πυρηνόξυλου (tn)</t>
  </si>
  <si>
    <t xml:space="preserve">Συνολικό άζωτο (g/l)</t>
  </si>
  <si>
    <t xml:space="preserve">Όγκο αντιδραστήρα (m^3)</t>
  </si>
  <si>
    <t xml:space="preserve">Batches</t>
  </si>
  <si>
    <t xml:space="preserve">Συνολικό άζωτο (tn/y)</t>
  </si>
  <si>
    <t xml:space="preserve">(tn/y)</t>
  </si>
  <si>
    <t xml:space="preserve">Συνολικό κλάσμα λιγνίνης</t>
  </si>
  <si>
    <t xml:space="preserve">Λιγνίνη που μένει για καύση</t>
  </si>
  <si>
    <t xml:space="preserve">Θερμογόνος δύναμη λιγνίνης (MJ/kg)</t>
  </si>
  <si>
    <t xml:space="preserve">Θερμική ενέργεια καύσης (TJ/y)</t>
  </si>
  <si>
    <t xml:space="preserve">Total</t>
  </si>
  <si>
    <t xml:space="preserve">Cellul</t>
  </si>
  <si>
    <t xml:space="preserve">Lignin</t>
  </si>
  <si>
    <t xml:space="preserve">Xyl</t>
  </si>
  <si>
    <t xml:space="preserve">Arabi</t>
  </si>
  <si>
    <t xml:space="preserve">Pheno</t>
  </si>
  <si>
    <t xml:space="preserve">Water</t>
  </si>
  <si>
    <t xml:space="preserve">CO2</t>
  </si>
  <si>
    <t xml:space="preserve">N_2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</si>
</sst>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General"/>
    <numFmt numFmtId="167" formatCode="0.0"/>
    <numFmt numFmtId="168" formatCode="0.0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5" activeCellId="0" sqref="B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49"/>
    <col collapsed="false" customWidth="true" hidden="false" outlineLevel="0" max="3" min="3" style="1" width="37.34"/>
    <col collapsed="false" customWidth="true" hidden="false" outlineLevel="0" max="4" min="4" style="1" width="31.76"/>
    <col collapsed="false" customWidth="true" hidden="false" outlineLevel="0" max="5" min="5" style="1" width="7.04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D2" s="1" t="s">
        <v>1</v>
      </c>
      <c r="E2" s="1" t="n">
        <f aca="false">B3*B6</f>
        <v>4.32508351265499</v>
      </c>
    </row>
    <row r="3" customFormat="false" ht="12.8" hidden="false" customHeight="false" outlineLevel="0" collapsed="false">
      <c r="A3" s="1" t="s">
        <v>2</v>
      </c>
      <c r="B3" s="1" t="n">
        <v>11.6894148990675</v>
      </c>
      <c r="D3" s="1" t="s">
        <v>3</v>
      </c>
      <c r="E3" s="1" t="n">
        <f aca="false">B3*B9</f>
        <v>3.0976949482529</v>
      </c>
    </row>
    <row r="4" customFormat="false" ht="12.8" hidden="false" customHeight="false" outlineLevel="0" collapsed="false">
      <c r="A4" s="1" t="s">
        <v>4</v>
      </c>
      <c r="B4" s="1" t="n">
        <v>0.375</v>
      </c>
      <c r="C4" s="1" t="s">
        <v>5</v>
      </c>
      <c r="D4" s="1" t="s">
        <v>6</v>
      </c>
      <c r="E4" s="1" t="n">
        <f aca="false">B3*B12</f>
        <v>2.82883840557434</v>
      </c>
    </row>
    <row r="5" customFormat="false" ht="12.8" hidden="false" customHeight="false" outlineLevel="0" collapsed="false">
      <c r="B5" s="1" t="n">
        <v>0.365</v>
      </c>
      <c r="C5" s="1" t="s">
        <v>7</v>
      </c>
    </row>
    <row r="6" customFormat="false" ht="12.8" hidden="false" customHeight="false" outlineLevel="0" collapsed="false">
      <c r="B6" s="1" t="n">
        <f aca="false">AVERAGE(B4:B5)</f>
        <v>0.37</v>
      </c>
      <c r="C6" s="1" t="s">
        <v>8</v>
      </c>
    </row>
    <row r="7" customFormat="false" ht="12.8" hidden="false" customHeight="false" outlineLevel="0" collapsed="false">
      <c r="A7" s="1" t="s">
        <v>9</v>
      </c>
      <c r="B7" s="1" t="n">
        <v>0.26</v>
      </c>
      <c r="C7" s="1" t="s">
        <v>5</v>
      </c>
    </row>
    <row r="8" customFormat="false" ht="12.8" hidden="false" customHeight="false" outlineLevel="0" collapsed="false">
      <c r="B8" s="1" t="n">
        <v>0.27</v>
      </c>
      <c r="C8" s="1" t="s">
        <v>7</v>
      </c>
    </row>
    <row r="9" customFormat="false" ht="12.8" hidden="false" customHeight="false" outlineLevel="0" collapsed="false">
      <c r="B9" s="1" t="n">
        <f aca="false">AVERAGE(B7:B8)</f>
        <v>0.265</v>
      </c>
      <c r="C9" s="1" t="s">
        <v>8</v>
      </c>
    </row>
    <row r="10" customFormat="false" ht="12.8" hidden="false" customHeight="false" outlineLevel="0" collapsed="false">
      <c r="A10" s="1" t="s">
        <v>10</v>
      </c>
      <c r="B10" s="1" t="n">
        <v>0.215</v>
      </c>
      <c r="C10" s="1" t="s">
        <v>5</v>
      </c>
    </row>
    <row r="11" customFormat="false" ht="12.8" hidden="false" customHeight="false" outlineLevel="0" collapsed="false">
      <c r="B11" s="1" t="n">
        <v>0.26</v>
      </c>
      <c r="C11" s="1" t="s">
        <v>7</v>
      </c>
    </row>
    <row r="12" customFormat="false" ht="12.8" hidden="false" customHeight="false" outlineLevel="0" collapsed="false">
      <c r="B12" s="1" t="n">
        <f aca="false">0.242</f>
        <v>0.242</v>
      </c>
      <c r="C12" s="1" t="s">
        <v>8</v>
      </c>
    </row>
    <row r="13" customFormat="false" ht="12.8" hidden="false" customHeight="false" outlineLevel="0" collapsed="false">
      <c r="A13" s="1" t="s">
        <v>11</v>
      </c>
      <c r="B13" s="1" t="n">
        <v>0.08</v>
      </c>
      <c r="C13" s="1" t="s">
        <v>5</v>
      </c>
    </row>
    <row r="14" customFormat="false" ht="12.8" hidden="false" customHeight="false" outlineLevel="0" collapsed="false">
      <c r="B14" s="1" t="n">
        <v>0.1</v>
      </c>
      <c r="C14" s="1" t="s">
        <v>7</v>
      </c>
    </row>
    <row r="15" customFormat="false" ht="12.8" hidden="false" customHeight="false" outlineLevel="0" collapsed="false">
      <c r="B15" s="1" t="n">
        <v>0.088</v>
      </c>
      <c r="C15" s="1" t="s">
        <v>12</v>
      </c>
    </row>
    <row r="16" customFormat="false" ht="12.8" hidden="false" customHeight="false" outlineLevel="0" collapsed="false">
      <c r="B16" s="1" t="n">
        <f aca="false">0.09</f>
        <v>0.09</v>
      </c>
      <c r="C16" s="1" t="s">
        <v>8</v>
      </c>
    </row>
    <row r="17" customFormat="false" ht="12.8" hidden="false" customHeight="false" outlineLevel="0" collapsed="false">
      <c r="A17" s="1" t="s">
        <v>13</v>
      </c>
      <c r="B17" s="1" t="n">
        <v>0.023</v>
      </c>
      <c r="C17" s="1" t="s">
        <v>12</v>
      </c>
    </row>
    <row r="18" customFormat="false" ht="12.8" hidden="false" customHeight="false" outlineLevel="0" collapsed="false">
      <c r="A18" s="1" t="s">
        <v>14</v>
      </c>
      <c r="B18" s="1" t="n">
        <f aca="false">SUM(B6,B9,B12,B16,B17)</f>
        <v>0.99</v>
      </c>
      <c r="C18" s="1" t="s">
        <v>15</v>
      </c>
    </row>
    <row r="19" customFormat="false" ht="12.8" hidden="false" customHeight="false" outlineLevel="0" collapsed="false">
      <c r="A19" s="1" t="s">
        <v>16</v>
      </c>
      <c r="B19" s="1" t="n">
        <f aca="false">B18+B41</f>
        <v>0.999181</v>
      </c>
    </row>
    <row r="21" customFormat="false" ht="12.8" hidden="false" customHeight="false" outlineLevel="0" collapsed="false">
      <c r="A21" s="1" t="s">
        <v>17</v>
      </c>
    </row>
    <row r="22" customFormat="false" ht="12.8" hidden="false" customHeight="false" outlineLevel="0" collapsed="false">
      <c r="A22" s="1" t="s">
        <v>18</v>
      </c>
      <c r="B22" s="1" t="n">
        <v>0.49</v>
      </c>
      <c r="C22" s="1" t="s">
        <v>5</v>
      </c>
    </row>
    <row r="23" customFormat="false" ht="12.8" hidden="false" customHeight="false" outlineLevel="0" collapsed="false">
      <c r="B23" s="1" t="n">
        <v>0.465</v>
      </c>
      <c r="C23" s="1" t="s">
        <v>12</v>
      </c>
    </row>
    <row r="24" customFormat="false" ht="12.8" hidden="false" customHeight="false" outlineLevel="0" collapsed="false">
      <c r="B24" s="1" t="n">
        <f aca="false">AVERAGE(B22:B23)</f>
        <v>0.4775</v>
      </c>
      <c r="C24" s="1" t="s">
        <v>8</v>
      </c>
    </row>
    <row r="25" customFormat="false" ht="12.8" hidden="false" customHeight="false" outlineLevel="0" collapsed="false">
      <c r="A25" s="1" t="s">
        <v>19</v>
      </c>
      <c r="B25" s="1" t="n">
        <v>0.31</v>
      </c>
      <c r="C25" s="1" t="s">
        <v>5</v>
      </c>
    </row>
    <row r="26" customFormat="false" ht="12.8" hidden="false" customHeight="false" outlineLevel="0" collapsed="false">
      <c r="A26" s="1" t="s">
        <v>20</v>
      </c>
      <c r="B26" s="1" t="n">
        <v>0.064</v>
      </c>
      <c r="C26" s="1" t="s">
        <v>12</v>
      </c>
    </row>
    <row r="27" customFormat="false" ht="12.8" hidden="false" customHeight="false" outlineLevel="0" collapsed="false">
      <c r="A27" s="1" t="s">
        <v>21</v>
      </c>
      <c r="B27" s="2" t="n">
        <v>0.004</v>
      </c>
      <c r="C27" s="1" t="s">
        <v>12</v>
      </c>
    </row>
    <row r="28" customFormat="false" ht="12.8" hidden="false" customHeight="false" outlineLevel="0" collapsed="false">
      <c r="A28" s="1" t="s">
        <v>22</v>
      </c>
      <c r="B28" s="2" t="n">
        <v>0.0034</v>
      </c>
      <c r="C28" s="1" t="s">
        <v>12</v>
      </c>
    </row>
    <row r="29" customFormat="false" ht="12.8" hidden="false" customHeight="false" outlineLevel="0" collapsed="false">
      <c r="A29" s="1" t="s">
        <v>23</v>
      </c>
      <c r="B29" s="1" t="n">
        <f aca="false">B3*B27</f>
        <v>0.0467576595962701</v>
      </c>
    </row>
    <row r="30" customFormat="false" ht="12.8" hidden="false" customHeight="false" outlineLevel="0" collapsed="false">
      <c r="A30" s="1" t="s">
        <v>24</v>
      </c>
      <c r="B30" s="1" t="n">
        <f aca="false">B28*B3</f>
        <v>0.0397440106568296</v>
      </c>
    </row>
    <row r="31" customFormat="false" ht="12.8" hidden="false" customHeight="false" outlineLevel="0" collapsed="false">
      <c r="A31" s="1" t="s">
        <v>25</v>
      </c>
      <c r="B31" s="1" t="n">
        <v>1236</v>
      </c>
      <c r="C31" s="1" t="s">
        <v>5</v>
      </c>
    </row>
    <row r="32" customFormat="false" ht="12.8" hidden="false" customHeight="false" outlineLevel="0" collapsed="false">
      <c r="A32" s="1" t="s">
        <v>26</v>
      </c>
      <c r="B32" s="1" t="n">
        <f aca="false">(B31*B3)/10^6</f>
        <v>0.0144481168152475</v>
      </c>
    </row>
    <row r="33" customFormat="false" ht="12.8" hidden="false" customHeight="false" outlineLevel="0" collapsed="false">
      <c r="A33" s="1" t="s">
        <v>27</v>
      </c>
      <c r="B33" s="1" t="n">
        <f aca="false">B32/B3</f>
        <v>0.001236</v>
      </c>
    </row>
    <row r="34" customFormat="false" ht="12.8" hidden="false" customHeight="false" outlineLevel="0" collapsed="false">
      <c r="A34" s="1" t="s">
        <v>28</v>
      </c>
      <c r="B34" s="1" t="n">
        <v>463</v>
      </c>
      <c r="C34" s="1" t="s">
        <v>5</v>
      </c>
    </row>
    <row r="35" customFormat="false" ht="12.8" hidden="false" customHeight="false" outlineLevel="0" collapsed="false">
      <c r="A35" s="1" t="s">
        <v>29</v>
      </c>
      <c r="B35" s="1" t="n">
        <f aca="false">(B3*B34)/10^6</f>
        <v>0.00541219909826827</v>
      </c>
    </row>
    <row r="36" customFormat="false" ht="12.8" hidden="false" customHeight="false" outlineLevel="0" collapsed="false">
      <c r="A36" s="1" t="s">
        <v>30</v>
      </c>
      <c r="B36" s="1" t="n">
        <f aca="false">B35/B3</f>
        <v>0.000463</v>
      </c>
    </row>
    <row r="37" customFormat="false" ht="12.8" hidden="false" customHeight="false" outlineLevel="0" collapsed="false">
      <c r="A37" s="1" t="s">
        <v>31</v>
      </c>
      <c r="B37" s="1" t="n">
        <f aca="false">4*AVERAGE(12, 29)</f>
        <v>82</v>
      </c>
      <c r="C37" s="1" t="s">
        <v>5</v>
      </c>
    </row>
    <row r="38" customFormat="false" ht="12.8" hidden="false" customHeight="false" outlineLevel="0" collapsed="false">
      <c r="A38" s="1" t="s">
        <v>32</v>
      </c>
      <c r="B38" s="1" t="n">
        <f aca="false">(B37*B3)/10^6</f>
        <v>0.000958532021723537</v>
      </c>
    </row>
    <row r="39" customFormat="false" ht="12.8" hidden="false" customHeight="false" outlineLevel="0" collapsed="false">
      <c r="A39" s="1" t="s">
        <v>33</v>
      </c>
      <c r="B39" s="1" t="n">
        <f aca="false">B38/B3</f>
        <v>8.2E-005</v>
      </c>
    </row>
    <row r="40" customFormat="false" ht="12.8" hidden="false" customHeight="false" outlineLevel="0" collapsed="false">
      <c r="A40" s="1" t="s">
        <v>34</v>
      </c>
      <c r="B40" s="2" t="n">
        <f aca="false">SUM(B24,B25:B28,B33,B36,B39)</f>
        <v>0.860681</v>
      </c>
      <c r="C40" s="1" t="s">
        <v>35</v>
      </c>
    </row>
    <row r="41" customFormat="false" ht="12.8" hidden="false" customHeight="false" outlineLevel="0" collapsed="false">
      <c r="A41" s="1" t="s">
        <v>36</v>
      </c>
      <c r="B41" s="2" t="n">
        <f aca="false">SUM(B27:B28,B33,B36,B39)</f>
        <v>0.009181</v>
      </c>
    </row>
    <row r="42" customFormat="false" ht="12.8" hidden="false" customHeight="false" outlineLevel="0" collapsed="false">
      <c r="A42" s="1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45"/>
    <col collapsed="false" customWidth="true" hidden="false" outlineLevel="0" max="2" min="2" style="1" width="27.75"/>
    <col collapsed="false" customWidth="true" hidden="false" outlineLevel="0" max="3" min="3" style="1" width="22.49"/>
  </cols>
  <sheetData>
    <row r="1" customFormat="false" ht="12.8" hidden="false" customHeight="false" outlineLevel="0" collapsed="false">
      <c r="A1" s="1" t="s">
        <v>38</v>
      </c>
    </row>
    <row r="2" customFormat="false" ht="12.8" hidden="false" customHeight="false" outlineLevel="0" collapsed="false">
      <c r="A2" s="1" t="s">
        <v>39</v>
      </c>
      <c r="B2" s="1" t="s">
        <v>40</v>
      </c>
      <c r="C2" s="1" t="s">
        <v>41</v>
      </c>
    </row>
    <row r="3" customFormat="false" ht="12.8" hidden="false" customHeight="false" outlineLevel="0" collapsed="false">
      <c r="A3" s="1" t="s">
        <v>42</v>
      </c>
    </row>
    <row r="4" customFormat="false" ht="12.8" hidden="false" customHeight="false" outlineLevel="0" collapsed="false">
      <c r="A4" s="1" t="s">
        <v>2</v>
      </c>
      <c r="B4" s="1" t="n">
        <v>11.6894148990675</v>
      </c>
    </row>
    <row r="5" customFormat="false" ht="12.8" hidden="false" customHeight="false" outlineLevel="0" collapsed="false">
      <c r="A5" s="1" t="s">
        <v>1</v>
      </c>
      <c r="B5" s="1" t="n">
        <v>4.32508351265499</v>
      </c>
    </row>
    <row r="6" customFormat="false" ht="12.8" hidden="false" customHeight="false" outlineLevel="0" collapsed="false">
      <c r="A6" s="1" t="s">
        <v>3</v>
      </c>
      <c r="B6" s="1" t="n">
        <v>3.0976949482529</v>
      </c>
    </row>
    <row r="7" customFormat="false" ht="12.8" hidden="false" customHeight="false" outlineLevel="0" collapsed="false">
      <c r="A7" s="1" t="s">
        <v>6</v>
      </c>
      <c r="B7" s="1" t="n">
        <v>2.82883840557434</v>
      </c>
    </row>
    <row r="8" customFormat="false" ht="12.8" hidden="false" customHeight="false" outlineLevel="0" collapsed="false">
      <c r="A8" s="1" t="s">
        <v>43</v>
      </c>
      <c r="B8" s="1" t="n">
        <f aca="false">B5+B7</f>
        <v>7.15392191822933</v>
      </c>
    </row>
    <row r="9" customFormat="false" ht="12.8" hidden="false" customHeight="false" outlineLevel="0" collapsed="false">
      <c r="A9" s="1" t="s">
        <v>44</v>
      </c>
      <c r="B9" s="1" t="n">
        <f aca="false">0.09*B4</f>
        <v>1.05204734091608</v>
      </c>
    </row>
    <row r="10" customFormat="false" ht="12.8" hidden="false" customHeight="false" outlineLevel="0" collapsed="false">
      <c r="A10" s="1" t="s">
        <v>45</v>
      </c>
      <c r="B10" s="1" t="n">
        <f aca="false">0.004*B4</f>
        <v>0.0467576595962701</v>
      </c>
    </row>
    <row r="12" customFormat="false" ht="12.8" hidden="false" customHeight="false" outlineLevel="0" collapsed="false">
      <c r="A12" s="1" t="s">
        <v>46</v>
      </c>
      <c r="B12" s="1" t="s">
        <v>47</v>
      </c>
      <c r="C12" s="1" t="s">
        <v>48</v>
      </c>
    </row>
    <row r="13" customFormat="false" ht="12.8" hidden="false" customHeight="false" outlineLevel="0" collapsed="false">
      <c r="A13" s="1" t="s">
        <v>49</v>
      </c>
      <c r="B13" s="1" t="n">
        <v>0.255</v>
      </c>
      <c r="C13" s="1" t="n">
        <f aca="false">B13*$B$4</f>
        <v>2.98080079926222</v>
      </c>
    </row>
    <row r="14" customFormat="false" ht="12.8" hidden="false" customHeight="false" outlineLevel="0" collapsed="false">
      <c r="A14" s="1" t="s">
        <v>50</v>
      </c>
      <c r="B14" s="1" t="n">
        <v>0.529</v>
      </c>
      <c r="C14" s="1" t="n">
        <f aca="false">B14*$B$4</f>
        <v>6.18370048160672</v>
      </c>
    </row>
    <row r="15" customFormat="false" ht="12.8" hidden="false" customHeight="false" outlineLevel="0" collapsed="false">
      <c r="A15" s="1" t="s">
        <v>51</v>
      </c>
      <c r="B15" s="1" t="n">
        <v>0.377</v>
      </c>
      <c r="C15" s="1" t="n">
        <f aca="false">B15*$B$4</f>
        <v>4.40690941694846</v>
      </c>
    </row>
    <row r="16" customFormat="false" ht="12.8" hidden="false" customHeight="false" outlineLevel="0" collapsed="false">
      <c r="A16" s="1" t="s">
        <v>52</v>
      </c>
      <c r="B16" s="1" t="n">
        <f aca="false">B14-B15</f>
        <v>0.152</v>
      </c>
      <c r="C16" s="1" t="n">
        <f aca="false">B16*$B$4</f>
        <v>1.77679106465826</v>
      </c>
      <c r="D16" s="1" t="n">
        <f aca="false">SUM(C16+B38)</f>
        <v>2.64848943674557</v>
      </c>
    </row>
    <row r="17" customFormat="false" ht="12.8" hidden="false" customHeight="false" outlineLevel="0" collapsed="false">
      <c r="A17" s="1" t="s">
        <v>53</v>
      </c>
      <c r="B17" s="1" t="n">
        <f aca="false">1-B14-B13</f>
        <v>0.216</v>
      </c>
      <c r="C17" s="1" t="n">
        <f aca="false">B17*B4</f>
        <v>2.52491361819859</v>
      </c>
      <c r="D17" s="1"/>
    </row>
    <row r="18" customFormat="false" ht="12.8" hidden="false" customHeight="false" outlineLevel="0" collapsed="false">
      <c r="A18" s="1" t="s">
        <v>54</v>
      </c>
      <c r="B18" s="1" t="n">
        <f aca="false">C16/B7</f>
        <v>0.628099173553719</v>
      </c>
    </row>
    <row r="20" customFormat="false" ht="12.8" hidden="false" customHeight="false" outlineLevel="0" collapsed="false">
      <c r="A20" s="1" t="s">
        <v>55</v>
      </c>
      <c r="B20" s="1" t="s">
        <v>47</v>
      </c>
      <c r="C20" s="1" t="s">
        <v>48</v>
      </c>
    </row>
    <row r="21" customFormat="false" ht="12.8" hidden="false" customHeight="false" outlineLevel="0" collapsed="false">
      <c r="A21" s="1" t="s">
        <v>56</v>
      </c>
      <c r="B21" s="1" t="n">
        <v>0.514</v>
      </c>
      <c r="C21" s="1" t="n">
        <f aca="false">B21*$C$13</f>
        <v>1.53213161082078</v>
      </c>
    </row>
    <row r="22" customFormat="false" ht="12.8" hidden="false" customHeight="false" outlineLevel="0" collapsed="false">
      <c r="A22" s="1" t="s">
        <v>13</v>
      </c>
      <c r="B22" s="1" t="n">
        <v>0.0428</v>
      </c>
      <c r="C22" s="1" t="n">
        <f aca="false">B22*$C$13</f>
        <v>0.127578274208423</v>
      </c>
    </row>
    <row r="23" customFormat="false" ht="12.8" hidden="false" customHeight="false" outlineLevel="0" collapsed="false">
      <c r="A23" s="1" t="s">
        <v>57</v>
      </c>
      <c r="B23" s="1" t="n">
        <v>0.0252</v>
      </c>
      <c r="C23" s="1" t="n">
        <f aca="false">B23*$C$13</f>
        <v>0.075116180141408</v>
      </c>
    </row>
    <row r="24" customFormat="false" ht="12.8" hidden="false" customHeight="false" outlineLevel="0" collapsed="false">
      <c r="A24" s="1" t="s">
        <v>58</v>
      </c>
      <c r="B24" s="1" t="n">
        <v>0.0151</v>
      </c>
      <c r="C24" s="1" t="n">
        <f aca="false">B24*$C$13</f>
        <v>0.0450100920688595</v>
      </c>
    </row>
    <row r="25" customFormat="false" ht="12.8" hidden="false" customHeight="false" outlineLevel="0" collapsed="false">
      <c r="A25" s="1" t="s">
        <v>59</v>
      </c>
      <c r="B25" s="1" t="n">
        <f aca="false">1-B26</f>
        <v>0.4029</v>
      </c>
      <c r="C25" s="1" t="n">
        <f aca="false">B25*$C$13</f>
        <v>1.20096464202275</v>
      </c>
    </row>
    <row r="26" customFormat="false" ht="12.8" hidden="false" customHeight="false" outlineLevel="0" collapsed="false">
      <c r="A26" s="1" t="s">
        <v>60</v>
      </c>
      <c r="B26" s="1" t="n">
        <f aca="false">SUM(B21:B24)</f>
        <v>0.5971</v>
      </c>
    </row>
    <row r="27" customFormat="false" ht="12.8" hidden="false" customHeight="false" outlineLevel="0" collapsed="false">
      <c r="A27" s="1" t="s">
        <v>61</v>
      </c>
    </row>
    <row r="28" customFormat="false" ht="12.8" hidden="false" customHeight="false" outlineLevel="0" collapsed="false">
      <c r="A28" s="1" t="s">
        <v>62</v>
      </c>
      <c r="B28" s="1" t="n">
        <f aca="false">(C13-C23)/B6</f>
        <v>0.938015094339623</v>
      </c>
    </row>
    <row r="30" customFormat="false" ht="12.8" hidden="false" customHeight="false" outlineLevel="0" collapsed="false">
      <c r="A30" s="1" t="s">
        <v>51</v>
      </c>
      <c r="B30" s="1" t="s">
        <v>48</v>
      </c>
    </row>
    <row r="31" customFormat="false" ht="12.8" hidden="false" customHeight="false" outlineLevel="0" collapsed="false">
      <c r="A31" s="1" t="s">
        <v>63</v>
      </c>
      <c r="B31" s="1" t="n">
        <f aca="false">SUM(C13:C14)</f>
        <v>9.16450128086894</v>
      </c>
      <c r="C31" s="1" t="n">
        <f aca="false">B4-B31</f>
        <v>2.52491361819859</v>
      </c>
    </row>
    <row r="32" customFormat="false" ht="12.8" hidden="false" customHeight="false" outlineLevel="0" collapsed="false">
      <c r="A32" s="1" t="s">
        <v>64</v>
      </c>
      <c r="B32" s="1" t="n">
        <f aca="false">B4-B31</f>
        <v>2.52491361819859</v>
      </c>
    </row>
    <row r="33" customFormat="false" ht="12.8" hidden="false" customHeight="false" outlineLevel="0" collapsed="false">
      <c r="A33" s="1" t="s">
        <v>65</v>
      </c>
      <c r="B33" s="1" t="n">
        <f aca="false">B6-(C13-C23)</f>
        <v>0.192010329132084</v>
      </c>
    </row>
    <row r="34" customFormat="false" ht="12.8" hidden="false" customHeight="false" outlineLevel="0" collapsed="false">
      <c r="A34" s="1" t="s">
        <v>66</v>
      </c>
      <c r="B34" s="1" t="n">
        <f aca="false">B8-(C14+C23)</f>
        <v>0.895105256481196</v>
      </c>
    </row>
    <row r="35" customFormat="false" ht="12.8" hidden="false" customHeight="false" outlineLevel="0" collapsed="false">
      <c r="A35" s="1" t="s">
        <v>67</v>
      </c>
      <c r="B35" s="1" t="n">
        <f aca="false">B7*0.0372</f>
        <v>0.105232788687366</v>
      </c>
    </row>
    <row r="36" customFormat="false" ht="12.8" hidden="false" customHeight="false" outlineLevel="0" collapsed="false">
      <c r="A36" s="1" t="s">
        <v>68</v>
      </c>
      <c r="B36" s="1" t="n">
        <f aca="false">B34-B35</f>
        <v>0.789872467793831</v>
      </c>
    </row>
    <row r="37" customFormat="false" ht="12.8" hidden="false" customHeight="false" outlineLevel="0" collapsed="false">
      <c r="A37" s="1" t="s">
        <v>69</v>
      </c>
      <c r="B37" s="1" t="n">
        <f aca="false">B5-B36</f>
        <v>3.53521104486115</v>
      </c>
    </row>
    <row r="38" customFormat="false" ht="12.8" hidden="false" customHeight="false" outlineLevel="0" collapsed="false">
      <c r="A38" s="1" t="s">
        <v>70</v>
      </c>
      <c r="B38" s="1" t="n">
        <f aca="false">B7-(C16+C23+B35)</f>
        <v>0.871698372087304</v>
      </c>
    </row>
    <row r="39" customFormat="false" ht="12.8" hidden="false" customHeight="false" outlineLevel="0" collapsed="false">
      <c r="A39" s="1" t="s">
        <v>71</v>
      </c>
      <c r="B39" s="1" t="n">
        <f aca="false">B37+B38</f>
        <v>4.40690941694846</v>
      </c>
      <c r="C39" s="1" t="s">
        <v>72</v>
      </c>
    </row>
    <row r="40" customFormat="false" ht="12.8" hidden="false" customHeight="false" outlineLevel="0" collapsed="false">
      <c r="B40" s="1" t="s">
        <v>47</v>
      </c>
    </row>
    <row r="41" customFormat="false" ht="12.8" hidden="false" customHeight="false" outlineLevel="0" collapsed="false">
      <c r="A41" s="1" t="s">
        <v>73</v>
      </c>
      <c r="B41" s="1" t="n">
        <f aca="false">B37/B5</f>
        <v>0.817374054054054</v>
      </c>
    </row>
    <row r="42" customFormat="false" ht="12.8" hidden="false" customHeight="false" outlineLevel="0" collapsed="false">
      <c r="A42" s="1" t="s">
        <v>74</v>
      </c>
      <c r="B42" s="1" t="n">
        <f aca="false">B38/B39</f>
        <v>0.197802652519894</v>
      </c>
    </row>
    <row r="43" customFormat="false" ht="12.8" hidden="false" customHeight="false" outlineLevel="0" collapsed="false">
      <c r="A43" s="1" t="s">
        <v>75</v>
      </c>
      <c r="B43" s="1" t="n">
        <v>0.309</v>
      </c>
    </row>
    <row r="44" customFormat="false" ht="12.8" hidden="false" customHeight="false" outlineLevel="0" collapsed="false">
      <c r="A44" s="1" t="s">
        <v>76</v>
      </c>
      <c r="B44" s="1" t="n">
        <f aca="false">C14*B43</f>
        <v>1.91076344881648</v>
      </c>
    </row>
    <row r="45" customFormat="false" ht="12.8" hidden="false" customHeight="false" outlineLevel="0" collapsed="false">
      <c r="A45" s="1" t="s">
        <v>77</v>
      </c>
      <c r="B45" s="3" t="n">
        <f aca="false">0.02/100*B37</f>
        <v>0.000707042208972231</v>
      </c>
    </row>
    <row r="46" customFormat="false" ht="12.8" hidden="false" customHeight="false" outlineLevel="0" collapsed="false">
      <c r="A46" s="1" t="s">
        <v>78</v>
      </c>
      <c r="B46" s="1" t="n">
        <f aca="false">B10-B45</f>
        <v>0.0460506173872979</v>
      </c>
    </row>
    <row r="48" customFormat="false" ht="12.8" hidden="false" customHeight="false" outlineLevel="0" collapsed="false">
      <c r="A48" s="1" t="s">
        <v>79</v>
      </c>
      <c r="B48" s="1" t="s">
        <v>80</v>
      </c>
      <c r="C48" s="1" t="s">
        <v>48</v>
      </c>
    </row>
    <row r="49" customFormat="false" ht="12.8" hidden="false" customHeight="false" outlineLevel="0" collapsed="false">
      <c r="A49" s="1" t="s">
        <v>81</v>
      </c>
      <c r="B49" s="1" t="n">
        <v>0.457</v>
      </c>
      <c r="C49" s="1" t="n">
        <f aca="false">B49*$C$13</f>
        <v>1.36222596526283</v>
      </c>
    </row>
    <row r="50" customFormat="false" ht="12.8" hidden="false" customHeight="false" outlineLevel="0" collapsed="false">
      <c r="A50" s="1" t="s">
        <v>82</v>
      </c>
      <c r="B50" s="1" t="n">
        <v>0.0222</v>
      </c>
      <c r="C50" s="1" t="n">
        <f aca="false">B50*$C$13</f>
        <v>0.0661737777436213</v>
      </c>
    </row>
    <row r="51" customFormat="false" ht="12.8" hidden="false" customHeight="false" outlineLevel="0" collapsed="false">
      <c r="A51" s="1" t="s">
        <v>83</v>
      </c>
      <c r="B51" s="2" t="n">
        <v>0.009</v>
      </c>
      <c r="C51" s="1" t="n">
        <f aca="false">B51*$C$13</f>
        <v>0.02682720719336</v>
      </c>
    </row>
    <row r="52" customFormat="false" ht="12.8" hidden="false" customHeight="false" outlineLevel="0" collapsed="false">
      <c r="A52" s="1" t="s">
        <v>84</v>
      </c>
      <c r="B52" s="1" t="n">
        <v>0.0118</v>
      </c>
      <c r="C52" s="1" t="n">
        <f aca="false">B52*$C$13</f>
        <v>0.0351734494312942</v>
      </c>
    </row>
    <row r="53" customFormat="false" ht="12.8" hidden="false" customHeight="false" outlineLevel="0" collapsed="false">
      <c r="A53" s="1" t="s">
        <v>85</v>
      </c>
      <c r="B53" s="1" t="n">
        <v>0.0136</v>
      </c>
      <c r="C53" s="1" t="n">
        <f aca="false">B53*$C$13</f>
        <v>0.0405388908699662</v>
      </c>
    </row>
    <row r="54" customFormat="false" ht="12.8" hidden="false" customHeight="false" outlineLevel="0" collapsed="false">
      <c r="C54" s="1" t="n">
        <f aca="false">SUM(C50:C53)</f>
        <v>0.168713325238242</v>
      </c>
    </row>
    <row r="55" customFormat="false" ht="12.8" hidden="false" customHeight="false" outlineLevel="0" collapsed="false">
      <c r="A55" s="1" t="n">
        <f aca="false">60485.7+45314.4+2182.8+23307+2886.6+1285.2+20547.9+43990.4</f>
        <v>200000</v>
      </c>
      <c r="B55" s="1" t="n">
        <f aca="false">B4-A55</f>
        <v>-199988.310585101</v>
      </c>
    </row>
    <row r="56" customFormat="false" ht="12.8" hidden="false" customHeight="false" outlineLevel="0" collapsed="false">
      <c r="B56" s="1" t="n">
        <f aca="false">C31+B55</f>
        <v>-199985.785671483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37" activeCellId="0" sqref="P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92"/>
    <col collapsed="false" customWidth="true" hidden="false" outlineLevel="0" max="2" min="2" style="1" width="21.43"/>
    <col collapsed="false" customWidth="true" hidden="false" outlineLevel="0" max="4" min="4" style="1" width="16.47"/>
  </cols>
  <sheetData>
    <row r="1" customFormat="false" ht="12.8" hidden="false" customHeight="false" outlineLevel="0" collapsed="false">
      <c r="A1" s="1" t="s">
        <v>86</v>
      </c>
    </row>
    <row r="3" customFormat="false" ht="12.8" hidden="false" customHeight="false" outlineLevel="0" collapsed="false">
      <c r="A3" s="1" t="s">
        <v>42</v>
      </c>
    </row>
    <row r="4" customFormat="false" ht="12.8" hidden="false" customHeight="false" outlineLevel="0" collapsed="false">
      <c r="A4" s="1" t="s">
        <v>87</v>
      </c>
      <c r="B4" s="1" t="n">
        <v>60485.68</v>
      </c>
    </row>
    <row r="5" customFormat="false" ht="12.8" hidden="false" customHeight="false" outlineLevel="0" collapsed="false">
      <c r="A5" s="1" t="s">
        <v>88</v>
      </c>
      <c r="B5" s="1" t="n">
        <v>32692.2</v>
      </c>
    </row>
    <row r="6" customFormat="false" ht="12.8" hidden="false" customHeight="false" outlineLevel="0" collapsed="false">
      <c r="A6" s="1" t="s">
        <v>89</v>
      </c>
    </row>
    <row r="7" customFormat="false" ht="12.8" hidden="false" customHeight="false" outlineLevel="0" collapsed="false">
      <c r="A7" s="1" t="s">
        <v>90</v>
      </c>
      <c r="B7" s="1" t="n">
        <v>230.44</v>
      </c>
    </row>
    <row r="8" customFormat="false" ht="12.8" hidden="false" customHeight="false" outlineLevel="0" collapsed="false">
      <c r="A8" s="1" t="s">
        <v>91</v>
      </c>
      <c r="B8" s="1" t="n">
        <v>2</v>
      </c>
    </row>
    <row r="9" customFormat="false" ht="12.8" hidden="false" customHeight="false" outlineLevel="0" collapsed="false">
      <c r="A9" s="1" t="s">
        <v>92</v>
      </c>
      <c r="B9" s="1" t="n">
        <v>4</v>
      </c>
    </row>
    <row r="11" customFormat="false" ht="12.8" hidden="false" customHeight="false" outlineLevel="0" collapsed="false">
      <c r="A11" s="1" t="s">
        <v>93</v>
      </c>
    </row>
    <row r="12" customFormat="false" ht="12.8" hidden="false" customHeight="false" outlineLevel="0" collapsed="false">
      <c r="A12" s="1" t="s">
        <v>94</v>
      </c>
      <c r="B12" s="1" t="n">
        <v>60</v>
      </c>
    </row>
    <row r="13" customFormat="false" ht="12.8" hidden="false" customHeight="false" outlineLevel="0" collapsed="false">
      <c r="A13" s="1" t="s">
        <v>95</v>
      </c>
      <c r="B13" s="1" t="n">
        <v>28</v>
      </c>
    </row>
    <row r="14" customFormat="false" ht="12.8" hidden="false" customHeight="false" outlineLevel="0" collapsed="false">
      <c r="A14" s="1" t="s">
        <v>96</v>
      </c>
      <c r="B14" s="1" t="n">
        <f aca="false">B13/B12</f>
        <v>0.466666666666667</v>
      </c>
    </row>
    <row r="15" customFormat="false" ht="12.8" hidden="false" customHeight="false" outlineLevel="0" collapsed="false">
      <c r="A15" s="1" t="s">
        <v>97</v>
      </c>
      <c r="B15" s="1" t="n">
        <v>0.5</v>
      </c>
    </row>
    <row r="16" customFormat="false" ht="12.8" hidden="false" customHeight="false" outlineLevel="0" collapsed="false">
      <c r="A16" s="1" t="s">
        <v>98</v>
      </c>
      <c r="B16" s="1" t="n">
        <f aca="false">B15*B14</f>
        <v>0.233333333333333</v>
      </c>
    </row>
    <row r="18" customFormat="false" ht="12.8" hidden="false" customHeight="false" outlineLevel="0" collapsed="false">
      <c r="A18" s="1" t="s">
        <v>99</v>
      </c>
    </row>
    <row r="19" customFormat="false" ht="12.8" hidden="false" customHeight="false" outlineLevel="0" collapsed="false">
      <c r="A19" s="1" t="s">
        <v>100</v>
      </c>
      <c r="B19" s="1" t="n">
        <v>0.0394</v>
      </c>
    </row>
    <row r="20" customFormat="false" ht="12.8" hidden="false" customHeight="false" outlineLevel="0" collapsed="false">
      <c r="A20" s="1" t="s">
        <v>101</v>
      </c>
      <c r="B20" s="1" t="n">
        <v>2</v>
      </c>
    </row>
    <row r="21" customFormat="false" ht="12.8" hidden="false" customHeight="false" outlineLevel="0" collapsed="false">
      <c r="A21" s="1" t="s">
        <v>98</v>
      </c>
      <c r="B21" s="1" t="n">
        <f aca="false">B20*B19</f>
        <v>0.0788</v>
      </c>
    </row>
    <row r="23" customFormat="false" ht="12.8" hidden="false" customHeight="false" outlineLevel="0" collapsed="false">
      <c r="A23" s="1" t="s">
        <v>102</v>
      </c>
      <c r="B23" s="1" t="n">
        <f aca="false">0.004*B4</f>
        <v>241.94272</v>
      </c>
    </row>
    <row r="25" customFormat="false" ht="12.8" hidden="false" customHeight="false" outlineLevel="0" collapsed="false">
      <c r="A25" s="1" t="s">
        <v>103</v>
      </c>
      <c r="B25" s="1" t="n">
        <f aca="false">B21+B16</f>
        <v>0.312133333333333</v>
      </c>
    </row>
    <row r="26" customFormat="false" ht="12.8" hidden="false" customHeight="false" outlineLevel="0" collapsed="false">
      <c r="A26" s="1" t="s">
        <v>104</v>
      </c>
      <c r="B26" s="1" t="n">
        <v>1301.5</v>
      </c>
    </row>
    <row r="27" customFormat="false" ht="12.8" hidden="false" customHeight="false" outlineLevel="0" collapsed="false">
      <c r="A27" s="1" t="s">
        <v>105</v>
      </c>
      <c r="B27" s="1" t="n">
        <v>109</v>
      </c>
    </row>
    <row r="28" customFormat="false" ht="12.8" hidden="false" customHeight="false" outlineLevel="0" collapsed="false">
      <c r="A28" s="1" t="s">
        <v>106</v>
      </c>
      <c r="B28" s="1" t="n">
        <f aca="false">B25*B26*B27/1000 + B23</f>
        <v>286.223047133333</v>
      </c>
    </row>
    <row r="30" customFormat="false" ht="12.8" hidden="false" customHeight="false" outlineLevel="0" collapsed="false">
      <c r="B30" s="1" t="s">
        <v>107</v>
      </c>
    </row>
    <row r="31" customFormat="false" ht="12.8" hidden="false" customHeight="false" outlineLevel="0" collapsed="false">
      <c r="A31" s="1" t="s">
        <v>108</v>
      </c>
      <c r="B31" s="1" t="n">
        <v>30400</v>
      </c>
    </row>
    <row r="32" customFormat="false" ht="12.8" hidden="false" customHeight="false" outlineLevel="0" collapsed="false">
      <c r="A32" s="1" t="s">
        <v>109</v>
      </c>
      <c r="B32" s="1" t="n">
        <f aca="false">_xlfn.FLOOR.MATH(B31-B28)</f>
        <v>30113</v>
      </c>
    </row>
    <row r="33" customFormat="false" ht="12.8" hidden="false" customHeight="false" outlineLevel="0" collapsed="false">
      <c r="A33" s="1" t="s">
        <v>110</v>
      </c>
      <c r="B33" s="1" t="n">
        <v>23.5</v>
      </c>
    </row>
    <row r="34" customFormat="false" ht="12.8" hidden="false" customHeight="false" outlineLevel="0" collapsed="false">
      <c r="A34" s="1" t="s">
        <v>111</v>
      </c>
      <c r="B34" s="1" t="n">
        <f aca="false">B32*B33/1000</f>
        <v>707.6555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39.51"/>
    <col collapsed="false" customWidth="true" hidden="false" outlineLevel="0" max="4" min="4" style="1" width="15.08"/>
    <col collapsed="false" customWidth="false" hidden="false" outlineLevel="0" max="11" min="11" style="4" width="11.53"/>
  </cols>
  <sheetData>
    <row r="1" customFormat="false" ht="12.8" hidden="false" customHeight="false" outlineLevel="0" collapsed="false">
      <c r="A1" s="1" t="s">
        <v>112</v>
      </c>
      <c r="B1" s="1" t="n">
        <f aca="false">11.6894148990675+11.6894148990675/2</f>
        <v>17.5341223486013</v>
      </c>
    </row>
    <row r="2" customFormat="false" ht="12.8" hidden="false" customHeight="false" outlineLevel="0" collapsed="false">
      <c r="A2" s="1" t="s">
        <v>113</v>
      </c>
      <c r="B2" s="1" t="n">
        <v>3.53521104486115</v>
      </c>
      <c r="C2" s="5" t="n">
        <f aca="false">B2/$B$1</f>
        <v>0.201618933333334</v>
      </c>
      <c r="D2" s="0"/>
    </row>
    <row r="3" customFormat="false" ht="12.8" hidden="false" customHeight="false" outlineLevel="0" collapsed="false">
      <c r="A3" s="1" t="s">
        <v>114</v>
      </c>
      <c r="B3" s="1" t="n">
        <v>2.64848943674557</v>
      </c>
      <c r="C3" s="5" t="n">
        <f aca="false">B3/$B$1</f>
        <v>0.151047733333334</v>
      </c>
      <c r="D3" s="0"/>
    </row>
    <row r="4" customFormat="false" ht="12.8" hidden="false" customHeight="false" outlineLevel="0" collapsed="false">
      <c r="A4" s="1" t="s">
        <v>115</v>
      </c>
      <c r="B4" s="1" t="n">
        <v>1.36222596526283</v>
      </c>
      <c r="C4" s="5" t="n">
        <f aca="false">B4/$B$1</f>
        <v>0.0776900000000002</v>
      </c>
      <c r="D4" s="0"/>
    </row>
    <row r="5" customFormat="false" ht="12.8" hidden="false" customHeight="false" outlineLevel="0" collapsed="false">
      <c r="A5" s="1" t="s">
        <v>116</v>
      </c>
      <c r="B5" s="1" t="n">
        <v>0.169905645557946</v>
      </c>
      <c r="C5" s="5" t="n">
        <f aca="false">B5/$B$1</f>
        <v>0.00969000000000002</v>
      </c>
      <c r="D5" s="0"/>
    </row>
    <row r="6" customFormat="false" ht="12.8" hidden="false" customHeight="false" outlineLevel="0" collapsed="false">
      <c r="A6" s="1" t="s">
        <v>117</v>
      </c>
      <c r="B6" s="1" t="n">
        <v>0.075116180141408</v>
      </c>
      <c r="C6" s="5" t="n">
        <f aca="false">B6/$B$1</f>
        <v>0.00428400000000001</v>
      </c>
      <c r="D6" s="0"/>
    </row>
    <row r="7" customFormat="false" ht="12.8" hidden="false" customHeight="false" outlineLevel="0" collapsed="false">
      <c r="A7" s="1" t="s">
        <v>118</v>
      </c>
      <c r="B7" s="1" t="n">
        <f aca="false">1.09191826987218+11.6894148990675/2</f>
        <v>6.93662571940593</v>
      </c>
      <c r="C7" s="5" t="n">
        <f aca="false">B7/$B$1</f>
        <v>0.395607238360538</v>
      </c>
      <c r="D7" s="0"/>
    </row>
    <row r="8" customFormat="false" ht="12.8" hidden="false" customHeight="false" outlineLevel="0" collapsed="false">
      <c r="A8" s="1" t="s">
        <v>119</v>
      </c>
      <c r="B8" s="1" t="n">
        <v>2.75979069703014</v>
      </c>
      <c r="C8" s="5" t="n">
        <f aca="false">B8/$B$1</f>
        <v>0.157395428306128</v>
      </c>
      <c r="D8" s="0"/>
    </row>
    <row r="9" customFormat="false" ht="12.8" hidden="false" customHeight="false" outlineLevel="0" collapsed="false">
      <c r="A9" s="1" t="s">
        <v>120</v>
      </c>
      <c r="B9" s="1" t="n">
        <v>0.0467576595962701</v>
      </c>
      <c r="C9" s="5" t="n">
        <f aca="false">B9/$B$1</f>
        <v>0.00266666666666667</v>
      </c>
      <c r="D9" s="0"/>
    </row>
    <row r="10" customFormat="false" ht="12.8" hidden="false" customHeight="false" outlineLevel="0" collapsed="false">
      <c r="C10" s="1" t="n">
        <f aca="false">SUM(C2:C9)</f>
        <v>1</v>
      </c>
      <c r="D1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716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2022-11-13T13:42:33Z</dcterms:created>
  <dc:creator/>
  <dc:description/>
  <dc:language>en-US</dc:language>
  <cp:lastModifiedBy/>
  <dcterms:modified xsi:type="dcterms:W3CDTF">2023-11-28T20:50:18Z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