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"/>
    </mc:Choice>
  </mc:AlternateContent>
  <xr:revisionPtr revIDLastSave="0" documentId="13_ncr:1_{C0EDDAA9-E337-4B89-8B45-606332F15B59}" xr6:coauthVersionLast="47" xr6:coauthVersionMax="47" xr10:uidLastSave="{00000000-0000-0000-0000-000000000000}"/>
  <bookViews>
    <workbookView xWindow="-110" yWindow="390" windowWidth="25820" windowHeight="14990" activeTab="1" xr2:uid="{00000000-000D-0000-FFFF-FFFF00000000}"/>
  </bookViews>
  <sheets>
    <sheet name="联动数据" sheetId="1" r:id="rId1"/>
    <sheet name="出货数据" sheetId="3" r:id="rId2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3" l="1"/>
  <c r="S10" i="3"/>
  <c r="S5" i="3"/>
  <c r="H17" i="3"/>
  <c r="G17" i="3"/>
  <c r="F17" i="3"/>
  <c r="H16" i="3"/>
  <c r="S18" i="3" s="1"/>
  <c r="G16" i="3"/>
  <c r="F16" i="3"/>
  <c r="H15" i="3"/>
  <c r="G15" i="3"/>
  <c r="F15" i="3"/>
  <c r="H14" i="3"/>
  <c r="S13" i="3" s="1"/>
  <c r="G14" i="3"/>
  <c r="F14" i="3"/>
  <c r="H13" i="3"/>
  <c r="G13" i="3"/>
  <c r="G19" i="3" s="1" a="1"/>
  <c r="G19" i="3" s="1"/>
  <c r="F13" i="3"/>
  <c r="H9" i="3" a="1"/>
  <c r="H9" i="3" s="1"/>
  <c r="G9" i="3" a="1"/>
  <c r="G9" i="3" s="1"/>
  <c r="F9" i="3" a="1"/>
  <c r="F9" i="3" s="1"/>
  <c r="H8" i="3"/>
  <c r="G8" i="3"/>
  <c r="F8" i="3"/>
  <c r="Q23" i="3"/>
  <c r="N23" i="3"/>
  <c r="O23" i="3"/>
  <c r="M23" i="3"/>
  <c r="L23" i="3"/>
  <c r="L18" i="3"/>
  <c r="X23" i="3"/>
  <c r="T23" i="3"/>
  <c r="B14" i="3"/>
  <c r="R10" i="3" s="1"/>
  <c r="P10" i="3" s="1"/>
  <c r="C14" i="3"/>
  <c r="D14" i="3"/>
  <c r="R13" i="3" s="1"/>
  <c r="B15" i="3"/>
  <c r="C15" i="3"/>
  <c r="D15" i="3"/>
  <c r="B16" i="3"/>
  <c r="C16" i="3"/>
  <c r="D16" i="3"/>
  <c r="R18" i="3" s="1"/>
  <c r="B17" i="3"/>
  <c r="C17" i="3"/>
  <c r="D17" i="3"/>
  <c r="C13" i="3"/>
  <c r="D13" i="3"/>
  <c r="B13" i="3"/>
  <c r="B8" i="3"/>
  <c r="D8" i="3"/>
  <c r="AA20" i="3"/>
  <c r="Z20" i="3"/>
  <c r="Y20" i="3"/>
  <c r="W20" i="3"/>
  <c r="V20" i="3"/>
  <c r="U20" i="3"/>
  <c r="S20" i="3"/>
  <c r="K19" i="3"/>
  <c r="X18" i="3"/>
  <c r="T18" i="3"/>
  <c r="X15" i="3"/>
  <c r="T15" i="3"/>
  <c r="O20" i="3"/>
  <c r="N17" i="3"/>
  <c r="M20" i="3"/>
  <c r="AA14" i="3"/>
  <c r="AA16" i="3" s="1"/>
  <c r="Z14" i="3"/>
  <c r="Z17" i="3" s="1"/>
  <c r="Y14" i="3"/>
  <c r="X14" i="3"/>
  <c r="W14" i="3"/>
  <c r="V14" i="3"/>
  <c r="U14" i="3"/>
  <c r="U16" i="3" s="1"/>
  <c r="T14" i="3"/>
  <c r="S14" i="3"/>
  <c r="S17" i="3" s="1"/>
  <c r="R14" i="3"/>
  <c r="Q14" i="3"/>
  <c r="Q17" i="3" s="1"/>
  <c r="P14" i="3"/>
  <c r="O14" i="3"/>
  <c r="N14" i="3"/>
  <c r="M14" i="3"/>
  <c r="M17" i="3" s="1"/>
  <c r="L14" i="3"/>
  <c r="X13" i="3"/>
  <c r="T13" i="3"/>
  <c r="L13" i="3"/>
  <c r="AA12" i="3"/>
  <c r="X10" i="3"/>
  <c r="T10" i="3"/>
  <c r="L10" i="3"/>
  <c r="AA9" i="3"/>
  <c r="AA11" i="3" s="1"/>
  <c r="Z9" i="3"/>
  <c r="Z11" i="3" s="1"/>
  <c r="Y9" i="3"/>
  <c r="Y12" i="3" s="1"/>
  <c r="X9" i="3"/>
  <c r="W9" i="3"/>
  <c r="W12" i="3" s="1"/>
  <c r="V9" i="3"/>
  <c r="V12" i="3" s="1"/>
  <c r="U9" i="3"/>
  <c r="U11" i="3" s="1"/>
  <c r="T9" i="3"/>
  <c r="S9" i="3"/>
  <c r="S12" i="3" s="1"/>
  <c r="R9" i="3"/>
  <c r="Q9" i="3"/>
  <c r="Q12" i="3" s="1"/>
  <c r="P9" i="3"/>
  <c r="O9" i="3"/>
  <c r="O12" i="3" s="1"/>
  <c r="N9" i="3"/>
  <c r="N11" i="3" s="1"/>
  <c r="M9" i="3"/>
  <c r="M11" i="3" s="1"/>
  <c r="L9" i="3"/>
  <c r="X8" i="3"/>
  <c r="T8" i="3"/>
  <c r="L8" i="3"/>
  <c r="X5" i="3"/>
  <c r="T5" i="3"/>
  <c r="Q5" i="3"/>
  <c r="L5" i="3"/>
  <c r="AA4" i="3"/>
  <c r="AA7" i="3" s="1"/>
  <c r="Z4" i="3"/>
  <c r="Z6" i="3" s="1"/>
  <c r="Y4" i="3"/>
  <c r="Y6" i="3" s="1"/>
  <c r="X4" i="3"/>
  <c r="W4" i="3"/>
  <c r="W6" i="3" s="1"/>
  <c r="V4" i="3"/>
  <c r="V6" i="3" s="1"/>
  <c r="U4" i="3"/>
  <c r="U7" i="3" s="1"/>
  <c r="T4" i="3"/>
  <c r="S4" i="3"/>
  <c r="S7" i="3" s="1"/>
  <c r="R4" i="3"/>
  <c r="Q4" i="3"/>
  <c r="P4" i="3"/>
  <c r="O4" i="3"/>
  <c r="O7" i="3" s="1"/>
  <c r="N4" i="3"/>
  <c r="N6" i="3" s="1"/>
  <c r="M4" i="3"/>
  <c r="M6" i="3" s="1"/>
  <c r="L4" i="3"/>
  <c r="C8" i="3"/>
  <c r="B9" i="3" a="1"/>
  <c r="B9" i="3" s="1"/>
  <c r="C9" i="3" a="1"/>
  <c r="C9" i="3" s="1"/>
  <c r="D9" i="3" a="1"/>
  <c r="D9" i="3" s="1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P13" i="3" l="1"/>
  <c r="P18" i="3"/>
  <c r="H19" i="3" a="1"/>
  <c r="H19" i="3" s="1"/>
  <c r="S8" i="3" s="1"/>
  <c r="S23" i="3" s="1"/>
  <c r="H18" i="3"/>
  <c r="G18" i="3"/>
  <c r="F18" i="3"/>
  <c r="F19" i="3" a="1"/>
  <c r="F19" i="3" s="1"/>
  <c r="T6" i="3"/>
  <c r="D19" i="3" a="1"/>
  <c r="D19" i="3" s="1"/>
  <c r="R8" i="3" s="1"/>
  <c r="U6" i="3"/>
  <c r="C19" i="3" a="1"/>
  <c r="C19" i="3" s="1"/>
  <c r="B19" i="3" a="1"/>
  <c r="B19" i="3" s="1"/>
  <c r="R5" i="3" s="1"/>
  <c r="R6" i="3" s="1"/>
  <c r="T12" i="3"/>
  <c r="X7" i="3"/>
  <c r="Z12" i="3"/>
  <c r="P12" i="3"/>
  <c r="M12" i="3"/>
  <c r="V7" i="3"/>
  <c r="X16" i="3"/>
  <c r="W7" i="3"/>
  <c r="V19" i="3"/>
  <c r="V21" i="3" s="1"/>
  <c r="Y19" i="3"/>
  <c r="Y21" i="3" s="1"/>
  <c r="Q7" i="3"/>
  <c r="W19" i="3"/>
  <c r="W22" i="3" s="1"/>
  <c r="X19" i="3"/>
  <c r="X21" i="3" s="1"/>
  <c r="C18" i="3"/>
  <c r="X6" i="3"/>
  <c r="Y7" i="3"/>
  <c r="X12" i="3"/>
  <c r="K13" i="3"/>
  <c r="AA6" i="3"/>
  <c r="V11" i="3"/>
  <c r="M7" i="3"/>
  <c r="R12" i="3"/>
  <c r="W11" i="3"/>
  <c r="Y16" i="3"/>
  <c r="T7" i="3"/>
  <c r="Y11" i="3"/>
  <c r="Z16" i="3"/>
  <c r="N7" i="3"/>
  <c r="B18" i="3"/>
  <c r="AA19" i="3"/>
  <c r="AA22" i="3" s="1"/>
  <c r="U17" i="3"/>
  <c r="L19" i="3"/>
  <c r="W17" i="3"/>
  <c r="D18" i="3"/>
  <c r="X11" i="3"/>
  <c r="Z7" i="3"/>
  <c r="X17" i="3"/>
  <c r="Y17" i="3"/>
  <c r="O19" i="3"/>
  <c r="O22" i="3" s="1"/>
  <c r="U12" i="3"/>
  <c r="P19" i="3"/>
  <c r="T17" i="3"/>
  <c r="AA17" i="3"/>
  <c r="X20" i="3"/>
  <c r="R15" i="3"/>
  <c r="P15" i="3" s="1"/>
  <c r="P17" i="3" s="1"/>
  <c r="Z19" i="3"/>
  <c r="Z21" i="3" s="1"/>
  <c r="V17" i="3"/>
  <c r="M19" i="3"/>
  <c r="M21" i="3" s="1"/>
  <c r="N19" i="3"/>
  <c r="M16" i="3"/>
  <c r="V16" i="3"/>
  <c r="T19" i="3"/>
  <c r="W16" i="3"/>
  <c r="K18" i="3"/>
  <c r="K10" i="3"/>
  <c r="L12" i="3"/>
  <c r="L11" i="3"/>
  <c r="L7" i="3"/>
  <c r="L6" i="3"/>
  <c r="Q19" i="3"/>
  <c r="R19" i="3"/>
  <c r="N20" i="3"/>
  <c r="N16" i="3"/>
  <c r="O11" i="3"/>
  <c r="N12" i="3"/>
  <c r="O16" i="3"/>
  <c r="Q20" i="3"/>
  <c r="T20" i="3"/>
  <c r="O6" i="3"/>
  <c r="P11" i="3"/>
  <c r="O17" i="3"/>
  <c r="Q11" i="3"/>
  <c r="Q16" i="3"/>
  <c r="U19" i="3"/>
  <c r="U21" i="3" s="1"/>
  <c r="Q6" i="3"/>
  <c r="R11" i="3"/>
  <c r="S19" i="3"/>
  <c r="S21" i="3" s="1"/>
  <c r="S11" i="3"/>
  <c r="S16" i="3"/>
  <c r="S6" i="3"/>
  <c r="T11" i="3"/>
  <c r="L15" i="3"/>
  <c r="T16" i="3"/>
  <c r="O12" i="1"/>
  <c r="O11" i="1"/>
  <c r="P8" i="3" l="1"/>
  <c r="K8" i="3" s="1"/>
  <c r="K23" i="3" s="1"/>
  <c r="P5" i="3"/>
  <c r="P7" i="3" s="1"/>
  <c r="R7" i="3"/>
  <c r="R23" i="3"/>
  <c r="P23" i="3" s="1"/>
  <c r="X22" i="3"/>
  <c r="R17" i="3"/>
  <c r="R16" i="3"/>
  <c r="R20" i="3"/>
  <c r="V22" i="3"/>
  <c r="S22" i="3"/>
  <c r="W21" i="3"/>
  <c r="AA21" i="3"/>
  <c r="P16" i="3"/>
  <c r="Y22" i="3"/>
  <c r="Z22" i="3"/>
  <c r="O21" i="3"/>
  <c r="U22" i="3"/>
  <c r="M22" i="3"/>
  <c r="P20" i="3"/>
  <c r="P22" i="3" s="1"/>
  <c r="T22" i="3"/>
  <c r="T21" i="3"/>
  <c r="Q21" i="3"/>
  <c r="Q22" i="3"/>
  <c r="N21" i="3"/>
  <c r="N22" i="3"/>
  <c r="R22" i="3"/>
  <c r="R21" i="3"/>
  <c r="L20" i="3"/>
  <c r="K15" i="3"/>
  <c r="L16" i="3"/>
  <c r="L17" i="3"/>
  <c r="K12" i="3"/>
  <c r="K11" i="3"/>
  <c r="K5" i="3" l="1"/>
  <c r="K7" i="3" s="1"/>
  <c r="P6" i="3"/>
  <c r="P21" i="3"/>
  <c r="K6" i="3"/>
  <c r="K20" i="3"/>
  <c r="K17" i="3"/>
  <c r="K16" i="3"/>
  <c r="L21" i="3"/>
  <c r="L22" i="3"/>
  <c r="K22" i="3" l="1"/>
  <c r="K21" i="3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O23" i="1" l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AC4" i="1" l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AE10" i="1" l="1"/>
  <c r="AD10" i="1"/>
  <c r="A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<sst xmlns="http://schemas.openxmlformats.org/spreadsheetml/2006/main" count="351" uniqueCount="130">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</sst>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80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3" fillId="3" borderId="15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0" fontId="10" fillId="3" borderId="31" xfId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28" xfId="1" applyFont="1" applyFill="1" applyBorder="1" applyAlignment="1">
      <alignment horizontal="center" vertical="center"/>
    </xf>
    <xf numFmtId="0" fontId="13" fillId="3" borderId="31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9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4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4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8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8"/>
        </patternFill>
      </fill>
    </dxf>
    <dxf>
      <fill>
        <patternFill>
          <bgColor theme="8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8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O8" sqref="O8:Q8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43" t="s">
        <v>16</v>
      </c>
      <c r="H2" s="44"/>
      <c r="I2" s="44"/>
      <c r="J2" s="5" t="s">
        <v>2</v>
      </c>
      <c r="K2" s="43" t="s">
        <v>44</v>
      </c>
      <c r="L2" s="44"/>
      <c r="M2" s="44"/>
      <c r="N2" s="5" t="s">
        <v>2</v>
      </c>
      <c r="O2" s="43" t="s">
        <v>94</v>
      </c>
      <c r="P2" s="44"/>
      <c r="Q2" s="44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45">
        <f ca="1">TODAY()</f>
        <v>45083</v>
      </c>
      <c r="H3" s="46"/>
      <c r="I3" s="3">
        <f ca="1">TODAY()</f>
        <v>45083</v>
      </c>
      <c r="J3" s="4" t="s">
        <v>1</v>
      </c>
      <c r="K3" s="45">
        <f ca="1">TODAY()</f>
        <v>45083</v>
      </c>
      <c r="L3" s="46"/>
      <c r="M3" s="3">
        <f ca="1">TODAY()</f>
        <v>45083</v>
      </c>
      <c r="N3" s="4" t="s">
        <v>1</v>
      </c>
      <c r="O3" s="45">
        <f ca="1">TODAY()</f>
        <v>45083</v>
      </c>
      <c r="P3" s="46"/>
      <c r="Q3" s="3">
        <f ca="1">TODAY()</f>
        <v>45083</v>
      </c>
      <c r="R3" s="4" t="s">
        <v>1</v>
      </c>
      <c r="W3" s="22" t="s">
        <v>105</v>
      </c>
      <c r="X3" s="23">
        <f ca="1">TODAY()</f>
        <v>45083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33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38" cm="1">
        <f t="array" aca="1" ref="G4" ca="1">SUM(SUMIFS($E:$E,$C:$C,TODAY(),$B:$B,{"海盐","平湖","海宁","桐乡"}))</f>
        <v>0</v>
      </c>
      <c r="H4" s="39"/>
      <c r="I4" s="39"/>
      <c r="J4" s="40" t="s">
        <v>21</v>
      </c>
      <c r="K4" s="38" cm="1">
        <f t="array" aca="1" ref="K4" ca="1">SUM(SUMIFS($E:$E,$C:$C,TODAY(),$B:$B,{"红星","月星","六空"}))</f>
        <v>0</v>
      </c>
      <c r="L4" s="39"/>
      <c r="M4" s="39"/>
      <c r="N4" s="40" t="s">
        <v>21</v>
      </c>
      <c r="O4" s="38">
        <f ca="1">SUMIFS($E:$E,$C:$C,TODAY())</f>
        <v>0</v>
      </c>
      <c r="P4" s="39"/>
      <c r="Q4" s="39"/>
      <c r="R4" s="40" t="s">
        <v>21</v>
      </c>
      <c r="W4" s="22" t="s">
        <v>106</v>
      </c>
      <c r="X4" s="23">
        <f t="shared" ref="X4:X10" ca="1" si="0">TODAY()</f>
        <v>45083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33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38"/>
      <c r="H5" s="39"/>
      <c r="I5" s="39"/>
      <c r="J5" s="40"/>
      <c r="K5" s="38"/>
      <c r="L5" s="39"/>
      <c r="M5" s="39"/>
      <c r="N5" s="40"/>
      <c r="O5" s="38"/>
      <c r="P5" s="39"/>
      <c r="Q5" s="39"/>
      <c r="R5" s="40"/>
      <c r="W5" s="22" t="s">
        <v>107</v>
      </c>
      <c r="X5" s="23">
        <f t="shared" ca="1" si="0"/>
        <v>45083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33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38"/>
      <c r="H6" s="39"/>
      <c r="I6" s="39"/>
      <c r="J6" s="40"/>
      <c r="K6" s="38"/>
      <c r="L6" s="39"/>
      <c r="M6" s="39"/>
      <c r="N6" s="40"/>
      <c r="O6" s="38"/>
      <c r="P6" s="39"/>
      <c r="Q6" s="39"/>
      <c r="R6" s="40"/>
      <c r="W6" s="22" t="s">
        <v>108</v>
      </c>
      <c r="X6" s="23">
        <f t="shared" ca="1" si="0"/>
        <v>45083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33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38"/>
      <c r="H7" s="39"/>
      <c r="I7" s="39"/>
      <c r="J7" s="40"/>
      <c r="K7" s="38"/>
      <c r="L7" s="39"/>
      <c r="M7" s="39"/>
      <c r="N7" s="40"/>
      <c r="O7" s="38"/>
      <c r="P7" s="39"/>
      <c r="Q7" s="39"/>
      <c r="R7" s="40"/>
      <c r="W7" s="22" t="s">
        <v>109</v>
      </c>
      <c r="X7" s="23">
        <f t="shared" ca="1" si="0"/>
        <v>45083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33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34" t="e">
        <f ca="1">SUMIFS($E:$E,$C:$C,TODAY())/SUMIFS($E:$E,$C:$C,TODAY()-1)-1</f>
        <v>#DIV/0!</v>
      </c>
      <c r="H8" s="35"/>
      <c r="I8" s="35"/>
      <c r="J8" s="4" t="s">
        <v>23</v>
      </c>
      <c r="K8" s="34" t="e">
        <f ca="1">SUMIFS($E:$E,$C:$C,TODAY(),$B:$B,K2)/SUMIFS($E:$E,$C:$C,TODAY()-1,$B:$B,K2)-1</f>
        <v>#DIV/0!</v>
      </c>
      <c r="L8" s="35"/>
      <c r="M8" s="35"/>
      <c r="N8" s="4" t="s">
        <v>23</v>
      </c>
      <c r="O8" s="34" t="e">
        <f ca="1">SUMIFS($E:$E,$C:$C,TODAY())/SUMIFS($E:$E,$C:$C,TODAY()-1)-1</f>
        <v>#DIV/0!</v>
      </c>
      <c r="P8" s="35"/>
      <c r="Q8" s="35"/>
      <c r="R8" s="4" t="s">
        <v>23</v>
      </c>
      <c r="W8" s="22" t="s">
        <v>110</v>
      </c>
      <c r="X8" s="23">
        <f t="shared" ca="1" si="0"/>
        <v>45083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33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41" cm="1">
        <f t="array" ref="G9">SUM(SUMIFS($E:$E,$B:$B,{"海盐","平湖","海宁","桐乡"}))</f>
        <v>602779</v>
      </c>
      <c r="H9" s="42"/>
      <c r="I9" s="42"/>
      <c r="J9" s="4" t="s">
        <v>17</v>
      </c>
      <c r="K9" s="41" cm="1">
        <f t="array" ref="K9">SUM(SUMIFS($E:$E,$B:$B,{"红星","月星","六空"}))</f>
        <v>575288</v>
      </c>
      <c r="L9" s="42"/>
      <c r="M9" s="42"/>
      <c r="N9" s="4" t="s">
        <v>17</v>
      </c>
      <c r="O9" s="41">
        <f>SUM($E:$E)</f>
        <v>1178067</v>
      </c>
      <c r="P9" s="42"/>
      <c r="Q9" s="42"/>
      <c r="R9" s="4" t="s">
        <v>17</v>
      </c>
      <c r="W9" s="22" t="s">
        <v>111</v>
      </c>
      <c r="X9" s="23">
        <f t="shared" ca="1" si="0"/>
        <v>45083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33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41">
        <v>650000</v>
      </c>
      <c r="H10" s="42"/>
      <c r="I10" s="42"/>
      <c r="J10" s="4" t="s">
        <v>18</v>
      </c>
      <c r="K10" s="41">
        <v>600000</v>
      </c>
      <c r="L10" s="42"/>
      <c r="M10" s="42"/>
      <c r="N10" s="4" t="s">
        <v>18</v>
      </c>
      <c r="O10" s="41">
        <v>1250000</v>
      </c>
      <c r="P10" s="42"/>
      <c r="Q10" s="42"/>
      <c r="R10" s="4" t="s">
        <v>18</v>
      </c>
      <c r="W10" s="26" t="s">
        <v>104</v>
      </c>
      <c r="X10" s="27">
        <f t="shared" ca="1" si="0"/>
        <v>45083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34">
        <f>G9/G10</f>
        <v>0.9273523076923077</v>
      </c>
      <c r="H11" s="35"/>
      <c r="I11" s="35"/>
      <c r="J11" s="4" t="s">
        <v>19</v>
      </c>
      <c r="K11" s="34">
        <f>K9/K10</f>
        <v>0.9588133333333333</v>
      </c>
      <c r="L11" s="35"/>
      <c r="M11" s="35"/>
      <c r="N11" s="4" t="s">
        <v>19</v>
      </c>
      <c r="O11" s="34">
        <f>O9/O10</f>
        <v>0.9424536</v>
      </c>
      <c r="P11" s="35"/>
      <c r="Q11" s="35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36">
        <f>G9-G10</f>
        <v>-47221</v>
      </c>
      <c r="H12" s="37"/>
      <c r="I12" s="37"/>
      <c r="J12" s="6" t="s">
        <v>20</v>
      </c>
      <c r="K12" s="36">
        <f>K9-K10</f>
        <v>-24712</v>
      </c>
      <c r="L12" s="37"/>
      <c r="M12" s="37"/>
      <c r="N12" s="6" t="s">
        <v>20</v>
      </c>
      <c r="O12" s="36">
        <f>O9-O10</f>
        <v>-71933</v>
      </c>
      <c r="P12" s="37"/>
      <c r="Q12" s="37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43" t="s">
        <v>5</v>
      </c>
      <c r="H13" s="44"/>
      <c r="I13" s="44"/>
      <c r="J13" s="5" t="s">
        <v>2</v>
      </c>
      <c r="K13" s="43" t="s">
        <v>7</v>
      </c>
      <c r="L13" s="44"/>
      <c r="M13" s="44"/>
      <c r="N13" s="5" t="s">
        <v>2</v>
      </c>
      <c r="O13" s="43" t="s">
        <v>41</v>
      </c>
      <c r="P13" s="44"/>
      <c r="Q13" s="44"/>
      <c r="R13" s="5" t="s">
        <v>2</v>
      </c>
      <c r="S13" s="43" t="s">
        <v>39</v>
      </c>
      <c r="T13" s="44"/>
      <c r="U13" s="44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45">
        <f ca="1">TODAY()</f>
        <v>45083</v>
      </c>
      <c r="H14" s="46"/>
      <c r="I14" s="3">
        <f ca="1">TODAY()</f>
        <v>45083</v>
      </c>
      <c r="J14" s="4" t="s">
        <v>1</v>
      </c>
      <c r="K14" s="45">
        <f ca="1">TODAY()</f>
        <v>45083</v>
      </c>
      <c r="L14" s="46"/>
      <c r="M14" s="3">
        <f ca="1">TODAY()</f>
        <v>45083</v>
      </c>
      <c r="N14" s="4" t="s">
        <v>1</v>
      </c>
      <c r="O14" s="45">
        <f ca="1">TODAY()</f>
        <v>45083</v>
      </c>
      <c r="P14" s="46"/>
      <c r="Q14" s="3">
        <f ca="1">TODAY()</f>
        <v>45083</v>
      </c>
      <c r="R14" s="4" t="s">
        <v>1</v>
      </c>
      <c r="S14" s="45">
        <f ca="1">TODAY()</f>
        <v>45083</v>
      </c>
      <c r="T14" s="46"/>
      <c r="U14" s="3">
        <f ca="1">TODAY()</f>
        <v>45083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38">
        <f ca="1">SUMIFS($E:$E,$C:$C,TODAY(),$B:$B,G13)</f>
        <v>0</v>
      </c>
      <c r="H15" s="39"/>
      <c r="I15" s="39"/>
      <c r="J15" s="40" t="s">
        <v>21</v>
      </c>
      <c r="K15" s="38">
        <f ca="1">SUMIFS($E:$E,$C:$C,TODAY(),$B:$B,K13)</f>
        <v>0</v>
      </c>
      <c r="L15" s="39"/>
      <c r="M15" s="39"/>
      <c r="N15" s="40" t="s">
        <v>21</v>
      </c>
      <c r="O15" s="38">
        <f ca="1">SUMIFS($E:$E,$C:$C,TODAY(),$B:$B,O13)</f>
        <v>0</v>
      </c>
      <c r="P15" s="39"/>
      <c r="Q15" s="39"/>
      <c r="R15" s="40" t="s">
        <v>21</v>
      </c>
      <c r="S15" s="38">
        <f ca="1">SUMIFS($E:$E,$C:$C,TODAY(),$B:$B,S13)</f>
        <v>0</v>
      </c>
      <c r="T15" s="39"/>
      <c r="U15" s="39"/>
      <c r="V15" s="40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38"/>
      <c r="H16" s="39"/>
      <c r="I16" s="39"/>
      <c r="J16" s="40"/>
      <c r="K16" s="38"/>
      <c r="L16" s="39"/>
      <c r="M16" s="39"/>
      <c r="N16" s="40"/>
      <c r="O16" s="38"/>
      <c r="P16" s="39"/>
      <c r="Q16" s="39"/>
      <c r="R16" s="40"/>
      <c r="S16" s="38"/>
      <c r="T16" s="39"/>
      <c r="U16" s="39"/>
      <c r="V16" s="40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38"/>
      <c r="H17" s="39"/>
      <c r="I17" s="39"/>
      <c r="J17" s="40"/>
      <c r="K17" s="38"/>
      <c r="L17" s="39"/>
      <c r="M17" s="39"/>
      <c r="N17" s="40"/>
      <c r="O17" s="38"/>
      <c r="P17" s="39"/>
      <c r="Q17" s="39"/>
      <c r="R17" s="40"/>
      <c r="S17" s="38"/>
      <c r="T17" s="39"/>
      <c r="U17" s="39"/>
      <c r="V17" s="40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38"/>
      <c r="H18" s="39"/>
      <c r="I18" s="39"/>
      <c r="J18" s="40"/>
      <c r="K18" s="38"/>
      <c r="L18" s="39"/>
      <c r="M18" s="39"/>
      <c r="N18" s="40"/>
      <c r="O18" s="38"/>
      <c r="P18" s="39"/>
      <c r="Q18" s="39"/>
      <c r="R18" s="40"/>
      <c r="S18" s="38"/>
      <c r="T18" s="39"/>
      <c r="U18" s="39"/>
      <c r="V18" s="40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34" t="e">
        <f ca="1">SUMIFS($E:$E,$C:$C,TODAY(),$B:$B,G13)/SUMIFS($E:$E,$C:$C,TODAY()-1,$B:$B,G13)-1</f>
        <v>#DIV/0!</v>
      </c>
      <c r="H19" s="35"/>
      <c r="I19" s="35"/>
      <c r="J19" s="4" t="s">
        <v>23</v>
      </c>
      <c r="K19" s="34" t="e">
        <f ca="1">SUMIFS($E:$E,$C:$C,TODAY(),$B:$B,K13)/SUMIFS($E:$E,$C:$C,TODAY()-1,$B:$B,K13)-1</f>
        <v>#DIV/0!</v>
      </c>
      <c r="L19" s="35"/>
      <c r="M19" s="35"/>
      <c r="N19" s="4" t="s">
        <v>23</v>
      </c>
      <c r="O19" s="34" t="e">
        <f ca="1">SUMIFS($E:$E,$C:$C,TODAY(),$B:$B,O13)/SUMIFS($E:$E,$C:$C,TODAY()-1,$B:$B,O13)-1</f>
        <v>#DIV/0!</v>
      </c>
      <c r="P19" s="35"/>
      <c r="Q19" s="35"/>
      <c r="R19" s="4" t="s">
        <v>23</v>
      </c>
      <c r="S19" s="34" t="e">
        <f ca="1">SUMIFS($E:$E,$C:$C,TODAY(),$B:$B,S13)/SUMIFS($E:$E,$C:$C,TODAY()-1,$B:$B,S13)-1</f>
        <v>#DIV/0!</v>
      </c>
      <c r="T19" s="35"/>
      <c r="U19" s="35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41">
        <f>SUMIFS($E:$E,$B:$B,G13)</f>
        <v>171200</v>
      </c>
      <c r="H20" s="42"/>
      <c r="I20" s="42"/>
      <c r="J20" s="4" t="s">
        <v>17</v>
      </c>
      <c r="K20" s="41">
        <f>SUMIFS($E:$E,$B:$B,K13)</f>
        <v>135884</v>
      </c>
      <c r="L20" s="42"/>
      <c r="M20" s="42"/>
      <c r="N20" s="4" t="s">
        <v>17</v>
      </c>
      <c r="O20" s="41">
        <f>SUMIFS($E:$E,$B:$B,O13)</f>
        <v>200726</v>
      </c>
      <c r="P20" s="42"/>
      <c r="Q20" s="42"/>
      <c r="R20" s="4" t="s">
        <v>17</v>
      </c>
      <c r="S20" s="41">
        <f>SUMIFS($E:$E,$B:$B,S13)</f>
        <v>155388</v>
      </c>
      <c r="T20" s="42"/>
      <c r="U20" s="42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41">
        <v>240000</v>
      </c>
      <c r="H21" s="42"/>
      <c r="I21" s="42"/>
      <c r="J21" s="4" t="s">
        <v>18</v>
      </c>
      <c r="K21" s="41">
        <v>210000</v>
      </c>
      <c r="L21" s="42"/>
      <c r="M21" s="42"/>
      <c r="N21" s="4" t="s">
        <v>18</v>
      </c>
      <c r="O21" s="41">
        <v>200000</v>
      </c>
      <c r="P21" s="42"/>
      <c r="Q21" s="42"/>
      <c r="R21" s="4" t="s">
        <v>18</v>
      </c>
      <c r="S21" s="41">
        <v>200000</v>
      </c>
      <c r="T21" s="42"/>
      <c r="U21" s="42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34">
        <f>G20/G21</f>
        <v>0.71333333333333337</v>
      </c>
      <c r="H22" s="35"/>
      <c r="I22" s="35"/>
      <c r="J22" s="4" t="s">
        <v>19</v>
      </c>
      <c r="K22" s="34">
        <f>K20/K21</f>
        <v>0.64706666666666668</v>
      </c>
      <c r="L22" s="35"/>
      <c r="M22" s="35"/>
      <c r="N22" s="4" t="s">
        <v>19</v>
      </c>
      <c r="O22" s="34">
        <f>O20/O21</f>
        <v>1.00363</v>
      </c>
      <c r="P22" s="35"/>
      <c r="Q22" s="35"/>
      <c r="R22" s="4" t="s">
        <v>19</v>
      </c>
      <c r="S22" s="34">
        <f>S20/S21</f>
        <v>0.77693999999999996</v>
      </c>
      <c r="T22" s="35"/>
      <c r="U22" s="35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36">
        <f>G20-G21</f>
        <v>-68800</v>
      </c>
      <c r="H23" s="37"/>
      <c r="I23" s="37"/>
      <c r="J23" s="6" t="s">
        <v>20</v>
      </c>
      <c r="K23" s="36">
        <f>K20-K21</f>
        <v>-74116</v>
      </c>
      <c r="L23" s="37"/>
      <c r="M23" s="37"/>
      <c r="N23" s="6" t="s">
        <v>20</v>
      </c>
      <c r="O23" s="36">
        <f>O20-O21</f>
        <v>726</v>
      </c>
      <c r="P23" s="37"/>
      <c r="Q23" s="37"/>
      <c r="R23" s="6" t="s">
        <v>20</v>
      </c>
      <c r="S23" s="36">
        <f>S20-S21</f>
        <v>-44612</v>
      </c>
      <c r="T23" s="37"/>
      <c r="U23" s="37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43" t="s">
        <v>14</v>
      </c>
      <c r="H24" s="44"/>
      <c r="I24" s="44"/>
      <c r="J24" s="5" t="s">
        <v>2</v>
      </c>
      <c r="K24" s="43" t="s">
        <v>22</v>
      </c>
      <c r="L24" s="44"/>
      <c r="M24" s="44"/>
      <c r="N24" s="5" t="s">
        <v>2</v>
      </c>
      <c r="O24" s="43" t="s">
        <v>43</v>
      </c>
      <c r="P24" s="44"/>
      <c r="Q24" s="44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45">
        <f ca="1">TODAY()</f>
        <v>45083</v>
      </c>
      <c r="H25" s="46"/>
      <c r="I25" s="3">
        <f ca="1">TODAY()</f>
        <v>45083</v>
      </c>
      <c r="J25" s="4" t="s">
        <v>1</v>
      </c>
      <c r="K25" s="45">
        <f ca="1">TODAY()</f>
        <v>45083</v>
      </c>
      <c r="L25" s="46"/>
      <c r="M25" s="3">
        <f ca="1">TODAY()</f>
        <v>45083</v>
      </c>
      <c r="N25" s="4" t="s">
        <v>1</v>
      </c>
      <c r="O25" s="45">
        <f ca="1">TODAY()</f>
        <v>45083</v>
      </c>
      <c r="P25" s="46"/>
      <c r="Q25" s="3">
        <f ca="1">TODAY()</f>
        <v>45083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38">
        <f ca="1">SUMIFS($E:$E,$C:$C,TODAY(),$B:$B,G24)</f>
        <v>0</v>
      </c>
      <c r="H26" s="39"/>
      <c r="I26" s="39"/>
      <c r="J26" s="40" t="s">
        <v>21</v>
      </c>
      <c r="K26" s="38">
        <f ca="1">SUMIFS($E:$E,$C:$C,TODAY(),$B:$B,K24)</f>
        <v>0</v>
      </c>
      <c r="L26" s="39"/>
      <c r="M26" s="39"/>
      <c r="N26" s="40" t="s">
        <v>21</v>
      </c>
      <c r="O26" s="38">
        <f ca="1">SUMIFS($E:$E,$C:$C,TODAY(),$B:$B,O24)</f>
        <v>0</v>
      </c>
      <c r="P26" s="39"/>
      <c r="Q26" s="39"/>
      <c r="R26" s="40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38"/>
      <c r="H27" s="39"/>
      <c r="I27" s="39"/>
      <c r="J27" s="40"/>
      <c r="K27" s="38"/>
      <c r="L27" s="39"/>
      <c r="M27" s="39"/>
      <c r="N27" s="40"/>
      <c r="O27" s="38"/>
      <c r="P27" s="39"/>
      <c r="Q27" s="39"/>
      <c r="R27" s="40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38"/>
      <c r="H28" s="39"/>
      <c r="I28" s="39"/>
      <c r="J28" s="40"/>
      <c r="K28" s="38"/>
      <c r="L28" s="39"/>
      <c r="M28" s="39"/>
      <c r="N28" s="40"/>
      <c r="O28" s="38"/>
      <c r="P28" s="39"/>
      <c r="Q28" s="39"/>
      <c r="R28" s="40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38"/>
      <c r="H29" s="39"/>
      <c r="I29" s="39"/>
      <c r="J29" s="40"/>
      <c r="K29" s="38"/>
      <c r="L29" s="39"/>
      <c r="M29" s="39"/>
      <c r="N29" s="40"/>
      <c r="O29" s="38"/>
      <c r="P29" s="39"/>
      <c r="Q29" s="39"/>
      <c r="R29" s="40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34" t="e">
        <f ca="1">SUMIFS($E:$E,$C:$C,TODAY(),$B:$B,G24)/SUMIFS($E:$E,$C:$C,TODAY()-1,$B:$B,G24)-1</f>
        <v>#DIV/0!</v>
      </c>
      <c r="H30" s="35"/>
      <c r="I30" s="35"/>
      <c r="J30" s="4" t="s">
        <v>23</v>
      </c>
      <c r="K30" s="34" t="e">
        <f ca="1">SUMIFS($E:$E,$C:$C,TODAY(),$B:$B,K24)/SUMIFS($E:$E,$C:$C,TODAY()-1,$B:$B,K24)-1</f>
        <v>#DIV/0!</v>
      </c>
      <c r="L30" s="35"/>
      <c r="M30" s="35"/>
      <c r="N30" s="4" t="s">
        <v>23</v>
      </c>
      <c r="O30" s="34" t="e">
        <f ca="1">SUMIFS($E:$E,$C:$C,TODAY(),$B:$B,O24)/SUMIFS($E:$E,$C:$C,TODAY()-1,$B:$B,O24)-1</f>
        <v>#DIV/0!</v>
      </c>
      <c r="P30" s="35"/>
      <c r="Q30" s="35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41">
        <f>SUMIFS($E:$E,$B:$B,G24)</f>
        <v>167197</v>
      </c>
      <c r="H31" s="42"/>
      <c r="I31" s="42"/>
      <c r="J31" s="4" t="s">
        <v>17</v>
      </c>
      <c r="K31" s="41">
        <f>SUMIFS($E:$E,$B:$B,K24)</f>
        <v>128498</v>
      </c>
      <c r="L31" s="42"/>
      <c r="M31" s="42"/>
      <c r="N31" s="4" t="s">
        <v>17</v>
      </c>
      <c r="O31" s="41">
        <f>SUMIFS($E:$E,$B:$B,O24)</f>
        <v>219174</v>
      </c>
      <c r="P31" s="42"/>
      <c r="Q31" s="42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41">
        <v>100000</v>
      </c>
      <c r="H32" s="42"/>
      <c r="I32" s="42"/>
      <c r="J32" s="4" t="s">
        <v>18</v>
      </c>
      <c r="K32" s="41">
        <v>100000</v>
      </c>
      <c r="L32" s="42"/>
      <c r="M32" s="42"/>
      <c r="N32" s="4" t="s">
        <v>18</v>
      </c>
      <c r="O32" s="41">
        <v>200000</v>
      </c>
      <c r="P32" s="42"/>
      <c r="Q32" s="42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34">
        <f>G31/G32</f>
        <v>1.67197</v>
      </c>
      <c r="H33" s="35"/>
      <c r="I33" s="35"/>
      <c r="J33" s="4" t="s">
        <v>19</v>
      </c>
      <c r="K33" s="34">
        <f>K31/K32</f>
        <v>1.28498</v>
      </c>
      <c r="L33" s="35"/>
      <c r="M33" s="35"/>
      <c r="N33" s="4" t="s">
        <v>19</v>
      </c>
      <c r="O33" s="34">
        <f>O31/O32</f>
        <v>1.0958699999999999</v>
      </c>
      <c r="P33" s="35"/>
      <c r="Q33" s="35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36">
        <f>G31-G32</f>
        <v>67197</v>
      </c>
      <c r="H34" s="37"/>
      <c r="I34" s="37"/>
      <c r="J34" s="6" t="s">
        <v>20</v>
      </c>
      <c r="K34" s="36">
        <f>K31-K32</f>
        <v>28498</v>
      </c>
      <c r="L34" s="37"/>
      <c r="M34" s="37"/>
      <c r="N34" s="6" t="s">
        <v>20</v>
      </c>
      <c r="O34" s="36">
        <f>O31-O32</f>
        <v>19174</v>
      </c>
      <c r="P34" s="37"/>
      <c r="Q34" s="37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O2:Q2"/>
    <mergeCell ref="O3:P3"/>
    <mergeCell ref="O4:Q7"/>
    <mergeCell ref="R4:R7"/>
    <mergeCell ref="O8:Q8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K31:M31"/>
    <mergeCell ref="K32:M32"/>
    <mergeCell ref="K33:M33"/>
    <mergeCell ref="K34:M34"/>
    <mergeCell ref="K30:M30"/>
    <mergeCell ref="K20:M20"/>
    <mergeCell ref="K21:M21"/>
    <mergeCell ref="K22:M22"/>
    <mergeCell ref="K23:M23"/>
    <mergeCell ref="K19:M19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G2:I2"/>
    <mergeCell ref="G3:H3"/>
    <mergeCell ref="G4:I7"/>
    <mergeCell ref="G9:I9"/>
    <mergeCell ref="G10:I10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</mergeCells>
  <phoneticPr fontId="1" type="noConversion"/>
  <conditionalFormatting sqref="G12:I12 G23:I23 K23:M23 G34:I34 K34:M34">
    <cfRule type="cellIs" dxfId="91" priority="7" operator="lessThan">
      <formula>0</formula>
    </cfRule>
  </conditionalFormatting>
  <conditionalFormatting sqref="K12:M12">
    <cfRule type="cellIs" dxfId="90" priority="6" operator="lessThan">
      <formula>0</formula>
    </cfRule>
  </conditionalFormatting>
  <conditionalFormatting sqref="S23:U23">
    <cfRule type="cellIs" dxfId="89" priority="5" operator="lessThan">
      <formula>0</formula>
    </cfRule>
  </conditionalFormatting>
  <conditionalFormatting sqref="O23:Q23">
    <cfRule type="cellIs" dxfId="88" priority="4" operator="lessThan">
      <formula>0</formula>
    </cfRule>
  </conditionalFormatting>
  <conditionalFormatting sqref="O34:Q34">
    <cfRule type="cellIs" dxfId="87" priority="3" operator="lessThan">
      <formula>0</formula>
    </cfRule>
  </conditionalFormatting>
  <conditionalFormatting sqref="O12:Q12">
    <cfRule type="cellIs" dxfId="86" priority="2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01F-4348-441A-949C-AA34FE4B5371}">
  <dimension ref="A1:AA23"/>
  <sheetViews>
    <sheetView showGridLines="0" tabSelected="1" topLeftCell="E1" workbookViewId="0">
      <selection activeCell="H4" sqref="H4"/>
    </sheetView>
  </sheetViews>
  <sheetFormatPr defaultRowHeight="14" x14ac:dyDescent="0.3"/>
  <cols>
    <col min="1" max="1" width="8.5" style="7" hidden="1" customWidth="1"/>
    <col min="2" max="2" width="8.75" style="7" hidden="1" customWidth="1"/>
    <col min="3" max="3" width="10.4140625" style="7" hidden="1" customWidth="1"/>
    <col min="4" max="4" width="7.75" style="7" hidden="1" customWidth="1"/>
    <col min="5" max="5" width="8.5" style="7" bestFit="1" customWidth="1"/>
    <col min="6" max="6" width="8.75" style="7" bestFit="1" customWidth="1"/>
    <col min="7" max="7" width="10.4140625" style="7" bestFit="1" customWidth="1"/>
    <col min="8" max="8" width="7.75" style="7" customWidth="1"/>
    <col min="9" max="9" width="15.33203125" style="7" bestFit="1" customWidth="1"/>
    <col min="10" max="11" width="13.58203125" style="7" customWidth="1"/>
    <col min="12" max="12" width="8.25" style="7" hidden="1" customWidth="1"/>
    <col min="13" max="15" width="7.08203125" style="7" hidden="1" customWidth="1"/>
    <col min="16" max="16" width="8.25" style="7" customWidth="1"/>
    <col min="17" max="18" width="7.08203125" style="7" hidden="1" customWidth="1"/>
    <col min="19" max="19" width="7.08203125" style="7" customWidth="1"/>
    <col min="20" max="20" width="8.25" style="7" customWidth="1"/>
    <col min="21" max="21" width="5.9140625" style="7" customWidth="1"/>
    <col min="22" max="22" width="7.08203125" style="7" customWidth="1"/>
    <col min="23" max="24" width="8.25" style="7" customWidth="1"/>
    <col min="25" max="25" width="7.08203125" style="7" customWidth="1"/>
    <col min="26" max="27" width="8.25" style="7" customWidth="1"/>
    <col min="28" max="16384" width="8.6640625" style="7"/>
  </cols>
  <sheetData>
    <row r="1" spans="1:27" ht="42" customHeight="1" thickTop="1" x14ac:dyDescent="0.3">
      <c r="A1" s="47" t="s">
        <v>116</v>
      </c>
      <c r="B1" s="48"/>
      <c r="C1" s="48"/>
      <c r="D1" s="48"/>
      <c r="E1" s="47" t="s">
        <v>129</v>
      </c>
      <c r="F1" s="48"/>
      <c r="G1" s="48"/>
      <c r="H1" s="48"/>
      <c r="I1" s="49" t="s">
        <v>57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1"/>
    </row>
    <row r="2" spans="1:27" ht="20" customHeight="1" x14ac:dyDescent="0.3">
      <c r="A2" s="7" t="s">
        <v>2</v>
      </c>
      <c r="B2" s="7" t="s">
        <v>112</v>
      </c>
      <c r="C2" s="7" t="s">
        <v>113</v>
      </c>
      <c r="D2" s="7" t="s">
        <v>114</v>
      </c>
      <c r="E2" s="7" t="s">
        <v>2</v>
      </c>
      <c r="F2" s="7" t="s">
        <v>112</v>
      </c>
      <c r="G2" s="7" t="s">
        <v>113</v>
      </c>
      <c r="H2" s="7" t="s">
        <v>114</v>
      </c>
      <c r="I2" s="52" t="s">
        <v>2</v>
      </c>
      <c r="J2" s="53" t="s">
        <v>58</v>
      </c>
      <c r="K2" s="75" t="s">
        <v>59</v>
      </c>
      <c r="L2" s="76" t="s">
        <v>60</v>
      </c>
      <c r="M2" s="76" t="s">
        <v>61</v>
      </c>
      <c r="N2" s="76" t="s">
        <v>62</v>
      </c>
      <c r="O2" s="76" t="s">
        <v>63</v>
      </c>
      <c r="P2" s="76" t="s">
        <v>64</v>
      </c>
      <c r="Q2" s="54" t="s">
        <v>65</v>
      </c>
      <c r="R2" s="54" t="s">
        <v>66</v>
      </c>
      <c r="S2" s="54" t="s">
        <v>67</v>
      </c>
      <c r="T2" s="54" t="s">
        <v>68</v>
      </c>
      <c r="U2" s="54" t="s">
        <v>69</v>
      </c>
      <c r="V2" s="54" t="s">
        <v>70</v>
      </c>
      <c r="W2" s="54" t="s">
        <v>71</v>
      </c>
      <c r="X2" s="54" t="s">
        <v>72</v>
      </c>
      <c r="Y2" s="54" t="s">
        <v>73</v>
      </c>
      <c r="Z2" s="54" t="s">
        <v>74</v>
      </c>
      <c r="AA2" s="55" t="s">
        <v>75</v>
      </c>
    </row>
    <row r="3" spans="1:27" ht="20" customHeight="1" x14ac:dyDescent="0.3">
      <c r="A3" s="7" t="s">
        <v>115</v>
      </c>
      <c r="B3" s="9">
        <v>557563</v>
      </c>
      <c r="C3" s="9">
        <v>2361806.9500000002</v>
      </c>
      <c r="D3" s="9">
        <v>0</v>
      </c>
      <c r="E3" s="7" t="s">
        <v>115</v>
      </c>
      <c r="F3" s="9">
        <v>0</v>
      </c>
      <c r="G3" s="9">
        <v>0</v>
      </c>
      <c r="H3" s="9">
        <v>39009</v>
      </c>
      <c r="I3" s="61"/>
      <c r="J3" s="62"/>
      <c r="K3" s="77"/>
      <c r="L3" s="78">
        <v>0.12740000000000001</v>
      </c>
      <c r="M3" s="78" t="s">
        <v>76</v>
      </c>
      <c r="N3" s="78" t="s">
        <v>77</v>
      </c>
      <c r="O3" s="78">
        <v>8.1699999999999995E-2</v>
      </c>
      <c r="P3" s="78">
        <v>0.24809999999999999</v>
      </c>
      <c r="Q3" s="63">
        <v>7.1499999999999994E-2</v>
      </c>
      <c r="R3" s="63" t="s">
        <v>78</v>
      </c>
      <c r="S3" s="63">
        <v>9.4200000000000006E-2</v>
      </c>
      <c r="T3" s="63">
        <v>0.28689999999999999</v>
      </c>
      <c r="U3" s="63" t="s">
        <v>79</v>
      </c>
      <c r="V3" s="63" t="s">
        <v>80</v>
      </c>
      <c r="W3" s="63" t="s">
        <v>81</v>
      </c>
      <c r="X3" s="63" t="s">
        <v>82</v>
      </c>
      <c r="Y3" s="63" t="s">
        <v>83</v>
      </c>
      <c r="Z3" s="63">
        <v>0.1021</v>
      </c>
      <c r="AA3" s="64">
        <v>0.1482</v>
      </c>
    </row>
    <row r="4" spans="1:27" ht="20" customHeight="1" x14ac:dyDescent="0.3">
      <c r="A4" s="7" t="s">
        <v>5</v>
      </c>
      <c r="B4" s="9">
        <v>4869.8999999999996</v>
      </c>
      <c r="C4" s="9">
        <v>150524.6</v>
      </c>
      <c r="D4" s="9">
        <v>0</v>
      </c>
      <c r="E4" s="7" t="s">
        <v>5</v>
      </c>
      <c r="F4" s="9">
        <v>0</v>
      </c>
      <c r="G4" s="9">
        <v>0</v>
      </c>
      <c r="H4" s="9">
        <v>396562</v>
      </c>
      <c r="I4" s="65" t="s">
        <v>84</v>
      </c>
      <c r="J4" s="66" t="s">
        <v>85</v>
      </c>
      <c r="K4" s="67">
        <v>874</v>
      </c>
      <c r="L4" s="67">
        <f>874*L3</f>
        <v>111.34760000000001</v>
      </c>
      <c r="M4" s="67">
        <f t="shared" ref="M4:AA4" si="0">874*M3</f>
        <v>6.2054</v>
      </c>
      <c r="N4" s="67">
        <f t="shared" si="0"/>
        <v>33.736400000000003</v>
      </c>
      <c r="O4" s="67">
        <f t="shared" si="0"/>
        <v>71.405799999999999</v>
      </c>
      <c r="P4" s="67">
        <f t="shared" si="0"/>
        <v>216.83939999999998</v>
      </c>
      <c r="Q4" s="67">
        <f t="shared" si="0"/>
        <v>62.490999999999993</v>
      </c>
      <c r="R4" s="67">
        <f t="shared" si="0"/>
        <v>72.017600000000002</v>
      </c>
      <c r="S4" s="67">
        <f t="shared" si="0"/>
        <v>82.330800000000011</v>
      </c>
      <c r="T4" s="67">
        <f t="shared" si="0"/>
        <v>250.75059999999999</v>
      </c>
      <c r="U4" s="67">
        <f t="shared" si="0"/>
        <v>73.416000000000011</v>
      </c>
      <c r="V4" s="67">
        <f t="shared" si="0"/>
        <v>74.901799999999994</v>
      </c>
      <c r="W4" s="67">
        <f t="shared" si="0"/>
        <v>102.4328</v>
      </c>
      <c r="X4" s="67">
        <f t="shared" si="0"/>
        <v>295.06240000000003</v>
      </c>
      <c r="Y4" s="67">
        <f t="shared" si="0"/>
        <v>76.300200000000004</v>
      </c>
      <c r="Z4" s="67">
        <f t="shared" si="0"/>
        <v>89.235399999999998</v>
      </c>
      <c r="AA4" s="68">
        <f t="shared" si="0"/>
        <v>129.52680000000001</v>
      </c>
    </row>
    <row r="5" spans="1:27" ht="20" customHeight="1" x14ac:dyDescent="0.3">
      <c r="A5" s="7" t="s">
        <v>22</v>
      </c>
      <c r="B5" s="9">
        <v>94018</v>
      </c>
      <c r="C5" s="9">
        <v>274681</v>
      </c>
      <c r="D5" s="9">
        <v>0</v>
      </c>
      <c r="E5" s="7" t="s">
        <v>22</v>
      </c>
      <c r="F5" s="9">
        <v>0</v>
      </c>
      <c r="G5" s="9">
        <v>0</v>
      </c>
      <c r="H5" s="9">
        <v>33223</v>
      </c>
      <c r="I5" s="56"/>
      <c r="J5" s="14" t="s">
        <v>86</v>
      </c>
      <c r="K5" s="16">
        <f>L5+P5+T5+X5</f>
        <v>324.079095</v>
      </c>
      <c r="L5" s="16">
        <f>SUM(M5:O5)</f>
        <v>182.62909500000001</v>
      </c>
      <c r="M5" s="16">
        <v>4.9847999999999999</v>
      </c>
      <c r="N5" s="16">
        <v>41.869295000000001</v>
      </c>
      <c r="O5" s="16">
        <v>135.77500000000001</v>
      </c>
      <c r="P5" s="16">
        <f>SUM(Q5:S5)</f>
        <v>141.44999999999999</v>
      </c>
      <c r="Q5" s="16">
        <f>28.21+10.94+8.3</f>
        <v>47.45</v>
      </c>
      <c r="R5" s="16">
        <f>B19</f>
        <v>94</v>
      </c>
      <c r="S5" s="16">
        <f>F19</f>
        <v>0</v>
      </c>
      <c r="T5" s="16">
        <f>SUM(U5:W5)</f>
        <v>0</v>
      </c>
      <c r="U5" s="16"/>
      <c r="V5" s="16"/>
      <c r="W5" s="16"/>
      <c r="X5" s="16">
        <f>SUM(Y5:AA5)</f>
        <v>0</v>
      </c>
      <c r="Y5" s="16"/>
      <c r="Z5" s="16"/>
      <c r="AA5" s="17"/>
    </row>
    <row r="6" spans="1:27" ht="20" customHeight="1" x14ac:dyDescent="0.3">
      <c r="A6" s="7" t="s">
        <v>7</v>
      </c>
      <c r="B6" s="9">
        <v>69028</v>
      </c>
      <c r="C6" s="9">
        <v>324495</v>
      </c>
      <c r="D6" s="9">
        <v>0</v>
      </c>
      <c r="E6" s="7" t="s">
        <v>7</v>
      </c>
      <c r="F6" s="9">
        <v>0</v>
      </c>
      <c r="G6" s="9">
        <v>0</v>
      </c>
      <c r="H6" s="9">
        <v>24502</v>
      </c>
      <c r="I6" s="56"/>
      <c r="J6" s="79" t="s">
        <v>19</v>
      </c>
      <c r="K6" s="59">
        <f>K5/K4</f>
        <v>0.37079987986270024</v>
      </c>
      <c r="L6" s="59">
        <f t="shared" ref="L6:AA6" si="1">L5/L4</f>
        <v>1.6401709152240369</v>
      </c>
      <c r="M6" s="59">
        <f t="shared" si="1"/>
        <v>0.80330035130692623</v>
      </c>
      <c r="N6" s="59">
        <f t="shared" si="1"/>
        <v>1.241071809677381</v>
      </c>
      <c r="O6" s="59">
        <f t="shared" si="1"/>
        <v>1.9014561842315332</v>
      </c>
      <c r="P6" s="59">
        <f t="shared" si="1"/>
        <v>0.65232609940813335</v>
      </c>
      <c r="Q6" s="59">
        <f t="shared" si="1"/>
        <v>0.75930934054503862</v>
      </c>
      <c r="R6" s="59">
        <f t="shared" si="1"/>
        <v>1.3052364977449957</v>
      </c>
      <c r="S6" s="59">
        <f t="shared" si="1"/>
        <v>0</v>
      </c>
      <c r="T6" s="59">
        <f t="shared" si="1"/>
        <v>0</v>
      </c>
      <c r="U6" s="59">
        <f t="shared" si="1"/>
        <v>0</v>
      </c>
      <c r="V6" s="59">
        <f t="shared" si="1"/>
        <v>0</v>
      </c>
      <c r="W6" s="59">
        <f t="shared" si="1"/>
        <v>0</v>
      </c>
      <c r="X6" s="59">
        <f t="shared" si="1"/>
        <v>0</v>
      </c>
      <c r="Y6" s="59">
        <f t="shared" si="1"/>
        <v>0</v>
      </c>
      <c r="Z6" s="59">
        <f t="shared" si="1"/>
        <v>0</v>
      </c>
      <c r="AA6" s="60">
        <f t="shared" si="1"/>
        <v>0</v>
      </c>
    </row>
    <row r="7" spans="1:27" ht="20" customHeight="1" x14ac:dyDescent="0.3">
      <c r="A7" s="7" t="s">
        <v>14</v>
      </c>
      <c r="B7" s="9">
        <v>306341</v>
      </c>
      <c r="C7" s="9">
        <v>622312</v>
      </c>
      <c r="D7" s="9">
        <v>0</v>
      </c>
      <c r="E7" s="7" t="s">
        <v>14</v>
      </c>
      <c r="F7" s="9">
        <v>0</v>
      </c>
      <c r="G7" s="9">
        <v>0</v>
      </c>
      <c r="H7" s="9">
        <v>82186</v>
      </c>
      <c r="I7" s="56"/>
      <c r="J7" s="15" t="s">
        <v>87</v>
      </c>
      <c r="K7" s="16">
        <f>K5-K4</f>
        <v>-549.92090499999995</v>
      </c>
      <c r="L7" s="16">
        <f t="shared" ref="L7:AA7" si="2">L5-L4</f>
        <v>71.281494999999993</v>
      </c>
      <c r="M7" s="16">
        <f t="shared" si="2"/>
        <v>-1.2206000000000001</v>
      </c>
      <c r="N7" s="16">
        <f t="shared" si="2"/>
        <v>8.1328949999999978</v>
      </c>
      <c r="O7" s="16">
        <f t="shared" si="2"/>
        <v>64.369200000000006</v>
      </c>
      <c r="P7" s="16">
        <f t="shared" si="2"/>
        <v>-75.389399999999995</v>
      </c>
      <c r="Q7" s="16">
        <f t="shared" si="2"/>
        <v>-15.04099999999999</v>
      </c>
      <c r="R7" s="16">
        <f t="shared" si="2"/>
        <v>21.982399999999998</v>
      </c>
      <c r="S7" s="16">
        <f t="shared" si="2"/>
        <v>-82.330800000000011</v>
      </c>
      <c r="T7" s="16">
        <f t="shared" si="2"/>
        <v>-250.75059999999999</v>
      </c>
      <c r="U7" s="16">
        <f t="shared" si="2"/>
        <v>-73.416000000000011</v>
      </c>
      <c r="V7" s="16">
        <f t="shared" si="2"/>
        <v>-74.901799999999994</v>
      </c>
      <c r="W7" s="16">
        <f t="shared" si="2"/>
        <v>-102.4328</v>
      </c>
      <c r="X7" s="16">
        <f t="shared" si="2"/>
        <v>-295.06240000000003</v>
      </c>
      <c r="Y7" s="16">
        <f t="shared" si="2"/>
        <v>-76.300200000000004</v>
      </c>
      <c r="Z7" s="16">
        <f t="shared" si="2"/>
        <v>-89.235399999999998</v>
      </c>
      <c r="AA7" s="17">
        <f t="shared" si="2"/>
        <v>-129.52680000000001</v>
      </c>
    </row>
    <row r="8" spans="1:27" ht="20" customHeight="1" x14ac:dyDescent="0.3">
      <c r="A8" s="8" t="s">
        <v>92</v>
      </c>
      <c r="B8" s="10">
        <f>SUM(B3:B7)</f>
        <v>1031819.9</v>
      </c>
      <c r="C8" s="10">
        <f>SUM(C3:C7)</f>
        <v>3733819.5500000003</v>
      </c>
      <c r="D8" s="10">
        <f>SUM(D3:D7)</f>
        <v>0</v>
      </c>
      <c r="E8" s="8" t="s">
        <v>92</v>
      </c>
      <c r="F8" s="10">
        <f>SUM(F3:F7)</f>
        <v>0</v>
      </c>
      <c r="G8" s="10">
        <f>SUM(G3:G7)</f>
        <v>0</v>
      </c>
      <c r="H8" s="10">
        <f>SUM(H3:H7)</f>
        <v>575482</v>
      </c>
      <c r="I8" s="69"/>
      <c r="J8" s="70" t="s">
        <v>117</v>
      </c>
      <c r="K8" s="71">
        <f>L8+P8+T8+X8</f>
        <v>14</v>
      </c>
      <c r="L8" s="71">
        <f>SUM(M8:O8)</f>
        <v>0</v>
      </c>
      <c r="M8" s="71">
        <v>0</v>
      </c>
      <c r="N8" s="71">
        <v>0</v>
      </c>
      <c r="O8" s="71">
        <v>0</v>
      </c>
      <c r="P8" s="71">
        <f>SUM(Q8:S8)</f>
        <v>14</v>
      </c>
      <c r="Q8" s="71">
        <v>0</v>
      </c>
      <c r="R8" s="71">
        <f>D19</f>
        <v>0</v>
      </c>
      <c r="S8" s="71">
        <f>H19</f>
        <v>14</v>
      </c>
      <c r="T8" s="71">
        <f>SUM(U8:W8)</f>
        <v>0</v>
      </c>
      <c r="U8" s="71"/>
      <c r="V8" s="71"/>
      <c r="W8" s="71"/>
      <c r="X8" s="71">
        <f>SUM(Y8:AA8)</f>
        <v>0</v>
      </c>
      <c r="Y8" s="71"/>
      <c r="Z8" s="71"/>
      <c r="AA8" s="72"/>
    </row>
    <row r="9" spans="1:27" ht="20" customHeight="1" x14ac:dyDescent="0.3">
      <c r="A9" s="11" t="s">
        <v>91</v>
      </c>
      <c r="B9" s="10" cm="1">
        <f t="array" ref="B9">SUM(SUMIFS(B3:B7,A3:A7,{"嘉兴","海宁","桐乡"}))</f>
        <v>957922</v>
      </c>
      <c r="C9" s="10" cm="1">
        <f t="array" ref="C9">SUM(SUMIFS(C3:C7,A3:A7,{"嘉兴","海宁","桐乡"}))</f>
        <v>3258799.95</v>
      </c>
      <c r="D9" s="10" cm="1">
        <f t="array" ref="D9">SUM(SUMIFS(D3:D7,A3:A7,{"嘉兴","海宁","桐乡"}))</f>
        <v>0</v>
      </c>
      <c r="E9" s="11" t="s">
        <v>91</v>
      </c>
      <c r="F9" s="10" cm="1">
        <f t="array" ref="F9">SUM(SUMIFS(F3:F7,E3:E7,{"嘉兴","海宁","桐乡"}))</f>
        <v>0</v>
      </c>
      <c r="G9" s="10" cm="1">
        <f t="array" ref="G9">SUM(SUMIFS(G3:G7,E3:E7,{"嘉兴","海宁","桐乡"}))</f>
        <v>0</v>
      </c>
      <c r="H9" s="10" cm="1">
        <f t="array" ref="H9">SUM(SUMIFS(H3:H7,E3:E7,{"嘉兴","海宁","桐乡"}))</f>
        <v>154418</v>
      </c>
      <c r="I9" s="65" t="s">
        <v>5</v>
      </c>
      <c r="J9" s="66" t="s">
        <v>85</v>
      </c>
      <c r="K9" s="67">
        <v>150</v>
      </c>
      <c r="L9" s="67">
        <f>150*L3</f>
        <v>19.110000000000003</v>
      </c>
      <c r="M9" s="67">
        <f t="shared" ref="M9:AA9" si="3">150*M3</f>
        <v>1.0650000000000002</v>
      </c>
      <c r="N9" s="67">
        <f t="shared" si="3"/>
        <v>5.79</v>
      </c>
      <c r="O9" s="67">
        <f t="shared" si="3"/>
        <v>12.254999999999999</v>
      </c>
      <c r="P9" s="67">
        <f t="shared" si="3"/>
        <v>37.214999999999996</v>
      </c>
      <c r="Q9" s="67">
        <f t="shared" si="3"/>
        <v>10.725</v>
      </c>
      <c r="R9" s="67">
        <f>150*R3</f>
        <v>12.36</v>
      </c>
      <c r="S9" s="67">
        <f t="shared" si="3"/>
        <v>14.13</v>
      </c>
      <c r="T9" s="67">
        <f t="shared" si="3"/>
        <v>43.034999999999997</v>
      </c>
      <c r="U9" s="67">
        <f t="shared" si="3"/>
        <v>12.600000000000001</v>
      </c>
      <c r="V9" s="67">
        <f t="shared" si="3"/>
        <v>12.855</v>
      </c>
      <c r="W9" s="67">
        <f t="shared" si="3"/>
        <v>17.579999999999998</v>
      </c>
      <c r="X9" s="67">
        <f t="shared" si="3"/>
        <v>50.64</v>
      </c>
      <c r="Y9" s="67">
        <f t="shared" si="3"/>
        <v>13.095000000000001</v>
      </c>
      <c r="Z9" s="67">
        <f t="shared" si="3"/>
        <v>15.315</v>
      </c>
      <c r="AA9" s="68">
        <f t="shared" si="3"/>
        <v>22.23</v>
      </c>
    </row>
    <row r="10" spans="1:27" ht="20" customHeight="1" x14ac:dyDescent="0.3">
      <c r="I10" s="56"/>
      <c r="J10" s="14" t="s">
        <v>88</v>
      </c>
      <c r="K10" s="16">
        <f>L10+P10+T10+X10</f>
        <v>14.508979999999999</v>
      </c>
      <c r="L10" s="16">
        <f>SUM(M10:O10)</f>
        <v>13.30898</v>
      </c>
      <c r="M10" s="16">
        <v>0.4335</v>
      </c>
      <c r="N10" s="16">
        <v>2.0263800000000001</v>
      </c>
      <c r="O10" s="16">
        <v>10.8491</v>
      </c>
      <c r="P10" s="16">
        <f>SUM(Q10:S10)</f>
        <v>1.2</v>
      </c>
      <c r="Q10" s="16">
        <v>1.2</v>
      </c>
      <c r="R10" s="16">
        <f>B14</f>
        <v>0</v>
      </c>
      <c r="S10" s="16">
        <f>F14</f>
        <v>0</v>
      </c>
      <c r="T10" s="16">
        <f>SUM(U10:W10)</f>
        <v>0</v>
      </c>
      <c r="U10" s="16"/>
      <c r="V10" s="16"/>
      <c r="W10" s="16"/>
      <c r="X10" s="16">
        <f>SUM(Y10:AA10)</f>
        <v>0</v>
      </c>
      <c r="Y10" s="16"/>
      <c r="Z10" s="16"/>
      <c r="AA10" s="17"/>
    </row>
    <row r="11" spans="1:27" ht="20" customHeight="1" x14ac:dyDescent="0.3">
      <c r="A11" s="47" t="s">
        <v>116</v>
      </c>
      <c r="B11" s="48"/>
      <c r="C11" s="48"/>
      <c r="D11" s="48"/>
      <c r="E11" s="47" t="s">
        <v>129</v>
      </c>
      <c r="F11" s="48"/>
      <c r="G11" s="48"/>
      <c r="H11" s="48"/>
      <c r="I11" s="56"/>
      <c r="J11" s="58" t="s">
        <v>89</v>
      </c>
      <c r="K11" s="59">
        <f>K10/K9</f>
        <v>9.6726533333333323E-2</v>
      </c>
      <c r="L11" s="59">
        <f t="shared" ref="L11:AA11" si="4">L10/L9</f>
        <v>0.69644060701203547</v>
      </c>
      <c r="M11" s="59">
        <f t="shared" si="4"/>
        <v>0.40704225352112672</v>
      </c>
      <c r="N11" s="59">
        <f t="shared" si="4"/>
        <v>0.34997927461139899</v>
      </c>
      <c r="O11" s="59">
        <f t="shared" si="4"/>
        <v>0.88527947776417792</v>
      </c>
      <c r="P11" s="59">
        <f t="shared" si="4"/>
        <v>3.2245062474808545E-2</v>
      </c>
      <c r="Q11" s="59">
        <f t="shared" si="4"/>
        <v>0.11188811188811189</v>
      </c>
      <c r="R11" s="59">
        <f t="shared" si="4"/>
        <v>0</v>
      </c>
      <c r="S11" s="59">
        <f t="shared" si="4"/>
        <v>0</v>
      </c>
      <c r="T11" s="59">
        <f t="shared" si="4"/>
        <v>0</v>
      </c>
      <c r="U11" s="59">
        <f t="shared" si="4"/>
        <v>0</v>
      </c>
      <c r="V11" s="59">
        <f t="shared" si="4"/>
        <v>0</v>
      </c>
      <c r="W11" s="59">
        <f t="shared" si="4"/>
        <v>0</v>
      </c>
      <c r="X11" s="59">
        <f t="shared" si="4"/>
        <v>0</v>
      </c>
      <c r="Y11" s="59">
        <f t="shared" si="4"/>
        <v>0</v>
      </c>
      <c r="Z11" s="59">
        <f t="shared" si="4"/>
        <v>0</v>
      </c>
      <c r="AA11" s="60">
        <f t="shared" si="4"/>
        <v>0</v>
      </c>
    </row>
    <row r="12" spans="1:27" ht="20" customHeight="1" x14ac:dyDescent="0.3">
      <c r="A12" s="7" t="s">
        <v>2</v>
      </c>
      <c r="B12" s="7" t="s">
        <v>112</v>
      </c>
      <c r="C12" s="7" t="s">
        <v>113</v>
      </c>
      <c r="D12" s="7" t="s">
        <v>114</v>
      </c>
      <c r="E12" s="7" t="s">
        <v>2</v>
      </c>
      <c r="F12" s="7" t="s">
        <v>112</v>
      </c>
      <c r="G12" s="7" t="s">
        <v>113</v>
      </c>
      <c r="H12" s="7" t="s">
        <v>114</v>
      </c>
      <c r="I12" s="56"/>
      <c r="J12" s="14" t="s">
        <v>90</v>
      </c>
      <c r="K12" s="16">
        <f>K10-K9</f>
        <v>-135.49101999999999</v>
      </c>
      <c r="L12" s="16">
        <f t="shared" ref="L12:AA12" si="5">L10-L9</f>
        <v>-5.801020000000003</v>
      </c>
      <c r="M12" s="16">
        <f t="shared" si="5"/>
        <v>-0.63150000000000017</v>
      </c>
      <c r="N12" s="16">
        <f t="shared" si="5"/>
        <v>-3.76362</v>
      </c>
      <c r="O12" s="16">
        <f t="shared" si="5"/>
        <v>-1.405899999999999</v>
      </c>
      <c r="P12" s="16">
        <f t="shared" si="5"/>
        <v>-36.014999999999993</v>
      </c>
      <c r="Q12" s="16">
        <f t="shared" si="5"/>
        <v>-9.5250000000000004</v>
      </c>
      <c r="R12" s="16">
        <f t="shared" si="5"/>
        <v>-12.36</v>
      </c>
      <c r="S12" s="16">
        <f t="shared" si="5"/>
        <v>-14.13</v>
      </c>
      <c r="T12" s="16">
        <f t="shared" si="5"/>
        <v>-43.034999999999997</v>
      </c>
      <c r="U12" s="16">
        <f t="shared" si="5"/>
        <v>-12.600000000000001</v>
      </c>
      <c r="V12" s="16">
        <f t="shared" si="5"/>
        <v>-12.855</v>
      </c>
      <c r="W12" s="16">
        <f t="shared" si="5"/>
        <v>-17.579999999999998</v>
      </c>
      <c r="X12" s="16">
        <f t="shared" si="5"/>
        <v>-50.64</v>
      </c>
      <c r="Y12" s="16">
        <f t="shared" si="5"/>
        <v>-13.095000000000001</v>
      </c>
      <c r="Z12" s="16">
        <f t="shared" si="5"/>
        <v>-15.315</v>
      </c>
      <c r="AA12" s="17">
        <f t="shared" si="5"/>
        <v>-22.23</v>
      </c>
    </row>
    <row r="13" spans="1:27" ht="20" customHeight="1" x14ac:dyDescent="0.3">
      <c r="A13" s="7" t="s">
        <v>115</v>
      </c>
      <c r="B13" s="9">
        <f>ROUNDDOWN(B3/10000,0)</f>
        <v>55</v>
      </c>
      <c r="C13" s="9">
        <f t="shared" ref="C13:D13" si="6">ROUNDDOWN(C3/10000,0)</f>
        <v>236</v>
      </c>
      <c r="D13" s="9">
        <f t="shared" si="6"/>
        <v>0</v>
      </c>
      <c r="E13" s="7" t="s">
        <v>115</v>
      </c>
      <c r="F13" s="9">
        <f>ROUNDDOWN(F3/10000,0)</f>
        <v>0</v>
      </c>
      <c r="G13" s="9">
        <f t="shared" ref="G13:H13" si="7">ROUNDDOWN(G3/10000,0)</f>
        <v>0</v>
      </c>
      <c r="H13" s="9">
        <f t="shared" si="7"/>
        <v>3</v>
      </c>
      <c r="I13" s="69"/>
      <c r="J13" s="70" t="s">
        <v>117</v>
      </c>
      <c r="K13" s="71">
        <f>L13+P13+T13+X13</f>
        <v>39</v>
      </c>
      <c r="L13" s="71">
        <f>SUM(M13:O13)</f>
        <v>0</v>
      </c>
      <c r="M13" s="71">
        <v>0</v>
      </c>
      <c r="N13" s="71">
        <v>0</v>
      </c>
      <c r="O13" s="71">
        <v>0</v>
      </c>
      <c r="P13" s="71">
        <f>SUM(Q13:S13)</f>
        <v>39</v>
      </c>
      <c r="Q13" s="71">
        <v>0</v>
      </c>
      <c r="R13" s="71">
        <f>D14</f>
        <v>0</v>
      </c>
      <c r="S13" s="71">
        <f>H14</f>
        <v>39</v>
      </c>
      <c r="T13" s="71">
        <f>SUM(U13:W13)</f>
        <v>0</v>
      </c>
      <c r="U13" s="71"/>
      <c r="V13" s="71"/>
      <c r="W13" s="71"/>
      <c r="X13" s="71">
        <f>SUM(Y13:AA13)</f>
        <v>0</v>
      </c>
      <c r="Y13" s="71"/>
      <c r="Z13" s="71"/>
      <c r="AA13" s="72"/>
    </row>
    <row r="14" spans="1:27" ht="20" customHeight="1" x14ac:dyDescent="0.3">
      <c r="A14" s="8" t="s">
        <v>5</v>
      </c>
      <c r="B14" s="10">
        <f t="shared" ref="B14:D14" si="8">ROUNDDOWN(B4/10000,0)</f>
        <v>0</v>
      </c>
      <c r="C14" s="10">
        <f t="shared" si="8"/>
        <v>15</v>
      </c>
      <c r="D14" s="10">
        <f t="shared" si="8"/>
        <v>0</v>
      </c>
      <c r="E14" s="8" t="s">
        <v>5</v>
      </c>
      <c r="F14" s="10">
        <f t="shared" ref="F14:H14" si="9">ROUNDDOWN(F4/10000,0)</f>
        <v>0</v>
      </c>
      <c r="G14" s="10">
        <f t="shared" si="9"/>
        <v>0</v>
      </c>
      <c r="H14" s="10">
        <f t="shared" si="9"/>
        <v>39</v>
      </c>
      <c r="I14" s="65" t="s">
        <v>7</v>
      </c>
      <c r="J14" s="66" t="s">
        <v>85</v>
      </c>
      <c r="K14" s="67">
        <v>176</v>
      </c>
      <c r="L14" s="67">
        <f>176*L3</f>
        <v>22.422400000000003</v>
      </c>
      <c r="M14" s="67">
        <f t="shared" ref="M14:AA14" si="10">176*M3</f>
        <v>1.2496</v>
      </c>
      <c r="N14" s="67">
        <f t="shared" si="10"/>
        <v>6.7936000000000005</v>
      </c>
      <c r="O14" s="67">
        <f t="shared" si="10"/>
        <v>14.379199999999999</v>
      </c>
      <c r="P14" s="67">
        <f t="shared" si="10"/>
        <v>43.665599999999998</v>
      </c>
      <c r="Q14" s="67">
        <f t="shared" si="10"/>
        <v>12.584</v>
      </c>
      <c r="R14" s="67">
        <f t="shared" si="10"/>
        <v>14.5024</v>
      </c>
      <c r="S14" s="67">
        <f>176*S3</f>
        <v>16.5792</v>
      </c>
      <c r="T14" s="67">
        <f t="shared" si="10"/>
        <v>50.494399999999999</v>
      </c>
      <c r="U14" s="67">
        <f t="shared" si="10"/>
        <v>14.784000000000001</v>
      </c>
      <c r="V14" s="67">
        <f t="shared" si="10"/>
        <v>15.0832</v>
      </c>
      <c r="W14" s="67">
        <f t="shared" si="10"/>
        <v>20.627199999999998</v>
      </c>
      <c r="X14" s="67">
        <f t="shared" si="10"/>
        <v>59.4176</v>
      </c>
      <c r="Y14" s="67">
        <f t="shared" si="10"/>
        <v>15.364800000000001</v>
      </c>
      <c r="Z14" s="67">
        <f t="shared" si="10"/>
        <v>17.9696</v>
      </c>
      <c r="AA14" s="68">
        <f t="shared" si="10"/>
        <v>26.083199999999998</v>
      </c>
    </row>
    <row r="15" spans="1:27" ht="20" customHeight="1" x14ac:dyDescent="0.3">
      <c r="A15" s="7" t="s">
        <v>22</v>
      </c>
      <c r="B15" s="9">
        <f t="shared" ref="B15:D15" si="11">ROUNDDOWN(B5/10000,0)</f>
        <v>9</v>
      </c>
      <c r="C15" s="9">
        <f t="shared" si="11"/>
        <v>27</v>
      </c>
      <c r="D15" s="9">
        <f t="shared" si="11"/>
        <v>0</v>
      </c>
      <c r="E15" s="7" t="s">
        <v>22</v>
      </c>
      <c r="F15" s="9">
        <f t="shared" ref="F15:H15" si="12">ROUNDDOWN(F5/10000,0)</f>
        <v>0</v>
      </c>
      <c r="G15" s="9">
        <f t="shared" si="12"/>
        <v>0</v>
      </c>
      <c r="H15" s="9">
        <f t="shared" si="12"/>
        <v>3</v>
      </c>
      <c r="I15" s="56"/>
      <c r="J15" s="14" t="s">
        <v>88</v>
      </c>
      <c r="K15" s="16">
        <f>L15+P15+T15+X15</f>
        <v>31.546700000000001</v>
      </c>
      <c r="L15" s="16">
        <f>SUM(M15:O15)</f>
        <v>21.202400000000001</v>
      </c>
      <c r="M15" s="16">
        <v>0.93700000000000006</v>
      </c>
      <c r="N15" s="16">
        <v>1.9610000000000001</v>
      </c>
      <c r="O15" s="16">
        <v>18.304400000000001</v>
      </c>
      <c r="P15" s="16">
        <f>SUM(Q15:S15)</f>
        <v>10.3443</v>
      </c>
      <c r="Q15" s="16">
        <v>4.3442999999999996</v>
      </c>
      <c r="R15" s="16">
        <f>B16</f>
        <v>6</v>
      </c>
      <c r="S15" s="16">
        <f>F16</f>
        <v>0</v>
      </c>
      <c r="T15" s="16">
        <f>SUM(U15:W15)</f>
        <v>0</v>
      </c>
      <c r="U15" s="16"/>
      <c r="V15" s="16"/>
      <c r="W15" s="16"/>
      <c r="X15" s="16">
        <f>SUM(Y15:AA15)</f>
        <v>0</v>
      </c>
      <c r="Y15" s="16"/>
      <c r="Z15" s="16"/>
      <c r="AA15" s="17"/>
    </row>
    <row r="16" spans="1:27" ht="20" customHeight="1" x14ac:dyDescent="0.3">
      <c r="A16" s="8" t="s">
        <v>7</v>
      </c>
      <c r="B16" s="10">
        <f t="shared" ref="B16:D16" si="13">ROUNDDOWN(B6/10000,0)</f>
        <v>6</v>
      </c>
      <c r="C16" s="10">
        <f t="shared" si="13"/>
        <v>32</v>
      </c>
      <c r="D16" s="10">
        <f t="shared" si="13"/>
        <v>0</v>
      </c>
      <c r="E16" s="8" t="s">
        <v>7</v>
      </c>
      <c r="F16" s="10">
        <f t="shared" ref="F16:H16" si="14">ROUNDDOWN(F6/10000,0)</f>
        <v>0</v>
      </c>
      <c r="G16" s="10">
        <f t="shared" si="14"/>
        <v>0</v>
      </c>
      <c r="H16" s="10">
        <f t="shared" si="14"/>
        <v>2</v>
      </c>
      <c r="I16" s="56"/>
      <c r="J16" s="58" t="s">
        <v>89</v>
      </c>
      <c r="K16" s="59">
        <f>K15/K14</f>
        <v>0.17924261363636365</v>
      </c>
      <c r="L16" s="59">
        <f t="shared" ref="L16:AA16" si="15">L15/L14</f>
        <v>0.94559012416155264</v>
      </c>
      <c r="M16" s="59">
        <f t="shared" si="15"/>
        <v>0.74983994878361082</v>
      </c>
      <c r="N16" s="59">
        <f t="shared" si="15"/>
        <v>0.28865402731983042</v>
      </c>
      <c r="O16" s="59">
        <f t="shared" si="15"/>
        <v>1.2729776343607435</v>
      </c>
      <c r="P16" s="59">
        <f t="shared" si="15"/>
        <v>0.23689815323733102</v>
      </c>
      <c r="Q16" s="59">
        <f t="shared" si="15"/>
        <v>0.34522409408773042</v>
      </c>
      <c r="R16" s="59">
        <f t="shared" si="15"/>
        <v>0.41372462488967343</v>
      </c>
      <c r="S16" s="59">
        <f t="shared" si="15"/>
        <v>0</v>
      </c>
      <c r="T16" s="59">
        <f t="shared" si="15"/>
        <v>0</v>
      </c>
      <c r="U16" s="59">
        <f t="shared" si="15"/>
        <v>0</v>
      </c>
      <c r="V16" s="59">
        <f t="shared" si="15"/>
        <v>0</v>
      </c>
      <c r="W16" s="59">
        <f t="shared" si="15"/>
        <v>0</v>
      </c>
      <c r="X16" s="59">
        <f t="shared" si="15"/>
        <v>0</v>
      </c>
      <c r="Y16" s="59">
        <f t="shared" si="15"/>
        <v>0</v>
      </c>
      <c r="Z16" s="59">
        <f t="shared" si="15"/>
        <v>0</v>
      </c>
      <c r="AA16" s="60">
        <f t="shared" si="15"/>
        <v>0</v>
      </c>
    </row>
    <row r="17" spans="1:27" ht="20" customHeight="1" x14ac:dyDescent="0.3">
      <c r="A17" s="7" t="s">
        <v>14</v>
      </c>
      <c r="B17" s="9">
        <f t="shared" ref="B17:D17" si="16">ROUNDDOWN(B7/10000,0)</f>
        <v>30</v>
      </c>
      <c r="C17" s="9">
        <f t="shared" si="16"/>
        <v>62</v>
      </c>
      <c r="D17" s="9">
        <f t="shared" si="16"/>
        <v>0</v>
      </c>
      <c r="E17" s="7" t="s">
        <v>14</v>
      </c>
      <c r="F17" s="9">
        <f t="shared" ref="F17:H17" si="17">ROUNDDOWN(F7/10000,0)</f>
        <v>0</v>
      </c>
      <c r="G17" s="9">
        <f t="shared" si="17"/>
        <v>0</v>
      </c>
      <c r="H17" s="9">
        <f t="shared" si="17"/>
        <v>8</v>
      </c>
      <c r="I17" s="56"/>
      <c r="J17" s="14" t="s">
        <v>90</v>
      </c>
      <c r="K17" s="16">
        <f>K15-K14</f>
        <v>-144.45330000000001</v>
      </c>
      <c r="L17" s="16">
        <f t="shared" ref="L17:AA17" si="18">L15-L14</f>
        <v>-1.2200000000000024</v>
      </c>
      <c r="M17" s="16">
        <f t="shared" si="18"/>
        <v>-0.31259999999999999</v>
      </c>
      <c r="N17" s="16">
        <f t="shared" si="18"/>
        <v>-4.8326000000000002</v>
      </c>
      <c r="O17" s="16">
        <f t="shared" si="18"/>
        <v>3.925200000000002</v>
      </c>
      <c r="P17" s="16">
        <f t="shared" si="18"/>
        <v>-33.321299999999994</v>
      </c>
      <c r="Q17" s="16">
        <f t="shared" si="18"/>
        <v>-8.2396999999999991</v>
      </c>
      <c r="R17" s="16">
        <f t="shared" si="18"/>
        <v>-8.5023999999999997</v>
      </c>
      <c r="S17" s="16">
        <f t="shared" si="18"/>
        <v>-16.5792</v>
      </c>
      <c r="T17" s="16">
        <f t="shared" si="18"/>
        <v>-50.494399999999999</v>
      </c>
      <c r="U17" s="16">
        <f t="shared" si="18"/>
        <v>-14.784000000000001</v>
      </c>
      <c r="V17" s="16">
        <f t="shared" si="18"/>
        <v>-15.0832</v>
      </c>
      <c r="W17" s="16">
        <f t="shared" si="18"/>
        <v>-20.627199999999998</v>
      </c>
      <c r="X17" s="16">
        <f t="shared" si="18"/>
        <v>-59.4176</v>
      </c>
      <c r="Y17" s="16">
        <f t="shared" si="18"/>
        <v>-15.364800000000001</v>
      </c>
      <c r="Z17" s="16">
        <f t="shared" si="18"/>
        <v>-17.9696</v>
      </c>
      <c r="AA17" s="17">
        <f t="shared" si="18"/>
        <v>-26.083199999999998</v>
      </c>
    </row>
    <row r="18" spans="1:27" ht="20" customHeight="1" x14ac:dyDescent="0.3">
      <c r="A18" s="12" t="s">
        <v>92</v>
      </c>
      <c r="B18" s="13">
        <f>SUM(B13:B17)</f>
        <v>100</v>
      </c>
      <c r="C18" s="13">
        <f>SUM(C13:C17)</f>
        <v>372</v>
      </c>
      <c r="D18" s="13">
        <f>SUM(D13:D17)</f>
        <v>0</v>
      </c>
      <c r="E18" s="12" t="s">
        <v>92</v>
      </c>
      <c r="F18" s="13">
        <f>SUM(F13:F17)</f>
        <v>0</v>
      </c>
      <c r="G18" s="13">
        <f>SUM(G13:G17)</f>
        <v>0</v>
      </c>
      <c r="H18" s="13">
        <f>SUM(H13:H17)</f>
        <v>55</v>
      </c>
      <c r="I18" s="69"/>
      <c r="J18" s="70" t="s">
        <v>117</v>
      </c>
      <c r="K18" s="71">
        <f>L18+P18+T18+X18</f>
        <v>2</v>
      </c>
      <c r="L18" s="71">
        <f>SUM(M18:O18)</f>
        <v>0</v>
      </c>
      <c r="M18" s="71">
        <v>0</v>
      </c>
      <c r="N18" s="71">
        <v>0</v>
      </c>
      <c r="O18" s="71">
        <v>0</v>
      </c>
      <c r="P18" s="71">
        <f>SUM(Q18:S18)</f>
        <v>2</v>
      </c>
      <c r="Q18" s="71">
        <v>0</v>
      </c>
      <c r="R18" s="71">
        <f>D16</f>
        <v>0</v>
      </c>
      <c r="S18" s="71">
        <f>H16</f>
        <v>2</v>
      </c>
      <c r="T18" s="71">
        <f>SUM(U18:W18)</f>
        <v>0</v>
      </c>
      <c r="U18" s="71"/>
      <c r="V18" s="71"/>
      <c r="W18" s="71"/>
      <c r="X18" s="71">
        <f>SUM(Y18:AA18)</f>
        <v>0</v>
      </c>
      <c r="Y18" s="71"/>
      <c r="Z18" s="71"/>
      <c r="AA18" s="72"/>
    </row>
    <row r="19" spans="1:27" ht="20" customHeight="1" x14ac:dyDescent="0.3">
      <c r="A19" s="11" t="s">
        <v>91</v>
      </c>
      <c r="B19" s="10" cm="1">
        <f t="array" ref="B19">SUM(SUMIFS(B13:B17,A13:A17,{"嘉兴","海宁","桐乡"}))</f>
        <v>94</v>
      </c>
      <c r="C19" s="10" cm="1">
        <f t="array" ref="C19">SUM(SUMIFS(C13:C17,A13:A17,{"嘉兴","海宁","桐乡"}))</f>
        <v>325</v>
      </c>
      <c r="D19" s="10" cm="1">
        <f t="array" ref="D19">SUM(SUMIFS(D13:D17,A13:A17,{"嘉兴","海宁","桐乡"}))</f>
        <v>0</v>
      </c>
      <c r="E19" s="11" t="s">
        <v>91</v>
      </c>
      <c r="F19" s="10" cm="1">
        <f t="array" ref="F19">SUM(SUMIFS(F13:F17,E13:E17,{"嘉兴","海宁","桐乡"}))</f>
        <v>0</v>
      </c>
      <c r="G19" s="10" cm="1">
        <f t="array" ref="G19">SUM(SUMIFS(G13:G17,E13:E17,{"嘉兴","海宁","桐乡"}))</f>
        <v>0</v>
      </c>
      <c r="H19" s="10" cm="1">
        <f t="array" ref="H19">SUM(SUMIFS(H13:H17,E13:E17,{"嘉兴","海宁","桐乡"}))</f>
        <v>14</v>
      </c>
      <c r="I19" s="73" t="s">
        <v>92</v>
      </c>
      <c r="J19" s="66" t="s">
        <v>85</v>
      </c>
      <c r="K19" s="67">
        <f>K14+K9+K4</f>
        <v>1200</v>
      </c>
      <c r="L19" s="67">
        <f t="shared" ref="L19:AA20" si="19">L14+L9+L4</f>
        <v>152.88000000000002</v>
      </c>
      <c r="M19" s="67">
        <f t="shared" si="19"/>
        <v>8.52</v>
      </c>
      <c r="N19" s="67">
        <f t="shared" si="19"/>
        <v>46.320000000000007</v>
      </c>
      <c r="O19" s="67">
        <f t="shared" si="19"/>
        <v>98.039999999999992</v>
      </c>
      <c r="P19" s="67">
        <f t="shared" si="19"/>
        <v>297.71999999999997</v>
      </c>
      <c r="Q19" s="67">
        <f t="shared" si="19"/>
        <v>85.799999999999983</v>
      </c>
      <c r="R19" s="67">
        <f t="shared" si="19"/>
        <v>98.88</v>
      </c>
      <c r="S19" s="67">
        <f t="shared" si="19"/>
        <v>113.04000000000002</v>
      </c>
      <c r="T19" s="67">
        <f t="shared" si="19"/>
        <v>344.28</v>
      </c>
      <c r="U19" s="67">
        <f t="shared" si="19"/>
        <v>100.80000000000001</v>
      </c>
      <c r="V19" s="67">
        <f t="shared" si="19"/>
        <v>102.84</v>
      </c>
      <c r="W19" s="67">
        <f t="shared" si="19"/>
        <v>140.63999999999999</v>
      </c>
      <c r="X19" s="67">
        <f t="shared" si="19"/>
        <v>405.12</v>
      </c>
      <c r="Y19" s="67">
        <f t="shared" si="19"/>
        <v>104.76</v>
      </c>
      <c r="Z19" s="67">
        <f t="shared" si="19"/>
        <v>122.52</v>
      </c>
      <c r="AA19" s="68">
        <f t="shared" si="19"/>
        <v>177.84</v>
      </c>
    </row>
    <row r="20" spans="1:27" ht="20" customHeight="1" x14ac:dyDescent="0.3">
      <c r="I20" s="57"/>
      <c r="J20" s="14" t="s">
        <v>88</v>
      </c>
      <c r="K20" s="16">
        <f>K15+K10+K5</f>
        <v>370.13477499999999</v>
      </c>
      <c r="L20" s="16">
        <f t="shared" si="19"/>
        <v>217.14047500000001</v>
      </c>
      <c r="M20" s="16">
        <f t="shared" si="19"/>
        <v>6.3552999999999997</v>
      </c>
      <c r="N20" s="16">
        <f t="shared" si="19"/>
        <v>45.856675000000003</v>
      </c>
      <c r="O20" s="16">
        <f t="shared" si="19"/>
        <v>164.92850000000001</v>
      </c>
      <c r="P20" s="16">
        <f t="shared" si="19"/>
        <v>152.99429999999998</v>
      </c>
      <c r="Q20" s="16">
        <f t="shared" si="19"/>
        <v>52.994300000000003</v>
      </c>
      <c r="R20" s="16">
        <f t="shared" si="19"/>
        <v>100</v>
      </c>
      <c r="S20" s="16">
        <f t="shared" si="19"/>
        <v>0</v>
      </c>
      <c r="T20" s="16">
        <f t="shared" si="19"/>
        <v>0</v>
      </c>
      <c r="U20" s="16">
        <f t="shared" si="19"/>
        <v>0</v>
      </c>
      <c r="V20" s="16">
        <f t="shared" si="19"/>
        <v>0</v>
      </c>
      <c r="W20" s="16">
        <f t="shared" si="19"/>
        <v>0</v>
      </c>
      <c r="X20" s="16">
        <f t="shared" si="19"/>
        <v>0</v>
      </c>
      <c r="Y20" s="16">
        <f t="shared" si="19"/>
        <v>0</v>
      </c>
      <c r="Z20" s="16">
        <f t="shared" si="19"/>
        <v>0</v>
      </c>
      <c r="AA20" s="17">
        <f t="shared" si="19"/>
        <v>0</v>
      </c>
    </row>
    <row r="21" spans="1:27" ht="20" customHeight="1" x14ac:dyDescent="0.3">
      <c r="I21" s="57"/>
      <c r="J21" s="58" t="s">
        <v>89</v>
      </c>
      <c r="K21" s="59">
        <f>K20/K19</f>
        <v>0.30844564583333334</v>
      </c>
      <c r="L21" s="59">
        <f t="shared" ref="L21:AA21" si="20">L20/L19</f>
        <v>1.4203327773417058</v>
      </c>
      <c r="M21" s="59">
        <f t="shared" si="20"/>
        <v>0.74592723004694839</v>
      </c>
      <c r="N21" s="59">
        <f t="shared" si="20"/>
        <v>0.98999730138169251</v>
      </c>
      <c r="O21" s="59">
        <f t="shared" si="20"/>
        <v>1.6822572419420647</v>
      </c>
      <c r="P21" s="59">
        <f t="shared" si="20"/>
        <v>0.51388653768641679</v>
      </c>
      <c r="Q21" s="59">
        <f t="shared" si="20"/>
        <v>0.61764918414918435</v>
      </c>
      <c r="R21" s="59">
        <f t="shared" si="20"/>
        <v>1.0113268608414241</v>
      </c>
      <c r="S21" s="59">
        <f t="shared" si="20"/>
        <v>0</v>
      </c>
      <c r="T21" s="59">
        <f t="shared" si="20"/>
        <v>0</v>
      </c>
      <c r="U21" s="59">
        <f t="shared" si="20"/>
        <v>0</v>
      </c>
      <c r="V21" s="59">
        <f t="shared" si="20"/>
        <v>0</v>
      </c>
      <c r="W21" s="59">
        <f t="shared" si="20"/>
        <v>0</v>
      </c>
      <c r="X21" s="59">
        <f t="shared" si="20"/>
        <v>0</v>
      </c>
      <c r="Y21" s="59">
        <f t="shared" si="20"/>
        <v>0</v>
      </c>
      <c r="Z21" s="59">
        <f t="shared" si="20"/>
        <v>0</v>
      </c>
      <c r="AA21" s="60">
        <f t="shared" si="20"/>
        <v>0</v>
      </c>
    </row>
    <row r="22" spans="1:27" ht="20" customHeight="1" x14ac:dyDescent="0.3">
      <c r="I22" s="57"/>
      <c r="J22" s="14" t="s">
        <v>90</v>
      </c>
      <c r="K22" s="16">
        <f>K20-K19</f>
        <v>-829.86522500000001</v>
      </c>
      <c r="L22" s="16">
        <f t="shared" ref="L22:AA22" si="21">L20-L19</f>
        <v>64.260474999999985</v>
      </c>
      <c r="M22" s="16">
        <f t="shared" si="21"/>
        <v>-2.1646999999999998</v>
      </c>
      <c r="N22" s="16">
        <f t="shared" si="21"/>
        <v>-0.46332500000000465</v>
      </c>
      <c r="O22" s="16">
        <f t="shared" si="21"/>
        <v>66.888500000000022</v>
      </c>
      <c r="P22" s="16">
        <f t="shared" si="21"/>
        <v>-144.72569999999999</v>
      </c>
      <c r="Q22" s="16">
        <f t="shared" si="21"/>
        <v>-32.80569999999998</v>
      </c>
      <c r="R22" s="16">
        <f t="shared" si="21"/>
        <v>1.1200000000000045</v>
      </c>
      <c r="S22" s="16">
        <f t="shared" si="21"/>
        <v>-113.04000000000002</v>
      </c>
      <c r="T22" s="16">
        <f t="shared" si="21"/>
        <v>-344.28</v>
      </c>
      <c r="U22" s="16">
        <f t="shared" si="21"/>
        <v>-100.80000000000001</v>
      </c>
      <c r="V22" s="16">
        <f t="shared" si="21"/>
        <v>-102.84</v>
      </c>
      <c r="W22" s="16">
        <f t="shared" si="21"/>
        <v>-140.63999999999999</v>
      </c>
      <c r="X22" s="16">
        <f t="shared" si="21"/>
        <v>-405.12</v>
      </c>
      <c r="Y22" s="16">
        <f t="shared" si="21"/>
        <v>-104.76</v>
      </c>
      <c r="Z22" s="16">
        <f t="shared" si="21"/>
        <v>-122.52</v>
      </c>
      <c r="AA22" s="17">
        <f t="shared" si="21"/>
        <v>-177.84</v>
      </c>
    </row>
    <row r="23" spans="1:27" ht="16.5" x14ac:dyDescent="0.3">
      <c r="I23" s="74"/>
      <c r="J23" s="70" t="s">
        <v>117</v>
      </c>
      <c r="K23" s="71">
        <f>K8+K13+K18</f>
        <v>55</v>
      </c>
      <c r="L23" s="71">
        <f>SUM(M23:O23)</f>
        <v>0</v>
      </c>
      <c r="M23" s="71">
        <f>M8+M13+M18</f>
        <v>0</v>
      </c>
      <c r="N23" s="71">
        <f t="shared" ref="N23:O23" si="22">N8+N13+N18</f>
        <v>0</v>
      </c>
      <c r="O23" s="71">
        <f t="shared" si="22"/>
        <v>0</v>
      </c>
      <c r="P23" s="71">
        <f>SUM(Q23:S23)</f>
        <v>55</v>
      </c>
      <c r="Q23" s="71">
        <f>Q8+Q13+Q18</f>
        <v>0</v>
      </c>
      <c r="R23" s="71">
        <f t="shared" ref="R23:S23" si="23">R8+R13+R18</f>
        <v>0</v>
      </c>
      <c r="S23" s="71">
        <f t="shared" si="23"/>
        <v>55</v>
      </c>
      <c r="T23" s="71">
        <f>SUM(U23:W23)</f>
        <v>0</v>
      </c>
      <c r="U23" s="71"/>
      <c r="V23" s="71"/>
      <c r="W23" s="71"/>
      <c r="X23" s="71">
        <f>SUM(Y23:AA23)</f>
        <v>0</v>
      </c>
      <c r="Y23" s="71"/>
      <c r="Z23" s="71"/>
      <c r="AA23" s="72"/>
    </row>
  </sheetData>
  <mergeCells count="12">
    <mergeCell ref="I19:I23"/>
    <mergeCell ref="A1:D1"/>
    <mergeCell ref="A11:D11"/>
    <mergeCell ref="I9:I13"/>
    <mergeCell ref="I14:I18"/>
    <mergeCell ref="I1:AA1"/>
    <mergeCell ref="I2:I3"/>
    <mergeCell ref="J2:J3"/>
    <mergeCell ref="K2:K3"/>
    <mergeCell ref="I4:I8"/>
    <mergeCell ref="E1:H1"/>
    <mergeCell ref="E11:H11"/>
  </mergeCells>
  <phoneticPr fontId="1" type="noConversion"/>
  <conditionalFormatting sqref="J4:J18 Y4:AA18 U4:W18 Q4:S18 M4:O18">
    <cfRule type="expression" dxfId="36" priority="32">
      <formula>MOD(ROW(),2)=0</formula>
    </cfRule>
    <cfRule type="expression" dxfId="35" priority="33">
      <formula>MOD(ROW(),2)=1</formula>
    </cfRule>
  </conditionalFormatting>
  <conditionalFormatting sqref="J19:J23 Y19:AA23 U19:W23 Q19:S23 M19:O23">
    <cfRule type="expression" dxfId="34" priority="30">
      <formula>MOD(ROW(),2)=0</formula>
    </cfRule>
    <cfRule type="expression" dxfId="33" priority="31">
      <formula>MOD(ROW(),2)=1</formula>
    </cfRule>
  </conditionalFormatting>
  <conditionalFormatting sqref="L4:L18">
    <cfRule type="expression" dxfId="19" priority="19">
      <formula>MOD(ROW(),2)=0</formula>
    </cfRule>
    <cfRule type="expression" dxfId="18" priority="20">
      <formula>MOD(ROW(),2)=1</formula>
    </cfRule>
  </conditionalFormatting>
  <conditionalFormatting sqref="L19:L23">
    <cfRule type="expression" dxfId="17" priority="17">
      <formula>MOD(ROW(),2)=0</formula>
    </cfRule>
    <cfRule type="expression" dxfId="16" priority="18">
      <formula>MOD(ROW(),2)=1</formula>
    </cfRule>
  </conditionalFormatting>
  <conditionalFormatting sqref="K4:K18">
    <cfRule type="expression" dxfId="15" priority="15">
      <formula>MOD(ROW(),2)=0</formula>
    </cfRule>
    <cfRule type="expression" dxfId="14" priority="16">
      <formula>MOD(ROW(),2)=1</formula>
    </cfRule>
  </conditionalFormatting>
  <conditionalFormatting sqref="K19:K23">
    <cfRule type="expression" dxfId="13" priority="13">
      <formula>MOD(ROW(),2)=0</formula>
    </cfRule>
    <cfRule type="expression" dxfId="12" priority="14">
      <formula>MOD(ROW(),2)=1</formula>
    </cfRule>
  </conditionalFormatting>
  <conditionalFormatting sqref="P4:P18">
    <cfRule type="expression" dxfId="11" priority="11">
      <formula>MOD(ROW(),2)=0</formula>
    </cfRule>
    <cfRule type="expression" dxfId="10" priority="12">
      <formula>MOD(ROW(),2)=1</formula>
    </cfRule>
  </conditionalFormatting>
  <conditionalFormatting sqref="P19:P23">
    <cfRule type="expression" dxfId="9" priority="9">
      <formula>MOD(ROW(),2)=0</formula>
    </cfRule>
    <cfRule type="expression" dxfId="8" priority="10">
      <formula>MOD(ROW(),2)=1</formula>
    </cfRule>
  </conditionalFormatting>
  <conditionalFormatting sqref="T4:T18">
    <cfRule type="expression" dxfId="7" priority="7">
      <formula>MOD(ROW(),2)=0</formula>
    </cfRule>
    <cfRule type="expression" dxfId="6" priority="8">
      <formula>MOD(ROW(),2)=1</formula>
    </cfRule>
  </conditionalFormatting>
  <conditionalFormatting sqref="T19:T23">
    <cfRule type="expression" dxfId="5" priority="5">
      <formula>MOD(ROW(),2)=0</formula>
    </cfRule>
    <cfRule type="expression" dxfId="4" priority="6">
      <formula>MOD(ROW(),2)=1</formula>
    </cfRule>
  </conditionalFormatting>
  <conditionalFormatting sqref="X4:X18">
    <cfRule type="expression" dxfId="3" priority="3">
      <formula>MOD(ROW(),2)=0</formula>
    </cfRule>
    <cfRule type="expression" dxfId="2" priority="4">
      <formula>MOD(ROW(),2)=1</formula>
    </cfRule>
  </conditionalFormatting>
  <conditionalFormatting sqref="X19:X23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联动数据</vt:lpstr>
      <vt:lpstr>出货数据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2023-06-06T01:36:15Z</dcterms:modified>
</cp:coreProperties>
</file>