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12FDC5F6-ACCD-4F59-BC61-2B87B9DBC927}" xr6:coauthVersionLast="47" xr6:coauthVersionMax="47" xr10:uidLastSave="{00000000-0000-0000-0000-000000000000}"/>
  <bookViews>
    <workbookView xWindow="0" yWindow="450" windowWidth="22490" windowHeight="1052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R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T25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U25" i="5" s="1"/>
  <c r="F16" i="5"/>
  <c r="F15" i="5"/>
  <c r="F14" i="5"/>
  <c r="F13" i="5"/>
  <c r="F12" i="5"/>
  <c r="F17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S27" i="5" l="1"/>
  <c r="L8" i="5"/>
  <c r="L17" i="5" s="1"/>
  <c r="Y25" i="5" s="1"/>
  <c r="R27" i="5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V25" i="5" l="1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<sst xmlns="http://schemas.openxmlformats.org/spreadsheetml/2006/main" count="388" uniqueCount="71">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</sst>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1" workbookViewId="0">
      <selection activeCell="L28" sqref="L28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187984</v>
      </c>
      <c r="M3" s="3">
        <v>2549790.9500000002</v>
      </c>
      <c r="N3" s="3">
        <v>289016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421600.3</v>
      </c>
      <c r="M4" s="3">
        <v>572124.9</v>
      </c>
      <c r="N4" s="3">
        <v>29925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364.079095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181.45</v>
      </c>
      <c r="W5" s="10">
        <f>28.21+10.94+8.3</f>
        <v>47.45</v>
      </c>
      <c r="X5" s="10">
        <f>J18</f>
        <v>95</v>
      </c>
      <c r="Y5" s="10">
        <f>L18</f>
        <v>39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>
        <v>29010</v>
      </c>
      <c r="O6" s="34"/>
      <c r="P6" s="25" t="s">
        <v>4</v>
      </c>
      <c r="Q6" s="26">
        <f>Q5/Q4</f>
        <v>0.41656647025171623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0.8367944202022326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0.47369878587357339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172391</v>
      </c>
      <c r="M7" s="3">
        <v>794703</v>
      </c>
      <c r="N7" s="3">
        <v>179683</v>
      </c>
      <c r="O7" s="34"/>
      <c r="P7" s="9" t="s">
        <v>36</v>
      </c>
      <c r="Q7" s="10">
        <f>ROUNDUP(Q4-Q5,0)</f>
        <v>510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36</v>
      </c>
      <c r="W7" s="10">
        <f t="shared" si="2"/>
        <v>16</v>
      </c>
      <c r="X7" s="10">
        <f t="shared" si="2"/>
        <v>-23</v>
      </c>
      <c r="Y7" s="10">
        <f t="shared" si="2"/>
        <v>44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1099481.3</v>
      </c>
      <c r="M8" s="4">
        <f>SUM(M3:M7)</f>
        <v>4833300.8499999996</v>
      </c>
      <c r="N8" s="4">
        <f>SUM(N3:N7)</f>
        <v>527634</v>
      </c>
      <c r="O8" s="35"/>
      <c r="P8" s="20" t="s">
        <v>47</v>
      </c>
      <c r="Q8" s="21">
        <f>R8+V8+Z8+AD8</f>
        <v>46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46</v>
      </c>
      <c r="W8" s="21">
        <v>0</v>
      </c>
      <c r="X8" s="21">
        <v>0</v>
      </c>
      <c r="Y8" s="21">
        <f>N18</f>
        <v>46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393598</v>
      </c>
      <c r="M9" s="4" cm="1">
        <f t="array" ref="M9">SUM(SUMIFS(M3:M7,K3:K7,{"嘉兴","海宁","桐乡"}))</f>
        <v>3652397.95</v>
      </c>
      <c r="N9" s="4" cm="1">
        <f t="array" ref="N9">SUM(SUMIFS(N3:N7,K3:K7,{"嘉兴","海宁","桐乡"}))</f>
        <v>468699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56.508980000000001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43.2</v>
      </c>
      <c r="W10" s="10">
        <v>1.2</v>
      </c>
      <c r="X10" s="10">
        <f>J13</f>
        <v>0</v>
      </c>
      <c r="Y10" s="10">
        <f>L13</f>
        <v>42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/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0.37672653333333334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1.1608222490931077</v>
      </c>
      <c r="W11" s="26">
        <f t="shared" si="4"/>
        <v>0.11188811188811189</v>
      </c>
      <c r="X11" s="26">
        <f t="shared" si="4"/>
        <v>0</v>
      </c>
      <c r="Y11" s="26">
        <f t="shared" si="4"/>
        <v>2.9723991507430996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18</v>
      </c>
      <c r="M12" s="3">
        <f t="shared" si="8"/>
        <v>254</v>
      </c>
      <c r="N12" s="3">
        <f t="shared" si="8"/>
        <v>28</v>
      </c>
      <c r="O12" s="34"/>
      <c r="P12" s="8" t="s">
        <v>39</v>
      </c>
      <c r="Q12" s="10">
        <f>ROUNDUP(Q9-Q10,0)</f>
        <v>94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-6</v>
      </c>
      <c r="W12" s="10">
        <f t="shared" si="9"/>
        <v>10</v>
      </c>
      <c r="X12" s="10">
        <f t="shared" si="9"/>
        <v>13</v>
      </c>
      <c r="Y12" s="10">
        <f t="shared" si="9"/>
        <v>-28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42</v>
      </c>
      <c r="M13" s="4">
        <f t="shared" si="8"/>
        <v>57</v>
      </c>
      <c r="N13" s="4">
        <f t="shared" si="8"/>
        <v>2</v>
      </c>
      <c r="O13" s="35"/>
      <c r="P13" s="20" t="s">
        <v>47</v>
      </c>
      <c r="Q13" s="21">
        <f>R13+V13+Z13+AD13</f>
        <v>2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2</v>
      </c>
      <c r="W13" s="21">
        <v>0</v>
      </c>
      <c r="X13" s="21">
        <v>0</v>
      </c>
      <c r="Y13" s="21">
        <f>N13</f>
        <v>2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28</v>
      </c>
      <c r="M15" s="4">
        <f t="shared" si="8"/>
        <v>60</v>
      </c>
      <c r="N15" s="4">
        <f t="shared" si="8"/>
        <v>2</v>
      </c>
      <c r="O15" s="34"/>
      <c r="P15" s="8" t="s">
        <v>37</v>
      </c>
      <c r="Q15" s="10">
        <f>R15+V15+Z15+AD15</f>
        <v>59.546700000000001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38.344300000000004</v>
      </c>
      <c r="W15" s="10">
        <v>4.3442999999999996</v>
      </c>
      <c r="X15" s="10">
        <f>J15</f>
        <v>6</v>
      </c>
      <c r="Y15" s="10">
        <f>L15</f>
        <v>28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17</v>
      </c>
      <c r="M16" s="3">
        <f t="shared" si="8"/>
        <v>79</v>
      </c>
      <c r="N16" s="3">
        <f t="shared" si="8"/>
        <v>17</v>
      </c>
      <c r="O16" s="34"/>
      <c r="P16" s="14" t="s">
        <v>38</v>
      </c>
      <c r="Q16" s="26">
        <f>Q15/Q14</f>
        <v>0.33833352272727274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0.87813519108863747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1.6888631538313066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109</v>
      </c>
      <c r="M17" s="7">
        <f t="shared" si="8"/>
        <v>483</v>
      </c>
      <c r="N17" s="7">
        <f t="shared" si="8"/>
        <v>52</v>
      </c>
      <c r="O17" s="34"/>
      <c r="P17" s="8" t="s">
        <v>39</v>
      </c>
      <c r="Q17" s="10">
        <f>ROUNDUP(Q14-Q15,0)</f>
        <v>117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6</v>
      </c>
      <c r="W17" s="10">
        <f t="shared" si="22"/>
        <v>9</v>
      </c>
      <c r="X17" s="10">
        <f t="shared" si="22"/>
        <v>9</v>
      </c>
      <c r="Y17" s="10">
        <f t="shared" si="22"/>
        <v>-12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39</v>
      </c>
      <c r="M18" s="4">
        <f t="shared" si="8"/>
        <v>365</v>
      </c>
      <c r="N18" s="4">
        <f t="shared" si="8"/>
        <v>46</v>
      </c>
      <c r="O18" s="35"/>
      <c r="P18" s="20" t="s">
        <v>47</v>
      </c>
      <c r="Q18" s="21">
        <f>R18+V18+Z18+AD18</f>
        <v>2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2</v>
      </c>
      <c r="W18" s="21">
        <v>0</v>
      </c>
      <c r="X18" s="21">
        <v>0</v>
      </c>
      <c r="Y18" s="21">
        <f>N15</f>
        <v>2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480.13477499999999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262.99430000000001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109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1915299</v>
      </c>
      <c r="M21" s="1">
        <v>10082875.300000001</v>
      </c>
      <c r="N21" s="1">
        <v>3284734</v>
      </c>
      <c r="O21" s="34"/>
      <c r="P21" s="14" t="s">
        <v>38</v>
      </c>
      <c r="Q21" s="26">
        <f>Q20/Q19</f>
        <v>0.40011231250000001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0.88336121187693151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0.9642604387827316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152283</v>
      </c>
      <c r="M22" s="1">
        <v>602939.47</v>
      </c>
      <c r="N22" s="1">
        <v>0</v>
      </c>
      <c r="O22" s="34"/>
      <c r="P22" s="8" t="s">
        <v>39</v>
      </c>
      <c r="Q22" s="10">
        <f>ROUNDUP(Q19-Q20,0)</f>
        <v>720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35</v>
      </c>
      <c r="W22" s="10">
        <f t="shared" si="27"/>
        <v>33</v>
      </c>
      <c r="X22" s="10">
        <f t="shared" si="27"/>
        <v>-3</v>
      </c>
      <c r="Y22" s="10">
        <f t="shared" si="27"/>
        <v>5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0</v>
      </c>
      <c r="O23" s="35"/>
      <c r="P23" s="20" t="s">
        <v>47</v>
      </c>
      <c r="Q23" s="21">
        <f>Q8+Q13+Q18</f>
        <v>50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50</v>
      </c>
      <c r="W23" s="21">
        <f>W8+W13+W18</f>
        <v>0</v>
      </c>
      <c r="X23" s="21">
        <f t="shared" ref="X23:Y23" si="29">X8+X13+X18</f>
        <v>0</v>
      </c>
      <c r="Y23" s="21">
        <f t="shared" si="29"/>
        <v>50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203001.75</v>
      </c>
      <c r="M25" s="1">
        <v>882748.35</v>
      </c>
      <c r="N25" s="1">
        <v>59233.65</v>
      </c>
      <c r="O25" s="34"/>
      <c r="P25" s="8" t="s">
        <v>37</v>
      </c>
      <c r="Q25" s="10">
        <f>R25+V25+Z25+AD25</f>
        <v>2097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1086</v>
      </c>
      <c r="W25" s="10">
        <f>H48+H17</f>
        <v>341</v>
      </c>
      <c r="X25" s="10">
        <f>J48+J17</f>
        <v>355</v>
      </c>
      <c r="Y25" s="10">
        <f>L48+L17</f>
        <v>390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139389</v>
      </c>
      <c r="M26" s="1">
        <v>987444.5</v>
      </c>
      <c r="N26" s="1">
        <v>141336</v>
      </c>
      <c r="O26" s="34"/>
      <c r="P26" s="14" t="s">
        <v>38</v>
      </c>
      <c r="Q26" s="26">
        <f>Q25/Q24</f>
        <v>0.29744680851063832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0.62088896892982415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0.58725211184894066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113856</v>
      </c>
      <c r="M27" s="1">
        <v>791335.8</v>
      </c>
      <c r="N27" s="1">
        <v>203239</v>
      </c>
      <c r="O27" s="34"/>
      <c r="P27" s="8" t="s">
        <v>39</v>
      </c>
      <c r="Q27" s="10">
        <f>ROUNDUP(Q24-Q25,0)</f>
        <v>4953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664</v>
      </c>
      <c r="W27" s="10">
        <f t="shared" si="32"/>
        <v>164</v>
      </c>
      <c r="X27" s="10">
        <f t="shared" si="32"/>
        <v>226</v>
      </c>
      <c r="Y27" s="10">
        <f t="shared" si="32"/>
        <v>275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5"/>
      <c r="P28" s="20" t="s">
        <v>47</v>
      </c>
      <c r="Q28" s="21">
        <f>R28+V28+Z28+AD28</f>
        <v>482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482</v>
      </c>
      <c r="W28" s="21">
        <f>W13+W18+W23</f>
        <v>0</v>
      </c>
      <c r="X28" s="21">
        <f t="shared" ref="X28" si="34">X13+X18+X23</f>
        <v>0</v>
      </c>
      <c r="Y28" s="21">
        <f>N48+N17</f>
        <v>482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458832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2812748.25</v>
      </c>
      <c r="M33" s="2">
        <f>SUM(M21:M32)</f>
        <v>16194937.020000001</v>
      </c>
      <c r="N33" s="2">
        <f>SUM(N21:N32)</f>
        <v>4309007.6500000004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191</v>
      </c>
      <c r="M36" s="1">
        <f t="shared" ref="M36:N36" si="35">ROUNDDOWN(M21/10000,0)</f>
        <v>1008</v>
      </c>
      <c r="N36" s="1">
        <f t="shared" si="35"/>
        <v>328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15</v>
      </c>
      <c r="M37" s="1">
        <f t="shared" si="40"/>
        <v>60</v>
      </c>
      <c r="N37" s="1">
        <f t="shared" si="40"/>
        <v>0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20</v>
      </c>
      <c r="M40" s="1">
        <f t="shared" si="52"/>
        <v>88</v>
      </c>
      <c r="N40" s="1">
        <f t="shared" si="52"/>
        <v>5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13</v>
      </c>
      <c r="M41" s="1">
        <f t="shared" si="56"/>
        <v>98</v>
      </c>
      <c r="N41" s="1">
        <f t="shared" si="56"/>
        <v>14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11</v>
      </c>
      <c r="M42" s="1">
        <f t="shared" si="60"/>
        <v>79</v>
      </c>
      <c r="N42" s="1">
        <f t="shared" si="60"/>
        <v>20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45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281</v>
      </c>
      <c r="M48" s="2">
        <f t="shared" si="84"/>
        <v>1619</v>
      </c>
      <c r="N48" s="2">
        <f t="shared" si="84"/>
        <v>430</v>
      </c>
    </row>
  </sheetData>
  <mergeCells count="33"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O24:O28"/>
    <mergeCell ref="I19:J19"/>
    <mergeCell ref="K19:N19"/>
    <mergeCell ref="I34:J34"/>
    <mergeCell ref="K34:N34"/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2023-06-25T02:47:08Z</dcterms:modified>
</cp:coreProperties>
</file>