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A675D5F4-260E-4CF3-9F23-7E654A6FE995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 " sheetId="5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5" l="1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R27" i="5" l="1"/>
  <c r="R12" i="5"/>
  <c r="R23" i="5"/>
  <c r="W25" i="5"/>
  <c r="Y25" i="5"/>
  <c r="V25" i="5" s="1"/>
  <c r="Q25" i="5" s="1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O12" i="1"/>
  <c r="O11" i="1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X27" i="5" l="1"/>
  <c r="X26" i="5"/>
  <c r="O23" i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Y27" i="5" l="1"/>
  <c r="Y26" i="5"/>
  <c r="AC4" i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Z27" i="5" l="1"/>
  <c r="Z26" i="5"/>
  <c r="AE10" i="1"/>
  <c r="AD10" i="1"/>
  <c r="AC10" i="1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<sst xmlns="http://schemas.openxmlformats.org/spreadsheetml/2006/main" count="640" uniqueCount="153">
  <si>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</si>
  <si>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</si>
  <si>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</si>
  <si>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</si>
  <si>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</si>
  <si>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</si>
  <si>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</si>
  <si>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</si>
  <si>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</si>
  <si>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</si>
  <si>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</si>
  <si>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</si>
  <si>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</si>
  <si>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</si>
  <si>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</si>
  <si>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</si>
  <si>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</si>
  <si>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</si>
  <si>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</si>
  <si>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</si>
  <si>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</si>
  <si>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</si>
  <si>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</si>
  <si>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</si>
  <si>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</si>
  <si>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</si>
  <si>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</si>
  <si>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</si>
  <si>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</si>
  <si>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</si>
  <si>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</si>
  <si>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</si>
  <si>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</si>
  <si>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</si>
  <si>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</si>
  <si>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</si>
  <si>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</si>
  <si>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</si>
  <si>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</si>
  <si>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</si>
  <si>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</si>
  <si>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</si>
  <si>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</si>
  <si>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</si>
  <si>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</si>
  <si>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</si>
  <si>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</si>
  <si>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</si>
  <si>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</si>
  <si>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</si>
  <si>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</si>
  <si>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</si>
  <si>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</si>
  <si>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</si>
  <si>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</si>
  <si>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</si>
  <si>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</si>
  <si>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</si>
  <si>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</si>
  <si>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</si>
  <si>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</si>
  <si>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</si>
  <si>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</si>
  <si>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</si>
  <si>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</si>
  <si>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</si>
  <si>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</si>
  <si>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</si>
  <si>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</si>
  <si>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</si>
  <si>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</si>
  <si>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</si>
  <si>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</si>
  <si>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</si>
  <si>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</si>
  <si>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</si>
  <si>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</si>
  <si>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</si>
  <si>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</si>
  <si>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</si>
  <si>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</si>
  <si>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</si>
  <si>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</si>
  <si>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</si>
  <si>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</si>
  <si>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</si>
  <si>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</si>
  <si>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</si>
  <si>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</si>
  <si>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</si>
  <si>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</si>
  <si>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</si>
  <si>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</si>
  <si>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</si>
  <si>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</si>
  <si>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</si>
  <si>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</si>
  <si>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</si>
  <si>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</si>
  <si>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</si>
  <si>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</si>
  <si>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</si>
  <si>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</si>
  <si>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</si>
  <si>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</si>
  <si>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</si>
  <si>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</si>
  <si>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</si>
  <si>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</si>
  <si>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</si>
  <si>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</si>
  <si>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</si>
  <si>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</si>
  <si>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</si>
  <si>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</si>
  <si>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</si>
  <si>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</si>
  <si>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</si>
  <si>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</si>
  <si>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</si>
  <si>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</si>
  <si>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</si>
  <si>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</si>
  <si>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</si>
  <si>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</si>
  <si>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</si>
  <si>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</si>
  <si>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</si>
  <si>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</si>
  <si>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</si>
  <si>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</si>
  <si>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</si>
  <si>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</si>
  <si>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</si>
  <si>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</si>
  <si>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</si>
  <si>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</si>
  <si>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</si>
  <si>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</si>
  <si>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</si>
  <si>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</si>
  <si>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</si>
  <si>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</si>
  <si>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</si>
  <si>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</si>
  <si>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</si>
  <si>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</si>
  <si>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</si>
  <si>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</si>
  <si>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</si>
  <si>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</si>
  <si>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</si>
  <si>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54952 15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</si>
</sst>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9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8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49" t="s">
        <v>16</v>
      </c>
      <c r="H2" s="50"/>
      <c r="I2" s="50"/>
      <c r="J2" s="5" t="s">
        <v>2</v>
      </c>
      <c r="K2" s="49" t="s">
        <v>44</v>
      </c>
      <c r="L2" s="50"/>
      <c r="M2" s="50"/>
      <c r="N2" s="5" t="s">
        <v>2</v>
      </c>
      <c r="O2" s="49" t="s">
        <v>94</v>
      </c>
      <c r="P2" s="50"/>
      <c r="Q2" s="50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1">
        <f ca="1">TODAY()</f>
        <v>45093</v>
      </c>
      <c r="H3" s="52"/>
      <c r="I3" s="3">
        <f ca="1">TODAY()</f>
        <v>45093</v>
      </c>
      <c r="J3" s="4" t="s">
        <v>1</v>
      </c>
      <c r="K3" s="51">
        <f ca="1">TODAY()</f>
        <v>45093</v>
      </c>
      <c r="L3" s="52"/>
      <c r="M3" s="3">
        <f ca="1">TODAY()</f>
        <v>45093</v>
      </c>
      <c r="N3" s="4" t="s">
        <v>1</v>
      </c>
      <c r="O3" s="51">
        <f ca="1">TODAY()</f>
        <v>45093</v>
      </c>
      <c r="P3" s="52"/>
      <c r="Q3" s="3">
        <f ca="1">TODAY()</f>
        <v>45093</v>
      </c>
      <c r="R3" s="4" t="s">
        <v>1</v>
      </c>
      <c r="W3" s="22" t="s">
        <v>105</v>
      </c>
      <c r="X3" s="23">
        <f ca="1">TODAY()</f>
        <v>45093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2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3" cm="1">
        <f t="array" aca="1" ref="G4" ca="1">SUM(SUMIFS($E:$E,$C:$C,TODAY(),$B:$B,{"海盐","平湖","海宁","桐乡"}))</f>
        <v>0</v>
      </c>
      <c r="H4" s="54"/>
      <c r="I4" s="54"/>
      <c r="J4" s="55" t="s">
        <v>21</v>
      </c>
      <c r="K4" s="53" cm="1">
        <f t="array" aca="1" ref="K4" ca="1">SUM(SUMIFS($E:$E,$C:$C,TODAY(),$B:$B,{"红星","月星","六空"}))</f>
        <v>0</v>
      </c>
      <c r="L4" s="54"/>
      <c r="M4" s="54"/>
      <c r="N4" s="55" t="s">
        <v>21</v>
      </c>
      <c r="O4" s="53">
        <f ca="1">SUMIFS($E:$E,$C:$C,TODAY())</f>
        <v>0</v>
      </c>
      <c r="P4" s="54"/>
      <c r="Q4" s="54"/>
      <c r="R4" s="55" t="s">
        <v>21</v>
      </c>
      <c r="W4" s="22" t="s">
        <v>106</v>
      </c>
      <c r="X4" s="23">
        <f t="shared" ref="X4:X10" ca="1" si="0">TODAY()</f>
        <v>45093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2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3"/>
      <c r="H5" s="54"/>
      <c r="I5" s="54"/>
      <c r="J5" s="55"/>
      <c r="K5" s="53"/>
      <c r="L5" s="54"/>
      <c r="M5" s="54"/>
      <c r="N5" s="55"/>
      <c r="O5" s="53"/>
      <c r="P5" s="54"/>
      <c r="Q5" s="54"/>
      <c r="R5" s="55"/>
      <c r="W5" s="22" t="s">
        <v>107</v>
      </c>
      <c r="X5" s="23">
        <f t="shared" ca="1" si="0"/>
        <v>45093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2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3"/>
      <c r="H6" s="54"/>
      <c r="I6" s="54"/>
      <c r="J6" s="55"/>
      <c r="K6" s="53"/>
      <c r="L6" s="54"/>
      <c r="M6" s="54"/>
      <c r="N6" s="55"/>
      <c r="O6" s="53"/>
      <c r="P6" s="54"/>
      <c r="Q6" s="54"/>
      <c r="R6" s="55"/>
      <c r="W6" s="22" t="s">
        <v>108</v>
      </c>
      <c r="X6" s="23">
        <f t="shared" ca="1" si="0"/>
        <v>45093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2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3"/>
      <c r="H7" s="54"/>
      <c r="I7" s="54"/>
      <c r="J7" s="55"/>
      <c r="K7" s="53"/>
      <c r="L7" s="54"/>
      <c r="M7" s="54"/>
      <c r="N7" s="55"/>
      <c r="O7" s="53"/>
      <c r="P7" s="54"/>
      <c r="Q7" s="54"/>
      <c r="R7" s="55"/>
      <c r="W7" s="22" t="s">
        <v>109</v>
      </c>
      <c r="X7" s="23">
        <f t="shared" ca="1" si="0"/>
        <v>45093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2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6" t="e">
        <f ca="1">SUMIFS($E:$E,$C:$C,TODAY())/SUMIFS($E:$E,$C:$C,TODAY()-1)-1</f>
        <v>#DIV/0!</v>
      </c>
      <c r="H8" s="57"/>
      <c r="I8" s="57"/>
      <c r="J8" s="4" t="s">
        <v>23</v>
      </c>
      <c r="K8" s="56" t="e">
        <f ca="1">SUMIFS($E:$E,$C:$C,TODAY(),$B:$B,K2)/SUMIFS($E:$E,$C:$C,TODAY()-1,$B:$B,K2)-1</f>
        <v>#DIV/0!</v>
      </c>
      <c r="L8" s="57"/>
      <c r="M8" s="57"/>
      <c r="N8" s="4" t="s">
        <v>23</v>
      </c>
      <c r="O8" s="56" t="e">
        <f ca="1">SUMIFS($E:$E,$C:$C,TODAY())/SUMIFS($E:$E,$C:$C,TODAY()-1)-1</f>
        <v>#DIV/0!</v>
      </c>
      <c r="P8" s="57"/>
      <c r="Q8" s="57"/>
      <c r="R8" s="4" t="s">
        <v>23</v>
      </c>
      <c r="W8" s="22" t="s">
        <v>110</v>
      </c>
      <c r="X8" s="23">
        <f t="shared" ca="1" si="0"/>
        <v>45093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2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8" cm="1">
        <f t="array" ref="G9">SUM(SUMIFS($E:$E,$B:$B,{"海盐","平湖","海宁","桐乡"}))</f>
        <v>602779</v>
      </c>
      <c r="H9" s="59"/>
      <c r="I9" s="59"/>
      <c r="J9" s="4" t="s">
        <v>17</v>
      </c>
      <c r="K9" s="58" cm="1">
        <f t="array" ref="K9">SUM(SUMIFS($E:$E,$B:$B,{"红星","月星","六空"}))</f>
        <v>575288</v>
      </c>
      <c r="L9" s="59"/>
      <c r="M9" s="59"/>
      <c r="N9" s="4" t="s">
        <v>17</v>
      </c>
      <c r="O9" s="58">
        <f>SUM($E:$E)</f>
        <v>1178067</v>
      </c>
      <c r="P9" s="59"/>
      <c r="Q9" s="59"/>
      <c r="R9" s="4" t="s">
        <v>17</v>
      </c>
      <c r="W9" s="22" t="s">
        <v>111</v>
      </c>
      <c r="X9" s="23">
        <f t="shared" ca="1" si="0"/>
        <v>45093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2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8">
        <v>650000</v>
      </c>
      <c r="H10" s="59"/>
      <c r="I10" s="59"/>
      <c r="J10" s="4" t="s">
        <v>18</v>
      </c>
      <c r="K10" s="58">
        <v>600000</v>
      </c>
      <c r="L10" s="59"/>
      <c r="M10" s="59"/>
      <c r="N10" s="4" t="s">
        <v>18</v>
      </c>
      <c r="O10" s="58">
        <v>1250000</v>
      </c>
      <c r="P10" s="59"/>
      <c r="Q10" s="59"/>
      <c r="R10" s="4" t="s">
        <v>18</v>
      </c>
      <c r="W10" s="26" t="s">
        <v>104</v>
      </c>
      <c r="X10" s="27">
        <f t="shared" ca="1" si="0"/>
        <v>45093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6">
        <f>G9/G10</f>
        <v>0.9273523076923077</v>
      </c>
      <c r="H11" s="57"/>
      <c r="I11" s="57"/>
      <c r="J11" s="4" t="s">
        <v>19</v>
      </c>
      <c r="K11" s="56">
        <f>K9/K10</f>
        <v>0.9588133333333333</v>
      </c>
      <c r="L11" s="57"/>
      <c r="M11" s="57"/>
      <c r="N11" s="4" t="s">
        <v>19</v>
      </c>
      <c r="O11" s="56">
        <f>O9/O10</f>
        <v>0.9424536</v>
      </c>
      <c r="P11" s="57"/>
      <c r="Q11" s="57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0">
        <f>G9-G10</f>
        <v>-47221</v>
      </c>
      <c r="H12" s="61"/>
      <c r="I12" s="61"/>
      <c r="J12" s="6" t="s">
        <v>20</v>
      </c>
      <c r="K12" s="60">
        <f>K9-K10</f>
        <v>-24712</v>
      </c>
      <c r="L12" s="61"/>
      <c r="M12" s="61"/>
      <c r="N12" s="6" t="s">
        <v>20</v>
      </c>
      <c r="O12" s="60">
        <f>O9-O10</f>
        <v>-71933</v>
      </c>
      <c r="P12" s="61"/>
      <c r="Q12" s="61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49" t="s">
        <v>5</v>
      </c>
      <c r="H13" s="50"/>
      <c r="I13" s="50"/>
      <c r="J13" s="5" t="s">
        <v>2</v>
      </c>
      <c r="K13" s="49" t="s">
        <v>7</v>
      </c>
      <c r="L13" s="50"/>
      <c r="M13" s="50"/>
      <c r="N13" s="5" t="s">
        <v>2</v>
      </c>
      <c r="O13" s="49" t="s">
        <v>41</v>
      </c>
      <c r="P13" s="50"/>
      <c r="Q13" s="50"/>
      <c r="R13" s="5" t="s">
        <v>2</v>
      </c>
      <c r="S13" s="49" t="s">
        <v>39</v>
      </c>
      <c r="T13" s="50"/>
      <c r="U13" s="50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1">
        <f ca="1">TODAY()</f>
        <v>45093</v>
      </c>
      <c r="H14" s="52"/>
      <c r="I14" s="3">
        <f ca="1">TODAY()</f>
        <v>45093</v>
      </c>
      <c r="J14" s="4" t="s">
        <v>1</v>
      </c>
      <c r="K14" s="51">
        <f ca="1">TODAY()</f>
        <v>45093</v>
      </c>
      <c r="L14" s="52"/>
      <c r="M14" s="3">
        <f ca="1">TODAY()</f>
        <v>45093</v>
      </c>
      <c r="N14" s="4" t="s">
        <v>1</v>
      </c>
      <c r="O14" s="51">
        <f ca="1">TODAY()</f>
        <v>45093</v>
      </c>
      <c r="P14" s="52"/>
      <c r="Q14" s="3">
        <f ca="1">TODAY()</f>
        <v>45093</v>
      </c>
      <c r="R14" s="4" t="s">
        <v>1</v>
      </c>
      <c r="S14" s="51">
        <f ca="1">TODAY()</f>
        <v>45093</v>
      </c>
      <c r="T14" s="52"/>
      <c r="U14" s="3">
        <f ca="1">TODAY()</f>
        <v>45093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3">
        <f ca="1">SUMIFS($E:$E,$C:$C,TODAY(),$B:$B,G13)</f>
        <v>0</v>
      </c>
      <c r="H15" s="54"/>
      <c r="I15" s="54"/>
      <c r="J15" s="55" t="s">
        <v>21</v>
      </c>
      <c r="K15" s="53">
        <f ca="1">SUMIFS($E:$E,$C:$C,TODAY(),$B:$B,K13)</f>
        <v>0</v>
      </c>
      <c r="L15" s="54"/>
      <c r="M15" s="54"/>
      <c r="N15" s="55" t="s">
        <v>21</v>
      </c>
      <c r="O15" s="53">
        <f ca="1">SUMIFS($E:$E,$C:$C,TODAY(),$B:$B,O13)</f>
        <v>0</v>
      </c>
      <c r="P15" s="54"/>
      <c r="Q15" s="54"/>
      <c r="R15" s="55" t="s">
        <v>21</v>
      </c>
      <c r="S15" s="53">
        <f ca="1">SUMIFS($E:$E,$C:$C,TODAY(),$B:$B,S13)</f>
        <v>0</v>
      </c>
      <c r="T15" s="54"/>
      <c r="U15" s="54"/>
      <c r="V15" s="55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3"/>
      <c r="H16" s="54"/>
      <c r="I16" s="54"/>
      <c r="J16" s="55"/>
      <c r="K16" s="53"/>
      <c r="L16" s="54"/>
      <c r="M16" s="54"/>
      <c r="N16" s="55"/>
      <c r="O16" s="53"/>
      <c r="P16" s="54"/>
      <c r="Q16" s="54"/>
      <c r="R16" s="55"/>
      <c r="S16" s="53"/>
      <c r="T16" s="54"/>
      <c r="U16" s="54"/>
      <c r="V16" s="55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3"/>
      <c r="H17" s="54"/>
      <c r="I17" s="54"/>
      <c r="J17" s="55"/>
      <c r="K17" s="53"/>
      <c r="L17" s="54"/>
      <c r="M17" s="54"/>
      <c r="N17" s="55"/>
      <c r="O17" s="53"/>
      <c r="P17" s="54"/>
      <c r="Q17" s="54"/>
      <c r="R17" s="55"/>
      <c r="S17" s="53"/>
      <c r="T17" s="54"/>
      <c r="U17" s="54"/>
      <c r="V17" s="55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3"/>
      <c r="H18" s="54"/>
      <c r="I18" s="54"/>
      <c r="J18" s="55"/>
      <c r="K18" s="53"/>
      <c r="L18" s="54"/>
      <c r="M18" s="54"/>
      <c r="N18" s="55"/>
      <c r="O18" s="53"/>
      <c r="P18" s="54"/>
      <c r="Q18" s="54"/>
      <c r="R18" s="55"/>
      <c r="S18" s="53"/>
      <c r="T18" s="54"/>
      <c r="U18" s="54"/>
      <c r="V18" s="55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6" t="e">
        <f ca="1">SUMIFS($E:$E,$C:$C,TODAY(),$B:$B,G13)/SUMIFS($E:$E,$C:$C,TODAY()-1,$B:$B,G13)-1</f>
        <v>#DIV/0!</v>
      </c>
      <c r="H19" s="57"/>
      <c r="I19" s="57"/>
      <c r="J19" s="4" t="s">
        <v>23</v>
      </c>
      <c r="K19" s="56" t="e">
        <f ca="1">SUMIFS($E:$E,$C:$C,TODAY(),$B:$B,K13)/SUMIFS($E:$E,$C:$C,TODAY()-1,$B:$B,K13)-1</f>
        <v>#DIV/0!</v>
      </c>
      <c r="L19" s="57"/>
      <c r="M19" s="57"/>
      <c r="N19" s="4" t="s">
        <v>23</v>
      </c>
      <c r="O19" s="56" t="e">
        <f ca="1">SUMIFS($E:$E,$C:$C,TODAY(),$B:$B,O13)/SUMIFS($E:$E,$C:$C,TODAY()-1,$B:$B,O13)-1</f>
        <v>#DIV/0!</v>
      </c>
      <c r="P19" s="57"/>
      <c r="Q19" s="57"/>
      <c r="R19" s="4" t="s">
        <v>23</v>
      </c>
      <c r="S19" s="56" t="e">
        <f ca="1">SUMIFS($E:$E,$C:$C,TODAY(),$B:$B,S13)/SUMIFS($E:$E,$C:$C,TODAY()-1,$B:$B,S13)-1</f>
        <v>#DIV/0!</v>
      </c>
      <c r="T19" s="57"/>
      <c r="U19" s="57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8">
        <f>SUMIFS($E:$E,$B:$B,G13)</f>
        <v>171200</v>
      </c>
      <c r="H20" s="59"/>
      <c r="I20" s="59"/>
      <c r="J20" s="4" t="s">
        <v>17</v>
      </c>
      <c r="K20" s="58">
        <f>SUMIFS($E:$E,$B:$B,K13)</f>
        <v>135884</v>
      </c>
      <c r="L20" s="59"/>
      <c r="M20" s="59"/>
      <c r="N20" s="4" t="s">
        <v>17</v>
      </c>
      <c r="O20" s="58">
        <f>SUMIFS($E:$E,$B:$B,O13)</f>
        <v>200726</v>
      </c>
      <c r="P20" s="59"/>
      <c r="Q20" s="59"/>
      <c r="R20" s="4" t="s">
        <v>17</v>
      </c>
      <c r="S20" s="58">
        <f>SUMIFS($E:$E,$B:$B,S13)</f>
        <v>155388</v>
      </c>
      <c r="T20" s="59"/>
      <c r="U20" s="59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8">
        <v>240000</v>
      </c>
      <c r="H21" s="59"/>
      <c r="I21" s="59"/>
      <c r="J21" s="4" t="s">
        <v>18</v>
      </c>
      <c r="K21" s="58">
        <v>210000</v>
      </c>
      <c r="L21" s="59"/>
      <c r="M21" s="59"/>
      <c r="N21" s="4" t="s">
        <v>18</v>
      </c>
      <c r="O21" s="58">
        <v>200000</v>
      </c>
      <c r="P21" s="59"/>
      <c r="Q21" s="59"/>
      <c r="R21" s="4" t="s">
        <v>18</v>
      </c>
      <c r="S21" s="58">
        <v>200000</v>
      </c>
      <c r="T21" s="59"/>
      <c r="U21" s="59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6">
        <f>G20/G21</f>
        <v>0.71333333333333337</v>
      </c>
      <c r="H22" s="57"/>
      <c r="I22" s="57"/>
      <c r="J22" s="4" t="s">
        <v>19</v>
      </c>
      <c r="K22" s="56">
        <f>K20/K21</f>
        <v>0.64706666666666668</v>
      </c>
      <c r="L22" s="57"/>
      <c r="M22" s="57"/>
      <c r="N22" s="4" t="s">
        <v>19</v>
      </c>
      <c r="O22" s="56">
        <f>O20/O21</f>
        <v>1.00363</v>
      </c>
      <c r="P22" s="57"/>
      <c r="Q22" s="57"/>
      <c r="R22" s="4" t="s">
        <v>19</v>
      </c>
      <c r="S22" s="56">
        <f>S20/S21</f>
        <v>0.77693999999999996</v>
      </c>
      <c r="T22" s="57"/>
      <c r="U22" s="57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0">
        <f>G20-G21</f>
        <v>-68800</v>
      </c>
      <c r="H23" s="61"/>
      <c r="I23" s="61"/>
      <c r="J23" s="6" t="s">
        <v>20</v>
      </c>
      <c r="K23" s="60">
        <f>K20-K21</f>
        <v>-74116</v>
      </c>
      <c r="L23" s="61"/>
      <c r="M23" s="61"/>
      <c r="N23" s="6" t="s">
        <v>20</v>
      </c>
      <c r="O23" s="60">
        <f>O20-O21</f>
        <v>726</v>
      </c>
      <c r="P23" s="61"/>
      <c r="Q23" s="61"/>
      <c r="R23" s="6" t="s">
        <v>20</v>
      </c>
      <c r="S23" s="60">
        <f>S20-S21</f>
        <v>-44612</v>
      </c>
      <c r="T23" s="61"/>
      <c r="U23" s="61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49" t="s">
        <v>14</v>
      </c>
      <c r="H24" s="50"/>
      <c r="I24" s="50"/>
      <c r="J24" s="5" t="s">
        <v>2</v>
      </c>
      <c r="K24" s="49" t="s">
        <v>22</v>
      </c>
      <c r="L24" s="50"/>
      <c r="M24" s="50"/>
      <c r="N24" s="5" t="s">
        <v>2</v>
      </c>
      <c r="O24" s="49" t="s">
        <v>43</v>
      </c>
      <c r="P24" s="50"/>
      <c r="Q24" s="50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1">
        <f ca="1">TODAY()</f>
        <v>45093</v>
      </c>
      <c r="H25" s="52"/>
      <c r="I25" s="3">
        <f ca="1">TODAY()</f>
        <v>45093</v>
      </c>
      <c r="J25" s="4" t="s">
        <v>1</v>
      </c>
      <c r="K25" s="51">
        <f ca="1">TODAY()</f>
        <v>45093</v>
      </c>
      <c r="L25" s="52"/>
      <c r="M25" s="3">
        <f ca="1">TODAY()</f>
        <v>45093</v>
      </c>
      <c r="N25" s="4" t="s">
        <v>1</v>
      </c>
      <c r="O25" s="51">
        <f ca="1">TODAY()</f>
        <v>45093</v>
      </c>
      <c r="P25" s="52"/>
      <c r="Q25" s="3">
        <f ca="1">TODAY()</f>
        <v>45093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3">
        <f ca="1">SUMIFS($E:$E,$C:$C,TODAY(),$B:$B,G24)</f>
        <v>0</v>
      </c>
      <c r="H26" s="54"/>
      <c r="I26" s="54"/>
      <c r="J26" s="55" t="s">
        <v>21</v>
      </c>
      <c r="K26" s="53">
        <f ca="1">SUMIFS($E:$E,$C:$C,TODAY(),$B:$B,K24)</f>
        <v>0</v>
      </c>
      <c r="L26" s="54"/>
      <c r="M26" s="54"/>
      <c r="N26" s="55" t="s">
        <v>21</v>
      </c>
      <c r="O26" s="53">
        <f ca="1">SUMIFS($E:$E,$C:$C,TODAY(),$B:$B,O24)</f>
        <v>0</v>
      </c>
      <c r="P26" s="54"/>
      <c r="Q26" s="54"/>
      <c r="R26" s="55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3"/>
      <c r="H27" s="54"/>
      <c r="I27" s="54"/>
      <c r="J27" s="55"/>
      <c r="K27" s="53"/>
      <c r="L27" s="54"/>
      <c r="M27" s="54"/>
      <c r="N27" s="55"/>
      <c r="O27" s="53"/>
      <c r="P27" s="54"/>
      <c r="Q27" s="54"/>
      <c r="R27" s="55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3"/>
      <c r="H28" s="54"/>
      <c r="I28" s="54"/>
      <c r="J28" s="55"/>
      <c r="K28" s="53"/>
      <c r="L28" s="54"/>
      <c r="M28" s="54"/>
      <c r="N28" s="55"/>
      <c r="O28" s="53"/>
      <c r="P28" s="54"/>
      <c r="Q28" s="54"/>
      <c r="R28" s="55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3"/>
      <c r="H29" s="54"/>
      <c r="I29" s="54"/>
      <c r="J29" s="55"/>
      <c r="K29" s="53"/>
      <c r="L29" s="54"/>
      <c r="M29" s="54"/>
      <c r="N29" s="55"/>
      <c r="O29" s="53"/>
      <c r="P29" s="54"/>
      <c r="Q29" s="54"/>
      <c r="R29" s="55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6" t="e">
        <f ca="1">SUMIFS($E:$E,$C:$C,TODAY(),$B:$B,G24)/SUMIFS($E:$E,$C:$C,TODAY()-1,$B:$B,G24)-1</f>
        <v>#DIV/0!</v>
      </c>
      <c r="H30" s="57"/>
      <c r="I30" s="57"/>
      <c r="J30" s="4" t="s">
        <v>23</v>
      </c>
      <c r="K30" s="56" t="e">
        <f ca="1">SUMIFS($E:$E,$C:$C,TODAY(),$B:$B,K24)/SUMIFS($E:$E,$C:$C,TODAY()-1,$B:$B,K24)-1</f>
        <v>#DIV/0!</v>
      </c>
      <c r="L30" s="57"/>
      <c r="M30" s="57"/>
      <c r="N30" s="4" t="s">
        <v>23</v>
      </c>
      <c r="O30" s="56" t="e">
        <f ca="1">SUMIFS($E:$E,$C:$C,TODAY(),$B:$B,O24)/SUMIFS($E:$E,$C:$C,TODAY()-1,$B:$B,O24)-1</f>
        <v>#DIV/0!</v>
      </c>
      <c r="P30" s="57"/>
      <c r="Q30" s="57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8">
        <f>SUMIFS($E:$E,$B:$B,G24)</f>
        <v>167197</v>
      </c>
      <c r="H31" s="59"/>
      <c r="I31" s="59"/>
      <c r="J31" s="4" t="s">
        <v>17</v>
      </c>
      <c r="K31" s="58">
        <f>SUMIFS($E:$E,$B:$B,K24)</f>
        <v>128498</v>
      </c>
      <c r="L31" s="59"/>
      <c r="M31" s="59"/>
      <c r="N31" s="4" t="s">
        <v>17</v>
      </c>
      <c r="O31" s="58">
        <f>SUMIFS($E:$E,$B:$B,O24)</f>
        <v>219174</v>
      </c>
      <c r="P31" s="59"/>
      <c r="Q31" s="59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8">
        <v>100000</v>
      </c>
      <c r="H32" s="59"/>
      <c r="I32" s="59"/>
      <c r="J32" s="4" t="s">
        <v>18</v>
      </c>
      <c r="K32" s="58">
        <v>100000</v>
      </c>
      <c r="L32" s="59"/>
      <c r="M32" s="59"/>
      <c r="N32" s="4" t="s">
        <v>18</v>
      </c>
      <c r="O32" s="58">
        <v>200000</v>
      </c>
      <c r="P32" s="59"/>
      <c r="Q32" s="59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6">
        <f>G31/G32</f>
        <v>1.67197</v>
      </c>
      <c r="H33" s="57"/>
      <c r="I33" s="57"/>
      <c r="J33" s="4" t="s">
        <v>19</v>
      </c>
      <c r="K33" s="56">
        <f>K31/K32</f>
        <v>1.28498</v>
      </c>
      <c r="L33" s="57"/>
      <c r="M33" s="57"/>
      <c r="N33" s="4" t="s">
        <v>19</v>
      </c>
      <c r="O33" s="56">
        <f>O31/O32</f>
        <v>1.0958699999999999</v>
      </c>
      <c r="P33" s="57"/>
      <c r="Q33" s="57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0">
        <f>G31-G32</f>
        <v>67197</v>
      </c>
      <c r="H34" s="61"/>
      <c r="I34" s="61"/>
      <c r="J34" s="6" t="s">
        <v>20</v>
      </c>
      <c r="K34" s="60">
        <f>K31-K32</f>
        <v>28498</v>
      </c>
      <c r="L34" s="61"/>
      <c r="M34" s="61"/>
      <c r="N34" s="6" t="s">
        <v>20</v>
      </c>
      <c r="O34" s="60">
        <f>O31-O32</f>
        <v>19174</v>
      </c>
      <c r="P34" s="61"/>
      <c r="Q34" s="61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7" priority="7" operator="lessThan">
      <formula>0</formula>
    </cfRule>
  </conditionalFormatting>
  <conditionalFormatting sqref="K12:M12">
    <cfRule type="cellIs" dxfId="6" priority="6" operator="lessThan">
      <formula>0</formula>
    </cfRule>
  </conditionalFormatting>
  <conditionalFormatting sqref="O12:Q12">
    <cfRule type="cellIs" dxfId="5" priority="2" operator="lessThan">
      <formula>0</formula>
    </cfRule>
  </conditionalFormatting>
  <conditionalFormatting sqref="O23:Q23">
    <cfRule type="cellIs" dxfId="4" priority="4" operator="lessThan">
      <formula>0</formula>
    </cfRule>
  </conditionalFormatting>
  <conditionalFormatting sqref="O34:Q34">
    <cfRule type="cellIs" dxfId="3" priority="3" operator="lessThan">
      <formula>0</formula>
    </cfRule>
  </conditionalFormatting>
  <conditionalFormatting sqref="S23:U23">
    <cfRule type="cellIs" dxfId="2" priority="5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K1" workbookViewId="0">
      <selection activeCell="P12" sqref="P12"/>
    </sheetView>
  </sheetViews>
  <sheetFormatPr defaultRowHeight="14" x14ac:dyDescent="0.3"/>
  <cols>
    <col min="1" max="6" width="0" style="7" hidden="1" customWidth="1"/>
    <col min="7" max="8" width="8.6640625" style="7" hidden="1" customWidth="1"/>
    <col min="9" max="9" width="8.5" style="7" hidden="1" customWidth="1"/>
    <col min="10" max="10" width="8.75" style="7" hidden="1" customWidth="1"/>
    <col min="11" max="11" width="8.5" style="7" bestFit="1" customWidth="1"/>
    <col min="12" max="12" width="8.75" style="7" bestFit="1" customWidth="1"/>
    <col min="13" max="13" width="10.4140625" style="7" bestFit="1" customWidth="1"/>
    <col min="14" max="14" width="7.75" style="7" customWidth="1"/>
    <col min="15" max="15" width="15.33203125" style="7" bestFit="1" customWidth="1"/>
    <col min="16" max="17" width="13.58203125" style="7" customWidth="1"/>
    <col min="18" max="18" width="8.25" style="7" customWidth="1"/>
    <col min="19" max="21" width="7.08203125" style="7" customWidth="1"/>
    <col min="22" max="22" width="8.75" style="7" bestFit="1" customWidth="1"/>
    <col min="23" max="25" width="7.08203125" style="7" customWidth="1"/>
    <col min="26" max="26" width="8.25" style="7" customWidth="1"/>
    <col min="27" max="27" width="5.9140625" style="7" customWidth="1"/>
    <col min="28" max="28" width="7.08203125" style="7" customWidth="1"/>
    <col min="29" max="30" width="8.25" style="7" customWidth="1"/>
    <col min="31" max="31" width="7.08203125" style="7" customWidth="1"/>
    <col min="32" max="33" width="8.25" style="7" customWidth="1"/>
    <col min="34" max="16384" width="8.6640625" style="7"/>
  </cols>
  <sheetData>
    <row r="1" spans="1:33" ht="42" customHeight="1" thickTop="1" x14ac:dyDescent="0.3">
      <c r="A1" s="66" t="s">
        <v>148</v>
      </c>
      <c r="B1" s="67"/>
      <c r="C1" s="66" t="s">
        <v>149</v>
      </c>
      <c r="D1" s="67"/>
      <c r="E1" s="66" t="s">
        <v>150</v>
      </c>
      <c r="F1" s="67"/>
      <c r="G1" s="66" t="s">
        <v>146</v>
      </c>
      <c r="H1" s="67"/>
      <c r="I1" s="66" t="s">
        <v>116</v>
      </c>
      <c r="J1" s="67"/>
      <c r="K1" s="66" t="s">
        <v>129</v>
      </c>
      <c r="L1" s="67"/>
      <c r="M1" s="67"/>
      <c r="N1" s="67"/>
      <c r="O1" s="68" t="s">
        <v>57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70"/>
    </row>
    <row r="2" spans="1:33" ht="20" customHeight="1" x14ac:dyDescent="0.3">
      <c r="A2" s="7" t="s">
        <v>2</v>
      </c>
      <c r="B2" s="7" t="s">
        <v>112</v>
      </c>
      <c r="C2" s="7" t="s">
        <v>2</v>
      </c>
      <c r="D2" s="7" t="s">
        <v>112</v>
      </c>
      <c r="E2" s="7" t="s">
        <v>2</v>
      </c>
      <c r="F2" s="7" t="s">
        <v>112</v>
      </c>
      <c r="G2" s="7" t="s">
        <v>2</v>
      </c>
      <c r="H2" s="7" t="s">
        <v>112</v>
      </c>
      <c r="I2" s="7" t="s">
        <v>2</v>
      </c>
      <c r="J2" s="7" t="s">
        <v>112</v>
      </c>
      <c r="K2" s="7" t="s">
        <v>2</v>
      </c>
      <c r="L2" s="7" t="s">
        <v>112</v>
      </c>
      <c r="M2" s="7" t="s">
        <v>113</v>
      </c>
      <c r="N2" s="7" t="s">
        <v>114</v>
      </c>
      <c r="O2" s="71" t="s">
        <v>2</v>
      </c>
      <c r="P2" s="73" t="s">
        <v>58</v>
      </c>
      <c r="Q2" s="75" t="s">
        <v>59</v>
      </c>
      <c r="R2" s="44" t="s">
        <v>60</v>
      </c>
      <c r="S2" s="33" t="s">
        <v>61</v>
      </c>
      <c r="T2" s="33" t="s">
        <v>62</v>
      </c>
      <c r="U2" s="33" t="s">
        <v>63</v>
      </c>
      <c r="V2" s="44" t="s">
        <v>64</v>
      </c>
      <c r="W2" s="33" t="s">
        <v>65</v>
      </c>
      <c r="X2" s="33" t="s">
        <v>66</v>
      </c>
      <c r="Y2" s="33" t="s">
        <v>67</v>
      </c>
      <c r="Z2" s="33" t="s">
        <v>68</v>
      </c>
      <c r="AA2" s="33" t="s">
        <v>69</v>
      </c>
      <c r="AB2" s="33" t="s">
        <v>70</v>
      </c>
      <c r="AC2" s="33" t="s">
        <v>71</v>
      </c>
      <c r="AD2" s="33" t="s">
        <v>72</v>
      </c>
      <c r="AE2" s="33" t="s">
        <v>73</v>
      </c>
      <c r="AF2" s="33" t="s">
        <v>74</v>
      </c>
      <c r="AG2" s="34" t="s">
        <v>75</v>
      </c>
    </row>
    <row r="3" spans="1:33" ht="20" customHeight="1" x14ac:dyDescent="0.3">
      <c r="A3" s="7" t="s">
        <v>115</v>
      </c>
      <c r="B3" s="9">
        <v>49848</v>
      </c>
      <c r="C3" s="7" t="s">
        <v>115</v>
      </c>
      <c r="D3" s="9">
        <v>373344.95</v>
      </c>
      <c r="E3" s="7" t="s">
        <v>115</v>
      </c>
      <c r="F3" s="9">
        <v>1098924</v>
      </c>
      <c r="G3" s="7" t="s">
        <v>115</v>
      </c>
      <c r="H3" s="9">
        <v>282127</v>
      </c>
      <c r="I3" s="7" t="s">
        <v>115</v>
      </c>
      <c r="J3" s="9">
        <v>557563</v>
      </c>
      <c r="K3" s="7" t="s">
        <v>115</v>
      </c>
      <c r="L3" s="9">
        <v>154610</v>
      </c>
      <c r="M3" s="9">
        <v>2516416.9500000002</v>
      </c>
      <c r="N3" s="9">
        <v>53803</v>
      </c>
      <c r="O3" s="72"/>
      <c r="P3" s="74"/>
      <c r="Q3" s="76"/>
      <c r="R3" s="45">
        <v>0.12740000000000001</v>
      </c>
      <c r="S3" s="36" t="s">
        <v>76</v>
      </c>
      <c r="T3" s="36" t="s">
        <v>77</v>
      </c>
      <c r="U3" s="36">
        <v>8.1699999999999995E-2</v>
      </c>
      <c r="V3" s="45">
        <v>0.24809999999999999</v>
      </c>
      <c r="W3" s="36">
        <v>7.1499999999999994E-2</v>
      </c>
      <c r="X3" s="36" t="s">
        <v>78</v>
      </c>
      <c r="Y3" s="36">
        <v>9.4200000000000006E-2</v>
      </c>
      <c r="Z3" s="36">
        <v>0.28689999999999999</v>
      </c>
      <c r="AA3" s="36" t="s">
        <v>79</v>
      </c>
      <c r="AB3" s="36" t="s">
        <v>80</v>
      </c>
      <c r="AC3" s="36" t="s">
        <v>81</v>
      </c>
      <c r="AD3" s="36" t="s">
        <v>82</v>
      </c>
      <c r="AE3" s="36" t="s">
        <v>83</v>
      </c>
      <c r="AF3" s="36">
        <v>0.1021</v>
      </c>
      <c r="AG3" s="37">
        <v>0.1482</v>
      </c>
    </row>
    <row r="4" spans="1:33" ht="20" customHeight="1" x14ac:dyDescent="0.3">
      <c r="A4" s="7" t="s">
        <v>5</v>
      </c>
      <c r="B4" s="9">
        <v>4335</v>
      </c>
      <c r="C4" s="7" t="s">
        <v>5</v>
      </c>
      <c r="D4" s="9">
        <v>20263.8</v>
      </c>
      <c r="E4" s="7" t="s">
        <v>5</v>
      </c>
      <c r="F4" s="9">
        <v>108491</v>
      </c>
      <c r="G4" s="7" t="s">
        <v>5</v>
      </c>
      <c r="H4" s="9">
        <v>12564.9</v>
      </c>
      <c r="I4" s="7" t="s">
        <v>5</v>
      </c>
      <c r="J4" s="9">
        <v>4869.8999999999996</v>
      </c>
      <c r="K4" s="7" t="s">
        <v>5</v>
      </c>
      <c r="L4" s="9">
        <v>11172</v>
      </c>
      <c r="M4" s="9">
        <v>161696.6</v>
      </c>
      <c r="N4" s="9">
        <v>435288.1</v>
      </c>
      <c r="O4" s="63" t="s">
        <v>84</v>
      </c>
      <c r="P4" s="38" t="s">
        <v>85</v>
      </c>
      <c r="Q4" s="39">
        <v>874</v>
      </c>
      <c r="R4" s="39">
        <f>874*R3</f>
        <v>111.34760000000001</v>
      </c>
      <c r="S4" s="39">
        <f t="shared" ref="S4:AG4" si="0">874*S3</f>
        <v>6.2054</v>
      </c>
      <c r="T4" s="39">
        <f t="shared" si="0"/>
        <v>33.736400000000003</v>
      </c>
      <c r="U4" s="39">
        <f t="shared" si="0"/>
        <v>71.405799999999999</v>
      </c>
      <c r="V4" s="39">
        <f t="shared" si="0"/>
        <v>216.83939999999998</v>
      </c>
      <c r="W4" s="39">
        <f t="shared" si="0"/>
        <v>62.490999999999993</v>
      </c>
      <c r="X4" s="39">
        <f t="shared" si="0"/>
        <v>72.017600000000002</v>
      </c>
      <c r="Y4" s="39">
        <f t="shared" si="0"/>
        <v>82.330800000000011</v>
      </c>
      <c r="Z4" s="39">
        <f t="shared" si="0"/>
        <v>250.75059999999999</v>
      </c>
      <c r="AA4" s="39">
        <f t="shared" si="0"/>
        <v>73.416000000000011</v>
      </c>
      <c r="AB4" s="39">
        <f t="shared" si="0"/>
        <v>74.901799999999994</v>
      </c>
      <c r="AC4" s="39">
        <f t="shared" si="0"/>
        <v>102.4328</v>
      </c>
      <c r="AD4" s="39">
        <f t="shared" si="0"/>
        <v>295.06240000000003</v>
      </c>
      <c r="AE4" s="39">
        <f t="shared" si="0"/>
        <v>76.300200000000004</v>
      </c>
      <c r="AF4" s="39">
        <f t="shared" si="0"/>
        <v>89.235399999999998</v>
      </c>
      <c r="AG4" s="40">
        <f t="shared" si="0"/>
        <v>129.52680000000001</v>
      </c>
    </row>
    <row r="5" spans="1:33" ht="20" customHeight="1" x14ac:dyDescent="0.3">
      <c r="A5" s="7" t="s">
        <v>22</v>
      </c>
      <c r="B5" s="9">
        <v>0</v>
      </c>
      <c r="C5" s="7" t="s">
        <v>22</v>
      </c>
      <c r="D5" s="9" t="s">
        <v>151</v>
      </c>
      <c r="E5" s="7" t="s">
        <v>22</v>
      </c>
      <c r="F5" s="9">
        <v>71245</v>
      </c>
      <c r="G5" s="7" t="s">
        <v>22</v>
      </c>
      <c r="H5" s="9">
        <v>109418</v>
      </c>
      <c r="I5" s="7" t="s">
        <v>22</v>
      </c>
      <c r="J5" s="9">
        <v>94018</v>
      </c>
      <c r="K5" s="7" t="s">
        <v>22</v>
      </c>
      <c r="L5" s="9">
        <v>33223</v>
      </c>
      <c r="M5" s="9">
        <v>307904</v>
      </c>
      <c r="N5" s="9">
        <v>0</v>
      </c>
      <c r="O5" s="64"/>
      <c r="P5" s="14" t="s">
        <v>86</v>
      </c>
      <c r="Q5" s="16">
        <f>R5+V5+Z5+AD5</f>
        <v>355.079095</v>
      </c>
      <c r="R5" s="16">
        <f>SUM(S5:U5)</f>
        <v>182.62909500000001</v>
      </c>
      <c r="S5" s="16">
        <v>4.9847999999999999</v>
      </c>
      <c r="T5" s="16">
        <v>41.869295000000001</v>
      </c>
      <c r="U5" s="16">
        <v>135.77500000000001</v>
      </c>
      <c r="V5" s="16">
        <f>SUM(W5:Y5)</f>
        <v>172.45</v>
      </c>
      <c r="W5" s="16">
        <f>28.21+10.94+8.3</f>
        <v>47.45</v>
      </c>
      <c r="X5" s="16">
        <f>J18</f>
        <v>95</v>
      </c>
      <c r="Y5" s="16">
        <f>L18</f>
        <v>30</v>
      </c>
      <c r="Z5" s="16">
        <f>SUM(AA5:AC5)</f>
        <v>0</v>
      </c>
      <c r="AA5" s="16"/>
      <c r="AB5" s="16"/>
      <c r="AC5" s="16"/>
      <c r="AD5" s="16">
        <f>SUM(AE5:AG5)</f>
        <v>0</v>
      </c>
      <c r="AE5" s="16"/>
      <c r="AF5" s="16"/>
      <c r="AG5" s="17"/>
    </row>
    <row r="6" spans="1:33" ht="20" customHeight="1" x14ac:dyDescent="0.3">
      <c r="A6" s="7" t="s">
        <v>7</v>
      </c>
      <c r="B6" s="9">
        <v>9370</v>
      </c>
      <c r="C6" s="7" t="s">
        <v>7</v>
      </c>
      <c r="D6" s="9">
        <v>19610</v>
      </c>
      <c r="E6" s="7" t="s">
        <v>7</v>
      </c>
      <c r="F6" s="9">
        <v>183044</v>
      </c>
      <c r="G6" s="7" t="s">
        <v>7</v>
      </c>
      <c r="H6" s="9">
        <v>43443</v>
      </c>
      <c r="I6" s="7" t="s">
        <v>7</v>
      </c>
      <c r="J6" s="9">
        <v>69028</v>
      </c>
      <c r="K6" s="7" t="s">
        <v>7</v>
      </c>
      <c r="L6" s="9">
        <v>138943</v>
      </c>
      <c r="M6" s="9">
        <v>463438</v>
      </c>
      <c r="N6" s="9">
        <v>33785</v>
      </c>
      <c r="O6" s="64"/>
      <c r="P6" s="46" t="s">
        <v>19</v>
      </c>
      <c r="Q6" s="47">
        <f>Q5/Q4</f>
        <v>0.40626898741418765</v>
      </c>
      <c r="R6" s="47">
        <f t="shared" ref="R6:AG6" si="1">R5/R4</f>
        <v>1.6401709152240369</v>
      </c>
      <c r="S6" s="47">
        <f t="shared" si="1"/>
        <v>0.80330035130692623</v>
      </c>
      <c r="T6" s="47">
        <f t="shared" si="1"/>
        <v>1.241071809677381</v>
      </c>
      <c r="U6" s="47">
        <f t="shared" si="1"/>
        <v>1.9014561842315332</v>
      </c>
      <c r="V6" s="47">
        <f t="shared" si="1"/>
        <v>0.79528904802356026</v>
      </c>
      <c r="W6" s="47">
        <f t="shared" si="1"/>
        <v>0.75930934054503862</v>
      </c>
      <c r="X6" s="47">
        <f t="shared" si="1"/>
        <v>1.3191219924018573</v>
      </c>
      <c r="Y6" s="47">
        <f t="shared" si="1"/>
        <v>0.36438368144121031</v>
      </c>
      <c r="Z6" s="47">
        <f t="shared" si="1"/>
        <v>0</v>
      </c>
      <c r="AA6" s="47">
        <f t="shared" si="1"/>
        <v>0</v>
      </c>
      <c r="AB6" s="47">
        <f t="shared" si="1"/>
        <v>0</v>
      </c>
      <c r="AC6" s="47">
        <f t="shared" si="1"/>
        <v>0</v>
      </c>
      <c r="AD6" s="47">
        <f t="shared" si="1"/>
        <v>0</v>
      </c>
      <c r="AE6" s="47">
        <f t="shared" si="1"/>
        <v>0</v>
      </c>
      <c r="AF6" s="47">
        <f t="shared" si="1"/>
        <v>0</v>
      </c>
      <c r="AG6" s="48">
        <f t="shared" si="1"/>
        <v>0</v>
      </c>
    </row>
    <row r="7" spans="1:33" ht="20" customHeight="1" x14ac:dyDescent="0.3">
      <c r="A7" s="7" t="s">
        <v>14</v>
      </c>
      <c r="B7" s="9">
        <v>0</v>
      </c>
      <c r="C7" s="7" t="s">
        <v>14</v>
      </c>
      <c r="D7" s="9">
        <v>45348</v>
      </c>
      <c r="E7" s="7" t="s">
        <v>14</v>
      </c>
      <c r="F7" s="9">
        <v>187581</v>
      </c>
      <c r="G7" s="7" t="s">
        <v>14</v>
      </c>
      <c r="H7" s="9">
        <v>83042</v>
      </c>
      <c r="I7" s="7" t="s">
        <v>14</v>
      </c>
      <c r="J7" s="9">
        <v>306341</v>
      </c>
      <c r="K7" s="7" t="s">
        <v>14</v>
      </c>
      <c r="L7" s="9">
        <v>116847</v>
      </c>
      <c r="M7" s="9">
        <v>739159</v>
      </c>
      <c r="N7" s="9">
        <v>65970</v>
      </c>
      <c r="O7" s="64"/>
      <c r="P7" s="15" t="s">
        <v>87</v>
      </c>
      <c r="Q7" s="16">
        <f>ROUNDUP(Q4-Q5,0)</f>
        <v>519</v>
      </c>
      <c r="R7" s="16">
        <f t="shared" ref="R7:AG7" si="2">ROUNDUP(R4-R5,0)</f>
        <v>-72</v>
      </c>
      <c r="S7" s="16">
        <f t="shared" si="2"/>
        <v>2</v>
      </c>
      <c r="T7" s="16">
        <f t="shared" si="2"/>
        <v>-9</v>
      </c>
      <c r="U7" s="16">
        <f t="shared" si="2"/>
        <v>-65</v>
      </c>
      <c r="V7" s="16">
        <f t="shared" si="2"/>
        <v>45</v>
      </c>
      <c r="W7" s="16">
        <f t="shared" si="2"/>
        <v>16</v>
      </c>
      <c r="X7" s="16">
        <f t="shared" si="2"/>
        <v>-23</v>
      </c>
      <c r="Y7" s="16">
        <f t="shared" si="2"/>
        <v>53</v>
      </c>
      <c r="Z7" s="16">
        <f t="shared" si="2"/>
        <v>251</v>
      </c>
      <c r="AA7" s="16">
        <f t="shared" si="2"/>
        <v>74</v>
      </c>
      <c r="AB7" s="16">
        <f t="shared" si="2"/>
        <v>75</v>
      </c>
      <c r="AC7" s="16">
        <f t="shared" si="2"/>
        <v>103</v>
      </c>
      <c r="AD7" s="16">
        <f t="shared" si="2"/>
        <v>296</v>
      </c>
      <c r="AE7" s="16">
        <f t="shared" si="2"/>
        <v>77</v>
      </c>
      <c r="AF7" s="16">
        <f t="shared" si="2"/>
        <v>90</v>
      </c>
      <c r="AG7" s="16">
        <f t="shared" si="2"/>
        <v>130</v>
      </c>
    </row>
    <row r="8" spans="1:33" ht="20" customHeight="1" x14ac:dyDescent="0.3">
      <c r="A8" s="8" t="s">
        <v>92</v>
      </c>
      <c r="B8" s="10">
        <f>SUM(B3:B7)</f>
        <v>63553</v>
      </c>
      <c r="C8" s="8" t="s">
        <v>92</v>
      </c>
      <c r="D8" s="10">
        <f>SUM(D3:D7)</f>
        <v>458566.75</v>
      </c>
      <c r="E8" s="8" t="s">
        <v>92</v>
      </c>
      <c r="F8" s="10">
        <f>SUM(F3:F7)</f>
        <v>1649285</v>
      </c>
      <c r="G8" s="8" t="s">
        <v>92</v>
      </c>
      <c r="H8" s="10">
        <f>SUM(H3:H7)</f>
        <v>530594.9</v>
      </c>
      <c r="I8" s="8" t="s">
        <v>92</v>
      </c>
      <c r="J8" s="10">
        <f>SUM(J3:J7)</f>
        <v>1031819.9</v>
      </c>
      <c r="K8" s="8" t="s">
        <v>92</v>
      </c>
      <c r="L8" s="10">
        <f>SUM(L3:L7)</f>
        <v>454795</v>
      </c>
      <c r="M8" s="10">
        <f>SUM(M3:M7)</f>
        <v>4188614.5500000003</v>
      </c>
      <c r="N8" s="10">
        <f>SUM(N3:N7)</f>
        <v>588846.1</v>
      </c>
      <c r="O8" s="65"/>
      <c r="P8" s="41" t="s">
        <v>117</v>
      </c>
      <c r="Q8" s="42">
        <f>R8+V8+Z8+AD8</f>
        <v>11</v>
      </c>
      <c r="R8" s="42">
        <f>SUM(S8:U8)</f>
        <v>0</v>
      </c>
      <c r="S8" s="42">
        <v>0</v>
      </c>
      <c r="T8" s="42">
        <v>0</v>
      </c>
      <c r="U8" s="42">
        <v>0</v>
      </c>
      <c r="V8" s="42">
        <f>SUM(W8:Y8)</f>
        <v>11</v>
      </c>
      <c r="W8" s="42">
        <v>0</v>
      </c>
      <c r="X8" s="42">
        <v>0</v>
      </c>
      <c r="Y8" s="42">
        <f>N18</f>
        <v>11</v>
      </c>
      <c r="Z8" s="42">
        <f>SUM(AA8:AC8)</f>
        <v>0</v>
      </c>
      <c r="AA8" s="42"/>
      <c r="AB8" s="42"/>
      <c r="AC8" s="42"/>
      <c r="AD8" s="42">
        <f>SUM(AE8:AG8)</f>
        <v>0</v>
      </c>
      <c r="AE8" s="42"/>
      <c r="AF8" s="42"/>
      <c r="AG8" s="43"/>
    </row>
    <row r="9" spans="1:33" ht="20" customHeight="1" x14ac:dyDescent="0.3">
      <c r="A9" s="11" t="s">
        <v>91</v>
      </c>
      <c r="B9" s="10" cm="1">
        <f t="array" ref="B9">SUM(SUMIFS(B3:B7,A3:A7,{"嘉兴","海宁","桐乡"}))</f>
        <v>49848</v>
      </c>
      <c r="C9" s="11" t="s">
        <v>91</v>
      </c>
      <c r="D9" s="10" cm="1">
        <f t="array" ref="D9">SUM(SUMIFS(D3:D7,C3:C7,{"嘉兴","海宁","桐乡"}))</f>
        <v>418692.95</v>
      </c>
      <c r="E9" s="11" t="s">
        <v>91</v>
      </c>
      <c r="F9" s="10" cm="1">
        <f t="array" ref="F9">SUM(SUMIFS(F3:F7,E3:E7,{"嘉兴","海宁","桐乡"}))</f>
        <v>1357750</v>
      </c>
      <c r="G9" s="11" t="s">
        <v>91</v>
      </c>
      <c r="H9" s="10" cm="1">
        <f t="array" ref="H9">SUM(SUMIFS(H3:H7,G3:G7,{"嘉兴","海宁","桐乡"}))</f>
        <v>474587</v>
      </c>
      <c r="I9" s="11" t="s">
        <v>91</v>
      </c>
      <c r="J9" s="10" cm="1">
        <f t="array" ref="J9">SUM(SUMIFS(J3:J7,I3:I7,{"嘉兴","海宁","桐乡"}))</f>
        <v>957922</v>
      </c>
      <c r="K9" s="11" t="s">
        <v>91</v>
      </c>
      <c r="L9" s="10" cm="1">
        <f t="array" ref="L9">SUM(SUMIFS(L3:L7,K3:K7,{"嘉兴","海宁","桐乡"}))</f>
        <v>304680</v>
      </c>
      <c r="M9" s="10" cm="1">
        <f t="array" ref="M9">SUM(SUMIFS(M3:M7,K3:K7,{"嘉兴","海宁","桐乡"}))</f>
        <v>3563479.95</v>
      </c>
      <c r="N9" s="10" cm="1">
        <f t="array" ref="N9">SUM(SUMIFS(N3:N7,K3:K7,{"嘉兴","海宁","桐乡"}))</f>
        <v>119773</v>
      </c>
      <c r="O9" s="63" t="s">
        <v>5</v>
      </c>
      <c r="P9" s="38" t="s">
        <v>85</v>
      </c>
      <c r="Q9" s="39">
        <v>150</v>
      </c>
      <c r="R9" s="39">
        <f>150*R3</f>
        <v>19.110000000000003</v>
      </c>
      <c r="S9" s="39">
        <f t="shared" ref="S9:AG9" si="3">150*S3</f>
        <v>1.0650000000000002</v>
      </c>
      <c r="T9" s="39">
        <f t="shared" si="3"/>
        <v>5.79</v>
      </c>
      <c r="U9" s="39">
        <f t="shared" si="3"/>
        <v>12.254999999999999</v>
      </c>
      <c r="V9" s="39">
        <f t="shared" si="3"/>
        <v>37.214999999999996</v>
      </c>
      <c r="W9" s="39">
        <f t="shared" si="3"/>
        <v>10.725</v>
      </c>
      <c r="X9" s="39">
        <f>150*X3</f>
        <v>12.36</v>
      </c>
      <c r="Y9" s="39">
        <f t="shared" si="3"/>
        <v>14.13</v>
      </c>
      <c r="Z9" s="39">
        <f t="shared" si="3"/>
        <v>43.034999999999997</v>
      </c>
      <c r="AA9" s="39">
        <f t="shared" si="3"/>
        <v>12.600000000000001</v>
      </c>
      <c r="AB9" s="39">
        <f t="shared" si="3"/>
        <v>12.855</v>
      </c>
      <c r="AC9" s="39">
        <f t="shared" si="3"/>
        <v>17.579999999999998</v>
      </c>
      <c r="AD9" s="39">
        <f t="shared" si="3"/>
        <v>50.64</v>
      </c>
      <c r="AE9" s="39">
        <f t="shared" si="3"/>
        <v>13.095000000000001</v>
      </c>
      <c r="AF9" s="39">
        <f t="shared" si="3"/>
        <v>15.315</v>
      </c>
      <c r="AG9" s="40">
        <f t="shared" si="3"/>
        <v>22.23</v>
      </c>
    </row>
    <row r="10" spans="1:33" ht="20" customHeight="1" x14ac:dyDescent="0.3">
      <c r="A10" s="77" t="s">
        <v>146</v>
      </c>
      <c r="B10" s="77"/>
      <c r="C10" s="77" t="s">
        <v>146</v>
      </c>
      <c r="D10" s="77"/>
      <c r="E10" s="77" t="s">
        <v>146</v>
      </c>
      <c r="F10" s="77"/>
      <c r="G10" s="77" t="s">
        <v>146</v>
      </c>
      <c r="H10" s="77"/>
      <c r="I10" s="77" t="s">
        <v>116</v>
      </c>
      <c r="J10" s="77"/>
      <c r="K10" s="77" t="s">
        <v>129</v>
      </c>
      <c r="L10" s="77"/>
      <c r="M10" s="77"/>
      <c r="N10" s="77"/>
      <c r="O10" s="64"/>
      <c r="P10" s="14" t="s">
        <v>88</v>
      </c>
      <c r="Q10" s="16">
        <f>R10+V10+Z10+AD10</f>
        <v>15.508980000000001</v>
      </c>
      <c r="R10" s="16">
        <f>SUM(S10:U10)</f>
        <v>13.30898</v>
      </c>
      <c r="S10" s="16">
        <v>0.4335</v>
      </c>
      <c r="T10" s="16">
        <v>2.0263800000000001</v>
      </c>
      <c r="U10" s="16">
        <v>10.8491</v>
      </c>
      <c r="V10" s="16">
        <f>SUM(W10:Y10)</f>
        <v>2.2000000000000002</v>
      </c>
      <c r="W10" s="16">
        <v>1.2</v>
      </c>
      <c r="X10" s="16">
        <f>J13</f>
        <v>0</v>
      </c>
      <c r="Y10" s="16">
        <f>L13</f>
        <v>1</v>
      </c>
      <c r="Z10" s="16">
        <f>SUM(AA10:AC10)</f>
        <v>0</v>
      </c>
      <c r="AA10" s="16"/>
      <c r="AB10" s="16"/>
      <c r="AC10" s="16"/>
      <c r="AD10" s="16">
        <f>SUM(AE10:AG10)</f>
        <v>0</v>
      </c>
      <c r="AE10" s="16"/>
      <c r="AF10" s="16"/>
      <c r="AG10" s="17"/>
    </row>
    <row r="11" spans="1:33" ht="20" customHeight="1" x14ac:dyDescent="0.3">
      <c r="A11" s="7" t="s">
        <v>2</v>
      </c>
      <c r="B11" s="7" t="s">
        <v>112</v>
      </c>
      <c r="C11" s="7" t="s">
        <v>2</v>
      </c>
      <c r="D11" s="7" t="s">
        <v>112</v>
      </c>
      <c r="E11" s="7" t="s">
        <v>2</v>
      </c>
      <c r="F11" s="7" t="s">
        <v>112</v>
      </c>
      <c r="G11" s="7" t="s">
        <v>2</v>
      </c>
      <c r="H11" s="7" t="s">
        <v>112</v>
      </c>
      <c r="I11" s="7" t="s">
        <v>2</v>
      </c>
      <c r="J11" s="7" t="s">
        <v>112</v>
      </c>
      <c r="K11" s="7" t="s">
        <v>2</v>
      </c>
      <c r="L11" s="7" t="s">
        <v>112</v>
      </c>
      <c r="M11" s="7" t="s">
        <v>113</v>
      </c>
      <c r="N11" s="7" t="s">
        <v>114</v>
      </c>
      <c r="O11" s="64"/>
      <c r="P11" s="35" t="s">
        <v>89</v>
      </c>
      <c r="Q11" s="47">
        <f>Q10/Q9</f>
        <v>0.1033932</v>
      </c>
      <c r="R11" s="47">
        <f t="shared" ref="R11:AG11" si="4">R10/R9</f>
        <v>0.69644060701203547</v>
      </c>
      <c r="S11" s="47">
        <f t="shared" si="4"/>
        <v>0.40704225352112672</v>
      </c>
      <c r="T11" s="47">
        <f t="shared" si="4"/>
        <v>0.34997927461139899</v>
      </c>
      <c r="U11" s="47">
        <f t="shared" si="4"/>
        <v>0.88527947776417792</v>
      </c>
      <c r="V11" s="47">
        <f t="shared" si="4"/>
        <v>5.9115947870482341E-2</v>
      </c>
      <c r="W11" s="47">
        <f t="shared" si="4"/>
        <v>0.11188811188811189</v>
      </c>
      <c r="X11" s="47">
        <f t="shared" si="4"/>
        <v>0</v>
      </c>
      <c r="Y11" s="47">
        <f t="shared" si="4"/>
        <v>7.0771408351026188E-2</v>
      </c>
      <c r="Z11" s="47">
        <f t="shared" si="4"/>
        <v>0</v>
      </c>
      <c r="AA11" s="47">
        <f t="shared" si="4"/>
        <v>0</v>
      </c>
      <c r="AB11" s="47">
        <f t="shared" si="4"/>
        <v>0</v>
      </c>
      <c r="AC11" s="47">
        <f t="shared" si="4"/>
        <v>0</v>
      </c>
      <c r="AD11" s="47">
        <f t="shared" si="4"/>
        <v>0</v>
      </c>
      <c r="AE11" s="47">
        <f t="shared" si="4"/>
        <v>0</v>
      </c>
      <c r="AF11" s="47">
        <f t="shared" si="4"/>
        <v>0</v>
      </c>
      <c r="AG11" s="48">
        <f t="shared" si="4"/>
        <v>0</v>
      </c>
    </row>
    <row r="12" spans="1:33" ht="20" customHeight="1" x14ac:dyDescent="0.3">
      <c r="A12" s="7" t="s">
        <v>115</v>
      </c>
      <c r="B12" s="9">
        <f>ROUNDDOWN(B3/10000,0)</f>
        <v>4</v>
      </c>
      <c r="C12" s="7" t="s">
        <v>115</v>
      </c>
      <c r="D12" s="9">
        <f>ROUNDDOWN(D3/10000,0)</f>
        <v>37</v>
      </c>
      <c r="E12" s="7" t="s">
        <v>115</v>
      </c>
      <c r="F12" s="9">
        <f t="shared" ref="F12:F18" si="5">ROUNDDOWN(F3/10000,0)</f>
        <v>109</v>
      </c>
      <c r="G12" s="7" t="s">
        <v>115</v>
      </c>
      <c r="H12" s="9">
        <f t="shared" ref="H12:H18" si="6">ROUNDDOWN(H3/10000,0)</f>
        <v>28</v>
      </c>
      <c r="I12" s="7" t="s">
        <v>115</v>
      </c>
      <c r="J12" s="9">
        <f t="shared" ref="J12:J18" si="7">ROUNDDOWN(J3/10000,0)</f>
        <v>55</v>
      </c>
      <c r="K12" s="7" t="s">
        <v>115</v>
      </c>
      <c r="L12" s="9">
        <f t="shared" ref="L12:N18" si="8">ROUNDDOWN(L3/10000,0)</f>
        <v>15</v>
      </c>
      <c r="M12" s="9">
        <f t="shared" si="8"/>
        <v>251</v>
      </c>
      <c r="N12" s="9">
        <f t="shared" si="8"/>
        <v>5</v>
      </c>
      <c r="O12" s="64"/>
      <c r="P12" s="14" t="s">
        <v>90</v>
      </c>
      <c r="Q12" s="16">
        <f>ROUNDUP(Q9-Q10,0)</f>
        <v>135</v>
      </c>
      <c r="R12" s="16">
        <f t="shared" ref="R12:AG12" si="9">ROUNDUP(R9-R10,0)</f>
        <v>6</v>
      </c>
      <c r="S12" s="16">
        <f t="shared" si="9"/>
        <v>1</v>
      </c>
      <c r="T12" s="16">
        <f t="shared" si="9"/>
        <v>4</v>
      </c>
      <c r="U12" s="16">
        <f t="shared" si="9"/>
        <v>2</v>
      </c>
      <c r="V12" s="16">
        <f t="shared" si="9"/>
        <v>36</v>
      </c>
      <c r="W12" s="16">
        <f t="shared" si="9"/>
        <v>10</v>
      </c>
      <c r="X12" s="16">
        <f t="shared" si="9"/>
        <v>13</v>
      </c>
      <c r="Y12" s="16">
        <f t="shared" si="9"/>
        <v>14</v>
      </c>
      <c r="Z12" s="16">
        <f t="shared" si="9"/>
        <v>44</v>
      </c>
      <c r="AA12" s="16">
        <f t="shared" si="9"/>
        <v>13</v>
      </c>
      <c r="AB12" s="16">
        <f t="shared" si="9"/>
        <v>13</v>
      </c>
      <c r="AC12" s="16">
        <f t="shared" si="9"/>
        <v>18</v>
      </c>
      <c r="AD12" s="16">
        <f t="shared" si="9"/>
        <v>51</v>
      </c>
      <c r="AE12" s="16">
        <f t="shared" si="9"/>
        <v>14</v>
      </c>
      <c r="AF12" s="16">
        <f t="shared" si="9"/>
        <v>16</v>
      </c>
      <c r="AG12" s="16">
        <f t="shared" si="9"/>
        <v>23</v>
      </c>
    </row>
    <row r="13" spans="1:33" ht="20" customHeight="1" x14ac:dyDescent="0.3">
      <c r="A13" s="8" t="s">
        <v>5</v>
      </c>
      <c r="B13" s="10">
        <f t="shared" ref="B13" si="10">ROUNDDOWN(B4/10000,0)</f>
        <v>0</v>
      </c>
      <c r="C13" s="8" t="s">
        <v>5</v>
      </c>
      <c r="D13" s="10">
        <f t="shared" ref="D13" si="11">ROUNDDOWN(D4/10000,0)</f>
        <v>2</v>
      </c>
      <c r="E13" s="8" t="s">
        <v>5</v>
      </c>
      <c r="F13" s="10">
        <f t="shared" si="5"/>
        <v>10</v>
      </c>
      <c r="G13" s="8" t="s">
        <v>5</v>
      </c>
      <c r="H13" s="10">
        <f t="shared" si="6"/>
        <v>1</v>
      </c>
      <c r="I13" s="8" t="s">
        <v>5</v>
      </c>
      <c r="J13" s="10">
        <f t="shared" si="7"/>
        <v>0</v>
      </c>
      <c r="K13" s="8" t="s">
        <v>5</v>
      </c>
      <c r="L13" s="10">
        <f t="shared" si="8"/>
        <v>1</v>
      </c>
      <c r="M13" s="10">
        <f t="shared" si="8"/>
        <v>16</v>
      </c>
      <c r="N13" s="10">
        <f t="shared" si="8"/>
        <v>43</v>
      </c>
      <c r="O13" s="65"/>
      <c r="P13" s="41" t="s">
        <v>117</v>
      </c>
      <c r="Q13" s="42">
        <f>R13+V13+Z13+AD13</f>
        <v>43</v>
      </c>
      <c r="R13" s="42">
        <f>SUM(S13:U13)</f>
        <v>0</v>
      </c>
      <c r="S13" s="42">
        <v>0</v>
      </c>
      <c r="T13" s="42">
        <v>0</v>
      </c>
      <c r="U13" s="42">
        <v>0</v>
      </c>
      <c r="V13" s="42">
        <f>SUM(W13:Y13)</f>
        <v>43</v>
      </c>
      <c r="W13" s="42">
        <v>0</v>
      </c>
      <c r="X13" s="42">
        <v>0</v>
      </c>
      <c r="Y13" s="42">
        <f>N13</f>
        <v>43</v>
      </c>
      <c r="Z13" s="42">
        <f>SUM(AA13:AC13)</f>
        <v>0</v>
      </c>
      <c r="AA13" s="42"/>
      <c r="AB13" s="42"/>
      <c r="AC13" s="42"/>
      <c r="AD13" s="42">
        <f>SUM(AE13:AG13)</f>
        <v>0</v>
      </c>
      <c r="AE13" s="42"/>
      <c r="AF13" s="42"/>
      <c r="AG13" s="43"/>
    </row>
    <row r="14" spans="1:33" ht="20" customHeight="1" x14ac:dyDescent="0.3">
      <c r="A14" s="7" t="s">
        <v>22</v>
      </c>
      <c r="B14" s="9">
        <f t="shared" ref="B14" si="12">ROUNDDOWN(B5/10000,0)</f>
        <v>0</v>
      </c>
      <c r="C14" s="7" t="s">
        <v>22</v>
      </c>
      <c r="D14" s="9">
        <f t="shared" ref="D14" si="13">ROUNDDOWN(D5/10000,0)</f>
        <v>0</v>
      </c>
      <c r="E14" s="7" t="s">
        <v>22</v>
      </c>
      <c r="F14" s="9">
        <f t="shared" si="5"/>
        <v>7</v>
      </c>
      <c r="G14" s="7" t="s">
        <v>22</v>
      </c>
      <c r="H14" s="9">
        <f t="shared" si="6"/>
        <v>10</v>
      </c>
      <c r="I14" s="7" t="s">
        <v>22</v>
      </c>
      <c r="J14" s="9">
        <f t="shared" si="7"/>
        <v>9</v>
      </c>
      <c r="K14" s="7" t="s">
        <v>22</v>
      </c>
      <c r="L14" s="9">
        <f t="shared" si="8"/>
        <v>3</v>
      </c>
      <c r="M14" s="9">
        <f t="shared" si="8"/>
        <v>30</v>
      </c>
      <c r="N14" s="9">
        <f t="shared" si="8"/>
        <v>0</v>
      </c>
      <c r="O14" s="63" t="s">
        <v>7</v>
      </c>
      <c r="P14" s="38" t="s">
        <v>85</v>
      </c>
      <c r="Q14" s="39">
        <v>176</v>
      </c>
      <c r="R14" s="39">
        <f>176*R3</f>
        <v>22.422400000000003</v>
      </c>
      <c r="S14" s="39">
        <f t="shared" ref="S14:AG14" si="14">176*S3</f>
        <v>1.2496</v>
      </c>
      <c r="T14" s="39">
        <f t="shared" si="14"/>
        <v>6.7936000000000005</v>
      </c>
      <c r="U14" s="39">
        <f t="shared" si="14"/>
        <v>14.379199999999999</v>
      </c>
      <c r="V14" s="39">
        <f t="shared" si="14"/>
        <v>43.665599999999998</v>
      </c>
      <c r="W14" s="39">
        <f t="shared" si="14"/>
        <v>12.584</v>
      </c>
      <c r="X14" s="39">
        <f t="shared" si="14"/>
        <v>14.5024</v>
      </c>
      <c r="Y14" s="39">
        <f>176*Y3</f>
        <v>16.5792</v>
      </c>
      <c r="Z14" s="39">
        <f t="shared" si="14"/>
        <v>50.494399999999999</v>
      </c>
      <c r="AA14" s="39">
        <f t="shared" si="14"/>
        <v>14.784000000000001</v>
      </c>
      <c r="AB14" s="39">
        <f t="shared" si="14"/>
        <v>15.0832</v>
      </c>
      <c r="AC14" s="39">
        <f t="shared" si="14"/>
        <v>20.627199999999998</v>
      </c>
      <c r="AD14" s="39">
        <f t="shared" si="14"/>
        <v>59.4176</v>
      </c>
      <c r="AE14" s="39">
        <f t="shared" si="14"/>
        <v>15.364800000000001</v>
      </c>
      <c r="AF14" s="39">
        <f t="shared" si="14"/>
        <v>17.9696</v>
      </c>
      <c r="AG14" s="40">
        <f t="shared" si="14"/>
        <v>26.083199999999998</v>
      </c>
    </row>
    <row r="15" spans="1:33" ht="20" customHeight="1" x14ac:dyDescent="0.3">
      <c r="A15" s="8" t="s">
        <v>7</v>
      </c>
      <c r="B15" s="10">
        <f t="shared" ref="B15" si="15">ROUNDDOWN(B6/10000,0)</f>
        <v>0</v>
      </c>
      <c r="C15" s="8" t="s">
        <v>7</v>
      </c>
      <c r="D15" s="10">
        <f t="shared" ref="D15" si="16">ROUNDDOWN(D6/10000,0)</f>
        <v>1</v>
      </c>
      <c r="E15" s="8" t="s">
        <v>7</v>
      </c>
      <c r="F15" s="10">
        <f t="shared" si="5"/>
        <v>18</v>
      </c>
      <c r="G15" s="8" t="s">
        <v>7</v>
      </c>
      <c r="H15" s="10">
        <f t="shared" si="6"/>
        <v>4</v>
      </c>
      <c r="I15" s="8" t="s">
        <v>7</v>
      </c>
      <c r="J15" s="10">
        <f t="shared" si="7"/>
        <v>6</v>
      </c>
      <c r="K15" s="8" t="s">
        <v>7</v>
      </c>
      <c r="L15" s="10">
        <f t="shared" si="8"/>
        <v>13</v>
      </c>
      <c r="M15" s="10">
        <f t="shared" si="8"/>
        <v>46</v>
      </c>
      <c r="N15" s="10">
        <f t="shared" si="8"/>
        <v>3</v>
      </c>
      <c r="O15" s="64"/>
      <c r="P15" s="14" t="s">
        <v>88</v>
      </c>
      <c r="Q15" s="16">
        <f>R15+V15+Z15+AD15</f>
        <v>44.546700000000001</v>
      </c>
      <c r="R15" s="16">
        <f>SUM(S15:U15)</f>
        <v>21.202400000000001</v>
      </c>
      <c r="S15" s="16">
        <v>0.93700000000000006</v>
      </c>
      <c r="T15" s="16">
        <v>1.9610000000000001</v>
      </c>
      <c r="U15" s="16">
        <v>18.304400000000001</v>
      </c>
      <c r="V15" s="16">
        <f>SUM(W15:Y15)</f>
        <v>23.3443</v>
      </c>
      <c r="W15" s="16">
        <v>4.3442999999999996</v>
      </c>
      <c r="X15" s="16">
        <f>J15</f>
        <v>6</v>
      </c>
      <c r="Y15" s="16">
        <f>L15</f>
        <v>13</v>
      </c>
      <c r="Z15" s="16">
        <f>SUM(AA15:AC15)</f>
        <v>0</v>
      </c>
      <c r="AA15" s="16"/>
      <c r="AB15" s="16"/>
      <c r="AC15" s="16"/>
      <c r="AD15" s="16">
        <f>SUM(AE15:AG15)</f>
        <v>0</v>
      </c>
      <c r="AE15" s="16"/>
      <c r="AF15" s="16"/>
      <c r="AG15" s="17"/>
    </row>
    <row r="16" spans="1:33" ht="20" customHeight="1" x14ac:dyDescent="0.3">
      <c r="A16" s="7" t="s">
        <v>14</v>
      </c>
      <c r="B16" s="9">
        <f t="shared" ref="B16" si="17">ROUNDDOWN(B7/10000,0)</f>
        <v>0</v>
      </c>
      <c r="C16" s="7" t="s">
        <v>14</v>
      </c>
      <c r="D16" s="9">
        <f t="shared" ref="D16" si="18">ROUNDDOWN(D7/10000,0)</f>
        <v>4</v>
      </c>
      <c r="E16" s="7" t="s">
        <v>14</v>
      </c>
      <c r="F16" s="9">
        <f t="shared" si="5"/>
        <v>18</v>
      </c>
      <c r="G16" s="7" t="s">
        <v>14</v>
      </c>
      <c r="H16" s="9">
        <f t="shared" si="6"/>
        <v>8</v>
      </c>
      <c r="I16" s="7" t="s">
        <v>14</v>
      </c>
      <c r="J16" s="9">
        <f t="shared" si="7"/>
        <v>30</v>
      </c>
      <c r="K16" s="7" t="s">
        <v>14</v>
      </c>
      <c r="L16" s="9">
        <f t="shared" si="8"/>
        <v>11</v>
      </c>
      <c r="M16" s="9">
        <f t="shared" si="8"/>
        <v>73</v>
      </c>
      <c r="N16" s="9">
        <f t="shared" si="8"/>
        <v>6</v>
      </c>
      <c r="O16" s="64"/>
      <c r="P16" s="35" t="s">
        <v>89</v>
      </c>
      <c r="Q16" s="47">
        <f>Q15/Q14</f>
        <v>0.25310625000000003</v>
      </c>
      <c r="R16" s="47">
        <f t="shared" ref="R16:AG16" si="19">R15/R14</f>
        <v>0.94559012416155264</v>
      </c>
      <c r="S16" s="47">
        <f t="shared" si="19"/>
        <v>0.74983994878361082</v>
      </c>
      <c r="T16" s="47">
        <f t="shared" si="19"/>
        <v>0.28865402731983042</v>
      </c>
      <c r="U16" s="47">
        <f t="shared" si="19"/>
        <v>1.2729776343607435</v>
      </c>
      <c r="V16" s="47">
        <f t="shared" si="19"/>
        <v>0.53461534938258037</v>
      </c>
      <c r="W16" s="47">
        <f t="shared" si="19"/>
        <v>0.34522409408773042</v>
      </c>
      <c r="X16" s="47">
        <f t="shared" si="19"/>
        <v>0.41372462488967343</v>
      </c>
      <c r="Y16" s="47">
        <f t="shared" si="19"/>
        <v>0.78411503570739238</v>
      </c>
      <c r="Z16" s="47">
        <f t="shared" si="19"/>
        <v>0</v>
      </c>
      <c r="AA16" s="47">
        <f t="shared" si="19"/>
        <v>0</v>
      </c>
      <c r="AB16" s="47">
        <f t="shared" si="19"/>
        <v>0</v>
      </c>
      <c r="AC16" s="47">
        <f t="shared" si="19"/>
        <v>0</v>
      </c>
      <c r="AD16" s="47">
        <f t="shared" si="19"/>
        <v>0</v>
      </c>
      <c r="AE16" s="47">
        <f t="shared" si="19"/>
        <v>0</v>
      </c>
      <c r="AF16" s="47">
        <f t="shared" si="19"/>
        <v>0</v>
      </c>
      <c r="AG16" s="48">
        <f t="shared" si="19"/>
        <v>0</v>
      </c>
    </row>
    <row r="17" spans="1:33" ht="20" customHeight="1" x14ac:dyDescent="0.3">
      <c r="A17" s="12" t="s">
        <v>92</v>
      </c>
      <c r="B17" s="9">
        <f t="shared" ref="B17" si="20">ROUNDDOWN(B8/10000,0)</f>
        <v>6</v>
      </c>
      <c r="C17" s="12" t="s">
        <v>92</v>
      </c>
      <c r="D17" s="9">
        <f t="shared" ref="D17" si="21">ROUNDDOWN(D8/10000,0)</f>
        <v>45</v>
      </c>
      <c r="E17" s="12" t="s">
        <v>92</v>
      </c>
      <c r="F17" s="9">
        <f t="shared" si="5"/>
        <v>164</v>
      </c>
      <c r="G17" s="12" t="s">
        <v>92</v>
      </c>
      <c r="H17" s="9">
        <f t="shared" si="6"/>
        <v>53</v>
      </c>
      <c r="I17" s="12" t="s">
        <v>92</v>
      </c>
      <c r="J17" s="9">
        <f t="shared" si="7"/>
        <v>103</v>
      </c>
      <c r="K17" s="12" t="s">
        <v>92</v>
      </c>
      <c r="L17" s="13">
        <f t="shared" si="8"/>
        <v>45</v>
      </c>
      <c r="M17" s="13">
        <f t="shared" si="8"/>
        <v>418</v>
      </c>
      <c r="N17" s="13">
        <f t="shared" si="8"/>
        <v>58</v>
      </c>
      <c r="O17" s="64"/>
      <c r="P17" s="14" t="s">
        <v>90</v>
      </c>
      <c r="Q17" s="16">
        <f>ROUNDUP(Q14-Q15,0)</f>
        <v>132</v>
      </c>
      <c r="R17" s="16">
        <f t="shared" ref="R17:AG17" si="22">ROUNDUP(R14-R15,0)</f>
        <v>2</v>
      </c>
      <c r="S17" s="16">
        <f t="shared" si="22"/>
        <v>1</v>
      </c>
      <c r="T17" s="16">
        <f t="shared" si="22"/>
        <v>5</v>
      </c>
      <c r="U17" s="16">
        <f t="shared" si="22"/>
        <v>-4</v>
      </c>
      <c r="V17" s="16">
        <f t="shared" si="22"/>
        <v>21</v>
      </c>
      <c r="W17" s="16">
        <f t="shared" si="22"/>
        <v>9</v>
      </c>
      <c r="X17" s="16">
        <f t="shared" si="22"/>
        <v>9</v>
      </c>
      <c r="Y17" s="16">
        <f t="shared" si="22"/>
        <v>4</v>
      </c>
      <c r="Z17" s="16">
        <f t="shared" si="22"/>
        <v>51</v>
      </c>
      <c r="AA17" s="16">
        <f t="shared" si="22"/>
        <v>15</v>
      </c>
      <c r="AB17" s="16">
        <f t="shared" si="22"/>
        <v>16</v>
      </c>
      <c r="AC17" s="16">
        <f t="shared" si="22"/>
        <v>21</v>
      </c>
      <c r="AD17" s="16">
        <f t="shared" si="22"/>
        <v>60</v>
      </c>
      <c r="AE17" s="16">
        <f t="shared" si="22"/>
        <v>16</v>
      </c>
      <c r="AF17" s="16">
        <f t="shared" si="22"/>
        <v>18</v>
      </c>
      <c r="AG17" s="16">
        <f t="shared" si="22"/>
        <v>27</v>
      </c>
    </row>
    <row r="18" spans="1:33" ht="20" customHeight="1" x14ac:dyDescent="0.3">
      <c r="A18" s="11" t="s">
        <v>91</v>
      </c>
      <c r="B18" s="10">
        <f t="shared" ref="B18" si="23">ROUNDDOWN(B9/10000,0)</f>
        <v>4</v>
      </c>
      <c r="C18" s="11" t="s">
        <v>91</v>
      </c>
      <c r="D18" s="10">
        <f t="shared" ref="D18" si="24">ROUNDDOWN(D9/10000,0)</f>
        <v>41</v>
      </c>
      <c r="E18" s="11" t="s">
        <v>91</v>
      </c>
      <c r="F18" s="10">
        <f t="shared" si="5"/>
        <v>135</v>
      </c>
      <c r="G18" s="11" t="s">
        <v>91</v>
      </c>
      <c r="H18" s="10">
        <f t="shared" si="6"/>
        <v>47</v>
      </c>
      <c r="I18" s="11" t="s">
        <v>91</v>
      </c>
      <c r="J18" s="10">
        <f t="shared" si="7"/>
        <v>95</v>
      </c>
      <c r="K18" s="11" t="s">
        <v>91</v>
      </c>
      <c r="L18" s="10">
        <f t="shared" si="8"/>
        <v>30</v>
      </c>
      <c r="M18" s="10">
        <f t="shared" si="8"/>
        <v>356</v>
      </c>
      <c r="N18" s="10">
        <f t="shared" si="8"/>
        <v>11</v>
      </c>
      <c r="O18" s="65"/>
      <c r="P18" s="41" t="s">
        <v>117</v>
      </c>
      <c r="Q18" s="42">
        <f>R18+V18+Z18+AD18</f>
        <v>3</v>
      </c>
      <c r="R18" s="42">
        <f>SUM(S18:U18)</f>
        <v>0</v>
      </c>
      <c r="S18" s="42">
        <v>0</v>
      </c>
      <c r="T18" s="42">
        <v>0</v>
      </c>
      <c r="U18" s="42">
        <v>0</v>
      </c>
      <c r="V18" s="42">
        <f>SUM(W18:Y18)</f>
        <v>3</v>
      </c>
      <c r="W18" s="42">
        <v>0</v>
      </c>
      <c r="X18" s="42">
        <v>0</v>
      </c>
      <c r="Y18" s="42">
        <f>N15</f>
        <v>3</v>
      </c>
      <c r="Z18" s="42">
        <f>SUM(AA18:AC18)</f>
        <v>0</v>
      </c>
      <c r="AA18" s="42"/>
      <c r="AB18" s="42"/>
      <c r="AC18" s="42"/>
      <c r="AD18" s="42">
        <f>SUM(AE18:AG18)</f>
        <v>0</v>
      </c>
      <c r="AE18" s="42"/>
      <c r="AF18" s="42"/>
      <c r="AG18" s="43"/>
    </row>
    <row r="19" spans="1:33" ht="20" customHeight="1" x14ac:dyDescent="0.3">
      <c r="A19" s="78" t="s">
        <v>147</v>
      </c>
      <c r="B19" s="78"/>
      <c r="C19" s="78" t="s">
        <v>147</v>
      </c>
      <c r="D19" s="78"/>
      <c r="E19" s="78" t="s">
        <v>147</v>
      </c>
      <c r="F19" s="78"/>
      <c r="G19" s="78" t="s">
        <v>147</v>
      </c>
      <c r="H19" s="78"/>
      <c r="I19" s="78" t="s">
        <v>144</v>
      </c>
      <c r="J19" s="78"/>
      <c r="K19" s="67" t="s">
        <v>145</v>
      </c>
      <c r="L19" s="67"/>
      <c r="M19" s="67"/>
      <c r="N19" s="67"/>
      <c r="O19" s="63" t="s">
        <v>92</v>
      </c>
      <c r="P19" s="38" t="s">
        <v>85</v>
      </c>
      <c r="Q19" s="39">
        <f>Q14+Q9+Q4</f>
        <v>1200</v>
      </c>
      <c r="R19" s="39">
        <f t="shared" ref="R19:AG20" si="25">R14+R9+R4</f>
        <v>152.88000000000002</v>
      </c>
      <c r="S19" s="39">
        <f t="shared" si="25"/>
        <v>8.52</v>
      </c>
      <c r="T19" s="39">
        <f t="shared" si="25"/>
        <v>46.320000000000007</v>
      </c>
      <c r="U19" s="39">
        <f t="shared" si="25"/>
        <v>98.039999999999992</v>
      </c>
      <c r="V19" s="39">
        <f t="shared" si="25"/>
        <v>297.71999999999997</v>
      </c>
      <c r="W19" s="39">
        <f t="shared" si="25"/>
        <v>85.799999999999983</v>
      </c>
      <c r="X19" s="39">
        <f t="shared" si="25"/>
        <v>98.88</v>
      </c>
      <c r="Y19" s="39">
        <f t="shared" si="25"/>
        <v>113.04000000000002</v>
      </c>
      <c r="Z19" s="39">
        <f t="shared" si="25"/>
        <v>344.28</v>
      </c>
      <c r="AA19" s="39">
        <f t="shared" si="25"/>
        <v>100.80000000000001</v>
      </c>
      <c r="AB19" s="39">
        <f t="shared" si="25"/>
        <v>102.84</v>
      </c>
      <c r="AC19" s="39">
        <f t="shared" si="25"/>
        <v>140.63999999999999</v>
      </c>
      <c r="AD19" s="39">
        <f t="shared" si="25"/>
        <v>405.12</v>
      </c>
      <c r="AE19" s="39">
        <f t="shared" si="25"/>
        <v>104.76</v>
      </c>
      <c r="AF19" s="39">
        <f t="shared" si="25"/>
        <v>122.52</v>
      </c>
      <c r="AG19" s="40">
        <f t="shared" si="25"/>
        <v>177.84</v>
      </c>
    </row>
    <row r="20" spans="1:33" ht="20" customHeight="1" x14ac:dyDescent="0.3">
      <c r="A20" s="7" t="s">
        <v>2</v>
      </c>
      <c r="B20" s="7" t="s">
        <v>112</v>
      </c>
      <c r="C20" s="7" t="s">
        <v>2</v>
      </c>
      <c r="D20" s="7" t="s">
        <v>112</v>
      </c>
      <c r="E20" s="7" t="s">
        <v>2</v>
      </c>
      <c r="F20" s="7" t="s">
        <v>112</v>
      </c>
      <c r="G20" s="7" t="s">
        <v>2</v>
      </c>
      <c r="H20" s="7" t="s">
        <v>112</v>
      </c>
      <c r="I20" s="7" t="s">
        <v>2</v>
      </c>
      <c r="J20" s="7" t="s">
        <v>112</v>
      </c>
      <c r="K20" s="7" t="s">
        <v>2</v>
      </c>
      <c r="L20" s="7" t="s">
        <v>112</v>
      </c>
      <c r="M20" s="7" t="s">
        <v>113</v>
      </c>
      <c r="N20" s="7" t="s">
        <v>114</v>
      </c>
      <c r="O20" s="64"/>
      <c r="P20" s="14" t="s">
        <v>88</v>
      </c>
      <c r="Q20" s="16">
        <f>Q15+Q10+Q5</f>
        <v>415.13477499999999</v>
      </c>
      <c r="R20" s="16">
        <f t="shared" si="25"/>
        <v>217.14047500000001</v>
      </c>
      <c r="S20" s="16">
        <f t="shared" si="25"/>
        <v>6.3552999999999997</v>
      </c>
      <c r="T20" s="16">
        <f t="shared" si="25"/>
        <v>45.856675000000003</v>
      </c>
      <c r="U20" s="16">
        <f t="shared" si="25"/>
        <v>164.92850000000001</v>
      </c>
      <c r="V20" s="16">
        <f t="shared" si="25"/>
        <v>197.99429999999998</v>
      </c>
      <c r="W20" s="16">
        <f t="shared" si="25"/>
        <v>52.994300000000003</v>
      </c>
      <c r="X20" s="16">
        <f t="shared" si="25"/>
        <v>101</v>
      </c>
      <c r="Y20" s="16">
        <f t="shared" si="25"/>
        <v>44</v>
      </c>
      <c r="Z20" s="16">
        <f t="shared" si="25"/>
        <v>0</v>
      </c>
      <c r="AA20" s="16">
        <f t="shared" si="25"/>
        <v>0</v>
      </c>
      <c r="AB20" s="16">
        <f t="shared" si="25"/>
        <v>0</v>
      </c>
      <c r="AC20" s="16">
        <f t="shared" si="25"/>
        <v>0</v>
      </c>
      <c r="AD20" s="16">
        <f t="shared" si="25"/>
        <v>0</v>
      </c>
      <c r="AE20" s="16">
        <f t="shared" si="25"/>
        <v>0</v>
      </c>
      <c r="AF20" s="16">
        <f t="shared" si="25"/>
        <v>0</v>
      </c>
      <c r="AG20" s="17">
        <f t="shared" si="25"/>
        <v>0</v>
      </c>
    </row>
    <row r="21" spans="1:33" ht="20" customHeight="1" x14ac:dyDescent="0.3">
      <c r="A21" s="7" t="s">
        <v>131</v>
      </c>
      <c r="B21" s="7">
        <v>514715</v>
      </c>
      <c r="C21" s="7" t="s">
        <v>131</v>
      </c>
      <c r="D21" s="7">
        <v>782078.6</v>
      </c>
      <c r="E21" s="7" t="s">
        <v>131</v>
      </c>
      <c r="F21" s="7">
        <v>3529031.4</v>
      </c>
      <c r="G21" s="7" t="s">
        <v>131</v>
      </c>
      <c r="H21" s="7">
        <v>1770526.3</v>
      </c>
      <c r="I21" s="7" t="s">
        <v>131</v>
      </c>
      <c r="J21" s="7">
        <v>1571225</v>
      </c>
      <c r="K21" s="7" t="s">
        <v>131</v>
      </c>
      <c r="L21" s="7">
        <v>1022027</v>
      </c>
      <c r="M21" s="7">
        <v>9189603.3000000007</v>
      </c>
      <c r="N21" s="7">
        <v>3868758</v>
      </c>
      <c r="O21" s="64"/>
      <c r="P21" s="35" t="s">
        <v>89</v>
      </c>
      <c r="Q21" s="47">
        <f>Q20/Q19</f>
        <v>0.34594564583333332</v>
      </c>
      <c r="R21" s="47">
        <f t="shared" ref="R21:AG21" si="26">R20/R19</f>
        <v>1.4203327773417058</v>
      </c>
      <c r="S21" s="47">
        <f t="shared" si="26"/>
        <v>0.74592723004694839</v>
      </c>
      <c r="T21" s="47">
        <f t="shared" si="26"/>
        <v>0.98999730138169251</v>
      </c>
      <c r="U21" s="47">
        <f t="shared" si="26"/>
        <v>1.6822572419420647</v>
      </c>
      <c r="V21" s="47">
        <f t="shared" si="26"/>
        <v>0.66503526803708179</v>
      </c>
      <c r="W21" s="47">
        <f t="shared" si="26"/>
        <v>0.61764918414918435</v>
      </c>
      <c r="X21" s="47">
        <f t="shared" si="26"/>
        <v>1.0214401294498383</v>
      </c>
      <c r="Y21" s="47">
        <f t="shared" si="26"/>
        <v>0.38924274593064395</v>
      </c>
      <c r="Z21" s="47">
        <f t="shared" si="26"/>
        <v>0</v>
      </c>
      <c r="AA21" s="47">
        <f t="shared" si="26"/>
        <v>0</v>
      </c>
      <c r="AB21" s="47">
        <f t="shared" si="26"/>
        <v>0</v>
      </c>
      <c r="AC21" s="47">
        <f t="shared" si="26"/>
        <v>0</v>
      </c>
      <c r="AD21" s="47">
        <f t="shared" si="26"/>
        <v>0</v>
      </c>
      <c r="AE21" s="47">
        <f t="shared" si="26"/>
        <v>0</v>
      </c>
      <c r="AF21" s="47">
        <f t="shared" si="26"/>
        <v>0</v>
      </c>
      <c r="AG21" s="48">
        <f t="shared" si="26"/>
        <v>0</v>
      </c>
    </row>
    <row r="22" spans="1:33" ht="20" customHeight="1" x14ac:dyDescent="0.3">
      <c r="A22" s="7" t="s">
        <v>132</v>
      </c>
      <c r="B22" s="7">
        <v>7688.4699999999975</v>
      </c>
      <c r="C22" s="7" t="s">
        <v>132</v>
      </c>
      <c r="D22" s="7">
        <v>62299</v>
      </c>
      <c r="E22" s="7" t="s">
        <v>132</v>
      </c>
      <c r="F22" s="7">
        <v>213008</v>
      </c>
      <c r="G22" s="7" t="s">
        <v>132</v>
      </c>
      <c r="H22" s="7">
        <v>82589</v>
      </c>
      <c r="I22" s="7" t="s">
        <v>132</v>
      </c>
      <c r="J22" s="7">
        <v>85072</v>
      </c>
      <c r="K22" s="7" t="s">
        <v>132</v>
      </c>
      <c r="L22" s="7">
        <v>49510</v>
      </c>
      <c r="M22" s="7">
        <v>500166.47</v>
      </c>
      <c r="N22" s="7">
        <v>16182</v>
      </c>
      <c r="O22" s="64"/>
      <c r="P22" s="14" t="s">
        <v>90</v>
      </c>
      <c r="Q22" s="16">
        <f>ROUNDUP(Q19-Q20,0)</f>
        <v>785</v>
      </c>
      <c r="R22" s="16">
        <f t="shared" ref="R22:AG22" si="27">ROUNDUP(R19-R20,0)</f>
        <v>-65</v>
      </c>
      <c r="S22" s="16">
        <f t="shared" si="27"/>
        <v>3</v>
      </c>
      <c r="T22" s="16">
        <f t="shared" si="27"/>
        <v>1</v>
      </c>
      <c r="U22" s="16">
        <f t="shared" si="27"/>
        <v>-67</v>
      </c>
      <c r="V22" s="16">
        <f t="shared" si="27"/>
        <v>100</v>
      </c>
      <c r="W22" s="16">
        <f t="shared" si="27"/>
        <v>33</v>
      </c>
      <c r="X22" s="16">
        <f t="shared" si="27"/>
        <v>-3</v>
      </c>
      <c r="Y22" s="16">
        <f t="shared" si="27"/>
        <v>70</v>
      </c>
      <c r="Z22" s="16">
        <f t="shared" si="27"/>
        <v>345</v>
      </c>
      <c r="AA22" s="16">
        <f t="shared" si="27"/>
        <v>101</v>
      </c>
      <c r="AB22" s="16">
        <f t="shared" si="27"/>
        <v>103</v>
      </c>
      <c r="AC22" s="16">
        <f t="shared" si="27"/>
        <v>141</v>
      </c>
      <c r="AD22" s="16">
        <f t="shared" si="27"/>
        <v>406</v>
      </c>
      <c r="AE22" s="16">
        <f t="shared" si="27"/>
        <v>105</v>
      </c>
      <c r="AF22" s="16">
        <f t="shared" si="27"/>
        <v>123</v>
      </c>
      <c r="AG22" s="16">
        <f t="shared" si="27"/>
        <v>178</v>
      </c>
    </row>
    <row r="23" spans="1:33" ht="16.5" x14ac:dyDescent="0.3">
      <c r="A23" s="7" t="s">
        <v>133</v>
      </c>
      <c r="B23" s="7">
        <v>1677.2</v>
      </c>
      <c r="C23" s="7" t="s">
        <v>133</v>
      </c>
      <c r="D23" s="7">
        <v>25891</v>
      </c>
      <c r="E23" s="7" t="s">
        <v>133</v>
      </c>
      <c r="F23" s="7">
        <v>8305</v>
      </c>
      <c r="G23" s="7" t="s">
        <v>133</v>
      </c>
      <c r="H23" s="7">
        <v>10379.700000000001</v>
      </c>
      <c r="I23" s="7" t="s">
        <v>133</v>
      </c>
      <c r="J23" s="7">
        <v>0</v>
      </c>
      <c r="K23" s="7" t="s">
        <v>133</v>
      </c>
      <c r="L23" s="7">
        <v>8699.25</v>
      </c>
      <c r="M23" s="7" t="s">
        <v>152</v>
      </c>
      <c r="N23" s="7">
        <v>8132.25</v>
      </c>
      <c r="O23" s="65"/>
      <c r="P23" s="41" t="s">
        <v>117</v>
      </c>
      <c r="Q23" s="42">
        <f>Q8+Q13+Q18</f>
        <v>57</v>
      </c>
      <c r="R23" s="42">
        <f>SUM(S23:U23)</f>
        <v>0</v>
      </c>
      <c r="S23" s="42">
        <f>S8+S13+S18</f>
        <v>0</v>
      </c>
      <c r="T23" s="42">
        <f t="shared" ref="T23:U23" si="28">T8+T13+T18</f>
        <v>0</v>
      </c>
      <c r="U23" s="42">
        <f t="shared" si="28"/>
        <v>0</v>
      </c>
      <c r="V23" s="42">
        <f>SUM(W23:Y23)</f>
        <v>57</v>
      </c>
      <c r="W23" s="42">
        <f>W8+W13+W18</f>
        <v>0</v>
      </c>
      <c r="X23" s="42">
        <f t="shared" ref="X23:Y23" si="29">X8+X13+X18</f>
        <v>0</v>
      </c>
      <c r="Y23" s="42">
        <f t="shared" si="29"/>
        <v>57</v>
      </c>
      <c r="Z23" s="42">
        <f>SUM(AA23:AC23)</f>
        <v>0</v>
      </c>
      <c r="AA23" s="42"/>
      <c r="AB23" s="42"/>
      <c r="AC23" s="42"/>
      <c r="AD23" s="42">
        <f>SUM(AE23:AG23)</f>
        <v>0</v>
      </c>
      <c r="AE23" s="42"/>
      <c r="AF23" s="42"/>
      <c r="AG23" s="43"/>
    </row>
    <row r="24" spans="1:33" ht="16.5" x14ac:dyDescent="0.3">
      <c r="A24" s="7" t="s">
        <v>134</v>
      </c>
      <c r="B24" s="7" t="s">
        <v>151</v>
      </c>
      <c r="C24" s="7" t="s">
        <v>134</v>
      </c>
      <c r="D24" s="7">
        <v>134003</v>
      </c>
      <c r="E24" s="7" t="s">
        <v>134</v>
      </c>
      <c r="F24" s="7" t="s">
        <v>151</v>
      </c>
      <c r="G24" s="7" t="s">
        <v>134</v>
      </c>
      <c r="H24" s="7">
        <v>10</v>
      </c>
      <c r="I24" s="7" t="s">
        <v>134</v>
      </c>
      <c r="J24" s="7">
        <v>0</v>
      </c>
      <c r="K24" s="7" t="s">
        <v>134</v>
      </c>
      <c r="L24" s="7">
        <v>0</v>
      </c>
      <c r="M24" s="7">
        <v>134013</v>
      </c>
      <c r="N24" s="7">
        <v>2928</v>
      </c>
      <c r="O24" s="63" t="s">
        <v>130</v>
      </c>
      <c r="P24" s="38" t="s">
        <v>85</v>
      </c>
      <c r="Q24" s="39">
        <v>7050</v>
      </c>
      <c r="R24" s="39">
        <f>7050*R3</f>
        <v>898.17000000000007</v>
      </c>
      <c r="S24" s="39">
        <f t="shared" ref="S24:AG24" si="30">7050*S3</f>
        <v>50.055</v>
      </c>
      <c r="T24" s="39">
        <f t="shared" si="30"/>
        <v>272.13</v>
      </c>
      <c r="U24" s="39">
        <f t="shared" si="30"/>
        <v>575.98500000000001</v>
      </c>
      <c r="V24" s="39">
        <f t="shared" si="30"/>
        <v>1749.105</v>
      </c>
      <c r="W24" s="39">
        <f t="shared" si="30"/>
        <v>504.07499999999993</v>
      </c>
      <c r="X24" s="39">
        <f t="shared" si="30"/>
        <v>580.91999999999996</v>
      </c>
      <c r="Y24" s="39">
        <f t="shared" si="30"/>
        <v>664.11</v>
      </c>
      <c r="Z24" s="39">
        <f t="shared" si="30"/>
        <v>2022.645</v>
      </c>
      <c r="AA24" s="39">
        <f t="shared" si="30"/>
        <v>592.20000000000005</v>
      </c>
      <c r="AB24" s="39">
        <f t="shared" si="30"/>
        <v>604.18499999999995</v>
      </c>
      <c r="AC24" s="39">
        <f t="shared" si="30"/>
        <v>826.26</v>
      </c>
      <c r="AD24" s="39">
        <f t="shared" si="30"/>
        <v>2380.08</v>
      </c>
      <c r="AE24" s="39">
        <f t="shared" si="30"/>
        <v>615.46500000000003</v>
      </c>
      <c r="AF24" s="39">
        <f t="shared" si="30"/>
        <v>719.80499999999995</v>
      </c>
      <c r="AG24" s="39">
        <f t="shared" si="30"/>
        <v>1044.81</v>
      </c>
    </row>
    <row r="25" spans="1:33" ht="16.5" x14ac:dyDescent="0.3">
      <c r="A25" s="7" t="s">
        <v>135</v>
      </c>
      <c r="B25" s="7">
        <v>55221</v>
      </c>
      <c r="C25" s="7" t="s">
        <v>135</v>
      </c>
      <c r="D25" s="7">
        <v>128941</v>
      </c>
      <c r="E25" s="7" t="s">
        <v>135</v>
      </c>
      <c r="F25" s="7">
        <v>201036</v>
      </c>
      <c r="G25" s="7" t="s">
        <v>135</v>
      </c>
      <c r="H25" s="7">
        <v>76753.5</v>
      </c>
      <c r="I25" s="7" t="s">
        <v>135</v>
      </c>
      <c r="J25" s="7">
        <v>217795.1</v>
      </c>
      <c r="K25" s="7" t="s">
        <v>135</v>
      </c>
      <c r="L25" s="7">
        <v>132283.20000000001</v>
      </c>
      <c r="M25" s="7">
        <v>812029.8</v>
      </c>
      <c r="N25" s="7">
        <v>91983.15</v>
      </c>
      <c r="O25" s="64"/>
      <c r="P25" s="14" t="s">
        <v>88</v>
      </c>
      <c r="Q25" s="16">
        <f>R25+V25+Z25+AD25</f>
        <v>1889</v>
      </c>
      <c r="R25" s="16">
        <f>SUM(S25:U25)</f>
        <v>1011</v>
      </c>
      <c r="S25" s="16">
        <f>B48+B17</f>
        <v>64</v>
      </c>
      <c r="T25" s="16">
        <f>D48+D17</f>
        <v>266</v>
      </c>
      <c r="U25" s="16">
        <f>F48+F17</f>
        <v>681</v>
      </c>
      <c r="V25" s="16">
        <f>SUM(W25:Y25)</f>
        <v>878</v>
      </c>
      <c r="W25" s="16">
        <f>H48+H17</f>
        <v>341</v>
      </c>
      <c r="X25" s="16">
        <f>J48+J17</f>
        <v>355</v>
      </c>
      <c r="Y25" s="16">
        <f>L48+L17</f>
        <v>182</v>
      </c>
      <c r="Z25" s="16">
        <f>SUM(AA25:AC25)</f>
        <v>0</v>
      </c>
      <c r="AA25" s="16"/>
      <c r="AB25" s="16"/>
      <c r="AC25" s="16"/>
      <c r="AD25" s="16">
        <f>SUM(AE25:AG25)</f>
        <v>0</v>
      </c>
      <c r="AE25" s="16"/>
      <c r="AF25" s="16"/>
      <c r="AG25" s="17"/>
    </row>
    <row r="26" spans="1:33" ht="16.5" x14ac:dyDescent="0.3">
      <c r="A26" s="7" t="s">
        <v>136</v>
      </c>
      <c r="B26" s="7" t="s">
        <v>151</v>
      </c>
      <c r="C26" s="7" t="s">
        <v>136</v>
      </c>
      <c r="D26" s="7">
        <v>182148.5</v>
      </c>
      <c r="E26" s="7" t="s">
        <v>136</v>
      </c>
      <c r="F26" s="7">
        <v>434610</v>
      </c>
      <c r="G26" s="7" t="s">
        <v>136</v>
      </c>
      <c r="H26" s="7">
        <v>72085</v>
      </c>
      <c r="I26" s="7" t="s">
        <v>136</v>
      </c>
      <c r="J26" s="7">
        <v>159212</v>
      </c>
      <c r="K26" s="7" t="s">
        <v>136</v>
      </c>
      <c r="L26" s="7">
        <v>21462</v>
      </c>
      <c r="M26" s="7">
        <v>869517.5</v>
      </c>
      <c r="N26" s="7">
        <v>216301</v>
      </c>
      <c r="O26" s="64"/>
      <c r="P26" s="35" t="s">
        <v>89</v>
      </c>
      <c r="Q26" s="47">
        <f>Q25/Q24</f>
        <v>0.26794326241134753</v>
      </c>
      <c r="R26" s="47">
        <f t="shared" ref="R26:AG26" si="31">R25/R24</f>
        <v>1.1256220982664751</v>
      </c>
      <c r="S26" s="47">
        <f t="shared" si="31"/>
        <v>1.278593547098192</v>
      </c>
      <c r="T26" s="47">
        <f t="shared" si="31"/>
        <v>0.9774740013963914</v>
      </c>
      <c r="U26" s="47">
        <f t="shared" si="31"/>
        <v>1.1823224563139665</v>
      </c>
      <c r="V26" s="47">
        <f t="shared" si="31"/>
        <v>0.50197100802982098</v>
      </c>
      <c r="W26" s="47">
        <f t="shared" si="31"/>
        <v>0.67648663393344255</v>
      </c>
      <c r="X26" s="47">
        <f t="shared" si="31"/>
        <v>0.61109963506162646</v>
      </c>
      <c r="Y26" s="47">
        <f t="shared" si="31"/>
        <v>0.27405098552950563</v>
      </c>
      <c r="Z26" s="47">
        <f t="shared" si="31"/>
        <v>0</v>
      </c>
      <c r="AA26" s="47">
        <f t="shared" si="31"/>
        <v>0</v>
      </c>
      <c r="AB26" s="47">
        <f t="shared" si="31"/>
        <v>0</v>
      </c>
      <c r="AC26" s="47">
        <f t="shared" si="31"/>
        <v>0</v>
      </c>
      <c r="AD26" s="47">
        <f t="shared" si="31"/>
        <v>0</v>
      </c>
      <c r="AE26" s="47">
        <f t="shared" si="31"/>
        <v>0</v>
      </c>
      <c r="AF26" s="47">
        <f t="shared" si="31"/>
        <v>0</v>
      </c>
      <c r="AG26" s="48">
        <f t="shared" si="31"/>
        <v>0</v>
      </c>
    </row>
    <row r="27" spans="1:33" ht="16.5" x14ac:dyDescent="0.3">
      <c r="A27" s="7" t="s">
        <v>137</v>
      </c>
      <c r="B27" s="7" t="s">
        <v>151</v>
      </c>
      <c r="C27" s="7" t="s">
        <v>137</v>
      </c>
      <c r="D27" s="7">
        <v>124402.85</v>
      </c>
      <c r="E27" s="7" t="s">
        <v>137</v>
      </c>
      <c r="F27" s="7">
        <v>215168.95</v>
      </c>
      <c r="G27" s="7" t="s">
        <v>137</v>
      </c>
      <c r="H27" s="7">
        <v>160103</v>
      </c>
      <c r="I27" s="7" t="s">
        <v>137</v>
      </c>
      <c r="J27" s="7">
        <v>177805</v>
      </c>
      <c r="K27" s="7" t="s">
        <v>137</v>
      </c>
      <c r="L27" s="7">
        <v>0</v>
      </c>
      <c r="M27" s="7">
        <v>677479.8</v>
      </c>
      <c r="N27" s="7">
        <v>294272</v>
      </c>
      <c r="O27" s="64"/>
      <c r="P27" s="14" t="s">
        <v>90</v>
      </c>
      <c r="Q27" s="16">
        <f>ROUNDUP(Q24-Q25,0)</f>
        <v>5161</v>
      </c>
      <c r="R27" s="16">
        <f t="shared" ref="R27:AG27" si="32">ROUNDUP(R24-R25,0)</f>
        <v>-113</v>
      </c>
      <c r="S27" s="16">
        <f t="shared" si="32"/>
        <v>-14</v>
      </c>
      <c r="T27" s="16">
        <f t="shared" si="32"/>
        <v>7</v>
      </c>
      <c r="U27" s="16">
        <f t="shared" si="32"/>
        <v>-106</v>
      </c>
      <c r="V27" s="16">
        <f t="shared" si="32"/>
        <v>872</v>
      </c>
      <c r="W27" s="16">
        <f t="shared" si="32"/>
        <v>164</v>
      </c>
      <c r="X27" s="16">
        <f t="shared" si="32"/>
        <v>226</v>
      </c>
      <c r="Y27" s="16">
        <f t="shared" si="32"/>
        <v>483</v>
      </c>
      <c r="Z27" s="16">
        <f t="shared" si="32"/>
        <v>2023</v>
      </c>
      <c r="AA27" s="16">
        <f t="shared" si="32"/>
        <v>593</v>
      </c>
      <c r="AB27" s="16">
        <f t="shared" si="32"/>
        <v>605</v>
      </c>
      <c r="AC27" s="16">
        <f t="shared" si="32"/>
        <v>827</v>
      </c>
      <c r="AD27" s="16">
        <f t="shared" si="32"/>
        <v>2381</v>
      </c>
      <c r="AE27" s="16">
        <f t="shared" si="32"/>
        <v>616</v>
      </c>
      <c r="AF27" s="16">
        <f t="shared" si="32"/>
        <v>720</v>
      </c>
      <c r="AG27" s="16">
        <f t="shared" si="32"/>
        <v>1045</v>
      </c>
    </row>
    <row r="28" spans="1:33" ht="16.5" x14ac:dyDescent="0.3">
      <c r="A28" s="7" t="s">
        <v>138</v>
      </c>
      <c r="B28" s="7" t="s">
        <v>151</v>
      </c>
      <c r="C28" s="7" t="s">
        <v>138</v>
      </c>
      <c r="D28" s="7">
        <v>338226</v>
      </c>
      <c r="E28" s="7" t="s">
        <v>138</v>
      </c>
      <c r="F28" s="7">
        <v>280420</v>
      </c>
      <c r="G28" s="7" t="s">
        <v>138</v>
      </c>
      <c r="H28" s="7">
        <v>372227</v>
      </c>
      <c r="I28" s="7" t="s">
        <v>138</v>
      </c>
      <c r="J28" s="7">
        <v>0</v>
      </c>
      <c r="K28" s="7" t="s">
        <v>138</v>
      </c>
      <c r="L28" s="7">
        <v>0</v>
      </c>
      <c r="M28" s="7">
        <v>990873</v>
      </c>
      <c r="N28" s="7">
        <v>194405</v>
      </c>
      <c r="O28" s="65"/>
      <c r="P28" s="41" t="s">
        <v>117</v>
      </c>
      <c r="Q28" s="42">
        <f>R28+V28+Z28+AD28</f>
        <v>541</v>
      </c>
      <c r="R28" s="42">
        <f>SUM(S28:U28)</f>
        <v>0</v>
      </c>
      <c r="S28" s="42">
        <f>S13+S18+S23</f>
        <v>0</v>
      </c>
      <c r="T28" s="42">
        <f t="shared" ref="T28:U28" si="33">T13+T18+T23</f>
        <v>0</v>
      </c>
      <c r="U28" s="42">
        <f t="shared" si="33"/>
        <v>0</v>
      </c>
      <c r="V28" s="42">
        <f>SUM(W28:Y28)</f>
        <v>541</v>
      </c>
      <c r="W28" s="42">
        <f>W13+W18+W23</f>
        <v>0</v>
      </c>
      <c r="X28" s="42">
        <f t="shared" ref="X28" si="34">X13+X18+X23</f>
        <v>0</v>
      </c>
      <c r="Y28" s="42">
        <f>N48+N17</f>
        <v>541</v>
      </c>
      <c r="Z28" s="42">
        <f>SUM(AA28:AC28)</f>
        <v>0</v>
      </c>
      <c r="AA28" s="42"/>
      <c r="AB28" s="42"/>
      <c r="AC28" s="42"/>
      <c r="AD28" s="42">
        <f>SUM(AE28:AG28)</f>
        <v>0</v>
      </c>
      <c r="AE28" s="42"/>
      <c r="AF28" s="42"/>
      <c r="AG28" s="43"/>
    </row>
    <row r="29" spans="1:33" x14ac:dyDescent="0.3">
      <c r="A29" s="7" t="s">
        <v>139</v>
      </c>
      <c r="B29" s="7">
        <v>8275</v>
      </c>
      <c r="C29" s="7" t="s">
        <v>139</v>
      </c>
      <c r="D29" s="7" t="s">
        <v>151</v>
      </c>
      <c r="E29" s="7" t="s">
        <v>139</v>
      </c>
      <c r="F29" s="7">
        <v>48963</v>
      </c>
      <c r="G29" s="7" t="s">
        <v>139</v>
      </c>
      <c r="H29" s="7">
        <v>252909</v>
      </c>
      <c r="I29" s="7" t="s">
        <v>139</v>
      </c>
      <c r="J29" s="7">
        <v>132449</v>
      </c>
      <c r="K29" s="7" t="s">
        <v>139</v>
      </c>
      <c r="L29" s="7">
        <v>0</v>
      </c>
      <c r="M29" s="7">
        <v>442596</v>
      </c>
      <c r="N29" s="7">
        <v>49504</v>
      </c>
    </row>
    <row r="30" spans="1:33" x14ac:dyDescent="0.3">
      <c r="A30" s="7" t="s">
        <v>140</v>
      </c>
      <c r="B30" s="7" t="s">
        <v>151</v>
      </c>
      <c r="C30" s="7" t="s">
        <v>140</v>
      </c>
      <c r="D30" s="7">
        <v>347406.04</v>
      </c>
      <c r="E30" s="7" t="s">
        <v>140</v>
      </c>
      <c r="F30" s="7">
        <v>23356.16</v>
      </c>
      <c r="G30" s="7" t="s">
        <v>140</v>
      </c>
      <c r="H30" s="7">
        <v>85526</v>
      </c>
      <c r="I30" s="7" t="s">
        <v>140</v>
      </c>
      <c r="J30" s="7">
        <v>56209</v>
      </c>
      <c r="K30" s="7" t="s">
        <v>140</v>
      </c>
      <c r="L30" s="7">
        <v>93302</v>
      </c>
      <c r="M30" s="7">
        <v>605799.19999999995</v>
      </c>
      <c r="N30" s="7">
        <v>0</v>
      </c>
    </row>
    <row r="31" spans="1:33" x14ac:dyDescent="0.3">
      <c r="A31" s="7" t="s">
        <v>141</v>
      </c>
      <c r="B31" s="7" t="s">
        <v>151</v>
      </c>
      <c r="C31" s="7" t="s">
        <v>141</v>
      </c>
      <c r="D31" s="7">
        <v>28875</v>
      </c>
      <c r="E31" s="7" t="s">
        <v>141</v>
      </c>
      <c r="F31" s="7">
        <v>203356</v>
      </c>
      <c r="G31" s="7" t="s">
        <v>141</v>
      </c>
      <c r="H31" s="7">
        <v>0</v>
      </c>
      <c r="I31" s="7" t="s">
        <v>141</v>
      </c>
      <c r="J31" s="7">
        <v>20830</v>
      </c>
      <c r="K31" s="7" t="s">
        <v>141</v>
      </c>
      <c r="L31" s="7">
        <v>42792</v>
      </c>
      <c r="M31" s="7">
        <v>295853</v>
      </c>
      <c r="N31" s="7">
        <v>0</v>
      </c>
    </row>
    <row r="32" spans="1:33" x14ac:dyDescent="0.3">
      <c r="A32" s="7" t="s">
        <v>142</v>
      </c>
      <c r="B32" s="7" t="s">
        <v>151</v>
      </c>
      <c r="C32" s="7" t="s">
        <v>142</v>
      </c>
      <c r="D32" s="7">
        <v>60137</v>
      </c>
      <c r="E32" s="7" t="s">
        <v>142</v>
      </c>
      <c r="F32" s="7">
        <v>17659</v>
      </c>
      <c r="G32" s="7" t="s">
        <v>142</v>
      </c>
      <c r="H32" s="7">
        <v>0</v>
      </c>
      <c r="I32" s="7" t="s">
        <v>142</v>
      </c>
      <c r="J32" s="7">
        <v>101585</v>
      </c>
      <c r="K32" s="7" t="s">
        <v>142</v>
      </c>
      <c r="L32" s="7">
        <v>0</v>
      </c>
      <c r="M32" s="7">
        <v>179381</v>
      </c>
      <c r="N32" s="7">
        <v>93140</v>
      </c>
    </row>
    <row r="33" spans="1:14" x14ac:dyDescent="0.3">
      <c r="A33" s="8" t="s">
        <v>143</v>
      </c>
      <c r="B33" s="8">
        <f>SUM(B21:B32)</f>
        <v>587576.66999999993</v>
      </c>
      <c r="C33" s="8" t="s">
        <v>143</v>
      </c>
      <c r="D33" s="8">
        <f>SUM(D21:D32)</f>
        <v>2214407.9900000002</v>
      </c>
      <c r="E33" s="8" t="s">
        <v>143</v>
      </c>
      <c r="F33" s="8">
        <f>SUM(F21:F32)</f>
        <v>5174913.5100000007</v>
      </c>
      <c r="G33" s="8" t="s">
        <v>143</v>
      </c>
      <c r="H33" s="8">
        <f>SUM(H21:H32)</f>
        <v>2883108.5</v>
      </c>
      <c r="I33" s="8" t="s">
        <v>143</v>
      </c>
      <c r="J33" s="8">
        <f>SUM(J21:J32)</f>
        <v>2522182.1</v>
      </c>
      <c r="K33" s="8" t="s">
        <v>143</v>
      </c>
      <c r="L33" s="8">
        <f>SUM(L21:L32)</f>
        <v>1370075.45</v>
      </c>
      <c r="M33" s="8">
        <f>SUM(M21:M32)</f>
        <v>14697312.070000002</v>
      </c>
      <c r="N33" s="8">
        <f>SUM(N21:N32)</f>
        <v>4835605.4000000004</v>
      </c>
    </row>
    <row r="34" spans="1:14" ht="17.5" x14ac:dyDescent="0.3">
      <c r="A34" s="78" t="s">
        <v>147</v>
      </c>
      <c r="B34" s="78"/>
      <c r="C34" s="78" t="s">
        <v>147</v>
      </c>
      <c r="D34" s="78"/>
      <c r="E34" s="78" t="s">
        <v>147</v>
      </c>
      <c r="F34" s="78"/>
      <c r="G34" s="78" t="s">
        <v>147</v>
      </c>
      <c r="H34" s="78"/>
      <c r="I34" s="78" t="s">
        <v>144</v>
      </c>
      <c r="J34" s="78"/>
      <c r="K34" s="67" t="s">
        <v>145</v>
      </c>
      <c r="L34" s="67"/>
      <c r="M34" s="67"/>
      <c r="N34" s="67"/>
    </row>
    <row r="35" spans="1:14" x14ac:dyDescent="0.3">
      <c r="A35" s="7" t="s">
        <v>2</v>
      </c>
      <c r="B35" s="7" t="s">
        <v>112</v>
      </c>
      <c r="C35" s="7" t="s">
        <v>2</v>
      </c>
      <c r="D35" s="7" t="s">
        <v>112</v>
      </c>
      <c r="E35" s="7" t="s">
        <v>2</v>
      </c>
      <c r="F35" s="7" t="s">
        <v>112</v>
      </c>
      <c r="G35" s="7" t="s">
        <v>2</v>
      </c>
      <c r="H35" s="7" t="s">
        <v>112</v>
      </c>
      <c r="I35" s="7" t="s">
        <v>2</v>
      </c>
      <c r="J35" s="7" t="s">
        <v>112</v>
      </c>
      <c r="K35" s="7" t="s">
        <v>2</v>
      </c>
      <c r="L35" s="7" t="s">
        <v>112</v>
      </c>
      <c r="M35" s="7" t="s">
        <v>113</v>
      </c>
      <c r="N35" s="7" t="s">
        <v>114</v>
      </c>
    </row>
    <row r="36" spans="1:14" x14ac:dyDescent="0.3">
      <c r="A36" s="7" t="s">
        <v>131</v>
      </c>
      <c r="B36" s="7">
        <f>ROUNDDOWN(B21/10000,0)</f>
        <v>51</v>
      </c>
      <c r="C36" s="7" t="s">
        <v>131</v>
      </c>
      <c r="D36" s="7">
        <f>ROUNDDOWN(D21/10000,0)</f>
        <v>78</v>
      </c>
      <c r="E36" s="7" t="s">
        <v>131</v>
      </c>
      <c r="F36" s="7">
        <f>ROUNDDOWN(F21/10000,0)</f>
        <v>352</v>
      </c>
      <c r="G36" s="7" t="s">
        <v>131</v>
      </c>
      <c r="H36" s="7">
        <f>ROUNDDOWN(H21/10000,0)</f>
        <v>177</v>
      </c>
      <c r="I36" s="7" t="s">
        <v>131</v>
      </c>
      <c r="J36" s="7">
        <f>ROUNDDOWN(J21/10000,0)</f>
        <v>157</v>
      </c>
      <c r="K36" s="7" t="s">
        <v>131</v>
      </c>
      <c r="L36" s="7">
        <f>ROUNDDOWN(L21/10000,0)</f>
        <v>102</v>
      </c>
      <c r="M36" s="7">
        <f t="shared" ref="M36:N36" si="35">ROUNDDOWN(M21/10000,0)</f>
        <v>918</v>
      </c>
      <c r="N36" s="7">
        <f t="shared" si="35"/>
        <v>386</v>
      </c>
    </row>
    <row r="37" spans="1:14" x14ac:dyDescent="0.3">
      <c r="A37" s="7" t="s">
        <v>132</v>
      </c>
      <c r="B37" s="7">
        <f t="shared" ref="B37" si="36">ROUNDDOWN(B22/10000,0)</f>
        <v>0</v>
      </c>
      <c r="C37" s="7" t="s">
        <v>132</v>
      </c>
      <c r="D37" s="7">
        <f t="shared" ref="D37" si="37">ROUNDDOWN(D22/10000,0)</f>
        <v>6</v>
      </c>
      <c r="E37" s="7" t="s">
        <v>132</v>
      </c>
      <c r="F37" s="7">
        <f t="shared" ref="F37:H37" si="38">ROUNDDOWN(F22/10000,0)</f>
        <v>21</v>
      </c>
      <c r="G37" s="7" t="s">
        <v>132</v>
      </c>
      <c r="H37" s="7">
        <f t="shared" si="38"/>
        <v>8</v>
      </c>
      <c r="I37" s="7" t="s">
        <v>132</v>
      </c>
      <c r="J37" s="7">
        <f t="shared" ref="J37:J48" si="39">ROUNDDOWN(J22/10000,0)</f>
        <v>8</v>
      </c>
      <c r="K37" s="7" t="s">
        <v>132</v>
      </c>
      <c r="L37" s="7">
        <f t="shared" ref="L37:N37" si="40">ROUNDDOWN(L22/10000,0)</f>
        <v>4</v>
      </c>
      <c r="M37" s="7">
        <f t="shared" si="40"/>
        <v>50</v>
      </c>
      <c r="N37" s="7">
        <f t="shared" si="40"/>
        <v>1</v>
      </c>
    </row>
    <row r="38" spans="1:14" x14ac:dyDescent="0.3">
      <c r="A38" s="7" t="s">
        <v>133</v>
      </c>
      <c r="B38" s="7">
        <f t="shared" ref="B38" si="41">ROUNDDOWN(B23/10000,0)</f>
        <v>0</v>
      </c>
      <c r="C38" s="7" t="s">
        <v>133</v>
      </c>
      <c r="D38" s="7">
        <f t="shared" ref="D38" si="42">ROUNDDOWN(D23/10000,0)</f>
        <v>2</v>
      </c>
      <c r="E38" s="7" t="s">
        <v>133</v>
      </c>
      <c r="F38" s="7">
        <f t="shared" ref="F38:H38" si="43">ROUNDDOWN(F23/10000,0)</f>
        <v>0</v>
      </c>
      <c r="G38" s="7" t="s">
        <v>133</v>
      </c>
      <c r="H38" s="7">
        <f t="shared" si="43"/>
        <v>1</v>
      </c>
      <c r="I38" s="7" t="s">
        <v>133</v>
      </c>
      <c r="J38" s="7">
        <f t="shared" si="39"/>
        <v>0</v>
      </c>
      <c r="K38" s="7" t="s">
        <v>133</v>
      </c>
      <c r="L38" s="7">
        <f t="shared" ref="L38:N38" si="44">ROUNDDOWN(L23/10000,0)</f>
        <v>0</v>
      </c>
      <c r="M38" s="7" t="e">
        <f t="shared" si="44"/>
        <v>#VALUE!</v>
      </c>
      <c r="N38" s="7">
        <f t="shared" si="44"/>
        <v>0</v>
      </c>
    </row>
    <row r="39" spans="1:14" x14ac:dyDescent="0.3">
      <c r="A39" s="7" t="s">
        <v>134</v>
      </c>
      <c r="B39" s="7">
        <f t="shared" ref="B39" si="45">ROUNDDOWN(B24/10000,0)</f>
        <v>0</v>
      </c>
      <c r="C39" s="7" t="s">
        <v>134</v>
      </c>
      <c r="D39" s="7">
        <f t="shared" ref="D39" si="46">ROUNDDOWN(D24/10000,0)</f>
        <v>13</v>
      </c>
      <c r="E39" s="7" t="s">
        <v>134</v>
      </c>
      <c r="F39" s="7">
        <f t="shared" ref="F39:H39" si="47">ROUNDDOWN(F24/10000,0)</f>
        <v>0</v>
      </c>
      <c r="G39" s="7" t="s">
        <v>134</v>
      </c>
      <c r="H39" s="7">
        <f t="shared" si="47"/>
        <v>0</v>
      </c>
      <c r="I39" s="7" t="s">
        <v>134</v>
      </c>
      <c r="J39" s="7">
        <f t="shared" si="39"/>
        <v>0</v>
      </c>
      <c r="K39" s="7" t="s">
        <v>134</v>
      </c>
      <c r="L39" s="7">
        <f t="shared" ref="L39:N39" si="48">ROUNDDOWN(L24/10000,0)</f>
        <v>0</v>
      </c>
      <c r="M39" s="7">
        <f t="shared" si="48"/>
        <v>13</v>
      </c>
      <c r="N39" s="7">
        <f t="shared" si="48"/>
        <v>0</v>
      </c>
    </row>
    <row r="40" spans="1:14" x14ac:dyDescent="0.3">
      <c r="A40" s="7" t="s">
        <v>135</v>
      </c>
      <c r="B40" s="7">
        <f t="shared" ref="B40" si="49">ROUNDDOWN(B25/10000,0)</f>
        <v>5</v>
      </c>
      <c r="C40" s="7" t="s">
        <v>135</v>
      </c>
      <c r="D40" s="7">
        <f t="shared" ref="D40" si="50">ROUNDDOWN(D25/10000,0)</f>
        <v>12</v>
      </c>
      <c r="E40" s="7" t="s">
        <v>135</v>
      </c>
      <c r="F40" s="7">
        <f t="shared" ref="F40:H40" si="51">ROUNDDOWN(F25/10000,0)</f>
        <v>20</v>
      </c>
      <c r="G40" s="7" t="s">
        <v>135</v>
      </c>
      <c r="H40" s="7">
        <f t="shared" si="51"/>
        <v>7</v>
      </c>
      <c r="I40" s="7" t="s">
        <v>135</v>
      </c>
      <c r="J40" s="7">
        <f t="shared" si="39"/>
        <v>21</v>
      </c>
      <c r="K40" s="7" t="s">
        <v>135</v>
      </c>
      <c r="L40" s="7">
        <f t="shared" ref="L40:N40" si="52">ROUNDDOWN(L25/10000,0)</f>
        <v>13</v>
      </c>
      <c r="M40" s="7">
        <f t="shared" si="52"/>
        <v>81</v>
      </c>
      <c r="N40" s="7">
        <f t="shared" si="52"/>
        <v>9</v>
      </c>
    </row>
    <row r="41" spans="1:14" x14ac:dyDescent="0.3">
      <c r="A41" s="7" t="s">
        <v>136</v>
      </c>
      <c r="B41" s="7">
        <f t="shared" ref="B41" si="53">ROUNDDOWN(B26/10000,0)</f>
        <v>0</v>
      </c>
      <c r="C41" s="7" t="s">
        <v>136</v>
      </c>
      <c r="D41" s="7">
        <f t="shared" ref="D41" si="54">ROUNDDOWN(D26/10000,0)</f>
        <v>18</v>
      </c>
      <c r="E41" s="7" t="s">
        <v>136</v>
      </c>
      <c r="F41" s="7">
        <f t="shared" ref="F41:H41" si="55">ROUNDDOWN(F26/10000,0)</f>
        <v>43</v>
      </c>
      <c r="G41" s="7" t="s">
        <v>136</v>
      </c>
      <c r="H41" s="7">
        <f t="shared" si="55"/>
        <v>7</v>
      </c>
      <c r="I41" s="7" t="s">
        <v>136</v>
      </c>
      <c r="J41" s="7">
        <f t="shared" si="39"/>
        <v>15</v>
      </c>
      <c r="K41" s="7" t="s">
        <v>136</v>
      </c>
      <c r="L41" s="7">
        <f t="shared" ref="L41:N41" si="56">ROUNDDOWN(L26/10000,0)</f>
        <v>2</v>
      </c>
      <c r="M41" s="7">
        <f t="shared" si="56"/>
        <v>86</v>
      </c>
      <c r="N41" s="7">
        <f t="shared" si="56"/>
        <v>21</v>
      </c>
    </row>
    <row r="42" spans="1:14" x14ac:dyDescent="0.3">
      <c r="A42" s="7" t="s">
        <v>137</v>
      </c>
      <c r="B42" s="7">
        <f t="shared" ref="B42" si="57">ROUNDDOWN(B27/10000,0)</f>
        <v>0</v>
      </c>
      <c r="C42" s="7" t="s">
        <v>137</v>
      </c>
      <c r="D42" s="7">
        <f t="shared" ref="D42" si="58">ROUNDDOWN(D27/10000,0)</f>
        <v>12</v>
      </c>
      <c r="E42" s="7" t="s">
        <v>137</v>
      </c>
      <c r="F42" s="7">
        <f t="shared" ref="F42:H42" si="59">ROUNDDOWN(F27/10000,0)</f>
        <v>21</v>
      </c>
      <c r="G42" s="7" t="s">
        <v>137</v>
      </c>
      <c r="H42" s="7">
        <f t="shared" si="59"/>
        <v>16</v>
      </c>
      <c r="I42" s="7" t="s">
        <v>137</v>
      </c>
      <c r="J42" s="7">
        <f t="shared" si="39"/>
        <v>17</v>
      </c>
      <c r="K42" s="7" t="s">
        <v>137</v>
      </c>
      <c r="L42" s="7">
        <f t="shared" ref="L42:N42" si="60">ROUNDDOWN(L27/10000,0)</f>
        <v>0</v>
      </c>
      <c r="M42" s="7">
        <f t="shared" si="60"/>
        <v>67</v>
      </c>
      <c r="N42" s="7">
        <f t="shared" si="60"/>
        <v>29</v>
      </c>
    </row>
    <row r="43" spans="1:14" x14ac:dyDescent="0.3">
      <c r="A43" s="7" t="s">
        <v>138</v>
      </c>
      <c r="B43" s="7">
        <f t="shared" ref="B43" si="61">ROUNDDOWN(B28/10000,0)</f>
        <v>0</v>
      </c>
      <c r="C43" s="7" t="s">
        <v>138</v>
      </c>
      <c r="D43" s="7">
        <f t="shared" ref="D43" si="62">ROUNDDOWN(D28/10000,0)</f>
        <v>33</v>
      </c>
      <c r="E43" s="7" t="s">
        <v>138</v>
      </c>
      <c r="F43" s="7">
        <f t="shared" ref="F43:H43" si="63">ROUNDDOWN(F28/10000,0)</f>
        <v>28</v>
      </c>
      <c r="G43" s="7" t="s">
        <v>138</v>
      </c>
      <c r="H43" s="7">
        <f t="shared" si="63"/>
        <v>37</v>
      </c>
      <c r="I43" s="7" t="s">
        <v>138</v>
      </c>
      <c r="J43" s="7">
        <f t="shared" si="39"/>
        <v>0</v>
      </c>
      <c r="K43" s="7" t="s">
        <v>138</v>
      </c>
      <c r="L43" s="7">
        <f t="shared" ref="L43:N43" si="64">ROUNDDOWN(L28/10000,0)</f>
        <v>0</v>
      </c>
      <c r="M43" s="7">
        <f t="shared" si="64"/>
        <v>99</v>
      </c>
      <c r="N43" s="7">
        <f t="shared" si="64"/>
        <v>19</v>
      </c>
    </row>
    <row r="44" spans="1:14" x14ac:dyDescent="0.3">
      <c r="A44" s="7" t="s">
        <v>139</v>
      </c>
      <c r="B44" s="7">
        <f t="shared" ref="B44" si="65">ROUNDDOWN(B29/10000,0)</f>
        <v>0</v>
      </c>
      <c r="C44" s="7" t="s">
        <v>139</v>
      </c>
      <c r="D44" s="7">
        <f t="shared" ref="D44" si="66">ROUNDDOWN(D29/10000,0)</f>
        <v>0</v>
      </c>
      <c r="E44" s="7" t="s">
        <v>139</v>
      </c>
      <c r="F44" s="7">
        <f t="shared" ref="F44:H44" si="67">ROUNDDOWN(F29/10000,0)</f>
        <v>4</v>
      </c>
      <c r="G44" s="7" t="s">
        <v>139</v>
      </c>
      <c r="H44" s="7">
        <f t="shared" si="67"/>
        <v>25</v>
      </c>
      <c r="I44" s="7" t="s">
        <v>139</v>
      </c>
      <c r="J44" s="7">
        <f t="shared" si="39"/>
        <v>13</v>
      </c>
      <c r="K44" s="7" t="s">
        <v>139</v>
      </c>
      <c r="L44" s="7">
        <f t="shared" ref="L44:N44" si="68">ROUNDDOWN(L29/10000,0)</f>
        <v>0</v>
      </c>
      <c r="M44" s="7">
        <f t="shared" si="68"/>
        <v>44</v>
      </c>
      <c r="N44" s="7">
        <f t="shared" si="68"/>
        <v>4</v>
      </c>
    </row>
    <row r="45" spans="1:14" x14ac:dyDescent="0.3">
      <c r="A45" s="7" t="s">
        <v>140</v>
      </c>
      <c r="B45" s="7">
        <f t="shared" ref="B45" si="69">ROUNDDOWN(B30/10000,0)</f>
        <v>0</v>
      </c>
      <c r="C45" s="7" t="s">
        <v>140</v>
      </c>
      <c r="D45" s="7">
        <f t="shared" ref="D45" si="70">ROUNDDOWN(D30/10000,0)</f>
        <v>34</v>
      </c>
      <c r="E45" s="7" t="s">
        <v>140</v>
      </c>
      <c r="F45" s="7">
        <f t="shared" ref="F45:H45" si="71">ROUNDDOWN(F30/10000,0)</f>
        <v>2</v>
      </c>
      <c r="G45" s="7" t="s">
        <v>140</v>
      </c>
      <c r="H45" s="7">
        <f t="shared" si="71"/>
        <v>8</v>
      </c>
      <c r="I45" s="7" t="s">
        <v>140</v>
      </c>
      <c r="J45" s="7">
        <f t="shared" si="39"/>
        <v>5</v>
      </c>
      <c r="K45" s="7" t="s">
        <v>140</v>
      </c>
      <c r="L45" s="7">
        <f t="shared" ref="L45:N45" si="72">ROUNDDOWN(L30/10000,0)</f>
        <v>9</v>
      </c>
      <c r="M45" s="7">
        <f t="shared" si="72"/>
        <v>60</v>
      </c>
      <c r="N45" s="7">
        <f t="shared" si="72"/>
        <v>0</v>
      </c>
    </row>
    <row r="46" spans="1:14" x14ac:dyDescent="0.3">
      <c r="A46" s="7" t="s">
        <v>141</v>
      </c>
      <c r="B46" s="7">
        <f t="shared" ref="B46" si="73">ROUNDDOWN(B31/10000,0)</f>
        <v>0</v>
      </c>
      <c r="C46" s="7" t="s">
        <v>141</v>
      </c>
      <c r="D46" s="7">
        <f t="shared" ref="D46" si="74">ROUNDDOWN(D31/10000,0)</f>
        <v>2</v>
      </c>
      <c r="E46" s="7" t="s">
        <v>141</v>
      </c>
      <c r="F46" s="7">
        <f t="shared" ref="F46:H46" si="75">ROUNDDOWN(F31/10000,0)</f>
        <v>20</v>
      </c>
      <c r="G46" s="7" t="s">
        <v>141</v>
      </c>
      <c r="H46" s="7">
        <f t="shared" si="75"/>
        <v>0</v>
      </c>
      <c r="I46" s="7" t="s">
        <v>141</v>
      </c>
      <c r="J46" s="7">
        <f t="shared" si="39"/>
        <v>2</v>
      </c>
      <c r="K46" s="7" t="s">
        <v>141</v>
      </c>
      <c r="L46" s="7">
        <f t="shared" ref="L46:N46" si="76">ROUNDDOWN(L31/10000,0)</f>
        <v>4</v>
      </c>
      <c r="M46" s="7">
        <f t="shared" si="76"/>
        <v>29</v>
      </c>
      <c r="N46" s="7">
        <f t="shared" si="76"/>
        <v>0</v>
      </c>
    </row>
    <row r="47" spans="1:14" x14ac:dyDescent="0.3">
      <c r="A47" s="7" t="s">
        <v>142</v>
      </c>
      <c r="B47" s="7">
        <f t="shared" ref="B47" si="77">ROUNDDOWN(B32/10000,0)</f>
        <v>0</v>
      </c>
      <c r="C47" s="7" t="s">
        <v>142</v>
      </c>
      <c r="D47" s="7">
        <f t="shared" ref="D47" si="78">ROUNDDOWN(D32/10000,0)</f>
        <v>6</v>
      </c>
      <c r="E47" s="7" t="s">
        <v>142</v>
      </c>
      <c r="F47" s="7">
        <f t="shared" ref="F47:H47" si="79">ROUNDDOWN(F32/10000,0)</f>
        <v>1</v>
      </c>
      <c r="G47" s="7" t="s">
        <v>142</v>
      </c>
      <c r="H47" s="7">
        <f t="shared" si="79"/>
        <v>0</v>
      </c>
      <c r="I47" s="7" t="s">
        <v>142</v>
      </c>
      <c r="J47" s="7">
        <f t="shared" si="39"/>
        <v>10</v>
      </c>
      <c r="K47" s="7" t="s">
        <v>142</v>
      </c>
      <c r="L47" s="7">
        <f t="shared" ref="L47:N47" si="80">ROUNDDOWN(L32/10000,0)</f>
        <v>0</v>
      </c>
      <c r="M47" s="7">
        <f t="shared" si="80"/>
        <v>17</v>
      </c>
      <c r="N47" s="7">
        <f t="shared" si="80"/>
        <v>9</v>
      </c>
    </row>
    <row r="48" spans="1:14" x14ac:dyDescent="0.3">
      <c r="A48" s="8" t="s">
        <v>143</v>
      </c>
      <c r="B48" s="8">
        <f t="shared" ref="B48" si="81">ROUNDDOWN(B33/10000,0)</f>
        <v>58</v>
      </c>
      <c r="C48" s="8" t="s">
        <v>143</v>
      </c>
      <c r="D48" s="8">
        <f t="shared" ref="D48" si="82">ROUNDDOWN(D33/10000,0)</f>
        <v>221</v>
      </c>
      <c r="E48" s="8" t="s">
        <v>143</v>
      </c>
      <c r="F48" s="8">
        <f t="shared" ref="F48:H48" si="83">ROUNDDOWN(F33/10000,0)</f>
        <v>517</v>
      </c>
      <c r="G48" s="8" t="s">
        <v>143</v>
      </c>
      <c r="H48" s="8">
        <f t="shared" si="83"/>
        <v>288</v>
      </c>
      <c r="I48" s="8" t="s">
        <v>143</v>
      </c>
      <c r="J48" s="8">
        <f t="shared" si="39"/>
        <v>252</v>
      </c>
      <c r="K48" s="8" t="s">
        <v>143</v>
      </c>
      <c r="L48" s="8">
        <f t="shared" ref="L48:N48" si="84">ROUNDDOWN(L33/10000,0)</f>
        <v>137</v>
      </c>
      <c r="M48" s="8">
        <f t="shared" si="84"/>
        <v>1469</v>
      </c>
      <c r="N48" s="8">
        <f t="shared" si="84"/>
        <v>483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2023-06-16T05:00:31Z</dcterms:modified>
</cp:coreProperties>
</file>