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BC1FAB0D-223B-43DC-8B49-17A91E7EF192}" xr6:coauthVersionLast="47" xr6:coauthVersionMax="47" xr10:uidLastSave="{00000000-0000-0000-0000-000000000000}"/>
  <bookViews>
    <workbookView xWindow="-110" yWindow="390" windowWidth="25820" windowHeight="1499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5" i="5" l="1"/>
  <c r="T25" i="5"/>
  <c r="S25" i="5"/>
  <c r="F8" i="5"/>
  <c r="F9" i="5" a="1"/>
  <c r="F9" i="5" s="1"/>
  <c r="F18" i="5" s="1"/>
  <c r="B8" i="5"/>
  <c r="B9" i="5" a="1"/>
  <c r="B9" i="5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F17" i="5"/>
  <c r="H13" i="5"/>
  <c r="H14" i="5"/>
  <c r="H15" i="5"/>
  <c r="H16" i="5"/>
  <c r="J18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R25" i="5"/>
  <c r="S24" i="5"/>
  <c r="S27" i="5" s="1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L13" i="5"/>
  <c r="Y10" i="5" s="1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AD8" i="5"/>
  <c r="Z8" i="5"/>
  <c r="R8" i="5"/>
  <c r="N8" i="5"/>
  <c r="N17" i="5" s="1"/>
  <c r="M8" i="5"/>
  <c r="M17" i="5" s="1"/>
  <c r="L8" i="5"/>
  <c r="L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R27" i="5" l="1"/>
  <c r="R12" i="5"/>
  <c r="R23" i="5"/>
  <c r="W25" i="5"/>
  <c r="Y25" i="5"/>
  <c r="V25" i="5" s="1"/>
  <c r="Q25" i="5" s="1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S21" i="5" l="1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<sst xmlns="http://schemas.openxmlformats.org/spreadsheetml/2006/main" count="389" uniqueCount="72">
  <si>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</si>
  <si>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</si>
  <si>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</si>
  <si>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</si>
  <si>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</si>
  <si>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</si>
  <si>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</si>
  <si>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</si>
  <si>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</si>
  <si>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</si>
  <si>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</si>
  <si>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</si>
  <si>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</si>
  <si>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</si>
  <si>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</si>
  <si>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</si>
  <si>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</si>
  <si>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</si>
  <si>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</si>
  <si>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</si>
  <si>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</si>
  <si>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</si>
  <si>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</si>
  <si>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</si>
  <si>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</si>
  <si>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</si>
  <si>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</si>
  <si>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</si>
  <si>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</si>
  <si>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</si>
  <si>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</si>
  <si>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</si>
  <si>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</si>
  <si>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</si>
  <si>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</si>
  <si>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</si>
  <si>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</si>
  <si>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</si>
  <si>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</si>
  <si>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</si>
  <si>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</si>
  <si>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</si>
  <si>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</si>
  <si>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</si>
  <si>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</si>
  <si>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</si>
  <si>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</si>
  <si>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</si>
  <si>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</si>
  <si>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</si>
  <si>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</si>
  <si>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</si>
  <si>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</si>
  <si>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</si>
  <si>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</si>
  <si>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</si>
  <si>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</si>
  <si>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</si>
  <si>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</si>
  <si>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</si>
  <si>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</si>
  <si>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</si>
  <si>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</si>
  <si>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</si>
  <si>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</si>
  <si>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</si>
  <si>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</si>
  <si>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</si>
  <si>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</si>
  <si>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</si>
  <si>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</si>
  <si>
    <t>54952 15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</si>
</sst>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7" fontId="7" fillId="2" borderId="5" xfId="1" applyNumberFormat="1" applyFont="1" applyFill="1" applyBorder="1" applyAlignment="1">
      <alignment horizontal="center" vertical="center"/>
    </xf>
    <xf numFmtId="177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7" fontId="7" fillId="2" borderId="12" xfId="1" applyNumberFormat="1" applyFont="1" applyFill="1" applyBorder="1" applyAlignment="1">
      <alignment horizontal="center" vertical="center"/>
    </xf>
    <xf numFmtId="177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7" fontId="7" fillId="2" borderId="9" xfId="1" applyNumberFormat="1" applyFont="1" applyFill="1" applyBorder="1" applyAlignment="1">
      <alignment horizontal="center" vertical="center"/>
    </xf>
    <xf numFmtId="177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G48"/>
  <sheetViews>
    <sheetView showGridLines="0" tabSelected="1" topLeftCell="K1" workbookViewId="0">
      <selection activeCell="M20" sqref="M20"/>
    </sheetView>
  </sheetViews>
  <sheetFormatPr defaultRowHeight="14" x14ac:dyDescent="0.3"/>
  <cols>
    <col min="1" max="6" width="0" style="1" hidden="1" customWidth="1"/>
    <col min="7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16384" width="8.6640625" style="1"/>
  </cols>
  <sheetData>
    <row r="1" spans="1:33" ht="42" customHeight="1" thickTop="1" x14ac:dyDescent="0.3">
      <c r="A1" s="28" t="s">
        <v>67</v>
      </c>
      <c r="B1" s="29"/>
      <c r="C1" s="28" t="s">
        <v>68</v>
      </c>
      <c r="D1" s="29"/>
      <c r="E1" s="28" t="s">
        <v>69</v>
      </c>
      <c r="F1" s="29"/>
      <c r="G1" s="28" t="s">
        <v>65</v>
      </c>
      <c r="H1" s="29"/>
      <c r="I1" s="28" t="s">
        <v>46</v>
      </c>
      <c r="J1" s="29"/>
      <c r="K1" s="28" t="s">
        <v>48</v>
      </c>
      <c r="L1" s="29"/>
      <c r="M1" s="29"/>
      <c r="N1" s="29"/>
      <c r="O1" s="35" t="s">
        <v>6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7"/>
    </row>
    <row r="2" spans="1:33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8" t="s">
        <v>0</v>
      </c>
      <c r="P2" s="40" t="s">
        <v>7</v>
      </c>
      <c r="Q2" s="42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3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154610</v>
      </c>
      <c r="M3" s="3">
        <v>2516416.9500000002</v>
      </c>
      <c r="N3" s="3">
        <v>53803</v>
      </c>
      <c r="O3" s="39"/>
      <c r="P3" s="41"/>
      <c r="Q3" s="43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3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11172</v>
      </c>
      <c r="M4" s="3">
        <v>161696.6</v>
      </c>
      <c r="N4" s="3">
        <v>435288.1</v>
      </c>
      <c r="O4" s="32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3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3"/>
      <c r="P5" s="8" t="s">
        <v>35</v>
      </c>
      <c r="Q5" s="10">
        <f>R5+V5+Z5+AD5</f>
        <v>355.079095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172.45</v>
      </c>
      <c r="W5" s="10">
        <f>28.21+10.94+8.3</f>
        <v>47.45</v>
      </c>
      <c r="X5" s="10">
        <f>J18</f>
        <v>95</v>
      </c>
      <c r="Y5" s="10">
        <f>L18</f>
        <v>30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3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138943</v>
      </c>
      <c r="M6" s="3">
        <v>463438</v>
      </c>
      <c r="N6" s="3">
        <v>33785</v>
      </c>
      <c r="O6" s="33"/>
      <c r="P6" s="25" t="s">
        <v>4</v>
      </c>
      <c r="Q6" s="26">
        <f>Q5/Q4</f>
        <v>0.40626898741418765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0.79528904802356026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0.36438368144121031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3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116847</v>
      </c>
      <c r="M7" s="3">
        <v>739159</v>
      </c>
      <c r="N7" s="3">
        <v>65970</v>
      </c>
      <c r="O7" s="33"/>
      <c r="P7" s="9" t="s">
        <v>36</v>
      </c>
      <c r="Q7" s="10">
        <f>ROUNDUP(Q4-Q5,0)</f>
        <v>519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45</v>
      </c>
      <c r="W7" s="10">
        <f t="shared" si="2"/>
        <v>16</v>
      </c>
      <c r="X7" s="10">
        <f t="shared" si="2"/>
        <v>-23</v>
      </c>
      <c r="Y7" s="10">
        <f t="shared" si="2"/>
        <v>53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3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454795</v>
      </c>
      <c r="M8" s="4">
        <f>SUM(M3:M7)</f>
        <v>4188614.5500000003</v>
      </c>
      <c r="N8" s="4">
        <f>SUM(N3:N7)</f>
        <v>588846.1</v>
      </c>
      <c r="O8" s="34"/>
      <c r="P8" s="20" t="s">
        <v>47</v>
      </c>
      <c r="Q8" s="21">
        <f>R8+V8+Z8+AD8</f>
        <v>11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11</v>
      </c>
      <c r="W8" s="21">
        <v>0</v>
      </c>
      <c r="X8" s="21">
        <v>0</v>
      </c>
      <c r="Y8" s="21">
        <f>N18</f>
        <v>11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3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304680</v>
      </c>
      <c r="M9" s="4" cm="1">
        <f t="array" ref="M9">SUM(SUMIFS(M3:M7,K3:K7,{"嘉兴","海宁","桐乡"}))</f>
        <v>3563479.95</v>
      </c>
      <c r="N9" s="4" cm="1">
        <f t="array" ref="N9">SUM(SUMIFS(N3:N7,K3:K7,{"嘉兴","海宁","桐乡"}))</f>
        <v>119773</v>
      </c>
      <c r="O9" s="32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3" ht="20" customHeight="1" x14ac:dyDescent="0.3">
      <c r="A10" s="30" t="s">
        <v>65</v>
      </c>
      <c r="B10" s="30"/>
      <c r="C10" s="30" t="s">
        <v>65</v>
      </c>
      <c r="D10" s="30"/>
      <c r="E10" s="30" t="s">
        <v>65</v>
      </c>
      <c r="F10" s="30"/>
      <c r="G10" s="30" t="s">
        <v>65</v>
      </c>
      <c r="H10" s="30"/>
      <c r="I10" s="30" t="s">
        <v>46</v>
      </c>
      <c r="J10" s="30"/>
      <c r="K10" s="30" t="s">
        <v>48</v>
      </c>
      <c r="L10" s="30"/>
      <c r="M10" s="30"/>
      <c r="N10" s="30"/>
      <c r="O10" s="33"/>
      <c r="P10" s="8" t="s">
        <v>37</v>
      </c>
      <c r="Q10" s="10">
        <f>R10+V10+Z10+AD10</f>
        <v>15.508980000000001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2.2000000000000002</v>
      </c>
      <c r="W10" s="10">
        <v>1.2</v>
      </c>
      <c r="X10" s="10">
        <f>J13</f>
        <v>0</v>
      </c>
      <c r="Y10" s="10">
        <f>L13</f>
        <v>1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</row>
    <row r="11" spans="1:33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3"/>
      <c r="P11" s="14" t="s">
        <v>38</v>
      </c>
      <c r="Q11" s="26">
        <f>Q10/Q9</f>
        <v>0.1033932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5.9115947870482341E-2</v>
      </c>
      <c r="W11" s="26">
        <f t="shared" si="4"/>
        <v>0.11188811188811189</v>
      </c>
      <c r="X11" s="26">
        <f t="shared" si="4"/>
        <v>0</v>
      </c>
      <c r="Y11" s="26">
        <f t="shared" si="4"/>
        <v>7.0771408351026188E-2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3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15</v>
      </c>
      <c r="M12" s="3">
        <f t="shared" si="8"/>
        <v>251</v>
      </c>
      <c r="N12" s="3">
        <f t="shared" si="8"/>
        <v>5</v>
      </c>
      <c r="O12" s="33"/>
      <c r="P12" s="8" t="s">
        <v>39</v>
      </c>
      <c r="Q12" s="10">
        <f>ROUNDUP(Q9-Q10,0)</f>
        <v>135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36</v>
      </c>
      <c r="W12" s="10">
        <f t="shared" si="9"/>
        <v>10</v>
      </c>
      <c r="X12" s="10">
        <f t="shared" si="9"/>
        <v>13</v>
      </c>
      <c r="Y12" s="10">
        <f t="shared" si="9"/>
        <v>14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3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1</v>
      </c>
      <c r="M13" s="4">
        <f t="shared" si="8"/>
        <v>16</v>
      </c>
      <c r="N13" s="4">
        <f t="shared" si="8"/>
        <v>43</v>
      </c>
      <c r="O13" s="34"/>
      <c r="P13" s="20" t="s">
        <v>47</v>
      </c>
      <c r="Q13" s="21">
        <f>R13+V13+Z13+AD13</f>
        <v>43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43</v>
      </c>
      <c r="W13" s="21">
        <v>0</v>
      </c>
      <c r="X13" s="21">
        <v>0</v>
      </c>
      <c r="Y13" s="21">
        <f>N13</f>
        <v>43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3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2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3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13</v>
      </c>
      <c r="M15" s="4">
        <f t="shared" si="8"/>
        <v>46</v>
      </c>
      <c r="N15" s="4">
        <f t="shared" si="8"/>
        <v>3</v>
      </c>
      <c r="O15" s="33"/>
      <c r="P15" s="8" t="s">
        <v>37</v>
      </c>
      <c r="Q15" s="10">
        <f>R15+V15+Z15+AD15</f>
        <v>44.546700000000001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23.3443</v>
      </c>
      <c r="W15" s="10">
        <v>4.3442999999999996</v>
      </c>
      <c r="X15" s="10">
        <f>J15</f>
        <v>6</v>
      </c>
      <c r="Y15" s="10">
        <f>L15</f>
        <v>13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3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11</v>
      </c>
      <c r="M16" s="3">
        <f t="shared" si="8"/>
        <v>73</v>
      </c>
      <c r="N16" s="3">
        <f t="shared" si="8"/>
        <v>6</v>
      </c>
      <c r="O16" s="33"/>
      <c r="P16" s="14" t="s">
        <v>38</v>
      </c>
      <c r="Q16" s="26">
        <f>Q15/Q14</f>
        <v>0.25310625000000003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0.53461534938258037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0.78411503570739238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45</v>
      </c>
      <c r="M17" s="7">
        <f t="shared" si="8"/>
        <v>418</v>
      </c>
      <c r="N17" s="7">
        <f t="shared" si="8"/>
        <v>58</v>
      </c>
      <c r="O17" s="33"/>
      <c r="P17" s="8" t="s">
        <v>39</v>
      </c>
      <c r="Q17" s="10">
        <f>ROUNDUP(Q14-Q15,0)</f>
        <v>132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21</v>
      </c>
      <c r="W17" s="10">
        <f t="shared" si="22"/>
        <v>9</v>
      </c>
      <c r="X17" s="10">
        <f t="shared" si="22"/>
        <v>9</v>
      </c>
      <c r="Y17" s="10">
        <f t="shared" si="22"/>
        <v>4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30</v>
      </c>
      <c r="M18" s="4">
        <f t="shared" si="8"/>
        <v>356</v>
      </c>
      <c r="N18" s="4">
        <f t="shared" si="8"/>
        <v>11</v>
      </c>
      <c r="O18" s="34"/>
      <c r="P18" s="20" t="s">
        <v>47</v>
      </c>
      <c r="Q18" s="21">
        <f>R18+V18+Z18+AD18</f>
        <v>3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3</v>
      </c>
      <c r="W18" s="21">
        <v>0</v>
      </c>
      <c r="X18" s="21">
        <v>0</v>
      </c>
      <c r="Y18" s="21">
        <f>N15</f>
        <v>3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1" t="s">
        <v>66</v>
      </c>
      <c r="B19" s="31"/>
      <c r="C19" s="31" t="s">
        <v>66</v>
      </c>
      <c r="D19" s="31"/>
      <c r="E19" s="31" t="s">
        <v>66</v>
      </c>
      <c r="F19" s="31"/>
      <c r="G19" s="31" t="s">
        <v>66</v>
      </c>
      <c r="H19" s="31"/>
      <c r="I19" s="31" t="s">
        <v>63</v>
      </c>
      <c r="J19" s="31"/>
      <c r="K19" s="29" t="s">
        <v>64</v>
      </c>
      <c r="L19" s="29"/>
      <c r="M19" s="29"/>
      <c r="N19" s="29"/>
      <c r="O19" s="32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3"/>
      <c r="P20" s="8" t="s">
        <v>37</v>
      </c>
      <c r="Q20" s="10">
        <f>Q15+Q10+Q5</f>
        <v>415.13477499999999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197.99429999999998</v>
      </c>
      <c r="W20" s="10">
        <f t="shared" si="25"/>
        <v>52.994300000000003</v>
      </c>
      <c r="X20" s="10">
        <f t="shared" si="25"/>
        <v>101</v>
      </c>
      <c r="Y20" s="10">
        <f t="shared" si="25"/>
        <v>44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1022027</v>
      </c>
      <c r="M21" s="1">
        <v>9189603.3000000007</v>
      </c>
      <c r="N21" s="1">
        <v>3868758</v>
      </c>
      <c r="O21" s="33"/>
      <c r="P21" s="14" t="s">
        <v>38</v>
      </c>
      <c r="Q21" s="26">
        <f>Q20/Q19</f>
        <v>0.34594564583333332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0.66503526803708179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0.38924274593064395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49510</v>
      </c>
      <c r="M22" s="1">
        <v>500166.47</v>
      </c>
      <c r="N22" s="1">
        <v>16182</v>
      </c>
      <c r="O22" s="33"/>
      <c r="P22" s="8" t="s">
        <v>39</v>
      </c>
      <c r="Q22" s="10">
        <f>ROUNDUP(Q19-Q20,0)</f>
        <v>785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100</v>
      </c>
      <c r="W22" s="10">
        <f t="shared" si="27"/>
        <v>33</v>
      </c>
      <c r="X22" s="10">
        <f t="shared" si="27"/>
        <v>-3</v>
      </c>
      <c r="Y22" s="10">
        <f t="shared" si="27"/>
        <v>70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8699.25</v>
      </c>
      <c r="M23" s="1" t="s">
        <v>71</v>
      </c>
      <c r="N23" s="1">
        <v>8132.25</v>
      </c>
      <c r="O23" s="34"/>
      <c r="P23" s="20" t="s">
        <v>47</v>
      </c>
      <c r="Q23" s="21">
        <f>Q8+Q13+Q18</f>
        <v>57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57</v>
      </c>
      <c r="W23" s="21">
        <f>W8+W13+W18</f>
        <v>0</v>
      </c>
      <c r="X23" s="21">
        <f t="shared" ref="X23:Y23" si="29">X8+X13+X18</f>
        <v>0</v>
      </c>
      <c r="Y23" s="21">
        <f t="shared" si="29"/>
        <v>57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2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132283.20000000001</v>
      </c>
      <c r="M25" s="1">
        <v>812029.8</v>
      </c>
      <c r="N25" s="1">
        <v>91983.15</v>
      </c>
      <c r="O25" s="33"/>
      <c r="P25" s="8" t="s">
        <v>37</v>
      </c>
      <c r="Q25" s="10">
        <f>R25+V25+Z25+AD25</f>
        <v>1889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878</v>
      </c>
      <c r="W25" s="10">
        <f>H48+H17</f>
        <v>341</v>
      </c>
      <c r="X25" s="10">
        <f>J48+J17</f>
        <v>355</v>
      </c>
      <c r="Y25" s="10">
        <f>L48+L17</f>
        <v>182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21462</v>
      </c>
      <c r="M26" s="1">
        <v>869517.5</v>
      </c>
      <c r="N26" s="1">
        <v>216301</v>
      </c>
      <c r="O26" s="33"/>
      <c r="P26" s="14" t="s">
        <v>38</v>
      </c>
      <c r="Q26" s="26">
        <f>Q25/Q24</f>
        <v>0.26794326241134753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0.50197100802982098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0.27405098552950563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0</v>
      </c>
      <c r="M27" s="1">
        <v>677479.8</v>
      </c>
      <c r="N27" s="1">
        <v>294272</v>
      </c>
      <c r="O27" s="33"/>
      <c r="P27" s="8" t="s">
        <v>39</v>
      </c>
      <c r="Q27" s="10">
        <f>ROUNDUP(Q24-Q25,0)</f>
        <v>5161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872</v>
      </c>
      <c r="W27" s="10">
        <f t="shared" si="32"/>
        <v>164</v>
      </c>
      <c r="X27" s="10">
        <f t="shared" si="32"/>
        <v>226</v>
      </c>
      <c r="Y27" s="10">
        <f t="shared" si="32"/>
        <v>483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0</v>
      </c>
      <c r="M28" s="1">
        <v>990873</v>
      </c>
      <c r="N28" s="1">
        <v>194405</v>
      </c>
      <c r="O28" s="34"/>
      <c r="P28" s="20" t="s">
        <v>47</v>
      </c>
      <c r="Q28" s="21">
        <f>R28+V28+Z28+AD28</f>
        <v>541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541</v>
      </c>
      <c r="W28" s="21">
        <f>W13+W18+W23</f>
        <v>0</v>
      </c>
      <c r="X28" s="21">
        <f t="shared" ref="X28" si="34">X13+X18+X23</f>
        <v>0</v>
      </c>
      <c r="Y28" s="21">
        <f>N48+N17</f>
        <v>541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0</v>
      </c>
      <c r="M29" s="1">
        <v>442596</v>
      </c>
      <c r="N29" s="1">
        <v>49504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0</v>
      </c>
      <c r="M32" s="1">
        <v>179381</v>
      </c>
      <c r="N32" s="1">
        <v>93140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1370075.45</v>
      </c>
      <c r="M33" s="2">
        <f>SUM(M21:M32)</f>
        <v>14697312.070000002</v>
      </c>
      <c r="N33" s="2">
        <f>SUM(N21:N32)</f>
        <v>4835605.4000000004</v>
      </c>
    </row>
    <row r="34" spans="1:14" ht="17.5" x14ac:dyDescent="0.3">
      <c r="A34" s="31" t="s">
        <v>66</v>
      </c>
      <c r="B34" s="31"/>
      <c r="C34" s="31" t="s">
        <v>66</v>
      </c>
      <c r="D34" s="31"/>
      <c r="E34" s="31" t="s">
        <v>66</v>
      </c>
      <c r="F34" s="31"/>
      <c r="G34" s="31" t="s">
        <v>66</v>
      </c>
      <c r="H34" s="31"/>
      <c r="I34" s="31" t="s">
        <v>63</v>
      </c>
      <c r="J34" s="31"/>
      <c r="K34" s="29" t="s">
        <v>64</v>
      </c>
      <c r="L34" s="29"/>
      <c r="M34" s="29"/>
      <c r="N34" s="29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102</v>
      </c>
      <c r="M36" s="1">
        <f t="shared" ref="M36:N36" si="35">ROUNDDOWN(M21/10000,0)</f>
        <v>918</v>
      </c>
      <c r="N36" s="1">
        <f t="shared" si="35"/>
        <v>386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4</v>
      </c>
      <c r="M37" s="1">
        <f t="shared" si="40"/>
        <v>50</v>
      </c>
      <c r="N37" s="1">
        <f t="shared" si="40"/>
        <v>1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0</v>
      </c>
      <c r="M38" s="1" t="e">
        <f t="shared" si="44"/>
        <v>#VALUE!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13</v>
      </c>
      <c r="M40" s="1">
        <f t="shared" si="52"/>
        <v>81</v>
      </c>
      <c r="N40" s="1">
        <f t="shared" si="52"/>
        <v>9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2</v>
      </c>
      <c r="M41" s="1">
        <f t="shared" si="56"/>
        <v>86</v>
      </c>
      <c r="N41" s="1">
        <f t="shared" si="56"/>
        <v>21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0</v>
      </c>
      <c r="M42" s="1">
        <f t="shared" si="60"/>
        <v>67</v>
      </c>
      <c r="N42" s="1">
        <f t="shared" si="60"/>
        <v>29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0</v>
      </c>
      <c r="M43" s="1">
        <f t="shared" si="64"/>
        <v>99</v>
      </c>
      <c r="N43" s="1">
        <f t="shared" si="64"/>
        <v>19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0</v>
      </c>
      <c r="M47" s="1">
        <f t="shared" si="80"/>
        <v>17</v>
      </c>
      <c r="N47" s="1">
        <f t="shared" si="80"/>
        <v>9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137</v>
      </c>
      <c r="M48" s="2">
        <f t="shared" si="84"/>
        <v>1469</v>
      </c>
      <c r="N48" s="2">
        <f t="shared" si="84"/>
        <v>483</v>
      </c>
    </row>
  </sheetData>
  <mergeCells count="33"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O24:O28"/>
    <mergeCell ref="I19:J19"/>
    <mergeCell ref="K19:N19"/>
    <mergeCell ref="I34:J34"/>
    <mergeCell ref="K34:N34"/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2023-06-16T05:49:33Z</dcterms:modified>
</cp:coreProperties>
</file>