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DF49FF6B-376D-40A6-B026-D40638E4527E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R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T25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U25" i="5" s="1"/>
  <c r="F16" i="5"/>
  <c r="F15" i="5"/>
  <c r="F14" i="5"/>
  <c r="F13" i="5"/>
  <c r="F12" i="5"/>
  <c r="F17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S27" i="5" l="1"/>
  <c r="L8" i="5"/>
  <c r="L17" i="5" s="1"/>
  <c r="Y25" i="5" s="1"/>
  <c r="R27" i="5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AJ10" i="5" s="1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V25" i="5" l="1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<sst xmlns="http://schemas.openxmlformats.org/spreadsheetml/2006/main" count="388" uniqueCount="71">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</sst>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1" workbookViewId="0">
      <selection activeCell="M23" sqref="M23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187984</v>
      </c>
      <c r="M3" s="3">
        <v>2549790.9500000002</v>
      </c>
      <c r="N3" s="3">
        <v>35419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415622.65</v>
      </c>
      <c r="M4" s="3">
        <v>566147.25</v>
      </c>
      <c r="N4" s="3">
        <v>35902.65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361.079095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178.45</v>
      </c>
      <c r="W5" s="10">
        <f>28.21+10.94+8.3</f>
        <v>47.45</v>
      </c>
      <c r="X5" s="10">
        <f>J18</f>
        <v>95</v>
      </c>
      <c r="Y5" s="10">
        <f>L18</f>
        <v>36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154567</v>
      </c>
      <c r="M6" s="3">
        <v>479062</v>
      </c>
      <c r="N6" s="3">
        <v>153385</v>
      </c>
      <c r="O6" s="34"/>
      <c r="P6" s="25" t="s">
        <v>4</v>
      </c>
      <c r="Q6" s="26">
        <f>Q5/Q4</f>
        <v>0.41313397597254004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0.82295929614267516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0.43726041772945234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141847</v>
      </c>
      <c r="M7" s="3">
        <v>764159</v>
      </c>
      <c r="N7" s="3">
        <v>194993</v>
      </c>
      <c r="O7" s="34"/>
      <c r="P7" s="9" t="s">
        <v>36</v>
      </c>
      <c r="Q7" s="10">
        <f>ROUNDUP(Q4-Q5,0)</f>
        <v>513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39</v>
      </c>
      <c r="W7" s="10">
        <f t="shared" si="2"/>
        <v>16</v>
      </c>
      <c r="X7" s="10">
        <f t="shared" si="2"/>
        <v>-23</v>
      </c>
      <c r="Y7" s="10">
        <f t="shared" si="2"/>
        <v>47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933243.65</v>
      </c>
      <c r="M8" s="4">
        <f>SUM(M3:M7)</f>
        <v>4667063.2</v>
      </c>
      <c r="N8" s="4">
        <f>SUM(N3:N7)</f>
        <v>419699.65</v>
      </c>
      <c r="O8" s="35"/>
      <c r="P8" s="20" t="s">
        <v>47</v>
      </c>
      <c r="Q8" s="21">
        <f>R8+V8+Z8+AD8</f>
        <v>23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23</v>
      </c>
      <c r="W8" s="21">
        <v>0</v>
      </c>
      <c r="X8" s="21">
        <v>0</v>
      </c>
      <c r="Y8" s="21">
        <f>N18</f>
        <v>23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363054</v>
      </c>
      <c r="M9" s="4" cm="1">
        <f t="array" ref="M9">SUM(SUMIFS(M3:M7,K3:K7,{"嘉兴","海宁","桐乡"}))</f>
        <v>3621853.95</v>
      </c>
      <c r="N9" s="4" cm="1">
        <f t="array" ref="N9">SUM(SUMIFS(N3:N7,K3:K7,{"嘉兴","海宁","桐乡"}))</f>
        <v>230412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55.508980000000001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42.2</v>
      </c>
      <c r="W10" s="10">
        <v>1.2</v>
      </c>
      <c r="X10" s="10">
        <f>J13</f>
        <v>0</v>
      </c>
      <c r="Y10" s="10">
        <f>L13</f>
        <v>41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>
        <f>(R10+V10)/(R9+V9)</f>
        <v>0.98551229471815349</v>
      </c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0.37005986666666668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1.1339513636974341</v>
      </c>
      <c r="W11" s="26">
        <f t="shared" si="4"/>
        <v>0.11188811188811189</v>
      </c>
      <c r="X11" s="26">
        <f t="shared" si="4"/>
        <v>0</v>
      </c>
      <c r="Y11" s="26">
        <f t="shared" si="4"/>
        <v>2.9016277423920736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18</v>
      </c>
      <c r="M12" s="3">
        <f t="shared" si="8"/>
        <v>254</v>
      </c>
      <c r="N12" s="3">
        <f t="shared" si="8"/>
        <v>3</v>
      </c>
      <c r="O12" s="34"/>
      <c r="P12" s="8" t="s">
        <v>39</v>
      </c>
      <c r="Q12" s="10">
        <f>ROUNDUP(Q9-Q10,0)</f>
        <v>95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-5</v>
      </c>
      <c r="W12" s="10">
        <f t="shared" si="9"/>
        <v>10</v>
      </c>
      <c r="X12" s="10">
        <f t="shared" si="9"/>
        <v>13</v>
      </c>
      <c r="Y12" s="10">
        <f t="shared" si="9"/>
        <v>-27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41</v>
      </c>
      <c r="M13" s="4">
        <f t="shared" si="8"/>
        <v>56</v>
      </c>
      <c r="N13" s="4">
        <f t="shared" si="8"/>
        <v>3</v>
      </c>
      <c r="O13" s="35"/>
      <c r="P13" s="20" t="s">
        <v>47</v>
      </c>
      <c r="Q13" s="21">
        <f>R13+V13+Z13+AD13</f>
        <v>3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3</v>
      </c>
      <c r="W13" s="21">
        <v>0</v>
      </c>
      <c r="X13" s="21">
        <v>0</v>
      </c>
      <c r="Y13" s="21">
        <f>N13</f>
        <v>3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15</v>
      </c>
      <c r="M15" s="4">
        <f t="shared" si="8"/>
        <v>47</v>
      </c>
      <c r="N15" s="4">
        <f t="shared" si="8"/>
        <v>15</v>
      </c>
      <c r="O15" s="34"/>
      <c r="P15" s="8" t="s">
        <v>37</v>
      </c>
      <c r="Q15" s="10">
        <f>R15+V15+Z15+AD15</f>
        <v>46.546700000000001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25.3443</v>
      </c>
      <c r="W15" s="10">
        <v>4.3442999999999996</v>
      </c>
      <c r="X15" s="10">
        <f>J15</f>
        <v>6</v>
      </c>
      <c r="Y15" s="10">
        <f>L15</f>
        <v>15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14</v>
      </c>
      <c r="M16" s="3">
        <f t="shared" si="8"/>
        <v>76</v>
      </c>
      <c r="N16" s="3">
        <f t="shared" si="8"/>
        <v>19</v>
      </c>
      <c r="O16" s="34"/>
      <c r="P16" s="14" t="s">
        <v>38</v>
      </c>
      <c r="Q16" s="26">
        <f>Q15/Q14</f>
        <v>0.26446988636363639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0.58041799494338797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0.90474811812391431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93</v>
      </c>
      <c r="M17" s="7">
        <f t="shared" si="8"/>
        <v>466</v>
      </c>
      <c r="N17" s="7">
        <f t="shared" si="8"/>
        <v>41</v>
      </c>
      <c r="O17" s="34"/>
      <c r="P17" s="8" t="s">
        <v>39</v>
      </c>
      <c r="Q17" s="10">
        <f>ROUNDUP(Q14-Q15,0)</f>
        <v>130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19</v>
      </c>
      <c r="W17" s="10">
        <f t="shared" si="22"/>
        <v>9</v>
      </c>
      <c r="X17" s="10">
        <f t="shared" si="22"/>
        <v>9</v>
      </c>
      <c r="Y17" s="10">
        <f t="shared" si="22"/>
        <v>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36</v>
      </c>
      <c r="M18" s="4">
        <f t="shared" si="8"/>
        <v>362</v>
      </c>
      <c r="N18" s="4">
        <f t="shared" si="8"/>
        <v>23</v>
      </c>
      <c r="O18" s="35"/>
      <c r="P18" s="20" t="s">
        <v>47</v>
      </c>
      <c r="Q18" s="21">
        <f>R18+V18+Z18+AD18</f>
        <v>15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15</v>
      </c>
      <c r="W18" s="21">
        <v>0</v>
      </c>
      <c r="X18" s="21">
        <v>0</v>
      </c>
      <c r="Y18" s="21">
        <f>N15</f>
        <v>15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463.13477499999999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245.99430000000001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92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1129266</v>
      </c>
      <c r="M21" s="1">
        <v>9296842.3000000007</v>
      </c>
      <c r="N21" s="1">
        <v>3899970</v>
      </c>
      <c r="O21" s="34"/>
      <c r="P21" s="14" t="s">
        <v>38</v>
      </c>
      <c r="Q21" s="26">
        <f>Q20/Q19</f>
        <v>0.38594564583333335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0.82626058041112471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0.81387119603680103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29813</v>
      </c>
      <c r="O22" s="34"/>
      <c r="P22" s="8" t="s">
        <v>39</v>
      </c>
      <c r="Q22" s="10">
        <f>ROUNDUP(Q19-Q20,0)</f>
        <v>737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52</v>
      </c>
      <c r="W22" s="10">
        <f t="shared" si="27"/>
        <v>33</v>
      </c>
      <c r="X22" s="10">
        <f t="shared" si="27"/>
        <v>-3</v>
      </c>
      <c r="Y22" s="10">
        <f t="shared" si="27"/>
        <v>22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41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41</v>
      </c>
      <c r="W23" s="21">
        <f>W8+W13+W18</f>
        <v>0</v>
      </c>
      <c r="X23" s="21">
        <f t="shared" ref="X23:Y23" si="29">X8+X13+X18</f>
        <v>0</v>
      </c>
      <c r="Y23" s="21">
        <f t="shared" si="29"/>
        <v>41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159034.04999999999</v>
      </c>
      <c r="M25" s="1">
        <v>838780.65</v>
      </c>
      <c r="N25" s="1">
        <v>103201.35</v>
      </c>
      <c r="O25" s="34"/>
      <c r="P25" s="8" t="s">
        <v>37</v>
      </c>
      <c r="Q25" s="10">
        <f>R25+V25+Z25+AD25</f>
        <v>1976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965</v>
      </c>
      <c r="W25" s="10">
        <f>H48+H17</f>
        <v>341</v>
      </c>
      <c r="X25" s="10">
        <f>J48+J17</f>
        <v>355</v>
      </c>
      <c r="Y25" s="10">
        <f>L48+L17</f>
        <v>269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21462</v>
      </c>
      <c r="M26" s="1">
        <v>869517.5</v>
      </c>
      <c r="N26" s="1">
        <v>259263</v>
      </c>
      <c r="O26" s="34"/>
      <c r="P26" s="14" t="s">
        <v>38</v>
      </c>
      <c r="Q26" s="26">
        <f>Q25/Q24</f>
        <v>0.28028368794326242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0.55171073206011079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0.40505337971119243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180416</v>
      </c>
      <c r="O27" s="34"/>
      <c r="P27" s="8" t="s">
        <v>39</v>
      </c>
      <c r="Q27" s="10">
        <f>ROUNDUP(Q24-Q25,0)</f>
        <v>5074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785</v>
      </c>
      <c r="W27" s="10">
        <f t="shared" si="32"/>
        <v>164</v>
      </c>
      <c r="X27" s="10">
        <f t="shared" si="32"/>
        <v>226</v>
      </c>
      <c r="Y27" s="10">
        <f t="shared" si="32"/>
        <v>396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516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516</v>
      </c>
      <c r="W28" s="21">
        <f>W13+W18+W23</f>
        <v>0</v>
      </c>
      <c r="X28" s="21">
        <f t="shared" ref="X28" si="34">X13+X18+X23</f>
        <v>0</v>
      </c>
      <c r="Y28" s="21">
        <f>N48+N17</f>
        <v>516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42350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175870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1762047.55</v>
      </c>
      <c r="M33" s="2">
        <f>SUM(M21:M32)</f>
        <v>15144236.320000002</v>
      </c>
      <c r="N33" s="2">
        <f>SUM(N21:N32)</f>
        <v>4759376.3499999996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112</v>
      </c>
      <c r="M36" s="1">
        <f t="shared" ref="M36:N36" si="35">ROUNDDOWN(M21/10000,0)</f>
        <v>929</v>
      </c>
      <c r="N36" s="1">
        <f t="shared" si="35"/>
        <v>389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2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15</v>
      </c>
      <c r="M40" s="1">
        <f t="shared" si="52"/>
        <v>83</v>
      </c>
      <c r="N40" s="1">
        <f t="shared" si="52"/>
        <v>10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2</v>
      </c>
      <c r="M41" s="1">
        <f t="shared" si="56"/>
        <v>86</v>
      </c>
      <c r="N41" s="1">
        <f t="shared" si="56"/>
        <v>25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18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17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176</v>
      </c>
      <c r="M48" s="2">
        <f t="shared" si="84"/>
        <v>1514</v>
      </c>
      <c r="N48" s="2">
        <f t="shared" si="84"/>
        <v>475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2023-06-21T08:47:24Z</dcterms:modified>
</cp:coreProperties>
</file>