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2436FCBD-2560-4784-84D1-C106FFDB27D7}" xr6:coauthVersionLast="47" xr6:coauthVersionMax="47" xr10:uidLastSave="{00000000-0000-0000-0000-000000000000}"/>
  <bookViews>
    <workbookView xWindow="610" yWindow="2310" windowWidth="22490" windowHeight="1232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G18" i="3"/>
  <c r="F18" i="3"/>
  <c r="F19" i="3"/>
  <c r="Z12" i="3"/>
  <c r="AA12" i="3"/>
  <c r="N7" i="3"/>
  <c r="O7" i="3"/>
  <c r="Q7" i="3"/>
  <c r="V7" i="3"/>
  <c r="H17" i="3"/>
  <c r="G17" i="3"/>
  <c r="F17" i="3"/>
  <c r="H16" i="3"/>
  <c r="S18" i="3" s="1"/>
  <c r="G16" i="3"/>
  <c r="F16" i="3"/>
  <c r="S15" i="3" s="1"/>
  <c r="S17" i="3" s="1"/>
  <c r="H15" i="3"/>
  <c r="G15" i="3"/>
  <c r="F15" i="3"/>
  <c r="H14" i="3"/>
  <c r="S13" i="3" s="1"/>
  <c r="G14" i="3"/>
  <c r="F14" i="3"/>
  <c r="S10" i="3" s="1"/>
  <c r="S12" i="3" s="1"/>
  <c r="H13" i="3"/>
  <c r="G13" i="3"/>
  <c r="F13" i="3"/>
  <c r="H9" i="3" a="1"/>
  <c r="H9" i="3" s="1"/>
  <c r="H19" i="3" s="1"/>
  <c r="G9" i="3" a="1"/>
  <c r="G9" i="3" s="1"/>
  <c r="F9" i="3" a="1"/>
  <c r="F9" i="3" s="1"/>
  <c r="H8" i="3"/>
  <c r="H18" i="3" s="1"/>
  <c r="G8" i="3"/>
  <c r="F8" i="3"/>
  <c r="Q23" i="3"/>
  <c r="N23" i="3"/>
  <c r="O23" i="3"/>
  <c r="M23" i="3"/>
  <c r="L23" i="3"/>
  <c r="L18" i="3"/>
  <c r="X23" i="3"/>
  <c r="T23" i="3"/>
  <c r="B14" i="3"/>
  <c r="R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K19" i="3"/>
  <c r="X18" i="3"/>
  <c r="T18" i="3"/>
  <c r="X15" i="3"/>
  <c r="T15" i="3"/>
  <c r="O20" i="3"/>
  <c r="M20" i="3"/>
  <c r="AA14" i="3"/>
  <c r="AA16" i="3" s="1"/>
  <c r="Z14" i="3"/>
  <c r="Z17" i="3" s="1"/>
  <c r="Y14" i="3"/>
  <c r="Y17" i="3" s="1"/>
  <c r="X14" i="3"/>
  <c r="X17" i="3" s="1"/>
  <c r="W14" i="3"/>
  <c r="W17" i="3" s="1"/>
  <c r="V14" i="3"/>
  <c r="V17" i="3" s="1"/>
  <c r="U14" i="3"/>
  <c r="U16" i="3" s="1"/>
  <c r="T14" i="3"/>
  <c r="T17" i="3" s="1"/>
  <c r="S14" i="3"/>
  <c r="R14" i="3"/>
  <c r="Q14" i="3"/>
  <c r="Q17" i="3" s="1"/>
  <c r="P14" i="3"/>
  <c r="O14" i="3"/>
  <c r="O17" i="3" s="1"/>
  <c r="N14" i="3"/>
  <c r="N17" i="3" s="1"/>
  <c r="M14" i="3"/>
  <c r="M17" i="3" s="1"/>
  <c r="L14" i="3"/>
  <c r="L17" i="3" s="1"/>
  <c r="X13" i="3"/>
  <c r="T13" i="3"/>
  <c r="L13" i="3"/>
  <c r="X10" i="3"/>
  <c r="T10" i="3"/>
  <c r="L10" i="3"/>
  <c r="AA9" i="3"/>
  <c r="AA11" i="3" s="1"/>
  <c r="Z9" i="3"/>
  <c r="Z11" i="3" s="1"/>
  <c r="Y9" i="3"/>
  <c r="Y12" i="3" s="1"/>
  <c r="X9" i="3"/>
  <c r="X12" i="3" s="1"/>
  <c r="W9" i="3"/>
  <c r="W12" i="3" s="1"/>
  <c r="V9" i="3"/>
  <c r="V12" i="3" s="1"/>
  <c r="U9" i="3"/>
  <c r="U11" i="3" s="1"/>
  <c r="T9" i="3"/>
  <c r="S9" i="3"/>
  <c r="R9" i="3"/>
  <c r="Q9" i="3"/>
  <c r="Q12" i="3" s="1"/>
  <c r="P9" i="3"/>
  <c r="O9" i="3"/>
  <c r="O12" i="3" s="1"/>
  <c r="N9" i="3"/>
  <c r="N11" i="3" s="1"/>
  <c r="M9" i="3"/>
  <c r="M11" i="3" s="1"/>
  <c r="L9" i="3"/>
  <c r="L12" i="3" s="1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X7" i="3" s="1"/>
  <c r="W4" i="3"/>
  <c r="W6" i="3" s="1"/>
  <c r="V4" i="3"/>
  <c r="V6" i="3" s="1"/>
  <c r="U4" i="3"/>
  <c r="U7" i="3" s="1"/>
  <c r="T4" i="3"/>
  <c r="S4" i="3"/>
  <c r="R4" i="3"/>
  <c r="Q4" i="3"/>
  <c r="P4" i="3"/>
  <c r="O4" i="3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N12" i="3" l="1"/>
  <c r="T7" i="3"/>
  <c r="M12" i="3"/>
  <c r="W7" i="3"/>
  <c r="U17" i="3"/>
  <c r="L7" i="3"/>
  <c r="M7" i="3"/>
  <c r="Z7" i="3"/>
  <c r="U12" i="3"/>
  <c r="Y7" i="3"/>
  <c r="AA17" i="3"/>
  <c r="T12" i="3"/>
  <c r="P10" i="3"/>
  <c r="P12" i="3" s="1"/>
  <c r="R12" i="3"/>
  <c r="P13" i="3"/>
  <c r="K13" i="3" s="1"/>
  <c r="P18" i="3"/>
  <c r="K18" i="3" s="1"/>
  <c r="S8" i="3"/>
  <c r="S23" i="3" s="1"/>
  <c r="S5" i="3"/>
  <c r="T6" i="3"/>
  <c r="D19" i="3" a="1"/>
  <c r="D19" i="3" s="1"/>
  <c r="R8" i="3" s="1"/>
  <c r="U6" i="3"/>
  <c r="C19" i="3" a="1"/>
  <c r="C19" i="3" s="1"/>
  <c r="B19" i="3" a="1"/>
  <c r="B19" i="3" s="1"/>
  <c r="R5" i="3" s="1"/>
  <c r="X16" i="3"/>
  <c r="V19" i="3"/>
  <c r="Y19" i="3"/>
  <c r="W19" i="3"/>
  <c r="W22" i="3" s="1"/>
  <c r="X19" i="3"/>
  <c r="C18" i="3"/>
  <c r="X6" i="3"/>
  <c r="AA6" i="3"/>
  <c r="V11" i="3"/>
  <c r="W11" i="3"/>
  <c r="Y16" i="3"/>
  <c r="Y11" i="3"/>
  <c r="Z16" i="3"/>
  <c r="B18" i="3"/>
  <c r="AA19" i="3"/>
  <c r="AA22" i="3" s="1"/>
  <c r="L19" i="3"/>
  <c r="D18" i="3"/>
  <c r="X11" i="3"/>
  <c r="O19" i="3"/>
  <c r="O22" i="3" s="1"/>
  <c r="P19" i="3"/>
  <c r="X20" i="3"/>
  <c r="R15" i="3"/>
  <c r="Z19" i="3"/>
  <c r="M19" i="3"/>
  <c r="N19" i="3"/>
  <c r="M16" i="3"/>
  <c r="V16" i="3"/>
  <c r="T19" i="3"/>
  <c r="W16" i="3"/>
  <c r="L11" i="3"/>
  <c r="L6" i="3"/>
  <c r="Q19" i="3"/>
  <c r="R19" i="3"/>
  <c r="N20" i="3"/>
  <c r="N16" i="3"/>
  <c r="O11" i="3"/>
  <c r="O16" i="3"/>
  <c r="Q20" i="3"/>
  <c r="T20" i="3"/>
  <c r="O6" i="3"/>
  <c r="Q11" i="3"/>
  <c r="Q16" i="3"/>
  <c r="U19" i="3"/>
  <c r="Q6" i="3"/>
  <c r="R11" i="3"/>
  <c r="S19" i="3"/>
  <c r="S11" i="3"/>
  <c r="S16" i="3"/>
  <c r="T11" i="3"/>
  <c r="L15" i="3"/>
  <c r="T16" i="3"/>
  <c r="O12" i="1"/>
  <c r="O11" i="1"/>
  <c r="N22" i="3" l="1"/>
  <c r="K10" i="3"/>
  <c r="K12" i="3" s="1"/>
  <c r="T22" i="3"/>
  <c r="P11" i="3"/>
  <c r="U21" i="3"/>
  <c r="U22" i="3"/>
  <c r="X21" i="3"/>
  <c r="X22" i="3"/>
  <c r="R6" i="3"/>
  <c r="R7" i="3"/>
  <c r="S20" i="3"/>
  <c r="S22" i="3" s="1"/>
  <c r="S7" i="3"/>
  <c r="M21" i="3"/>
  <c r="M22" i="3"/>
  <c r="Z21" i="3"/>
  <c r="Z22" i="3"/>
  <c r="P15" i="3"/>
  <c r="P17" i="3" s="1"/>
  <c r="R17" i="3"/>
  <c r="Q22" i="3"/>
  <c r="Y21" i="3"/>
  <c r="Y22" i="3"/>
  <c r="V21" i="3"/>
  <c r="V22" i="3"/>
  <c r="S6" i="3"/>
  <c r="P8" i="3"/>
  <c r="K8" i="3" s="1"/>
  <c r="K23" i="3" s="1"/>
  <c r="P5" i="3"/>
  <c r="P7" i="3" s="1"/>
  <c r="R23" i="3"/>
  <c r="P23" i="3" s="1"/>
  <c r="R16" i="3"/>
  <c r="R20" i="3"/>
  <c r="R22" i="3" s="1"/>
  <c r="W21" i="3"/>
  <c r="AA21" i="3"/>
  <c r="O21" i="3"/>
  <c r="T21" i="3"/>
  <c r="Q21" i="3"/>
  <c r="N21" i="3"/>
  <c r="L20" i="3"/>
  <c r="L22" i="3" s="1"/>
  <c r="L16" i="3"/>
  <c r="K11" i="3"/>
  <c r="S21" i="3" l="1"/>
  <c r="K15" i="3"/>
  <c r="K17" i="3" s="1"/>
  <c r="R21" i="3"/>
  <c r="P20" i="3"/>
  <c r="P22" i="3" s="1"/>
  <c r="P16" i="3"/>
  <c r="K5" i="3"/>
  <c r="K7" i="3" s="1"/>
  <c r="P6" i="3"/>
  <c r="P21" i="3"/>
  <c r="K6" i="3"/>
  <c r="K20" i="3"/>
  <c r="K22" i="3" s="1"/>
  <c r="K16" i="3"/>
  <c r="L21" i="3"/>
  <c r="K21" i="3" l="1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<sst xmlns="http://schemas.openxmlformats.org/spreadsheetml/2006/main" count="351" uniqueCount="130">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</sst>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8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K4" sqref="K4:M7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50" t="s">
        <v>16</v>
      </c>
      <c r="H2" s="51"/>
      <c r="I2" s="51"/>
      <c r="J2" s="5" t="s">
        <v>2</v>
      </c>
      <c r="K2" s="50" t="s">
        <v>44</v>
      </c>
      <c r="L2" s="51"/>
      <c r="M2" s="51"/>
      <c r="N2" s="5" t="s">
        <v>2</v>
      </c>
      <c r="O2" s="50" t="s">
        <v>94</v>
      </c>
      <c r="P2" s="51"/>
      <c r="Q2" s="51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52">
        <f ca="1">TODAY()</f>
        <v>45086</v>
      </c>
      <c r="H3" s="53"/>
      <c r="I3" s="3">
        <f ca="1">TODAY()</f>
        <v>45086</v>
      </c>
      <c r="J3" s="4" t="s">
        <v>1</v>
      </c>
      <c r="K3" s="52">
        <f ca="1">TODAY()</f>
        <v>45086</v>
      </c>
      <c r="L3" s="53"/>
      <c r="M3" s="3">
        <f ca="1">TODAY()</f>
        <v>45086</v>
      </c>
      <c r="N3" s="4" t="s">
        <v>1</v>
      </c>
      <c r="O3" s="52">
        <f ca="1">TODAY()</f>
        <v>45086</v>
      </c>
      <c r="P3" s="53"/>
      <c r="Q3" s="3">
        <f ca="1">TODAY()</f>
        <v>45086</v>
      </c>
      <c r="R3" s="4" t="s">
        <v>1</v>
      </c>
      <c r="W3" s="22" t="s">
        <v>105</v>
      </c>
      <c r="X3" s="23">
        <f ca="1">TODAY()</f>
        <v>45086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63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4" cm="1">
        <f t="array" aca="1" ref="G4" ca="1">SUM(SUMIFS($E:$E,$C:$C,TODAY(),$B:$B,{"海盐","平湖","海宁","桐乡"}))</f>
        <v>0</v>
      </c>
      <c r="H4" s="55"/>
      <c r="I4" s="55"/>
      <c r="J4" s="56" t="s">
        <v>21</v>
      </c>
      <c r="K4" s="54" cm="1">
        <f t="array" aca="1" ref="K4" ca="1">SUM(SUMIFS($E:$E,$C:$C,TODAY(),$B:$B,{"红星","月星","六空"}))</f>
        <v>0</v>
      </c>
      <c r="L4" s="55"/>
      <c r="M4" s="55"/>
      <c r="N4" s="56" t="s">
        <v>21</v>
      </c>
      <c r="O4" s="54">
        <f ca="1">SUMIFS($E:$E,$C:$C,TODAY())</f>
        <v>0</v>
      </c>
      <c r="P4" s="55"/>
      <c r="Q4" s="55"/>
      <c r="R4" s="56" t="s">
        <v>21</v>
      </c>
      <c r="W4" s="22" t="s">
        <v>106</v>
      </c>
      <c r="X4" s="23">
        <f t="shared" ref="X4:X10" ca="1" si="0">TODAY()</f>
        <v>45086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63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4"/>
      <c r="H5" s="55"/>
      <c r="I5" s="55"/>
      <c r="J5" s="56"/>
      <c r="K5" s="54"/>
      <c r="L5" s="55"/>
      <c r="M5" s="55"/>
      <c r="N5" s="56"/>
      <c r="O5" s="54"/>
      <c r="P5" s="55"/>
      <c r="Q5" s="55"/>
      <c r="R5" s="56"/>
      <c r="W5" s="22" t="s">
        <v>107</v>
      </c>
      <c r="X5" s="23">
        <f t="shared" ca="1" si="0"/>
        <v>45086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63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4"/>
      <c r="H6" s="55"/>
      <c r="I6" s="55"/>
      <c r="J6" s="56"/>
      <c r="K6" s="54"/>
      <c r="L6" s="55"/>
      <c r="M6" s="55"/>
      <c r="N6" s="56"/>
      <c r="O6" s="54"/>
      <c r="P6" s="55"/>
      <c r="Q6" s="55"/>
      <c r="R6" s="56"/>
      <c r="W6" s="22" t="s">
        <v>108</v>
      </c>
      <c r="X6" s="23">
        <f t="shared" ca="1" si="0"/>
        <v>45086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63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4"/>
      <c r="H7" s="55"/>
      <c r="I7" s="55"/>
      <c r="J7" s="56"/>
      <c r="K7" s="54"/>
      <c r="L7" s="55"/>
      <c r="M7" s="55"/>
      <c r="N7" s="56"/>
      <c r="O7" s="54"/>
      <c r="P7" s="55"/>
      <c r="Q7" s="55"/>
      <c r="R7" s="56"/>
      <c r="W7" s="22" t="s">
        <v>109</v>
      </c>
      <c r="X7" s="23">
        <f t="shared" ca="1" si="0"/>
        <v>45086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63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7" t="e">
        <f ca="1">SUMIFS($E:$E,$C:$C,TODAY())/SUMIFS($E:$E,$C:$C,TODAY()-1)-1</f>
        <v>#DIV/0!</v>
      </c>
      <c r="H8" s="58"/>
      <c r="I8" s="58"/>
      <c r="J8" s="4" t="s">
        <v>23</v>
      </c>
      <c r="K8" s="57" t="e">
        <f ca="1">SUMIFS($E:$E,$C:$C,TODAY(),$B:$B,K2)/SUMIFS($E:$E,$C:$C,TODAY()-1,$B:$B,K2)-1</f>
        <v>#DIV/0!</v>
      </c>
      <c r="L8" s="58"/>
      <c r="M8" s="58"/>
      <c r="N8" s="4" t="s">
        <v>23</v>
      </c>
      <c r="O8" s="57" t="e">
        <f ca="1">SUMIFS($E:$E,$C:$C,TODAY())/SUMIFS($E:$E,$C:$C,TODAY()-1)-1</f>
        <v>#DIV/0!</v>
      </c>
      <c r="P8" s="58"/>
      <c r="Q8" s="58"/>
      <c r="R8" s="4" t="s">
        <v>23</v>
      </c>
      <c r="W8" s="22" t="s">
        <v>110</v>
      </c>
      <c r="X8" s="23">
        <f t="shared" ca="1" si="0"/>
        <v>45086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63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9" cm="1">
        <f t="array" ref="G9">SUM(SUMIFS($E:$E,$B:$B,{"海盐","平湖","海宁","桐乡"}))</f>
        <v>602779</v>
      </c>
      <c r="H9" s="60"/>
      <c r="I9" s="60"/>
      <c r="J9" s="4" t="s">
        <v>17</v>
      </c>
      <c r="K9" s="59" cm="1">
        <f t="array" ref="K9">SUM(SUMIFS($E:$E,$B:$B,{"红星","月星","六空"}))</f>
        <v>575288</v>
      </c>
      <c r="L9" s="60"/>
      <c r="M9" s="60"/>
      <c r="N9" s="4" t="s">
        <v>17</v>
      </c>
      <c r="O9" s="59">
        <f>SUM($E:$E)</f>
        <v>1178067</v>
      </c>
      <c r="P9" s="60"/>
      <c r="Q9" s="60"/>
      <c r="R9" s="4" t="s">
        <v>17</v>
      </c>
      <c r="W9" s="22" t="s">
        <v>111</v>
      </c>
      <c r="X9" s="23">
        <f t="shared" ca="1" si="0"/>
        <v>45086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63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9">
        <v>650000</v>
      </c>
      <c r="H10" s="60"/>
      <c r="I10" s="60"/>
      <c r="J10" s="4" t="s">
        <v>18</v>
      </c>
      <c r="K10" s="59">
        <v>600000</v>
      </c>
      <c r="L10" s="60"/>
      <c r="M10" s="60"/>
      <c r="N10" s="4" t="s">
        <v>18</v>
      </c>
      <c r="O10" s="59">
        <v>1250000</v>
      </c>
      <c r="P10" s="60"/>
      <c r="Q10" s="60"/>
      <c r="R10" s="4" t="s">
        <v>18</v>
      </c>
      <c r="W10" s="26" t="s">
        <v>104</v>
      </c>
      <c r="X10" s="27">
        <f t="shared" ca="1" si="0"/>
        <v>45086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7">
        <f>G9/G10</f>
        <v>0.9273523076923077</v>
      </c>
      <c r="H11" s="58"/>
      <c r="I11" s="58"/>
      <c r="J11" s="4" t="s">
        <v>19</v>
      </c>
      <c r="K11" s="57">
        <f>K9/K10</f>
        <v>0.9588133333333333</v>
      </c>
      <c r="L11" s="58"/>
      <c r="M11" s="58"/>
      <c r="N11" s="4" t="s">
        <v>19</v>
      </c>
      <c r="O11" s="57">
        <f>O9/O10</f>
        <v>0.9424536</v>
      </c>
      <c r="P11" s="58"/>
      <c r="Q11" s="58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61">
        <f>G9-G10</f>
        <v>-47221</v>
      </c>
      <c r="H12" s="62"/>
      <c r="I12" s="62"/>
      <c r="J12" s="6" t="s">
        <v>20</v>
      </c>
      <c r="K12" s="61">
        <f>K9-K10</f>
        <v>-24712</v>
      </c>
      <c r="L12" s="62"/>
      <c r="M12" s="62"/>
      <c r="N12" s="6" t="s">
        <v>20</v>
      </c>
      <c r="O12" s="61">
        <f>O9-O10</f>
        <v>-71933</v>
      </c>
      <c r="P12" s="62"/>
      <c r="Q12" s="62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50" t="s">
        <v>5</v>
      </c>
      <c r="H13" s="51"/>
      <c r="I13" s="51"/>
      <c r="J13" s="5" t="s">
        <v>2</v>
      </c>
      <c r="K13" s="50" t="s">
        <v>7</v>
      </c>
      <c r="L13" s="51"/>
      <c r="M13" s="51"/>
      <c r="N13" s="5" t="s">
        <v>2</v>
      </c>
      <c r="O13" s="50" t="s">
        <v>41</v>
      </c>
      <c r="P13" s="51"/>
      <c r="Q13" s="51"/>
      <c r="R13" s="5" t="s">
        <v>2</v>
      </c>
      <c r="S13" s="50" t="s">
        <v>39</v>
      </c>
      <c r="T13" s="51"/>
      <c r="U13" s="51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52">
        <f ca="1">TODAY()</f>
        <v>45086</v>
      </c>
      <c r="H14" s="53"/>
      <c r="I14" s="3">
        <f ca="1">TODAY()</f>
        <v>45086</v>
      </c>
      <c r="J14" s="4" t="s">
        <v>1</v>
      </c>
      <c r="K14" s="52">
        <f ca="1">TODAY()</f>
        <v>45086</v>
      </c>
      <c r="L14" s="53"/>
      <c r="M14" s="3">
        <f ca="1">TODAY()</f>
        <v>45086</v>
      </c>
      <c r="N14" s="4" t="s">
        <v>1</v>
      </c>
      <c r="O14" s="52">
        <f ca="1">TODAY()</f>
        <v>45086</v>
      </c>
      <c r="P14" s="53"/>
      <c r="Q14" s="3">
        <f ca="1">TODAY()</f>
        <v>45086</v>
      </c>
      <c r="R14" s="4" t="s">
        <v>1</v>
      </c>
      <c r="S14" s="52">
        <f ca="1">TODAY()</f>
        <v>45086</v>
      </c>
      <c r="T14" s="53"/>
      <c r="U14" s="3">
        <f ca="1">TODAY()</f>
        <v>45086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4">
        <f ca="1">SUMIFS($E:$E,$C:$C,TODAY(),$B:$B,G13)</f>
        <v>0</v>
      </c>
      <c r="H15" s="55"/>
      <c r="I15" s="55"/>
      <c r="J15" s="56" t="s">
        <v>21</v>
      </c>
      <c r="K15" s="54">
        <f ca="1">SUMIFS($E:$E,$C:$C,TODAY(),$B:$B,K13)</f>
        <v>0</v>
      </c>
      <c r="L15" s="55"/>
      <c r="M15" s="55"/>
      <c r="N15" s="56" t="s">
        <v>21</v>
      </c>
      <c r="O15" s="54">
        <f ca="1">SUMIFS($E:$E,$C:$C,TODAY(),$B:$B,O13)</f>
        <v>0</v>
      </c>
      <c r="P15" s="55"/>
      <c r="Q15" s="55"/>
      <c r="R15" s="56" t="s">
        <v>21</v>
      </c>
      <c r="S15" s="54">
        <f ca="1">SUMIFS($E:$E,$C:$C,TODAY(),$B:$B,S13)</f>
        <v>0</v>
      </c>
      <c r="T15" s="55"/>
      <c r="U15" s="55"/>
      <c r="V15" s="56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4"/>
      <c r="H16" s="55"/>
      <c r="I16" s="55"/>
      <c r="J16" s="56"/>
      <c r="K16" s="54"/>
      <c r="L16" s="55"/>
      <c r="M16" s="55"/>
      <c r="N16" s="56"/>
      <c r="O16" s="54"/>
      <c r="P16" s="55"/>
      <c r="Q16" s="55"/>
      <c r="R16" s="56"/>
      <c r="S16" s="54"/>
      <c r="T16" s="55"/>
      <c r="U16" s="55"/>
      <c r="V16" s="56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4"/>
      <c r="H17" s="55"/>
      <c r="I17" s="55"/>
      <c r="J17" s="56"/>
      <c r="K17" s="54"/>
      <c r="L17" s="55"/>
      <c r="M17" s="55"/>
      <c r="N17" s="56"/>
      <c r="O17" s="54"/>
      <c r="P17" s="55"/>
      <c r="Q17" s="55"/>
      <c r="R17" s="56"/>
      <c r="S17" s="54"/>
      <c r="T17" s="55"/>
      <c r="U17" s="55"/>
      <c r="V17" s="56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4"/>
      <c r="H18" s="55"/>
      <c r="I18" s="55"/>
      <c r="J18" s="56"/>
      <c r="K18" s="54"/>
      <c r="L18" s="55"/>
      <c r="M18" s="55"/>
      <c r="N18" s="56"/>
      <c r="O18" s="54"/>
      <c r="P18" s="55"/>
      <c r="Q18" s="55"/>
      <c r="R18" s="56"/>
      <c r="S18" s="54"/>
      <c r="T18" s="55"/>
      <c r="U18" s="55"/>
      <c r="V18" s="56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7" t="e">
        <f ca="1">SUMIFS($E:$E,$C:$C,TODAY(),$B:$B,G13)/SUMIFS($E:$E,$C:$C,TODAY()-1,$B:$B,G13)-1</f>
        <v>#DIV/0!</v>
      </c>
      <c r="H19" s="58"/>
      <c r="I19" s="58"/>
      <c r="J19" s="4" t="s">
        <v>23</v>
      </c>
      <c r="K19" s="57" t="e">
        <f ca="1">SUMIFS($E:$E,$C:$C,TODAY(),$B:$B,K13)/SUMIFS($E:$E,$C:$C,TODAY()-1,$B:$B,K13)-1</f>
        <v>#DIV/0!</v>
      </c>
      <c r="L19" s="58"/>
      <c r="M19" s="58"/>
      <c r="N19" s="4" t="s">
        <v>23</v>
      </c>
      <c r="O19" s="57" t="e">
        <f ca="1">SUMIFS($E:$E,$C:$C,TODAY(),$B:$B,O13)/SUMIFS($E:$E,$C:$C,TODAY()-1,$B:$B,O13)-1</f>
        <v>#DIV/0!</v>
      </c>
      <c r="P19" s="58"/>
      <c r="Q19" s="58"/>
      <c r="R19" s="4" t="s">
        <v>23</v>
      </c>
      <c r="S19" s="57" t="e">
        <f ca="1">SUMIFS($E:$E,$C:$C,TODAY(),$B:$B,S13)/SUMIFS($E:$E,$C:$C,TODAY()-1,$B:$B,S13)-1</f>
        <v>#DIV/0!</v>
      </c>
      <c r="T19" s="58"/>
      <c r="U19" s="58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9">
        <f>SUMIFS($E:$E,$B:$B,G13)</f>
        <v>171200</v>
      </c>
      <c r="H20" s="60"/>
      <c r="I20" s="60"/>
      <c r="J20" s="4" t="s">
        <v>17</v>
      </c>
      <c r="K20" s="59">
        <f>SUMIFS($E:$E,$B:$B,K13)</f>
        <v>135884</v>
      </c>
      <c r="L20" s="60"/>
      <c r="M20" s="60"/>
      <c r="N20" s="4" t="s">
        <v>17</v>
      </c>
      <c r="O20" s="59">
        <f>SUMIFS($E:$E,$B:$B,O13)</f>
        <v>200726</v>
      </c>
      <c r="P20" s="60"/>
      <c r="Q20" s="60"/>
      <c r="R20" s="4" t="s">
        <v>17</v>
      </c>
      <c r="S20" s="59">
        <f>SUMIFS($E:$E,$B:$B,S13)</f>
        <v>155388</v>
      </c>
      <c r="T20" s="60"/>
      <c r="U20" s="60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9">
        <v>240000</v>
      </c>
      <c r="H21" s="60"/>
      <c r="I21" s="60"/>
      <c r="J21" s="4" t="s">
        <v>18</v>
      </c>
      <c r="K21" s="59">
        <v>210000</v>
      </c>
      <c r="L21" s="60"/>
      <c r="M21" s="60"/>
      <c r="N21" s="4" t="s">
        <v>18</v>
      </c>
      <c r="O21" s="59">
        <v>200000</v>
      </c>
      <c r="P21" s="60"/>
      <c r="Q21" s="60"/>
      <c r="R21" s="4" t="s">
        <v>18</v>
      </c>
      <c r="S21" s="59">
        <v>200000</v>
      </c>
      <c r="T21" s="60"/>
      <c r="U21" s="60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7">
        <f>G20/G21</f>
        <v>0.71333333333333337</v>
      </c>
      <c r="H22" s="58"/>
      <c r="I22" s="58"/>
      <c r="J22" s="4" t="s">
        <v>19</v>
      </c>
      <c r="K22" s="57">
        <f>K20/K21</f>
        <v>0.64706666666666668</v>
      </c>
      <c r="L22" s="58"/>
      <c r="M22" s="58"/>
      <c r="N22" s="4" t="s">
        <v>19</v>
      </c>
      <c r="O22" s="57">
        <f>O20/O21</f>
        <v>1.00363</v>
      </c>
      <c r="P22" s="58"/>
      <c r="Q22" s="58"/>
      <c r="R22" s="4" t="s">
        <v>19</v>
      </c>
      <c r="S22" s="57">
        <f>S20/S21</f>
        <v>0.77693999999999996</v>
      </c>
      <c r="T22" s="58"/>
      <c r="U22" s="58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61">
        <f>G20-G21</f>
        <v>-68800</v>
      </c>
      <c r="H23" s="62"/>
      <c r="I23" s="62"/>
      <c r="J23" s="6" t="s">
        <v>20</v>
      </c>
      <c r="K23" s="61">
        <f>K20-K21</f>
        <v>-74116</v>
      </c>
      <c r="L23" s="62"/>
      <c r="M23" s="62"/>
      <c r="N23" s="6" t="s">
        <v>20</v>
      </c>
      <c r="O23" s="61">
        <f>O20-O21</f>
        <v>726</v>
      </c>
      <c r="P23" s="62"/>
      <c r="Q23" s="62"/>
      <c r="R23" s="6" t="s">
        <v>20</v>
      </c>
      <c r="S23" s="61">
        <f>S20-S21</f>
        <v>-44612</v>
      </c>
      <c r="T23" s="62"/>
      <c r="U23" s="62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50" t="s">
        <v>14</v>
      </c>
      <c r="H24" s="51"/>
      <c r="I24" s="51"/>
      <c r="J24" s="5" t="s">
        <v>2</v>
      </c>
      <c r="K24" s="50" t="s">
        <v>22</v>
      </c>
      <c r="L24" s="51"/>
      <c r="M24" s="51"/>
      <c r="N24" s="5" t="s">
        <v>2</v>
      </c>
      <c r="O24" s="50" t="s">
        <v>43</v>
      </c>
      <c r="P24" s="51"/>
      <c r="Q24" s="51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52">
        <f ca="1">TODAY()</f>
        <v>45086</v>
      </c>
      <c r="H25" s="53"/>
      <c r="I25" s="3">
        <f ca="1">TODAY()</f>
        <v>45086</v>
      </c>
      <c r="J25" s="4" t="s">
        <v>1</v>
      </c>
      <c r="K25" s="52">
        <f ca="1">TODAY()</f>
        <v>45086</v>
      </c>
      <c r="L25" s="53"/>
      <c r="M25" s="3">
        <f ca="1">TODAY()</f>
        <v>45086</v>
      </c>
      <c r="N25" s="4" t="s">
        <v>1</v>
      </c>
      <c r="O25" s="52">
        <f ca="1">TODAY()</f>
        <v>45086</v>
      </c>
      <c r="P25" s="53"/>
      <c r="Q25" s="3">
        <f ca="1">TODAY()</f>
        <v>45086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4">
        <f ca="1">SUMIFS($E:$E,$C:$C,TODAY(),$B:$B,G24)</f>
        <v>0</v>
      </c>
      <c r="H26" s="55"/>
      <c r="I26" s="55"/>
      <c r="J26" s="56" t="s">
        <v>21</v>
      </c>
      <c r="K26" s="54">
        <f ca="1">SUMIFS($E:$E,$C:$C,TODAY(),$B:$B,K24)</f>
        <v>0</v>
      </c>
      <c r="L26" s="55"/>
      <c r="M26" s="55"/>
      <c r="N26" s="56" t="s">
        <v>21</v>
      </c>
      <c r="O26" s="54">
        <f ca="1">SUMIFS($E:$E,$C:$C,TODAY(),$B:$B,O24)</f>
        <v>0</v>
      </c>
      <c r="P26" s="55"/>
      <c r="Q26" s="55"/>
      <c r="R26" s="56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4"/>
      <c r="H27" s="55"/>
      <c r="I27" s="55"/>
      <c r="J27" s="56"/>
      <c r="K27" s="54"/>
      <c r="L27" s="55"/>
      <c r="M27" s="55"/>
      <c r="N27" s="56"/>
      <c r="O27" s="54"/>
      <c r="P27" s="55"/>
      <c r="Q27" s="55"/>
      <c r="R27" s="56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4"/>
      <c r="H28" s="55"/>
      <c r="I28" s="55"/>
      <c r="J28" s="56"/>
      <c r="K28" s="54"/>
      <c r="L28" s="55"/>
      <c r="M28" s="55"/>
      <c r="N28" s="56"/>
      <c r="O28" s="54"/>
      <c r="P28" s="55"/>
      <c r="Q28" s="55"/>
      <c r="R28" s="56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4"/>
      <c r="H29" s="55"/>
      <c r="I29" s="55"/>
      <c r="J29" s="56"/>
      <c r="K29" s="54"/>
      <c r="L29" s="55"/>
      <c r="M29" s="55"/>
      <c r="N29" s="56"/>
      <c r="O29" s="54"/>
      <c r="P29" s="55"/>
      <c r="Q29" s="55"/>
      <c r="R29" s="56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7" t="e">
        <f ca="1">SUMIFS($E:$E,$C:$C,TODAY(),$B:$B,G24)/SUMIFS($E:$E,$C:$C,TODAY()-1,$B:$B,G24)-1</f>
        <v>#DIV/0!</v>
      </c>
      <c r="H30" s="58"/>
      <c r="I30" s="58"/>
      <c r="J30" s="4" t="s">
        <v>23</v>
      </c>
      <c r="K30" s="57" t="e">
        <f ca="1">SUMIFS($E:$E,$C:$C,TODAY(),$B:$B,K24)/SUMIFS($E:$E,$C:$C,TODAY()-1,$B:$B,K24)-1</f>
        <v>#DIV/0!</v>
      </c>
      <c r="L30" s="58"/>
      <c r="M30" s="58"/>
      <c r="N30" s="4" t="s">
        <v>23</v>
      </c>
      <c r="O30" s="57" t="e">
        <f ca="1">SUMIFS($E:$E,$C:$C,TODAY(),$B:$B,O24)/SUMIFS($E:$E,$C:$C,TODAY()-1,$B:$B,O24)-1</f>
        <v>#DIV/0!</v>
      </c>
      <c r="P30" s="58"/>
      <c r="Q30" s="58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9">
        <f>SUMIFS($E:$E,$B:$B,G24)</f>
        <v>167197</v>
      </c>
      <c r="H31" s="60"/>
      <c r="I31" s="60"/>
      <c r="J31" s="4" t="s">
        <v>17</v>
      </c>
      <c r="K31" s="59">
        <f>SUMIFS($E:$E,$B:$B,K24)</f>
        <v>128498</v>
      </c>
      <c r="L31" s="60"/>
      <c r="M31" s="60"/>
      <c r="N31" s="4" t="s">
        <v>17</v>
      </c>
      <c r="O31" s="59">
        <f>SUMIFS($E:$E,$B:$B,O24)</f>
        <v>219174</v>
      </c>
      <c r="P31" s="60"/>
      <c r="Q31" s="60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9">
        <v>100000</v>
      </c>
      <c r="H32" s="60"/>
      <c r="I32" s="60"/>
      <c r="J32" s="4" t="s">
        <v>18</v>
      </c>
      <c r="K32" s="59">
        <v>100000</v>
      </c>
      <c r="L32" s="60"/>
      <c r="M32" s="60"/>
      <c r="N32" s="4" t="s">
        <v>18</v>
      </c>
      <c r="O32" s="59">
        <v>200000</v>
      </c>
      <c r="P32" s="60"/>
      <c r="Q32" s="60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7">
        <f>G31/G32</f>
        <v>1.67197</v>
      </c>
      <c r="H33" s="58"/>
      <c r="I33" s="58"/>
      <c r="J33" s="4" t="s">
        <v>19</v>
      </c>
      <c r="K33" s="57">
        <f>K31/K32</f>
        <v>1.28498</v>
      </c>
      <c r="L33" s="58"/>
      <c r="M33" s="58"/>
      <c r="N33" s="4" t="s">
        <v>19</v>
      </c>
      <c r="O33" s="57">
        <f>O31/O32</f>
        <v>1.0958699999999999</v>
      </c>
      <c r="P33" s="58"/>
      <c r="Q33" s="58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61">
        <f>G31-G32</f>
        <v>67197</v>
      </c>
      <c r="H34" s="62"/>
      <c r="I34" s="62"/>
      <c r="J34" s="6" t="s">
        <v>20</v>
      </c>
      <c r="K34" s="61">
        <f>K31-K32</f>
        <v>28498</v>
      </c>
      <c r="L34" s="62"/>
      <c r="M34" s="62"/>
      <c r="N34" s="6" t="s">
        <v>20</v>
      </c>
      <c r="O34" s="61">
        <f>O31-O32</f>
        <v>19174</v>
      </c>
      <c r="P34" s="62"/>
      <c r="Q34" s="62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G2:I2"/>
    <mergeCell ref="G3:H3"/>
    <mergeCell ref="G4:I7"/>
    <mergeCell ref="G9:I9"/>
    <mergeCell ref="G10:I10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K20:M20"/>
    <mergeCell ref="K21:M21"/>
    <mergeCell ref="K22:M22"/>
    <mergeCell ref="K23:M23"/>
    <mergeCell ref="K19:M19"/>
    <mergeCell ref="K31:M31"/>
    <mergeCell ref="K32:M32"/>
    <mergeCell ref="K33:M33"/>
    <mergeCell ref="K34:M34"/>
    <mergeCell ref="K30:M30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O2:Q2"/>
    <mergeCell ref="O3:P3"/>
    <mergeCell ref="O4:Q7"/>
    <mergeCell ref="R4:R7"/>
    <mergeCell ref="O8:Q8"/>
  </mergeCells>
  <phoneticPr fontId="1" type="noConversion"/>
  <conditionalFormatting sqref="G12:I12 G23:I23 K23:M23 G34:I34 K34:M34">
    <cfRule type="cellIs" dxfId="7" priority="7" operator="lessThan">
      <formula>0</formula>
    </cfRule>
  </conditionalFormatting>
  <conditionalFormatting sqref="K12:M12">
    <cfRule type="cellIs" dxfId="6" priority="6" operator="lessThan">
      <formula>0</formula>
    </cfRule>
  </conditionalFormatting>
  <conditionalFormatting sqref="O12:Q12">
    <cfRule type="cellIs" dxfId="5" priority="2" operator="lessThan">
      <formula>0</formula>
    </cfRule>
  </conditionalFormatting>
  <conditionalFormatting sqref="O23:Q23">
    <cfRule type="cellIs" dxfId="4" priority="4" operator="lessThan">
      <formula>0</formula>
    </cfRule>
  </conditionalFormatting>
  <conditionalFormatting sqref="O34:Q34">
    <cfRule type="cellIs" dxfId="3" priority="3" operator="lessThan">
      <formula>0</formula>
    </cfRule>
  </conditionalFormatting>
  <conditionalFormatting sqref="S23:U23">
    <cfRule type="cellIs" dxfId="2" priority="5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4"/>
  <sheetViews>
    <sheetView showGridLines="0" tabSelected="1" topLeftCell="E2" workbookViewId="0">
      <selection activeCell="G16" sqref="G16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customWidth="1"/>
    <col min="13" max="14" width="7.08203125" style="7" hidden="1" customWidth="1"/>
    <col min="15" max="15" width="7.5" style="7" hidden="1" customWidth="1"/>
    <col min="16" max="16" width="8.25" style="7" customWidth="1"/>
    <col min="17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7" t="s">
        <v>116</v>
      </c>
      <c r="B1" s="68"/>
      <c r="C1" s="68"/>
      <c r="D1" s="68"/>
      <c r="E1" s="67" t="s">
        <v>129</v>
      </c>
      <c r="F1" s="68"/>
      <c r="G1" s="68"/>
      <c r="H1" s="68"/>
      <c r="I1" s="69" t="s">
        <v>57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2" t="s">
        <v>2</v>
      </c>
      <c r="J2" s="74" t="s">
        <v>58</v>
      </c>
      <c r="K2" s="76" t="s">
        <v>59</v>
      </c>
      <c r="L2" s="44" t="s">
        <v>60</v>
      </c>
      <c r="M2" s="33" t="s">
        <v>61</v>
      </c>
      <c r="N2" s="33" t="s">
        <v>62</v>
      </c>
      <c r="O2" s="33" t="s">
        <v>63</v>
      </c>
      <c r="P2" s="44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135969</v>
      </c>
      <c r="G3" s="9">
        <v>2497775.9500000002</v>
      </c>
      <c r="H3" s="9">
        <v>62290</v>
      </c>
      <c r="I3" s="73"/>
      <c r="J3" s="75"/>
      <c r="K3" s="77"/>
      <c r="L3" s="45">
        <v>0.12740000000000001</v>
      </c>
      <c r="M3" s="36" t="s">
        <v>76</v>
      </c>
      <c r="N3" s="36" t="s">
        <v>77</v>
      </c>
      <c r="O3" s="36">
        <v>8.1699999999999995E-2</v>
      </c>
      <c r="P3" s="45">
        <v>0.24809999999999999</v>
      </c>
      <c r="Q3" s="36">
        <v>7.1499999999999994E-2</v>
      </c>
      <c r="R3" s="36" t="s">
        <v>78</v>
      </c>
      <c r="S3" s="36">
        <v>9.4200000000000006E-2</v>
      </c>
      <c r="T3" s="36">
        <v>0.28689999999999999</v>
      </c>
      <c r="U3" s="36" t="s">
        <v>79</v>
      </c>
      <c r="V3" s="36" t="s">
        <v>80</v>
      </c>
      <c r="W3" s="36" t="s">
        <v>81</v>
      </c>
      <c r="X3" s="36" t="s">
        <v>82</v>
      </c>
      <c r="Y3" s="36" t="s">
        <v>83</v>
      </c>
      <c r="Z3" s="36">
        <v>0.1021</v>
      </c>
      <c r="AA3" s="37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150524.6</v>
      </c>
      <c r="H4" s="9">
        <v>401431.9</v>
      </c>
      <c r="I4" s="64" t="s">
        <v>84</v>
      </c>
      <c r="J4" s="38" t="s">
        <v>85</v>
      </c>
      <c r="K4" s="39">
        <v>874</v>
      </c>
      <c r="L4" s="39">
        <f>874*L3</f>
        <v>111.34760000000001</v>
      </c>
      <c r="M4" s="39">
        <f t="shared" ref="M4:AA4" si="0">874*M3</f>
        <v>6.2054</v>
      </c>
      <c r="N4" s="39">
        <f t="shared" si="0"/>
        <v>33.736400000000003</v>
      </c>
      <c r="O4" s="39">
        <f t="shared" si="0"/>
        <v>71.405799999999999</v>
      </c>
      <c r="P4" s="39">
        <f t="shared" si="0"/>
        <v>216.83939999999998</v>
      </c>
      <c r="Q4" s="39">
        <f t="shared" si="0"/>
        <v>62.490999999999993</v>
      </c>
      <c r="R4" s="39">
        <f t="shared" si="0"/>
        <v>72.017600000000002</v>
      </c>
      <c r="S4" s="39">
        <f t="shared" si="0"/>
        <v>82.330800000000011</v>
      </c>
      <c r="T4" s="39">
        <f t="shared" si="0"/>
        <v>250.75059999999999</v>
      </c>
      <c r="U4" s="39">
        <f t="shared" si="0"/>
        <v>73.416000000000011</v>
      </c>
      <c r="V4" s="39">
        <f t="shared" si="0"/>
        <v>74.901799999999994</v>
      </c>
      <c r="W4" s="39">
        <f t="shared" si="0"/>
        <v>102.4328</v>
      </c>
      <c r="X4" s="39">
        <f t="shared" si="0"/>
        <v>295.06240000000003</v>
      </c>
      <c r="Y4" s="39">
        <f t="shared" si="0"/>
        <v>76.300200000000004</v>
      </c>
      <c r="Z4" s="39">
        <f t="shared" si="0"/>
        <v>89.235399999999998</v>
      </c>
      <c r="AA4" s="40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274681</v>
      </c>
      <c r="H5" s="9">
        <v>33223</v>
      </c>
      <c r="I5" s="65"/>
      <c r="J5" s="14" t="s">
        <v>86</v>
      </c>
      <c r="K5" s="16">
        <f>L5+P5+T5+X5</f>
        <v>349.079095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166.45</v>
      </c>
      <c r="Q5" s="16">
        <f>28.21+10.94+8.3</f>
        <v>47.45</v>
      </c>
      <c r="R5" s="16">
        <f>B19</f>
        <v>94</v>
      </c>
      <c r="S5" s="16">
        <f>F19</f>
        <v>25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324495</v>
      </c>
      <c r="H6" s="9">
        <v>24502</v>
      </c>
      <c r="I6" s="65"/>
      <c r="J6" s="46" t="s">
        <v>19</v>
      </c>
      <c r="K6" s="47">
        <f>K5/K4</f>
        <v>0.39940399885583522</v>
      </c>
      <c r="L6" s="47">
        <f t="shared" ref="L6:AA6" si="1">L5/L4</f>
        <v>1.6401709152240369</v>
      </c>
      <c r="M6" s="47">
        <f t="shared" si="1"/>
        <v>0.80330035130692623</v>
      </c>
      <c r="N6" s="47">
        <f t="shared" si="1"/>
        <v>1.241071809677381</v>
      </c>
      <c r="O6" s="47">
        <f t="shared" si="1"/>
        <v>1.9014561842315332</v>
      </c>
      <c r="P6" s="47">
        <f t="shared" si="1"/>
        <v>0.76761879990444537</v>
      </c>
      <c r="Q6" s="47">
        <f t="shared" si="1"/>
        <v>0.75930934054503862</v>
      </c>
      <c r="R6" s="47">
        <f t="shared" si="1"/>
        <v>1.3052364977449957</v>
      </c>
      <c r="S6" s="47">
        <f t="shared" si="1"/>
        <v>0.30365306786767526</v>
      </c>
      <c r="T6" s="47">
        <f t="shared" si="1"/>
        <v>0</v>
      </c>
      <c r="U6" s="47">
        <f t="shared" si="1"/>
        <v>0</v>
      </c>
      <c r="V6" s="47">
        <f t="shared" si="1"/>
        <v>0</v>
      </c>
      <c r="W6" s="47">
        <f t="shared" si="1"/>
        <v>0</v>
      </c>
      <c r="X6" s="47">
        <f t="shared" si="1"/>
        <v>0</v>
      </c>
      <c r="Y6" s="47">
        <f t="shared" si="1"/>
        <v>0</v>
      </c>
      <c r="Z6" s="47">
        <f t="shared" si="1"/>
        <v>0</v>
      </c>
      <c r="AA6" s="48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116847</v>
      </c>
      <c r="G7" s="9">
        <v>739159</v>
      </c>
      <c r="H7" s="9">
        <v>29366</v>
      </c>
      <c r="I7" s="65"/>
      <c r="J7" s="15" t="s">
        <v>87</v>
      </c>
      <c r="K7" s="16">
        <f>ROUNDUP(K4-K5,0)</f>
        <v>525</v>
      </c>
      <c r="L7" s="16">
        <f t="shared" ref="L7:AA7" si="2">ROUNDUP(L4-L5,0)</f>
        <v>-72</v>
      </c>
      <c r="M7" s="16">
        <f t="shared" si="2"/>
        <v>2</v>
      </c>
      <c r="N7" s="16">
        <f t="shared" si="2"/>
        <v>-9</v>
      </c>
      <c r="O7" s="16">
        <f t="shared" si="2"/>
        <v>-65</v>
      </c>
      <c r="P7" s="16">
        <f t="shared" si="2"/>
        <v>51</v>
      </c>
      <c r="Q7" s="16">
        <f t="shared" si="2"/>
        <v>16</v>
      </c>
      <c r="R7" s="16">
        <f t="shared" si="2"/>
        <v>-22</v>
      </c>
      <c r="S7" s="16">
        <f t="shared" si="2"/>
        <v>58</v>
      </c>
      <c r="T7" s="16">
        <f t="shared" si="2"/>
        <v>251</v>
      </c>
      <c r="U7" s="16">
        <f t="shared" si="2"/>
        <v>74</v>
      </c>
      <c r="V7" s="16">
        <f t="shared" si="2"/>
        <v>75</v>
      </c>
      <c r="W7" s="16">
        <f t="shared" si="2"/>
        <v>103</v>
      </c>
      <c r="X7" s="16">
        <f t="shared" si="2"/>
        <v>296</v>
      </c>
      <c r="Y7" s="16">
        <f t="shared" si="2"/>
        <v>77</v>
      </c>
      <c r="Z7" s="16">
        <f t="shared" si="2"/>
        <v>90</v>
      </c>
      <c r="AA7" s="16">
        <f t="shared" si="2"/>
        <v>130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252816</v>
      </c>
      <c r="G8" s="10">
        <f>SUM(G3:G7)</f>
        <v>3986635.5500000003</v>
      </c>
      <c r="H8" s="10">
        <f>SUM(H3:H7)</f>
        <v>550812.9</v>
      </c>
      <c r="I8" s="66"/>
      <c r="J8" s="41" t="s">
        <v>117</v>
      </c>
      <c r="K8" s="42">
        <f>L8+P8+T8+X8</f>
        <v>12</v>
      </c>
      <c r="L8" s="42">
        <f>SUM(M8:O8)</f>
        <v>0</v>
      </c>
      <c r="M8" s="42">
        <v>0</v>
      </c>
      <c r="N8" s="42">
        <v>0</v>
      </c>
      <c r="O8" s="42">
        <v>0</v>
      </c>
      <c r="P8" s="42">
        <f>SUM(Q8:S8)</f>
        <v>12</v>
      </c>
      <c r="Q8" s="42">
        <v>0</v>
      </c>
      <c r="R8" s="42">
        <f>D19</f>
        <v>0</v>
      </c>
      <c r="S8" s="42">
        <f>H19</f>
        <v>12</v>
      </c>
      <c r="T8" s="42">
        <f>SUM(U8:W8)</f>
        <v>0</v>
      </c>
      <c r="U8" s="42"/>
      <c r="V8" s="42"/>
      <c r="W8" s="42"/>
      <c r="X8" s="42">
        <f>SUM(Y8:AA8)</f>
        <v>0</v>
      </c>
      <c r="Y8" s="42"/>
      <c r="Z8" s="42"/>
      <c r="AA8" s="43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252816</v>
      </c>
      <c r="G9" s="10" cm="1">
        <f t="array" ref="G9">SUM(SUMIFS(G3:G7,E3:E7,{"嘉兴","海宁","桐乡"}))</f>
        <v>3511615.95</v>
      </c>
      <c r="H9" s="10" cm="1">
        <f t="array" ref="H9">SUM(SUMIFS(H3:H7,E3:E7,{"嘉兴","海宁","桐乡"}))</f>
        <v>124879</v>
      </c>
      <c r="I9" s="64" t="s">
        <v>5</v>
      </c>
      <c r="J9" s="38" t="s">
        <v>85</v>
      </c>
      <c r="K9" s="39">
        <v>150</v>
      </c>
      <c r="L9" s="39">
        <f>150*L3</f>
        <v>19.110000000000003</v>
      </c>
      <c r="M9" s="39">
        <f t="shared" ref="M9:AA9" si="3">150*M3</f>
        <v>1.0650000000000002</v>
      </c>
      <c r="N9" s="39">
        <f t="shared" si="3"/>
        <v>5.79</v>
      </c>
      <c r="O9" s="39">
        <f t="shared" si="3"/>
        <v>12.254999999999999</v>
      </c>
      <c r="P9" s="39">
        <f t="shared" si="3"/>
        <v>37.214999999999996</v>
      </c>
      <c r="Q9" s="39">
        <f t="shared" si="3"/>
        <v>10.725</v>
      </c>
      <c r="R9" s="39">
        <f>150*R3</f>
        <v>12.36</v>
      </c>
      <c r="S9" s="39">
        <f t="shared" si="3"/>
        <v>14.13</v>
      </c>
      <c r="T9" s="39">
        <f t="shared" si="3"/>
        <v>43.034999999999997</v>
      </c>
      <c r="U9" s="39">
        <f t="shared" si="3"/>
        <v>12.600000000000001</v>
      </c>
      <c r="V9" s="39">
        <f t="shared" si="3"/>
        <v>12.855</v>
      </c>
      <c r="W9" s="39">
        <f t="shared" si="3"/>
        <v>17.579999999999998</v>
      </c>
      <c r="X9" s="39">
        <f t="shared" si="3"/>
        <v>50.64</v>
      </c>
      <c r="Y9" s="39">
        <f t="shared" si="3"/>
        <v>13.095000000000001</v>
      </c>
      <c r="Z9" s="39">
        <f t="shared" si="3"/>
        <v>15.315</v>
      </c>
      <c r="AA9" s="40">
        <f t="shared" si="3"/>
        <v>22.23</v>
      </c>
    </row>
    <row r="10" spans="1:27" ht="20" customHeight="1" x14ac:dyDescent="0.3">
      <c r="I10" s="65"/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7" t="s">
        <v>116</v>
      </c>
      <c r="B11" s="68"/>
      <c r="C11" s="68"/>
      <c r="D11" s="68"/>
      <c r="E11" s="67" t="s">
        <v>129</v>
      </c>
      <c r="F11" s="68"/>
      <c r="G11" s="68"/>
      <c r="H11" s="68"/>
      <c r="I11" s="65"/>
      <c r="J11" s="35" t="s">
        <v>89</v>
      </c>
      <c r="K11" s="47">
        <f>K10/K9</f>
        <v>9.6726533333333323E-2</v>
      </c>
      <c r="L11" s="47">
        <f t="shared" ref="L11:AA11" si="4">L10/L9</f>
        <v>0.69644060701203547</v>
      </c>
      <c r="M11" s="47">
        <f t="shared" si="4"/>
        <v>0.40704225352112672</v>
      </c>
      <c r="N11" s="47">
        <f t="shared" si="4"/>
        <v>0.34997927461139899</v>
      </c>
      <c r="O11" s="47">
        <f t="shared" si="4"/>
        <v>0.88527947776417792</v>
      </c>
      <c r="P11" s="47">
        <f t="shared" si="4"/>
        <v>3.2245062474808545E-2</v>
      </c>
      <c r="Q11" s="47">
        <f t="shared" si="4"/>
        <v>0.11188811188811189</v>
      </c>
      <c r="R11" s="47">
        <f t="shared" si="4"/>
        <v>0</v>
      </c>
      <c r="S11" s="47">
        <f t="shared" si="4"/>
        <v>0</v>
      </c>
      <c r="T11" s="47">
        <f t="shared" si="4"/>
        <v>0</v>
      </c>
      <c r="U11" s="47">
        <f t="shared" si="4"/>
        <v>0</v>
      </c>
      <c r="V11" s="47">
        <f t="shared" si="4"/>
        <v>0</v>
      </c>
      <c r="W11" s="47">
        <f t="shared" si="4"/>
        <v>0</v>
      </c>
      <c r="X11" s="47">
        <f t="shared" si="4"/>
        <v>0</v>
      </c>
      <c r="Y11" s="47">
        <f t="shared" si="4"/>
        <v>0</v>
      </c>
      <c r="Z11" s="47">
        <f t="shared" si="4"/>
        <v>0</v>
      </c>
      <c r="AA11" s="48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65"/>
      <c r="J12" s="14" t="s">
        <v>90</v>
      </c>
      <c r="K12" s="16">
        <f>ROUNDUP(K9-K10,0)</f>
        <v>136</v>
      </c>
      <c r="L12" s="16">
        <f t="shared" ref="L12:AA12" si="5">ROUNDUP(L9-L10,0)</f>
        <v>6</v>
      </c>
      <c r="M12" s="16">
        <f t="shared" si="5"/>
        <v>1</v>
      </c>
      <c r="N12" s="16">
        <f t="shared" si="5"/>
        <v>4</v>
      </c>
      <c r="O12" s="16">
        <f t="shared" si="5"/>
        <v>2</v>
      </c>
      <c r="P12" s="16">
        <f t="shared" si="5"/>
        <v>37</v>
      </c>
      <c r="Q12" s="16">
        <f t="shared" si="5"/>
        <v>10</v>
      </c>
      <c r="R12" s="16">
        <f t="shared" si="5"/>
        <v>13</v>
      </c>
      <c r="S12" s="16">
        <f t="shared" si="5"/>
        <v>15</v>
      </c>
      <c r="T12" s="16">
        <f t="shared" si="5"/>
        <v>44</v>
      </c>
      <c r="U12" s="16">
        <f t="shared" si="5"/>
        <v>13</v>
      </c>
      <c r="V12" s="16">
        <f t="shared" si="5"/>
        <v>13</v>
      </c>
      <c r="W12" s="16">
        <f t="shared" si="5"/>
        <v>18</v>
      </c>
      <c r="X12" s="16">
        <f t="shared" si="5"/>
        <v>51</v>
      </c>
      <c r="Y12" s="16">
        <f t="shared" si="5"/>
        <v>14</v>
      </c>
      <c r="Z12" s="16">
        <f t="shared" si="5"/>
        <v>16</v>
      </c>
      <c r="AA12" s="16">
        <f t="shared" si="5"/>
        <v>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13</v>
      </c>
      <c r="G13" s="9">
        <f t="shared" ref="G13:H13" si="7">ROUNDDOWN(G3/10000,0)</f>
        <v>249</v>
      </c>
      <c r="H13" s="9">
        <f t="shared" si="7"/>
        <v>6</v>
      </c>
      <c r="I13" s="66"/>
      <c r="J13" s="41" t="s">
        <v>117</v>
      </c>
      <c r="K13" s="42">
        <f>L13+P13+T13+X13</f>
        <v>40</v>
      </c>
      <c r="L13" s="42">
        <f>SUM(M13:O13)</f>
        <v>0</v>
      </c>
      <c r="M13" s="42">
        <v>0</v>
      </c>
      <c r="N13" s="42">
        <v>0</v>
      </c>
      <c r="O13" s="42">
        <v>0</v>
      </c>
      <c r="P13" s="42">
        <f>SUM(Q13:S13)</f>
        <v>40</v>
      </c>
      <c r="Q13" s="42">
        <v>0</v>
      </c>
      <c r="R13" s="42">
        <f>D14</f>
        <v>0</v>
      </c>
      <c r="S13" s="42">
        <f>H14</f>
        <v>40</v>
      </c>
      <c r="T13" s="42">
        <f>SUM(U13:W13)</f>
        <v>0</v>
      </c>
      <c r="U13" s="42"/>
      <c r="V13" s="42"/>
      <c r="W13" s="42"/>
      <c r="X13" s="42">
        <f>SUM(Y13:AA13)</f>
        <v>0</v>
      </c>
      <c r="Y13" s="42"/>
      <c r="Z13" s="42"/>
      <c r="AA13" s="43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15</v>
      </c>
      <c r="H14" s="10">
        <f t="shared" si="9"/>
        <v>40</v>
      </c>
      <c r="I14" s="64" t="s">
        <v>7</v>
      </c>
      <c r="J14" s="38" t="s">
        <v>85</v>
      </c>
      <c r="K14" s="39">
        <v>176</v>
      </c>
      <c r="L14" s="39">
        <f>176*L3</f>
        <v>22.422400000000003</v>
      </c>
      <c r="M14" s="39">
        <f t="shared" ref="M14:AA14" si="10">176*M3</f>
        <v>1.2496</v>
      </c>
      <c r="N14" s="39">
        <f t="shared" si="10"/>
        <v>6.7936000000000005</v>
      </c>
      <c r="O14" s="39">
        <f t="shared" si="10"/>
        <v>14.379199999999999</v>
      </c>
      <c r="P14" s="39">
        <f t="shared" si="10"/>
        <v>43.665599999999998</v>
      </c>
      <c r="Q14" s="39">
        <f t="shared" si="10"/>
        <v>12.584</v>
      </c>
      <c r="R14" s="39">
        <f t="shared" si="10"/>
        <v>14.5024</v>
      </c>
      <c r="S14" s="39">
        <f>176*S3</f>
        <v>16.5792</v>
      </c>
      <c r="T14" s="39">
        <f t="shared" si="10"/>
        <v>50.494399999999999</v>
      </c>
      <c r="U14" s="39">
        <f t="shared" si="10"/>
        <v>14.784000000000001</v>
      </c>
      <c r="V14" s="39">
        <f t="shared" si="10"/>
        <v>15.0832</v>
      </c>
      <c r="W14" s="39">
        <f t="shared" si="10"/>
        <v>20.627199999999998</v>
      </c>
      <c r="X14" s="39">
        <f t="shared" si="10"/>
        <v>59.4176</v>
      </c>
      <c r="Y14" s="39">
        <f t="shared" si="10"/>
        <v>15.364800000000001</v>
      </c>
      <c r="Z14" s="39">
        <f t="shared" si="10"/>
        <v>17.9696</v>
      </c>
      <c r="AA14" s="40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27</v>
      </c>
      <c r="H15" s="9">
        <f t="shared" si="12"/>
        <v>3</v>
      </c>
      <c r="I15" s="65"/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32</v>
      </c>
      <c r="H16" s="10">
        <f t="shared" si="14"/>
        <v>2</v>
      </c>
      <c r="I16" s="65"/>
      <c r="J16" s="35" t="s">
        <v>89</v>
      </c>
      <c r="K16" s="47">
        <f>K15/K14</f>
        <v>0.17924261363636365</v>
      </c>
      <c r="L16" s="47">
        <f t="shared" ref="L16:AA16" si="15">L15/L14</f>
        <v>0.94559012416155264</v>
      </c>
      <c r="M16" s="47">
        <f t="shared" si="15"/>
        <v>0.74983994878361082</v>
      </c>
      <c r="N16" s="47">
        <f t="shared" si="15"/>
        <v>0.28865402731983042</v>
      </c>
      <c r="O16" s="47">
        <f t="shared" si="15"/>
        <v>1.2729776343607435</v>
      </c>
      <c r="P16" s="47">
        <f t="shared" si="15"/>
        <v>0.23689815323733102</v>
      </c>
      <c r="Q16" s="47">
        <f t="shared" si="15"/>
        <v>0.34522409408773042</v>
      </c>
      <c r="R16" s="47">
        <f t="shared" si="15"/>
        <v>0.41372462488967343</v>
      </c>
      <c r="S16" s="47">
        <f t="shared" si="15"/>
        <v>0</v>
      </c>
      <c r="T16" s="47">
        <f t="shared" si="15"/>
        <v>0</v>
      </c>
      <c r="U16" s="47">
        <f t="shared" si="15"/>
        <v>0</v>
      </c>
      <c r="V16" s="47">
        <f t="shared" si="15"/>
        <v>0</v>
      </c>
      <c r="W16" s="47">
        <f t="shared" si="15"/>
        <v>0</v>
      </c>
      <c r="X16" s="47">
        <f t="shared" si="15"/>
        <v>0</v>
      </c>
      <c r="Y16" s="47">
        <f t="shared" si="15"/>
        <v>0</v>
      </c>
      <c r="Z16" s="47">
        <f t="shared" si="15"/>
        <v>0</v>
      </c>
      <c r="AA16" s="48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11</v>
      </c>
      <c r="G17" s="9">
        <f t="shared" si="17"/>
        <v>73</v>
      </c>
      <c r="H17" s="9">
        <f t="shared" si="17"/>
        <v>2</v>
      </c>
      <c r="I17" s="65"/>
      <c r="J17" s="14" t="s">
        <v>90</v>
      </c>
      <c r="K17" s="16">
        <f>ROUNDUP(K14-K15,0)</f>
        <v>145</v>
      </c>
      <c r="L17" s="16">
        <f t="shared" ref="L17:AA17" si="18">ROUNDUP(L14-L15,0)</f>
        <v>2</v>
      </c>
      <c r="M17" s="16">
        <f t="shared" si="18"/>
        <v>1</v>
      </c>
      <c r="N17" s="16">
        <f t="shared" si="18"/>
        <v>5</v>
      </c>
      <c r="O17" s="16">
        <f t="shared" si="18"/>
        <v>-4</v>
      </c>
      <c r="P17" s="16">
        <f t="shared" si="18"/>
        <v>34</v>
      </c>
      <c r="Q17" s="16">
        <f t="shared" si="18"/>
        <v>9</v>
      </c>
      <c r="R17" s="16">
        <f t="shared" si="18"/>
        <v>9</v>
      </c>
      <c r="S17" s="16">
        <f t="shared" si="18"/>
        <v>17</v>
      </c>
      <c r="T17" s="16">
        <f t="shared" si="18"/>
        <v>51</v>
      </c>
      <c r="U17" s="16">
        <f t="shared" si="18"/>
        <v>15</v>
      </c>
      <c r="V17" s="16">
        <f t="shared" si="18"/>
        <v>16</v>
      </c>
      <c r="W17" s="16">
        <f t="shared" si="18"/>
        <v>21</v>
      </c>
      <c r="X17" s="16">
        <f t="shared" si="18"/>
        <v>60</v>
      </c>
      <c r="Y17" s="16">
        <f t="shared" si="18"/>
        <v>16</v>
      </c>
      <c r="Z17" s="16">
        <f t="shared" si="18"/>
        <v>18</v>
      </c>
      <c r="AA17" s="16">
        <f t="shared" si="18"/>
        <v>27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ROUNDDOWN(F8/10000,0)</f>
        <v>25</v>
      </c>
      <c r="G18" s="13">
        <f t="shared" ref="G18:H18" si="19">ROUNDDOWN(G8/10000,0)</f>
        <v>398</v>
      </c>
      <c r="H18" s="13">
        <f t="shared" si="19"/>
        <v>55</v>
      </c>
      <c r="I18" s="66"/>
      <c r="J18" s="41" t="s">
        <v>117</v>
      </c>
      <c r="K18" s="42">
        <f>L18+P18+T18+X18</f>
        <v>2</v>
      </c>
      <c r="L18" s="42">
        <f>SUM(M18:O18)</f>
        <v>0</v>
      </c>
      <c r="M18" s="42">
        <v>0</v>
      </c>
      <c r="N18" s="42">
        <v>0</v>
      </c>
      <c r="O18" s="42">
        <v>0</v>
      </c>
      <c r="P18" s="42">
        <f>SUM(Q18:S18)</f>
        <v>2</v>
      </c>
      <c r="Q18" s="42">
        <v>0</v>
      </c>
      <c r="R18" s="42">
        <f>D16</f>
        <v>0</v>
      </c>
      <c r="S18" s="42">
        <f>H16</f>
        <v>2</v>
      </c>
      <c r="T18" s="42">
        <f>SUM(U18:W18)</f>
        <v>0</v>
      </c>
      <c r="U18" s="42"/>
      <c r="V18" s="42"/>
      <c r="W18" s="42"/>
      <c r="X18" s="42">
        <f>SUM(Y18:AA18)</f>
        <v>0</v>
      </c>
      <c r="Y18" s="42"/>
      <c r="Z18" s="42"/>
      <c r="AA18" s="43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>
        <f>ROUNDDOWN(F9/10000,0)</f>
        <v>25</v>
      </c>
      <c r="G19" s="10">
        <f t="shared" ref="G19:H19" si="20">ROUNDDOWN(G9/10000,0)</f>
        <v>351</v>
      </c>
      <c r="H19" s="10">
        <f t="shared" si="20"/>
        <v>12</v>
      </c>
      <c r="I19" s="64" t="s">
        <v>92</v>
      </c>
      <c r="J19" s="38" t="s">
        <v>85</v>
      </c>
      <c r="K19" s="39">
        <f>K14+K9+K4</f>
        <v>1200</v>
      </c>
      <c r="L19" s="39">
        <f t="shared" ref="L19:AA20" si="21">L14+L9+L4</f>
        <v>152.88000000000002</v>
      </c>
      <c r="M19" s="39">
        <f t="shared" si="21"/>
        <v>8.52</v>
      </c>
      <c r="N19" s="39">
        <f t="shared" si="21"/>
        <v>46.320000000000007</v>
      </c>
      <c r="O19" s="39">
        <f t="shared" si="21"/>
        <v>98.039999999999992</v>
      </c>
      <c r="P19" s="39">
        <f t="shared" si="21"/>
        <v>297.71999999999997</v>
      </c>
      <c r="Q19" s="39">
        <f t="shared" si="21"/>
        <v>85.799999999999983</v>
      </c>
      <c r="R19" s="39">
        <f t="shared" si="21"/>
        <v>98.88</v>
      </c>
      <c r="S19" s="39">
        <f t="shared" si="21"/>
        <v>113.04000000000002</v>
      </c>
      <c r="T19" s="39">
        <f t="shared" si="21"/>
        <v>344.28</v>
      </c>
      <c r="U19" s="39">
        <f t="shared" si="21"/>
        <v>100.80000000000001</v>
      </c>
      <c r="V19" s="39">
        <f t="shared" si="21"/>
        <v>102.84</v>
      </c>
      <c r="W19" s="39">
        <f t="shared" si="21"/>
        <v>140.63999999999999</v>
      </c>
      <c r="X19" s="39">
        <f t="shared" si="21"/>
        <v>405.12</v>
      </c>
      <c r="Y19" s="39">
        <f t="shared" si="21"/>
        <v>104.76</v>
      </c>
      <c r="Z19" s="39">
        <f t="shared" si="21"/>
        <v>122.52</v>
      </c>
      <c r="AA19" s="40">
        <f t="shared" si="21"/>
        <v>177.84</v>
      </c>
    </row>
    <row r="20" spans="1:27" ht="20" customHeight="1" x14ac:dyDescent="0.3">
      <c r="I20" s="65"/>
      <c r="J20" s="14" t="s">
        <v>88</v>
      </c>
      <c r="K20" s="16">
        <f>K15+K10+K5</f>
        <v>395.13477499999999</v>
      </c>
      <c r="L20" s="16">
        <f t="shared" si="21"/>
        <v>217.14047500000001</v>
      </c>
      <c r="M20" s="16">
        <f t="shared" si="21"/>
        <v>6.3552999999999997</v>
      </c>
      <c r="N20" s="16">
        <f t="shared" si="21"/>
        <v>45.856675000000003</v>
      </c>
      <c r="O20" s="16">
        <f t="shared" si="21"/>
        <v>164.92850000000001</v>
      </c>
      <c r="P20" s="16">
        <f t="shared" si="21"/>
        <v>177.99429999999998</v>
      </c>
      <c r="Q20" s="16">
        <f t="shared" si="21"/>
        <v>52.994300000000003</v>
      </c>
      <c r="R20" s="16">
        <f t="shared" si="21"/>
        <v>100</v>
      </c>
      <c r="S20" s="16">
        <f t="shared" si="21"/>
        <v>25</v>
      </c>
      <c r="T20" s="16">
        <f t="shared" si="21"/>
        <v>0</v>
      </c>
      <c r="U20" s="16">
        <f t="shared" si="21"/>
        <v>0</v>
      </c>
      <c r="V20" s="16">
        <f t="shared" si="21"/>
        <v>0</v>
      </c>
      <c r="W20" s="16">
        <f t="shared" si="21"/>
        <v>0</v>
      </c>
      <c r="X20" s="16">
        <f t="shared" si="21"/>
        <v>0</v>
      </c>
      <c r="Y20" s="16">
        <f t="shared" si="21"/>
        <v>0</v>
      </c>
      <c r="Z20" s="16">
        <f t="shared" si="21"/>
        <v>0</v>
      </c>
      <c r="AA20" s="17">
        <f t="shared" si="21"/>
        <v>0</v>
      </c>
    </row>
    <row r="21" spans="1:27" ht="20" customHeight="1" x14ac:dyDescent="0.3">
      <c r="I21" s="65"/>
      <c r="J21" s="35" t="s">
        <v>89</v>
      </c>
      <c r="K21" s="47">
        <f>K20/K19</f>
        <v>0.32927897916666665</v>
      </c>
      <c r="L21" s="47">
        <f t="shared" ref="L21:AA21" si="22">L20/L19</f>
        <v>1.4203327773417058</v>
      </c>
      <c r="M21" s="47">
        <f t="shared" si="22"/>
        <v>0.74592723004694839</v>
      </c>
      <c r="N21" s="47">
        <f t="shared" si="22"/>
        <v>0.98999730138169251</v>
      </c>
      <c r="O21" s="47">
        <f t="shared" si="22"/>
        <v>1.6822572419420647</v>
      </c>
      <c r="P21" s="47">
        <f t="shared" si="22"/>
        <v>0.59785805454789731</v>
      </c>
      <c r="Q21" s="47">
        <f t="shared" si="22"/>
        <v>0.61764918414918435</v>
      </c>
      <c r="R21" s="47">
        <f t="shared" si="22"/>
        <v>1.0113268608414241</v>
      </c>
      <c r="S21" s="47">
        <f t="shared" si="22"/>
        <v>0.22116065109695679</v>
      </c>
      <c r="T21" s="47">
        <f t="shared" si="22"/>
        <v>0</v>
      </c>
      <c r="U21" s="47">
        <f t="shared" si="22"/>
        <v>0</v>
      </c>
      <c r="V21" s="47">
        <f t="shared" si="22"/>
        <v>0</v>
      </c>
      <c r="W21" s="47">
        <f t="shared" si="22"/>
        <v>0</v>
      </c>
      <c r="X21" s="47">
        <f t="shared" si="22"/>
        <v>0</v>
      </c>
      <c r="Y21" s="47">
        <f t="shared" si="22"/>
        <v>0</v>
      </c>
      <c r="Z21" s="47">
        <f t="shared" si="22"/>
        <v>0</v>
      </c>
      <c r="AA21" s="48">
        <f t="shared" si="22"/>
        <v>0</v>
      </c>
    </row>
    <row r="22" spans="1:27" ht="20" customHeight="1" x14ac:dyDescent="0.3">
      <c r="I22" s="65"/>
      <c r="J22" s="14" t="s">
        <v>90</v>
      </c>
      <c r="K22" s="16">
        <f>ROUNDUP(K19-K20,0)</f>
        <v>805</v>
      </c>
      <c r="L22" s="16">
        <f t="shared" ref="L22:AA22" si="23">ROUNDUP(L19-L20,0)</f>
        <v>-65</v>
      </c>
      <c r="M22" s="16">
        <f t="shared" si="23"/>
        <v>3</v>
      </c>
      <c r="N22" s="16">
        <f t="shared" si="23"/>
        <v>1</v>
      </c>
      <c r="O22" s="16">
        <f t="shared" si="23"/>
        <v>-67</v>
      </c>
      <c r="P22" s="16">
        <f t="shared" si="23"/>
        <v>120</v>
      </c>
      <c r="Q22" s="16">
        <f t="shared" si="23"/>
        <v>33</v>
      </c>
      <c r="R22" s="16">
        <f t="shared" si="23"/>
        <v>-2</v>
      </c>
      <c r="S22" s="16">
        <f t="shared" si="23"/>
        <v>89</v>
      </c>
      <c r="T22" s="16">
        <f t="shared" si="23"/>
        <v>345</v>
      </c>
      <c r="U22" s="16">
        <f t="shared" si="23"/>
        <v>101</v>
      </c>
      <c r="V22" s="16">
        <f t="shared" si="23"/>
        <v>103</v>
      </c>
      <c r="W22" s="16">
        <f t="shared" si="23"/>
        <v>141</v>
      </c>
      <c r="X22" s="16">
        <f t="shared" si="23"/>
        <v>406</v>
      </c>
      <c r="Y22" s="16">
        <f t="shared" si="23"/>
        <v>105</v>
      </c>
      <c r="Z22" s="16">
        <f t="shared" si="23"/>
        <v>123</v>
      </c>
      <c r="AA22" s="16">
        <f t="shared" si="23"/>
        <v>178</v>
      </c>
    </row>
    <row r="23" spans="1:27" ht="16.5" x14ac:dyDescent="0.3">
      <c r="I23" s="66"/>
      <c r="J23" s="41" t="s">
        <v>117</v>
      </c>
      <c r="K23" s="42">
        <f>K8+K13+K18</f>
        <v>54</v>
      </c>
      <c r="L23" s="42">
        <f>SUM(M23:O23)</f>
        <v>0</v>
      </c>
      <c r="M23" s="42">
        <f>M8+M13+M18</f>
        <v>0</v>
      </c>
      <c r="N23" s="42">
        <f t="shared" ref="N23:O23" si="24">N8+N13+N18</f>
        <v>0</v>
      </c>
      <c r="O23" s="42">
        <f t="shared" si="24"/>
        <v>0</v>
      </c>
      <c r="P23" s="42">
        <f>SUM(Q23:S23)</f>
        <v>54</v>
      </c>
      <c r="Q23" s="42">
        <f>Q8+Q13+Q18</f>
        <v>0</v>
      </c>
      <c r="R23" s="42">
        <f t="shared" ref="R23:S23" si="25">R8+R13+R18</f>
        <v>0</v>
      </c>
      <c r="S23" s="42">
        <f t="shared" si="25"/>
        <v>54</v>
      </c>
      <c r="T23" s="42">
        <f>SUM(U23:W23)</f>
        <v>0</v>
      </c>
      <c r="U23" s="42"/>
      <c r="V23" s="42"/>
      <c r="W23" s="42"/>
      <c r="X23" s="42">
        <f>SUM(Y23:AA23)</f>
        <v>0</v>
      </c>
      <c r="Y23" s="42"/>
      <c r="Z23" s="42"/>
      <c r="AA23" s="43"/>
    </row>
    <row r="24" spans="1:27" x14ac:dyDescent="0.3"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</sheetData>
  <mergeCells count="12">
    <mergeCell ref="I14:I18"/>
    <mergeCell ref="I19:I23"/>
    <mergeCell ref="A1:D1"/>
    <mergeCell ref="A11:D11"/>
    <mergeCell ref="I1:AA1"/>
    <mergeCell ref="I2:I3"/>
    <mergeCell ref="J2:J3"/>
    <mergeCell ref="K2:K3"/>
    <mergeCell ref="E1:H1"/>
    <mergeCell ref="E11:H11"/>
    <mergeCell ref="I4:I8"/>
    <mergeCell ref="I9:I13"/>
  </mergeCells>
  <phoneticPr fontId="1" type="noConversion"/>
  <conditionalFormatting sqref="J4:AA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2023-06-09T04:33:27Z</dcterms:modified>
</cp:coreProperties>
</file>