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仕事\在庫管理\原価計算\2022年度(22年4月～23年3月)\2023年1月\月末在庫\膜材料（カンボウ）\"/>
    </mc:Choice>
  </mc:AlternateContent>
  <xr:revisionPtr revIDLastSave="0" documentId="8_{9F8D659A-0BC6-42C3-8DFC-E8781D65C8E3}" xr6:coauthVersionLast="47" xr6:coauthVersionMax="47" xr10:uidLastSave="{00000000-0000-0000-0000-000000000000}"/>
  <bookViews>
    <workbookView xWindow="-110" yWindow="-110" windowWidth="22780" windowHeight="14540" tabRatio="601" activeTab="2" xr2:uid="{DD56684B-FFFC-4958-93E5-EE67805E8CD3}"/>
  </bookViews>
  <sheets>
    <sheet name="物流情報" sheetId="2" r:id="rId1"/>
    <sheet name="在庫(製品)" sheetId="3" r:id="rId2"/>
    <sheet name="作業用(マスターシート)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5" i="1" l="1"/>
  <c r="H255" i="1" s="1"/>
  <c r="J255" i="1" s="1"/>
  <c r="G154" i="1"/>
  <c r="H154" i="1" s="1"/>
  <c r="J154" i="1" s="1"/>
  <c r="G155" i="1"/>
  <c r="H155" i="1" s="1"/>
  <c r="J155" i="1" s="1"/>
  <c r="G156" i="1"/>
  <c r="H156" i="1" s="1"/>
  <c r="J156" i="1" s="1"/>
  <c r="G157" i="1"/>
  <c r="H157" i="1" s="1"/>
  <c r="J157" i="1" s="1"/>
  <c r="G158" i="1"/>
  <c r="H158" i="1" s="1"/>
  <c r="J158" i="1" s="1"/>
  <c r="G159" i="1"/>
  <c r="H159" i="1" s="1"/>
  <c r="J159" i="1" s="1"/>
  <c r="G160" i="1"/>
  <c r="H160" i="1" s="1"/>
  <c r="J160" i="1" s="1"/>
  <c r="G161" i="1"/>
  <c r="H161" i="1" s="1"/>
  <c r="J161" i="1" s="1"/>
  <c r="G248" i="1"/>
  <c r="G249" i="1"/>
  <c r="G250" i="1"/>
  <c r="G251" i="1"/>
  <c r="H251" i="1" s="1"/>
  <c r="J251" i="1" s="1"/>
  <c r="G252" i="1"/>
  <c r="H252" i="1" s="1"/>
  <c r="J252" i="1" s="1"/>
  <c r="G253" i="1"/>
  <c r="H253" i="1" s="1"/>
  <c r="J253" i="1" s="1"/>
  <c r="G254" i="1"/>
  <c r="H254" i="1" s="1"/>
  <c r="J254" i="1" s="1"/>
  <c r="G247" i="1"/>
  <c r="H247" i="1" s="1"/>
  <c r="J247" i="1" s="1"/>
  <c r="H248" i="1"/>
  <c r="J248" i="1" s="1"/>
  <c r="H249" i="1"/>
  <c r="J249" i="1" s="1"/>
  <c r="H250" i="1"/>
  <c r="J250" i="1" s="1"/>
  <c r="E78" i="1"/>
  <c r="E17" i="1"/>
  <c r="E136" i="1"/>
  <c r="G246" i="1" l="1"/>
  <c r="H246" i="1" s="1"/>
  <c r="J246" i="1" s="1"/>
  <c r="G245" i="1"/>
  <c r="H245" i="1" s="1"/>
  <c r="J245" i="1" s="1"/>
  <c r="E231" i="1"/>
  <c r="E91" i="1"/>
  <c r="E46" i="1"/>
  <c r="E47" i="1"/>
  <c r="E64" i="1"/>
  <c r="E75" i="1"/>
  <c r="E130" i="1"/>
  <c r="G244" i="1" l="1"/>
  <c r="H244" i="1" s="1"/>
  <c r="J244" i="1" s="1"/>
  <c r="E92" i="1"/>
  <c r="E80" i="1"/>
  <c r="G241" i="1"/>
  <c r="H241" i="1" s="1"/>
  <c r="J241" i="1" s="1"/>
  <c r="G240" i="1"/>
  <c r="H240" i="1" s="1"/>
  <c r="J240" i="1" s="1"/>
  <c r="G238" i="1"/>
  <c r="H238" i="1" s="1"/>
  <c r="J238" i="1" s="1"/>
  <c r="G237" i="1"/>
  <c r="H237" i="1" s="1"/>
  <c r="J237" i="1" s="1"/>
  <c r="G236" i="1"/>
  <c r="H236" i="1" s="1"/>
  <c r="J236" i="1" s="1"/>
  <c r="G208" i="1"/>
  <c r="H208" i="1" s="1"/>
  <c r="J208" i="1" s="1"/>
  <c r="G207" i="1"/>
  <c r="H207" i="1" s="1"/>
  <c r="J207" i="1" s="1"/>
  <c r="G206" i="1"/>
  <c r="H206" i="1" s="1"/>
  <c r="J206" i="1" s="1"/>
  <c r="G210" i="1"/>
  <c r="H210" i="1" s="1"/>
  <c r="J210" i="1" s="1"/>
  <c r="F30" i="1"/>
  <c r="G193" i="1"/>
  <c r="J193" i="1" s="1"/>
  <c r="G242" i="1"/>
  <c r="H242" i="1" s="1"/>
  <c r="J242" i="1" s="1"/>
  <c r="G239" i="1"/>
  <c r="H239" i="1" s="1"/>
  <c r="J239" i="1" s="1"/>
  <c r="G243" i="1"/>
  <c r="H243" i="1" s="1"/>
  <c r="J243" i="1" s="1"/>
  <c r="E235" i="1"/>
  <c r="G235" i="1" s="1"/>
  <c r="H235" i="1" s="1"/>
  <c r="J235" i="1" s="1"/>
  <c r="H193" i="1" l="1"/>
  <c r="G232" i="1"/>
  <c r="H232" i="1" s="1"/>
  <c r="J232" i="1" s="1"/>
  <c r="G233" i="1"/>
  <c r="H233" i="1" s="1"/>
  <c r="J233" i="1" s="1"/>
  <c r="G234" i="1"/>
  <c r="H234" i="1" s="1"/>
  <c r="J234" i="1" s="1"/>
  <c r="G231" i="1"/>
  <c r="H231" i="1" s="1"/>
  <c r="J231" i="1" s="1"/>
  <c r="E22" i="1"/>
  <c r="E21" i="1"/>
  <c r="E99" i="1"/>
  <c r="G212" i="1"/>
  <c r="G213" i="1"/>
  <c r="G214" i="1"/>
  <c r="H214" i="1" s="1"/>
  <c r="J214" i="1" s="1"/>
  <c r="G215" i="1"/>
  <c r="H215" i="1" s="1"/>
  <c r="J215" i="1" s="1"/>
  <c r="G216" i="1"/>
  <c r="H216" i="1" s="1"/>
  <c r="J216" i="1" s="1"/>
  <c r="G217" i="1"/>
  <c r="H217" i="1" s="1"/>
  <c r="J217" i="1" s="1"/>
  <c r="G218" i="1"/>
  <c r="H218" i="1" s="1"/>
  <c r="J218" i="1" s="1"/>
  <c r="G219" i="1"/>
  <c r="H219" i="1" s="1"/>
  <c r="J219" i="1" s="1"/>
  <c r="G220" i="1"/>
  <c r="H220" i="1" s="1"/>
  <c r="J220" i="1" s="1"/>
  <c r="G221" i="1"/>
  <c r="H221" i="1" s="1"/>
  <c r="J221" i="1" s="1"/>
  <c r="G222" i="1"/>
  <c r="H222" i="1" s="1"/>
  <c r="J222" i="1" s="1"/>
  <c r="G223" i="1"/>
  <c r="H223" i="1" s="1"/>
  <c r="J223" i="1" s="1"/>
  <c r="G224" i="1"/>
  <c r="H224" i="1" s="1"/>
  <c r="J224" i="1" s="1"/>
  <c r="G225" i="1"/>
  <c r="H225" i="1" s="1"/>
  <c r="J225" i="1" s="1"/>
  <c r="G226" i="1"/>
  <c r="H226" i="1" s="1"/>
  <c r="J226" i="1" s="1"/>
  <c r="G227" i="1"/>
  <c r="H227" i="1" s="1"/>
  <c r="J227" i="1" s="1"/>
  <c r="G228" i="1"/>
  <c r="H228" i="1" s="1"/>
  <c r="J228" i="1" s="1"/>
  <c r="G229" i="1"/>
  <c r="H229" i="1" s="1"/>
  <c r="J229" i="1" s="1"/>
  <c r="G230" i="1"/>
  <c r="H230" i="1" s="1"/>
  <c r="J230" i="1" s="1"/>
  <c r="H212" i="1" l="1"/>
  <c r="J212" i="1" s="1"/>
  <c r="H213" i="1"/>
  <c r="J213" i="1" s="1"/>
  <c r="G211" i="1"/>
  <c r="H211" i="1" s="1"/>
  <c r="J211" i="1" s="1"/>
  <c r="G209" i="1"/>
  <c r="H209" i="1" s="1"/>
  <c r="J209" i="1" s="1"/>
  <c r="E148" i="1"/>
  <c r="E11" i="1" l="1"/>
  <c r="G64" i="1" l="1"/>
  <c r="E153" i="1"/>
  <c r="G102" i="1"/>
  <c r="G91" i="1"/>
  <c r="G69" i="1"/>
  <c r="G61" i="1"/>
  <c r="G60" i="1"/>
  <c r="G59" i="1"/>
  <c r="G54" i="1"/>
  <c r="G200" i="1" l="1"/>
  <c r="G201" i="1"/>
  <c r="G202" i="1"/>
  <c r="G203" i="1"/>
  <c r="G204" i="1"/>
  <c r="G205" i="1"/>
  <c r="G199" i="1"/>
  <c r="J199" i="1" s="1"/>
  <c r="E36" i="1"/>
  <c r="F89" i="1"/>
  <c r="G198" i="1"/>
  <c r="J198" i="1" s="1"/>
  <c r="G197" i="1"/>
  <c r="H197" i="1" s="1"/>
  <c r="G196" i="1"/>
  <c r="J196" i="1" s="1"/>
  <c r="G195" i="1"/>
  <c r="H195" i="1" s="1"/>
  <c r="G194" i="1"/>
  <c r="H194" i="1" s="1"/>
  <c r="G192" i="1"/>
  <c r="J192" i="1" s="1"/>
  <c r="G191" i="1"/>
  <c r="J191" i="1" s="1"/>
  <c r="G190" i="1"/>
  <c r="J190" i="1" s="1"/>
  <c r="G189" i="1"/>
  <c r="H189" i="1" s="1"/>
  <c r="E62" i="1"/>
  <c r="G112" i="1"/>
  <c r="H112" i="1" s="1"/>
  <c r="G111" i="1"/>
  <c r="H111" i="1" s="1"/>
  <c r="G110" i="1"/>
  <c r="J110" i="1" s="1"/>
  <c r="G109" i="1"/>
  <c r="J109" i="1" s="1"/>
  <c r="G108" i="1"/>
  <c r="H108" i="1" s="1"/>
  <c r="G107" i="1"/>
  <c r="J107" i="1" s="1"/>
  <c r="G106" i="1"/>
  <c r="H106" i="1" s="1"/>
  <c r="G80" i="1"/>
  <c r="H203" i="1" l="1"/>
  <c r="J203" i="1"/>
  <c r="H205" i="1"/>
  <c r="J205" i="1"/>
  <c r="H202" i="1"/>
  <c r="J202" i="1"/>
  <c r="H201" i="1"/>
  <c r="J201" i="1"/>
  <c r="H204" i="1"/>
  <c r="J204" i="1"/>
  <c r="H200" i="1"/>
  <c r="J200" i="1"/>
  <c r="H199" i="1"/>
  <c r="J189" i="1"/>
  <c r="H196" i="1"/>
  <c r="J195" i="1"/>
  <c r="H198" i="1"/>
  <c r="H190" i="1"/>
  <c r="H191" i="1"/>
  <c r="J197" i="1"/>
  <c r="H192" i="1"/>
  <c r="J194" i="1"/>
  <c r="J106" i="1"/>
  <c r="H110" i="1"/>
  <c r="H109" i="1"/>
  <c r="J111" i="1"/>
  <c r="H107" i="1"/>
  <c r="J112" i="1"/>
  <c r="J108" i="1"/>
  <c r="E63" i="1" l="1"/>
  <c r="G63" i="1" s="1"/>
  <c r="E2" i="1"/>
  <c r="E105" i="1" l="1"/>
  <c r="G165" i="1"/>
  <c r="H165" i="1" s="1"/>
  <c r="J165" i="1" s="1"/>
  <c r="G166" i="1"/>
  <c r="H166" i="1" s="1"/>
  <c r="J166" i="1" s="1"/>
  <c r="G167" i="1"/>
  <c r="H167" i="1" s="1"/>
  <c r="J167" i="1" s="1"/>
  <c r="G168" i="1"/>
  <c r="H168" i="1" s="1"/>
  <c r="J168" i="1" s="1"/>
  <c r="G169" i="1"/>
  <c r="H169" i="1" s="1"/>
  <c r="J169" i="1" s="1"/>
  <c r="G170" i="1"/>
  <c r="H170" i="1" s="1"/>
  <c r="J170" i="1" s="1"/>
  <c r="G171" i="1"/>
  <c r="H171" i="1" s="1"/>
  <c r="J171" i="1" s="1"/>
  <c r="G172" i="1"/>
  <c r="H172" i="1" s="1"/>
  <c r="J172" i="1" s="1"/>
  <c r="G173" i="1"/>
  <c r="H173" i="1" s="1"/>
  <c r="J173" i="1" s="1"/>
  <c r="G174" i="1"/>
  <c r="H174" i="1" s="1"/>
  <c r="J174" i="1" s="1"/>
  <c r="G175" i="1"/>
  <c r="H175" i="1" s="1"/>
  <c r="J175" i="1" s="1"/>
  <c r="G176" i="1"/>
  <c r="H176" i="1" s="1"/>
  <c r="J176" i="1" s="1"/>
  <c r="G177" i="1"/>
  <c r="H177" i="1" s="1"/>
  <c r="J177" i="1" s="1"/>
  <c r="G178" i="1"/>
  <c r="H178" i="1" s="1"/>
  <c r="J178" i="1" s="1"/>
  <c r="G179" i="1"/>
  <c r="H179" i="1" s="1"/>
  <c r="J179" i="1" s="1"/>
  <c r="G180" i="1"/>
  <c r="H180" i="1" s="1"/>
  <c r="J180" i="1" s="1"/>
  <c r="G181" i="1"/>
  <c r="H181" i="1" s="1"/>
  <c r="J181" i="1" s="1"/>
  <c r="G182" i="1"/>
  <c r="H182" i="1" s="1"/>
  <c r="J182" i="1" s="1"/>
  <c r="G183" i="1"/>
  <c r="H183" i="1" s="1"/>
  <c r="J183" i="1" s="1"/>
  <c r="G184" i="1"/>
  <c r="H184" i="1" s="1"/>
  <c r="J184" i="1" s="1"/>
  <c r="G185" i="1"/>
  <c r="H185" i="1" s="1"/>
  <c r="J185" i="1" s="1"/>
  <c r="G186" i="1"/>
  <c r="H186" i="1" s="1"/>
  <c r="J186" i="1" s="1"/>
  <c r="G187" i="1"/>
  <c r="H187" i="1" s="1"/>
  <c r="J187" i="1" s="1"/>
  <c r="G188" i="1"/>
  <c r="H188" i="1" s="1"/>
  <c r="J188" i="1" s="1"/>
  <c r="G162" i="1" l="1"/>
  <c r="H162" i="1" s="1"/>
  <c r="J162" i="1" s="1"/>
  <c r="G163" i="1"/>
  <c r="H163" i="1" s="1"/>
  <c r="J163" i="1" s="1"/>
  <c r="G164" i="1"/>
  <c r="H164" i="1" s="1"/>
  <c r="J164" i="1" s="1"/>
  <c r="E150" i="1" l="1"/>
  <c r="G153" i="1"/>
  <c r="H153" i="1" s="1"/>
  <c r="J153" i="1" s="1"/>
  <c r="G152" i="1"/>
  <c r="H152" i="1" s="1"/>
  <c r="J152" i="1" s="1"/>
  <c r="G151" i="1"/>
  <c r="H151" i="1" s="1"/>
  <c r="J151" i="1" s="1"/>
  <c r="E42" i="1"/>
  <c r="G150" i="1" l="1"/>
  <c r="H150" i="1" s="1"/>
  <c r="J150" i="1" s="1"/>
  <c r="G149" i="1"/>
  <c r="H149" i="1" s="1"/>
  <c r="J149" i="1" s="1"/>
  <c r="G47" i="1"/>
  <c r="G29" i="1"/>
  <c r="G148" i="1" l="1"/>
  <c r="H148" i="1" s="1"/>
  <c r="J148" i="1" s="1"/>
  <c r="G131" i="1"/>
  <c r="H131" i="1" s="1"/>
  <c r="J131" i="1" s="1"/>
  <c r="G132" i="1"/>
  <c r="H132" i="1" s="1"/>
  <c r="J132" i="1" s="1"/>
  <c r="G133" i="1"/>
  <c r="H133" i="1" s="1"/>
  <c r="J133" i="1" s="1"/>
  <c r="G134" i="1"/>
  <c r="H134" i="1" s="1"/>
  <c r="J134" i="1" s="1"/>
  <c r="G135" i="1"/>
  <c r="H135" i="1" s="1"/>
  <c r="J135" i="1" s="1"/>
  <c r="G136" i="1"/>
  <c r="H136" i="1" s="1"/>
  <c r="J136" i="1" s="1"/>
  <c r="G137" i="1"/>
  <c r="H137" i="1" s="1"/>
  <c r="J137" i="1" s="1"/>
  <c r="G138" i="1"/>
  <c r="H138" i="1" s="1"/>
  <c r="J138" i="1" s="1"/>
  <c r="G139" i="1"/>
  <c r="H139" i="1" s="1"/>
  <c r="J139" i="1" s="1"/>
  <c r="G140" i="1"/>
  <c r="H140" i="1" s="1"/>
  <c r="J140" i="1" s="1"/>
  <c r="G141" i="1"/>
  <c r="H141" i="1" s="1"/>
  <c r="J141" i="1" s="1"/>
  <c r="G142" i="1"/>
  <c r="H142" i="1" s="1"/>
  <c r="J142" i="1" s="1"/>
  <c r="G143" i="1"/>
  <c r="H143" i="1" s="1"/>
  <c r="J143" i="1" s="1"/>
  <c r="G144" i="1"/>
  <c r="H144" i="1" s="1"/>
  <c r="J144" i="1" s="1"/>
  <c r="G145" i="1"/>
  <c r="H145" i="1" s="1"/>
  <c r="J145" i="1" s="1"/>
  <c r="G146" i="1"/>
  <c r="H146" i="1" s="1"/>
  <c r="J146" i="1" s="1"/>
  <c r="G147" i="1"/>
  <c r="H147" i="1" s="1"/>
  <c r="J147" i="1" s="1"/>
  <c r="G126" i="1"/>
  <c r="H126" i="1" s="1"/>
  <c r="J126" i="1" s="1"/>
  <c r="G127" i="1"/>
  <c r="H127" i="1" s="1"/>
  <c r="J127" i="1" s="1"/>
  <c r="G128" i="1"/>
  <c r="H128" i="1" s="1"/>
  <c r="J128" i="1" s="1"/>
  <c r="G129" i="1"/>
  <c r="H129" i="1" s="1"/>
  <c r="J129" i="1" s="1"/>
  <c r="G130" i="1"/>
  <c r="H130" i="1" s="1"/>
  <c r="J130" i="1" s="1"/>
  <c r="G125" i="1"/>
  <c r="H125" i="1" s="1"/>
  <c r="J125" i="1" s="1"/>
  <c r="G122" i="1"/>
  <c r="H122" i="1" s="1"/>
  <c r="J122" i="1" s="1"/>
  <c r="G123" i="1"/>
  <c r="H123" i="1" s="1"/>
  <c r="J123" i="1" s="1"/>
  <c r="G124" i="1"/>
  <c r="H124" i="1" s="1"/>
  <c r="J124" i="1" s="1"/>
  <c r="G121" i="1"/>
  <c r="H121" i="1" s="1"/>
  <c r="J121" i="1" s="1"/>
  <c r="G113" i="1"/>
  <c r="H113" i="1" s="1"/>
  <c r="J113" i="1" s="1"/>
  <c r="G114" i="1"/>
  <c r="H114" i="1" s="1"/>
  <c r="J114" i="1" s="1"/>
  <c r="G115" i="1"/>
  <c r="H115" i="1" s="1"/>
  <c r="J115" i="1" s="1"/>
  <c r="G116" i="1"/>
  <c r="H116" i="1" s="1"/>
  <c r="J116" i="1" s="1"/>
  <c r="G117" i="1"/>
  <c r="H117" i="1" s="1"/>
  <c r="J117" i="1" s="1"/>
  <c r="G118" i="1"/>
  <c r="H118" i="1" s="1"/>
  <c r="J118" i="1" s="1"/>
  <c r="G119" i="1"/>
  <c r="H119" i="1" s="1"/>
  <c r="J119" i="1" s="1"/>
  <c r="G120" i="1"/>
  <c r="H120" i="1" s="1"/>
  <c r="J120" i="1" s="1"/>
  <c r="F10" i="3" l="1"/>
  <c r="G89" i="1"/>
  <c r="G84" i="1"/>
  <c r="E35" i="1"/>
  <c r="G105" i="1" l="1"/>
  <c r="H105" i="1" s="1"/>
  <c r="J105" i="1" s="1"/>
  <c r="F13" i="3"/>
  <c r="G103" i="1" l="1"/>
  <c r="H103" i="1" s="1"/>
  <c r="J103" i="1" s="1"/>
  <c r="G104" i="1"/>
  <c r="H104" i="1" s="1"/>
  <c r="J104" i="1" s="1"/>
  <c r="H102" i="1" l="1"/>
  <c r="J102" i="1" s="1"/>
  <c r="H29" i="1"/>
  <c r="J29" i="1" s="1"/>
  <c r="F7" i="3" l="1"/>
  <c r="H101" i="1"/>
  <c r="J101" i="1" s="1"/>
  <c r="H100" i="1"/>
  <c r="J100" i="1" s="1"/>
  <c r="G7" i="1" l="1"/>
  <c r="H7" i="1" s="1"/>
  <c r="J7" i="1" s="1"/>
  <c r="E52" i="1" l="1"/>
  <c r="F6" i="3" l="1"/>
  <c r="E8" i="1" l="1"/>
  <c r="F12" i="3" s="1"/>
  <c r="E49" i="1"/>
  <c r="G99" i="1"/>
  <c r="H99" i="1" s="1"/>
  <c r="J9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81" i="1"/>
  <c r="J81" i="1" s="1"/>
  <c r="G22" i="1"/>
  <c r="H22" i="1" s="1"/>
  <c r="J22" i="1" s="1"/>
  <c r="F8" i="3" l="1"/>
  <c r="F9" i="3"/>
  <c r="G79" i="1" l="1"/>
  <c r="H79" i="1" s="1"/>
  <c r="J79" i="1" s="1"/>
  <c r="H80" i="1"/>
  <c r="J80" i="1" s="1"/>
  <c r="E34" i="1"/>
  <c r="G34" i="1" s="1"/>
  <c r="F11" i="3" l="1"/>
  <c r="H69" i="1" l="1"/>
  <c r="J69" i="1" s="1"/>
  <c r="G10" i="1" l="1"/>
  <c r="H10" i="1" s="1"/>
  <c r="J10" i="1" s="1"/>
  <c r="G6" i="1"/>
  <c r="H6" i="1" s="1"/>
  <c r="J6" i="1" s="1"/>
  <c r="G21" i="1" l="1"/>
  <c r="H21" i="1" s="1"/>
  <c r="J21" i="1" s="1"/>
  <c r="G23" i="1"/>
  <c r="H23" i="1" s="1"/>
  <c r="J23" i="1" s="1"/>
  <c r="F3" i="3"/>
  <c r="G68" i="1"/>
  <c r="H68" i="1" s="1"/>
  <c r="J68" i="1" s="1"/>
  <c r="G67" i="1"/>
  <c r="H67" i="1" s="1"/>
  <c r="J67" i="1" s="1"/>
  <c r="G70" i="1" l="1"/>
  <c r="H70" i="1" s="1"/>
  <c r="J70" i="1" s="1"/>
  <c r="G71" i="1"/>
  <c r="H71" i="1" s="1"/>
  <c r="J71" i="1" s="1"/>
  <c r="G72" i="1"/>
  <c r="H72" i="1" s="1"/>
  <c r="J72" i="1" s="1"/>
  <c r="G73" i="1"/>
  <c r="H73" i="1" s="1"/>
  <c r="J73" i="1" s="1"/>
  <c r="G74" i="1"/>
  <c r="H74" i="1" s="1"/>
  <c r="J74" i="1" s="1"/>
  <c r="G75" i="1"/>
  <c r="H75" i="1" s="1"/>
  <c r="J75" i="1" s="1"/>
  <c r="G76" i="1"/>
  <c r="H76" i="1" s="1"/>
  <c r="J76" i="1" s="1"/>
  <c r="G77" i="1"/>
  <c r="H77" i="1" s="1"/>
  <c r="J77" i="1" s="1"/>
  <c r="G78" i="1"/>
  <c r="H78" i="1" s="1"/>
  <c r="J78" i="1" s="1"/>
  <c r="G65" i="1" l="1"/>
  <c r="H65" i="1" s="1"/>
  <c r="J65" i="1" s="1"/>
  <c r="G66" i="1"/>
  <c r="H66" i="1" s="1"/>
  <c r="J66" i="1" s="1"/>
  <c r="F15" i="3" l="1"/>
  <c r="F14" i="3"/>
  <c r="F5" i="3"/>
  <c r="F4" i="3"/>
  <c r="F2" i="3"/>
  <c r="H59" i="1"/>
  <c r="J59" i="1" s="1"/>
  <c r="H60" i="1"/>
  <c r="J60" i="1" s="1"/>
  <c r="H61" i="1"/>
  <c r="J61" i="1" s="1"/>
  <c r="G62" i="1"/>
  <c r="H62" i="1" s="1"/>
  <c r="J62" i="1" s="1"/>
  <c r="H63" i="1"/>
  <c r="J63" i="1" s="1"/>
  <c r="H64" i="1"/>
  <c r="J64" i="1" s="1"/>
  <c r="G44" i="1"/>
  <c r="H44" i="1" s="1"/>
  <c r="J44" i="1" s="1"/>
  <c r="G45" i="1"/>
  <c r="H45" i="1" s="1"/>
  <c r="J45" i="1" s="1"/>
  <c r="G46" i="1"/>
  <c r="H46" i="1" s="1"/>
  <c r="J46" i="1" s="1"/>
  <c r="H47" i="1"/>
  <c r="J47" i="1" s="1"/>
  <c r="G48" i="1"/>
  <c r="H48" i="1" s="1"/>
  <c r="J48" i="1" s="1"/>
  <c r="G49" i="1"/>
  <c r="H49" i="1" s="1"/>
  <c r="J49" i="1" s="1"/>
  <c r="G50" i="1"/>
  <c r="H50" i="1" s="1"/>
  <c r="J50" i="1" s="1"/>
  <c r="G51" i="1"/>
  <c r="H51" i="1" s="1"/>
  <c r="J51" i="1" s="1"/>
  <c r="G52" i="1"/>
  <c r="H52" i="1" s="1"/>
  <c r="J52" i="1" s="1"/>
  <c r="G53" i="1"/>
  <c r="H53" i="1" s="1"/>
  <c r="J53" i="1" s="1"/>
  <c r="H54" i="1"/>
  <c r="J54" i="1" s="1"/>
  <c r="G55" i="1"/>
  <c r="H55" i="1" s="1"/>
  <c r="J55" i="1" s="1"/>
  <c r="G56" i="1"/>
  <c r="H56" i="1" s="1"/>
  <c r="J56" i="1" s="1"/>
  <c r="G57" i="1"/>
  <c r="H57" i="1" s="1"/>
  <c r="J57" i="1" s="1"/>
  <c r="G58" i="1"/>
  <c r="H58" i="1" s="1"/>
  <c r="J58" i="1" s="1"/>
  <c r="G43" i="1"/>
  <c r="H43" i="1" s="1"/>
  <c r="J43" i="1" s="1"/>
  <c r="G27" i="1"/>
  <c r="H27" i="1" s="1"/>
  <c r="J27" i="1" s="1"/>
  <c r="G28" i="1"/>
  <c r="H28" i="1" s="1"/>
  <c r="J28" i="1" s="1"/>
  <c r="G30" i="1"/>
  <c r="H30" i="1" s="1"/>
  <c r="J30" i="1" s="1"/>
  <c r="G31" i="1"/>
  <c r="H31" i="1" s="1"/>
  <c r="J31" i="1" s="1"/>
  <c r="G32" i="1"/>
  <c r="H32" i="1" s="1"/>
  <c r="J32" i="1" s="1"/>
  <c r="G33" i="1"/>
  <c r="H33" i="1" s="1"/>
  <c r="J33" i="1" s="1"/>
  <c r="H34" i="1"/>
  <c r="J34" i="1" s="1"/>
  <c r="G35" i="1"/>
  <c r="H35" i="1" s="1"/>
  <c r="J35" i="1" s="1"/>
  <c r="G36" i="1"/>
  <c r="H36" i="1" s="1"/>
  <c r="J36" i="1" s="1"/>
  <c r="G37" i="1"/>
  <c r="H37" i="1" s="1"/>
  <c r="J37" i="1" s="1"/>
  <c r="G38" i="1"/>
  <c r="H38" i="1" s="1"/>
  <c r="J38" i="1" s="1"/>
  <c r="G39" i="1"/>
  <c r="H39" i="1" s="1"/>
  <c r="J39" i="1" s="1"/>
  <c r="G40" i="1"/>
  <c r="H40" i="1" s="1"/>
  <c r="J40" i="1" s="1"/>
  <c r="G41" i="1"/>
  <c r="H41" i="1" s="1"/>
  <c r="J41" i="1" s="1"/>
  <c r="G42" i="1"/>
  <c r="H42" i="1" s="1"/>
  <c r="J42" i="1" s="1"/>
  <c r="G5" i="1"/>
  <c r="H5" i="1" s="1"/>
  <c r="J5" i="1" s="1"/>
  <c r="G8" i="1"/>
  <c r="H8" i="1" s="1"/>
  <c r="J8" i="1" s="1"/>
  <c r="G9" i="1"/>
  <c r="H9" i="1" s="1"/>
  <c r="J9" i="1" s="1"/>
  <c r="G11" i="1"/>
  <c r="H11" i="1" s="1"/>
  <c r="J11" i="1" s="1"/>
  <c r="G12" i="1"/>
  <c r="H12" i="1" s="1"/>
  <c r="J12" i="1" s="1"/>
  <c r="G13" i="1"/>
  <c r="H13" i="1" s="1"/>
  <c r="J13" i="1" s="1"/>
  <c r="G14" i="1"/>
  <c r="H14" i="1" s="1"/>
  <c r="J14" i="1" s="1"/>
  <c r="G15" i="1"/>
  <c r="G16" i="1"/>
  <c r="G17" i="1"/>
  <c r="G18" i="1"/>
  <c r="H18" i="1" s="1"/>
  <c r="J18" i="1" s="1"/>
  <c r="G19" i="1"/>
  <c r="H19" i="1" s="1"/>
  <c r="J19" i="1" s="1"/>
  <c r="G20" i="1"/>
  <c r="H20" i="1" s="1"/>
  <c r="J20" i="1" s="1"/>
  <c r="G24" i="1"/>
  <c r="H24" i="1" s="1"/>
  <c r="J24" i="1" s="1"/>
  <c r="G25" i="1"/>
  <c r="H25" i="1" s="1"/>
  <c r="J25" i="1" s="1"/>
  <c r="G26" i="1"/>
  <c r="H26" i="1" s="1"/>
  <c r="J26" i="1" s="1"/>
  <c r="G3" i="1"/>
  <c r="H3" i="1" s="1"/>
  <c r="J3" i="1" s="1"/>
  <c r="G4" i="1"/>
  <c r="H4" i="1" s="1"/>
  <c r="J4" i="1" s="1"/>
  <c r="G2" i="1"/>
  <c r="H2" i="1" s="1"/>
  <c r="J2" i="1" s="1"/>
  <c r="H15" i="1" l="1"/>
  <c r="J15" i="1" s="1"/>
  <c r="H17" i="1"/>
  <c r="J17" i="1" s="1"/>
  <c r="H16" i="1"/>
  <c r="J16" i="1" s="1"/>
  <c r="G11" i="3"/>
  <c r="H11" i="3" s="1"/>
  <c r="G9" i="3"/>
  <c r="H9" i="3" s="1"/>
  <c r="G7" i="3"/>
  <c r="H7" i="3" s="1"/>
  <c r="G5" i="3"/>
  <c r="H5" i="3" s="1"/>
  <c r="G14" i="3"/>
  <c r="H14" i="3" s="1"/>
  <c r="G12" i="3"/>
  <c r="H12" i="3" s="1"/>
  <c r="G4" i="3"/>
  <c r="H4" i="3" s="1"/>
  <c r="G10" i="3"/>
  <c r="H10" i="3" s="1"/>
  <c r="G8" i="3"/>
  <c r="H8" i="3" s="1"/>
  <c r="G6" i="3"/>
  <c r="H6" i="3" s="1"/>
  <c r="G15" i="3"/>
  <c r="H15" i="3" s="1"/>
  <c r="G13" i="3"/>
  <c r="H13" i="3" s="1"/>
  <c r="G2" i="3" l="1"/>
  <c r="H2" i="3" s="1"/>
  <c r="G3" i="3"/>
  <c r="H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</author>
  </authors>
  <commentList>
    <comment ref="F1" authorId="0" shapeId="0" xr:uid="{0F3B99B1-D571-4E26-AE20-70599B9CEE14}">
      <text>
        <r>
          <rPr>
            <b/>
            <sz val="11"/>
            <color indexed="81"/>
            <rFont val="MS P ゴシック"/>
            <family val="3"/>
            <charset val="128"/>
          </rPr>
          <t>長さ(m/本)に対しての在庫(本)
基準以下の長さ(m/本)は在庫(本)に含まず</t>
        </r>
      </text>
    </comment>
    <comment ref="G1" authorId="0" shapeId="0" xr:uid="{5B1128BD-A420-432C-951D-B0A56857E970}">
      <text>
        <r>
          <rPr>
            <b/>
            <sz val="11"/>
            <color indexed="81"/>
            <rFont val="MS P ゴシック"/>
            <family val="3"/>
            <charset val="128"/>
          </rPr>
          <t>切りかけ含む長さ合計(m)</t>
        </r>
      </text>
    </comment>
  </commentList>
</comments>
</file>

<file path=xl/sharedStrings.xml><?xml version="1.0" encoding="utf-8"?>
<sst xmlns="http://schemas.openxmlformats.org/spreadsheetml/2006/main" count="1639" uniqueCount="517">
  <si>
    <t>品名</t>
    <rPh sb="0" eb="2">
      <t>ヒンメイ</t>
    </rPh>
    <phoneticPr fontId="3"/>
  </si>
  <si>
    <t>Lot</t>
    <phoneticPr fontId="3"/>
  </si>
  <si>
    <t>幅(m)</t>
    <rPh sb="0" eb="1">
      <t>ハバ</t>
    </rPh>
    <phoneticPr fontId="3"/>
  </si>
  <si>
    <t>総面積(㎡)</t>
    <rPh sb="0" eb="1">
      <t>ソウ</t>
    </rPh>
    <rPh sb="1" eb="3">
      <t>メンセキ</t>
    </rPh>
    <phoneticPr fontId="3"/>
  </si>
  <si>
    <t>単価(㎡)</t>
    <rPh sb="0" eb="2">
      <t>タンカ</t>
    </rPh>
    <phoneticPr fontId="3"/>
  </si>
  <si>
    <t>原価</t>
    <rPh sb="0" eb="2">
      <t>ゲンカ</t>
    </rPh>
    <phoneticPr fontId="3"/>
  </si>
  <si>
    <t>保管場所</t>
    <rPh sb="0" eb="4">
      <t>ホカンバショ</t>
    </rPh>
    <phoneticPr fontId="3"/>
  </si>
  <si>
    <t>生産月</t>
    <rPh sb="0" eb="3">
      <t>セイサンツキ</t>
    </rPh>
    <phoneticPr fontId="3"/>
  </si>
  <si>
    <t>SPACECOOLフィルム</t>
    <phoneticPr fontId="3"/>
  </si>
  <si>
    <t>ホワイトマット</t>
    <phoneticPr fontId="3"/>
  </si>
  <si>
    <t>デコラティブ</t>
    <phoneticPr fontId="3"/>
  </si>
  <si>
    <t>－</t>
    <phoneticPr fontId="3"/>
  </si>
  <si>
    <t>大阪ガスから500円／㎡</t>
    <rPh sb="0" eb="2">
      <t>オオサカ</t>
    </rPh>
    <rPh sb="9" eb="10">
      <t>エン</t>
    </rPh>
    <phoneticPr fontId="3"/>
  </si>
  <si>
    <t>シルバーマット</t>
    <phoneticPr fontId="3"/>
  </si>
  <si>
    <t>SC-SVMT210325_1-2-A-MX-BW-25</t>
    <phoneticPr fontId="3"/>
  </si>
  <si>
    <t>SM0001-8-MXJ-K2-25M</t>
    <phoneticPr fontId="3"/>
  </si>
  <si>
    <t>オガサハラ</t>
    <phoneticPr fontId="3"/>
  </si>
  <si>
    <t>カンボウプラス</t>
    <phoneticPr fontId="3"/>
  </si>
  <si>
    <t>山本運輸</t>
    <rPh sb="0" eb="2">
      <t>ヤマモト</t>
    </rPh>
    <rPh sb="2" eb="4">
      <t>ウンユ</t>
    </rPh>
    <phoneticPr fontId="3"/>
  </si>
  <si>
    <t>SM0001-7-CAP-GL-6</t>
  </si>
  <si>
    <t>SPACECOOLシート</t>
    <phoneticPr fontId="3"/>
  </si>
  <si>
    <t>SM0001-7-CAP-KU-20211102-4</t>
  </si>
  <si>
    <t>SPACECOOL不燃膜材料</t>
    <rPh sb="9" eb="11">
      <t>フネン</t>
    </rPh>
    <rPh sb="11" eb="12">
      <t>マク</t>
    </rPh>
    <rPh sb="12" eb="14">
      <t>ザイリョウ</t>
    </rPh>
    <phoneticPr fontId="3"/>
  </si>
  <si>
    <t>SM0002-CAP-B-220119-2</t>
    <phoneticPr fontId="3"/>
  </si>
  <si>
    <t>WM0002-CAP-B-220119-5</t>
  </si>
  <si>
    <t>WM0002-CAP-B-220119-3</t>
  </si>
  <si>
    <t>入江運輸</t>
    <rPh sb="0" eb="2">
      <t>イリエ</t>
    </rPh>
    <rPh sb="2" eb="4">
      <t>ウンユ</t>
    </rPh>
    <phoneticPr fontId="3"/>
  </si>
  <si>
    <t>シルバー光沢</t>
    <rPh sb="4" eb="6">
      <t>コウタク</t>
    </rPh>
    <phoneticPr fontId="3"/>
  </si>
  <si>
    <t>SS0001-3-MXJ-K2</t>
    <phoneticPr fontId="3"/>
  </si>
  <si>
    <t>ホワイト光沢</t>
    <rPh sb="4" eb="6">
      <t>コウタク</t>
    </rPh>
    <phoneticPr fontId="3"/>
  </si>
  <si>
    <t>WS0001-5-1～7</t>
    <phoneticPr fontId="3"/>
  </si>
  <si>
    <t>WS0001-5-8</t>
    <phoneticPr fontId="3"/>
  </si>
  <si>
    <t>SM0002-MXJ-K2-220127_38</t>
    <phoneticPr fontId="3"/>
  </si>
  <si>
    <t>SM0002-MXJ-K2-220127_39</t>
    <phoneticPr fontId="3"/>
  </si>
  <si>
    <t>SM0002-MXJ-R8-220224_1-4</t>
    <phoneticPr fontId="3"/>
  </si>
  <si>
    <t>WM0002-MXJ-R8-220224_1-7</t>
    <phoneticPr fontId="3"/>
  </si>
  <si>
    <t>WM0002-MXJ-R8-220224_8</t>
    <phoneticPr fontId="3"/>
  </si>
  <si>
    <t>WHMT（粘着加工なし）</t>
    <rPh sb="5" eb="9">
      <t>ネンチャクカコウ</t>
    </rPh>
    <phoneticPr fontId="1"/>
  </si>
  <si>
    <t>ホワイトマット</t>
  </si>
  <si>
    <t>WM0001-2</t>
    <phoneticPr fontId="3"/>
  </si>
  <si>
    <t>SVMT（粘着加工なし）</t>
    <rPh sb="5" eb="9">
      <t>ネンチャクカコウ</t>
    </rPh>
    <phoneticPr fontId="1"/>
  </si>
  <si>
    <t>シルバーマット</t>
  </si>
  <si>
    <t>WHSH（粘着加工なし）</t>
    <phoneticPr fontId="3"/>
  </si>
  <si>
    <t>WS0001-5</t>
  </si>
  <si>
    <t>鴻池運輸</t>
    <rPh sb="0" eb="4">
      <t>コウノイケウンユ</t>
    </rPh>
    <phoneticPr fontId="3"/>
  </si>
  <si>
    <t>WS0001-4</t>
  </si>
  <si>
    <t>WS0001-6</t>
  </si>
  <si>
    <t>SVSH（粘着加工なし）</t>
    <phoneticPr fontId="3"/>
  </si>
  <si>
    <t>SS0001-3</t>
  </si>
  <si>
    <t>塩ビ</t>
    <rPh sb="0" eb="1">
      <t>エン</t>
    </rPh>
    <phoneticPr fontId="3"/>
  </si>
  <si>
    <t>SC-SVMT200521-MXB</t>
    <phoneticPr fontId="3"/>
  </si>
  <si>
    <t>研究所</t>
    <rPh sb="0" eb="3">
      <t>ケンキュウジョ</t>
    </rPh>
    <phoneticPr fontId="3"/>
  </si>
  <si>
    <t>SC-SVSH200521-MXB</t>
    <phoneticPr fontId="3"/>
  </si>
  <si>
    <t>大阪ガスから501円／㎡</t>
    <rPh sb="0" eb="2">
      <t>オオサカ</t>
    </rPh>
    <rPh sb="9" eb="10">
      <t>エン</t>
    </rPh>
    <phoneticPr fontId="3"/>
  </si>
  <si>
    <t>SC-SVSH200521-MXB_切り出し用_①</t>
  </si>
  <si>
    <t>大阪ガスから502円／㎡</t>
    <rPh sb="0" eb="2">
      <t>オオサカ</t>
    </rPh>
    <rPh sb="9" eb="10">
      <t>エン</t>
    </rPh>
    <phoneticPr fontId="3"/>
  </si>
  <si>
    <t>SC-SVMT210325_5-A-ME-5M_切り出し用</t>
  </si>
  <si>
    <t>SC-WHMT210325_2-A-MX-BW-25M</t>
  </si>
  <si>
    <t>大阪ガスから508円／㎡</t>
    <rPh sb="0" eb="2">
      <t>オオサカ</t>
    </rPh>
    <rPh sb="9" eb="10">
      <t>エン</t>
    </rPh>
    <phoneticPr fontId="3"/>
  </si>
  <si>
    <t>SC-SVMT210325_1-2-A-MX-BW-25M_切り出し用②</t>
  </si>
  <si>
    <t>SM0001-7-CAP-KU-20211102-1</t>
  </si>
  <si>
    <t>SM0001-7-CAP-KU-20211102-5</t>
  </si>
  <si>
    <t>WHMTe0000a-MXJ-AS-24M_切り出し用_②(2m)</t>
  </si>
  <si>
    <t>大阪ガスから510円／㎡</t>
    <rPh sb="0" eb="2">
      <t>オオサカ</t>
    </rPh>
    <rPh sb="9" eb="10">
      <t>エン</t>
    </rPh>
    <phoneticPr fontId="3"/>
  </si>
  <si>
    <t>WHMTe0000a-MXJ-AS-25M</t>
  </si>
  <si>
    <t>WHMTe0000a-MXJ-K1-25M</t>
  </si>
  <si>
    <t>SS0001-3-MXJ-K2-10M_切り出し用_①</t>
  </si>
  <si>
    <t>★余裕をもった納期設定、よろしくお願いいたします★</t>
  </si>
  <si>
    <t>■フロー</t>
  </si>
  <si>
    <t>受注</t>
  </si>
  <si>
    <t>お客様または担当者がorder@spacecool.jp（受注専用アドレス）に見積書 兼 注文依頼書を送付する</t>
  </si>
  <si>
    <t>テクニカル</t>
  </si>
  <si>
    <t>見積書 兼 注文依頼書を確認し、各出荷元へ出荷依頼書を発行する</t>
  </si>
  <si>
    <t>コーポレート</t>
  </si>
  <si>
    <t>アライアンス事務からfreee会計に連携された請求書と見積書 兼 注文依頼書に相違が無いか確認し、商品到着後メールにて納品書を送付</t>
  </si>
  <si>
    <t>売上計上日は納品日・請求書は月末締め・翌月末支払期限とし、翌月初1～2営業日内にメールにて送付</t>
  </si>
  <si>
    <t>■出荷</t>
  </si>
  <si>
    <t>・緊急を要する場合などは別途ご相談ください</t>
  </si>
  <si>
    <t>■納品日</t>
  </si>
  <si>
    <t>・納品日（届日数）は場所によって異なります</t>
  </si>
  <si>
    <t>（出荷依頼メールのCCに担当者を入れるので、</t>
  </si>
  <si>
    <t>出荷担当者から出荷日のお知らせを確認し、納品日を確認してください）</t>
  </si>
  <si>
    <t>・参考に佐川急便の届日数を右に添付いたします</t>
  </si>
  <si>
    <t>（原則、フィルムは大阪・帆布は福井から発送となります）</t>
  </si>
  <si>
    <t>■フィルム</t>
  </si>
  <si>
    <t>・ニチモウが取りまとめ</t>
  </si>
  <si>
    <t>・切売と箱売で発送元（倉庫）が異なる。</t>
  </si>
  <si>
    <t>・運送会社の送付票の発送元住所は倉庫の住所。デリバリーでミスが生じた場合、倉庫に連絡がいくようにすることが目的です。</t>
  </si>
  <si>
    <t>・荷物にはSC社発行の送付状を添付。</t>
  </si>
  <si>
    <t>箱売</t>
  </si>
  <si>
    <t>項目</t>
  </si>
  <si>
    <t>費用</t>
  </si>
  <si>
    <t>単位</t>
  </si>
  <si>
    <t>備考</t>
  </si>
  <si>
    <t>委託先</t>
  </si>
  <si>
    <t>入江運輸倉庫（株）</t>
  </si>
  <si>
    <t>保管料(1期)</t>
  </si>
  <si>
    <t>円/本</t>
  </si>
  <si>
    <t>年間倉庫費用792円/本</t>
  </si>
  <si>
    <t>住所</t>
  </si>
  <si>
    <t>大阪市港区石田</t>
  </si>
  <si>
    <t>入出庫料</t>
  </si>
  <si>
    <t>製品サイズ</t>
  </si>
  <si>
    <t>1250mm巾×25m</t>
  </si>
  <si>
    <t>1箱のみ発送時の運賃</t>
  </si>
  <si>
    <t>定額。国内北海道、沖縄、離島別途</t>
  </si>
  <si>
    <t>発送形態</t>
  </si>
  <si>
    <t>段ボールケース入り</t>
  </si>
  <si>
    <t>2箱以上の運賃※</t>
  </si>
  <si>
    <t>納期</t>
  </si>
  <si>
    <t>倉庫への出荷指示後、最短翌日出荷</t>
  </si>
  <si>
    <t>※例）３箱送る場合の運賃：800円×3箱=2400円　　これに出庫料33円×3箱=99円がかかる。</t>
  </si>
  <si>
    <t>利用運送会社</t>
  </si>
  <si>
    <t>路線便等</t>
  </si>
  <si>
    <t>請求方法</t>
  </si>
  <si>
    <t>月末にまとめて請求</t>
  </si>
  <si>
    <t>←入江運輸倉庫</t>
  </si>
  <si>
    <t>箱サイズ　24cm✕24cm✕130cm</t>
  </si>
  <si>
    <t>↓オガサハラ梱包</t>
  </si>
  <si>
    <t>切売　(例：白色マット4m)</t>
  </si>
  <si>
    <t>（株）オガサハラ</t>
  </si>
  <si>
    <t>大阪府貝塚市</t>
  </si>
  <si>
    <t>1250mm巾×1m巻～</t>
  </si>
  <si>
    <t>梱包</t>
  </si>
  <si>
    <t>3インチ紙管に巻き付け</t>
  </si>
  <si>
    <t>-</t>
  </si>
  <si>
    <t>緩衝材＋クラフト包装</t>
  </si>
  <si>
    <t>保管料</t>
  </si>
  <si>
    <t>切売用は少量のため0円。</t>
  </si>
  <si>
    <t>佐川急便</t>
  </si>
  <si>
    <t>カット&amp;梱包費</t>
  </si>
  <si>
    <t>運賃</t>
  </si>
  <si>
    <r>
      <rPr>
        <sz val="11"/>
        <color theme="1"/>
        <rFont val="游ゴシック"/>
        <family val="3"/>
        <charset val="128"/>
      </rPr>
      <t>円/</t>
    </r>
    <r>
      <rPr>
        <b/>
        <sz val="11"/>
        <color theme="1"/>
        <rFont val="游ゴシック"/>
        <family val="3"/>
        <charset val="128"/>
      </rPr>
      <t>回</t>
    </r>
  </si>
  <si>
    <t>国内北海道、沖縄、離島別途。本数によって多少変動。</t>
  </si>
  <si>
    <t>・山本運輸がとりまとめ</t>
  </si>
  <si>
    <t>・月末にまとめて請求</t>
  </si>
  <si>
    <t>50m売</t>
  </si>
  <si>
    <t>山本運輸</t>
  </si>
  <si>
    <t>福井県鯖江市</t>
  </si>
  <si>
    <t>カット費</t>
  </si>
  <si>
    <t>1カットごとに費用発生</t>
  </si>
  <si>
    <t>103cm×50m</t>
  </si>
  <si>
    <t>クラフト包装</t>
  </si>
  <si>
    <t>・山本運輸15m以下</t>
  </si>
  <si>
    <t>■備考</t>
  </si>
  <si>
    <t>・緊急案件用に、エネ研にいくつか在庫置いおります</t>
  </si>
  <si>
    <t>・現状、梱包・発送に5000円を積んで見積書発行いただいていると思いますが、基本は押しなべてこの枠内に収まると思います</t>
  </si>
  <si>
    <t>・運送会社の送り状の発送元は、倉庫会社となります。デリバリー中にトラブルが生じた際に窓口となっていただくためです</t>
  </si>
  <si>
    <t>・荷物には、SC社発行の送付状を付けます</t>
  </si>
  <si>
    <t>・納品書はお客様事務所に商品が到着後、freeeにて送付します</t>
  </si>
  <si>
    <t>■守秘情報</t>
  </si>
  <si>
    <t>・ニチモウ、ジェイネットコーティング・・・守秘レベル高。絶対外に出さない</t>
  </si>
  <si>
    <t>・カンボウプラス・・・プレスリリースしているので、出して問題ない</t>
  </si>
  <si>
    <t>色</t>
  </si>
  <si>
    <t>幅(m)</t>
  </si>
  <si>
    <t>在庫面積(㎡)</t>
  </si>
  <si>
    <t>SPACECOOLフィルム</t>
  </si>
  <si>
    <t>粘着加工あり</t>
  </si>
  <si>
    <t>SPACECOOLシート</t>
  </si>
  <si>
    <t>SPACECOOL不燃膜材料</t>
  </si>
  <si>
    <t>開発中、出荷希望の際はテクニカル本部長へ事前確認</t>
  </si>
  <si>
    <t>SPACECOOLフィルム強粘着</t>
  </si>
  <si>
    <t>在庫(本)</t>
    <rPh sb="0" eb="2">
      <t>ザイコ</t>
    </rPh>
    <rPh sb="3" eb="4">
      <t>ホン</t>
    </rPh>
    <phoneticPr fontId="3"/>
  </si>
  <si>
    <t>長さ(m/本)</t>
    <rPh sb="5" eb="6">
      <t>ホン</t>
    </rPh>
    <phoneticPr fontId="3"/>
  </si>
  <si>
    <t>長さ合計(m)</t>
    <rPh sb="2" eb="4">
      <t>ゴウケイ</t>
    </rPh>
    <phoneticPr fontId="3"/>
  </si>
  <si>
    <t>長さ合計(m)</t>
    <rPh sb="0" eb="1">
      <t>ナガ</t>
    </rPh>
    <rPh sb="2" eb="4">
      <t>ゴウケイ</t>
    </rPh>
    <phoneticPr fontId="3"/>
  </si>
  <si>
    <t>品名</t>
    <rPh sb="0" eb="1">
      <t>ヒン</t>
    </rPh>
    <rPh sb="1" eb="2">
      <t>メイ</t>
    </rPh>
    <phoneticPr fontId="3"/>
  </si>
  <si>
    <t>色</t>
    <rPh sb="0" eb="1">
      <t>イロ</t>
    </rPh>
    <phoneticPr fontId="3"/>
  </si>
  <si>
    <t>備考1</t>
    <rPh sb="0" eb="2">
      <t>ビコウ</t>
    </rPh>
    <phoneticPr fontId="3"/>
  </si>
  <si>
    <t>在庫表に載せない</t>
    <rPh sb="0" eb="3">
      <t>ザイコヒョウ</t>
    </rPh>
    <rPh sb="4" eb="5">
      <t>ノ</t>
    </rPh>
    <phoneticPr fontId="3"/>
  </si>
  <si>
    <t>保管用</t>
    <rPh sb="0" eb="3">
      <t>ホカンヨウ</t>
    </rPh>
    <phoneticPr fontId="3"/>
  </si>
  <si>
    <t>規格外</t>
    <rPh sb="0" eb="3">
      <t>キカクガイ</t>
    </rPh>
    <phoneticPr fontId="3"/>
  </si>
  <si>
    <t>備考3</t>
    <rPh sb="0" eb="2">
      <t>ビコウ</t>
    </rPh>
    <phoneticPr fontId="3"/>
  </si>
  <si>
    <t>備考2</t>
    <phoneticPr fontId="3"/>
  </si>
  <si>
    <t>SPACECOOLフィルム強粘着</t>
    <rPh sb="13" eb="14">
      <t>キョウ</t>
    </rPh>
    <rPh sb="14" eb="16">
      <t>ネンチャク</t>
    </rPh>
    <phoneticPr fontId="3"/>
  </si>
  <si>
    <t>鴻池PL No</t>
    <rPh sb="0" eb="2">
      <t>コウノイケ</t>
    </rPh>
    <phoneticPr fontId="3"/>
  </si>
  <si>
    <t>J22D0701-1</t>
  </si>
  <si>
    <t>J22D0701-2</t>
  </si>
  <si>
    <t>SC-3</t>
  </si>
  <si>
    <t>更新日</t>
    <rPh sb="0" eb="3">
      <t>コウシンビ</t>
    </rPh>
    <phoneticPr fontId="3"/>
  </si>
  <si>
    <t>SC-SVMT210325_1-2-A-MX-BW-25M_切り出し用</t>
    <phoneticPr fontId="3"/>
  </si>
  <si>
    <t>WM0002-MXJ-K2-220422_1-30_b</t>
  </si>
  <si>
    <t>WM0002-MXJ-K2-220422_1-38_c</t>
  </si>
  <si>
    <t>WM0002-MXJ-K2-220422_39_c</t>
  </si>
  <si>
    <t>WM0002-MXJ-K2-220422_40_c</t>
  </si>
  <si>
    <t>SM0002-MXJ-K2-220422_1-12</t>
  </si>
  <si>
    <t>SM0003-MXJ-K2-220422_1-25</t>
  </si>
  <si>
    <t>J22D0701-3</t>
    <phoneticPr fontId="3"/>
  </si>
  <si>
    <t>SC-6</t>
    <phoneticPr fontId="3"/>
  </si>
  <si>
    <t>GL109T01</t>
    <phoneticPr fontId="3"/>
  </si>
  <si>
    <t>白</t>
    <rPh sb="0" eb="1">
      <t>シロ</t>
    </rPh>
    <phoneticPr fontId="3"/>
  </si>
  <si>
    <t>SC-WHSH210325_3-2-A-CAPC-3-1</t>
    <phoneticPr fontId="3"/>
  </si>
  <si>
    <t>SC-WHSH210325_3-2-A-CAPC-3-2切り出し用</t>
    <phoneticPr fontId="3"/>
  </si>
  <si>
    <t>SC-SVSH210325_1-1-A-CAPC-6-2</t>
    <phoneticPr fontId="3"/>
  </si>
  <si>
    <t>SM0002-CAP-TP50F-20220221-2_切り出し用</t>
    <rPh sb="28" eb="29">
      <t>キ</t>
    </rPh>
    <rPh sb="30" eb="31">
      <t>ダ</t>
    </rPh>
    <rPh sb="32" eb="33">
      <t>ヨウ</t>
    </rPh>
    <phoneticPr fontId="3"/>
  </si>
  <si>
    <t>WM0002-CAP-TP50F-20220221-9_切り出し用</t>
    <rPh sb="28" eb="29">
      <t>キ</t>
    </rPh>
    <rPh sb="30" eb="31">
      <t>ダ</t>
    </rPh>
    <rPh sb="32" eb="33">
      <t>ヨウ</t>
    </rPh>
    <phoneticPr fontId="3"/>
  </si>
  <si>
    <t>GL109T05</t>
    <phoneticPr fontId="3"/>
  </si>
  <si>
    <t>FC112T02</t>
    <phoneticPr fontId="3"/>
  </si>
  <si>
    <t>GL104T07</t>
    <phoneticPr fontId="3"/>
  </si>
  <si>
    <t>WM0002-CAP-TP50F-20220425-17</t>
    <phoneticPr fontId="3"/>
  </si>
  <si>
    <t>品番</t>
    <rPh sb="0" eb="2">
      <t>ヒンバン</t>
    </rPh>
    <phoneticPr fontId="3"/>
  </si>
  <si>
    <t>SCF-A25M-ONW</t>
  </si>
  <si>
    <t>SCF-A25M-ONS</t>
  </si>
  <si>
    <t>SCM-100E-OOW</t>
  </si>
  <si>
    <t>SCM-100E-OOS</t>
  </si>
  <si>
    <t>SCM-200E-OFW</t>
  </si>
  <si>
    <t>SCM-200E-OFS</t>
  </si>
  <si>
    <t>SCM-300G-ONW</t>
  </si>
  <si>
    <t>SCM-300G-ONS</t>
  </si>
  <si>
    <t>SCM-050E-OFW</t>
  </si>
  <si>
    <t>SCM-050E-OFS</t>
  </si>
  <si>
    <t>SC-15</t>
  </si>
  <si>
    <t>GL109T05</t>
  </si>
  <si>
    <t>WHMTe0000a-CAP-KU-20211102-6</t>
    <phoneticPr fontId="3"/>
  </si>
  <si>
    <t>SM0001-7-CAP-KU-20211102-3</t>
    <phoneticPr fontId="3"/>
  </si>
  <si>
    <t>SM0001-7-CAP-GL-3</t>
    <phoneticPr fontId="3"/>
  </si>
  <si>
    <t>穴あき塩ビ</t>
    <rPh sb="0" eb="1">
      <t>アナ</t>
    </rPh>
    <rPh sb="3" eb="4">
      <t>エン</t>
    </rPh>
    <phoneticPr fontId="3"/>
  </si>
  <si>
    <t>SC-SVSH210325_1-1-A-CAPC-6-1</t>
    <phoneticPr fontId="3"/>
  </si>
  <si>
    <t>SM0001-7-CAP-GL-7</t>
    <phoneticPr fontId="3"/>
  </si>
  <si>
    <t>WM0002-CAPC-20220719-4_切り出し用</t>
    <rPh sb="23" eb="24">
      <t>キ</t>
    </rPh>
    <rPh sb="25" eb="26">
      <t>ダ</t>
    </rPh>
    <rPh sb="27" eb="28">
      <t>ヨウ</t>
    </rPh>
    <phoneticPr fontId="2"/>
  </si>
  <si>
    <t>WM0002-CAP-GL-20220719-3</t>
  </si>
  <si>
    <t>WM0002-CAP-GL-20220719-4</t>
  </si>
  <si>
    <t>WM0002-CAP-GL-20220719-5</t>
  </si>
  <si>
    <t>WM0002-CAP-GL-20220719-6</t>
  </si>
  <si>
    <t>WM0002-CAP-GL-20220719-7</t>
  </si>
  <si>
    <t>WM0002-CAP-GL-20220719-8</t>
  </si>
  <si>
    <t>WM0002-CAP-GL-20220719-9</t>
  </si>
  <si>
    <t>WM0002-CAP-GL-20220719-10_切り出し用</t>
    <rPh sb="26" eb="27">
      <t>キ</t>
    </rPh>
    <rPh sb="28" eb="29">
      <t>ダ</t>
    </rPh>
    <rPh sb="30" eb="31">
      <t>ヨウ</t>
    </rPh>
    <phoneticPr fontId="2"/>
  </si>
  <si>
    <t>GL206T09</t>
  </si>
  <si>
    <t>GL207T01</t>
  </si>
  <si>
    <t>WM0002-MXJ-K2-220422_1-20_a</t>
    <phoneticPr fontId="3"/>
  </si>
  <si>
    <t>SM0002-CAP-TP50F-20220221-1</t>
    <phoneticPr fontId="3"/>
  </si>
  <si>
    <t>WM0002-CAP-TP50F-20220221-5</t>
    <phoneticPr fontId="3"/>
  </si>
  <si>
    <t>WM0002-CAP-TP50F-20220221-6</t>
    <phoneticPr fontId="3"/>
  </si>
  <si>
    <t>GL201T07</t>
  </si>
  <si>
    <t>GL201T07</t>
    <phoneticPr fontId="3"/>
  </si>
  <si>
    <t>GL207T01</t>
    <phoneticPr fontId="3"/>
  </si>
  <si>
    <t>WM0001-1-MXJ-K2-25M_デコラティブ</t>
    <phoneticPr fontId="3"/>
  </si>
  <si>
    <t>WM0002-CAP-TP50F-20220221-5_3M</t>
    <phoneticPr fontId="3"/>
  </si>
  <si>
    <t>GL106T03</t>
  </si>
  <si>
    <t>長さ(m)</t>
    <rPh sb="0" eb="1">
      <t>ナガ</t>
    </rPh>
    <phoneticPr fontId="3"/>
  </si>
  <si>
    <t>WHMTe0000a-CAP-KU-20211102-7_切り出し用</t>
    <phoneticPr fontId="3"/>
  </si>
  <si>
    <t>WM0002-MXJ-K2-220127_1-34_a_セイリツ</t>
    <phoneticPr fontId="3"/>
  </si>
  <si>
    <t>セイリツ工業</t>
    <rPh sb="4" eb="6">
      <t>コウギョウ</t>
    </rPh>
    <phoneticPr fontId="3"/>
  </si>
  <si>
    <t>WM0001-1-MXJ-K2-25M</t>
  </si>
  <si>
    <t>セイリツ工業から返却</t>
    <rPh sb="4" eb="6">
      <t>コウギョウ</t>
    </rPh>
    <rPh sb="8" eb="10">
      <t>ヘンキャク</t>
    </rPh>
    <phoneticPr fontId="3"/>
  </si>
  <si>
    <t>9月生産のためJﾈｯﾄへ出荷</t>
    <rPh sb="1" eb="2">
      <t>ガツ</t>
    </rPh>
    <rPh sb="2" eb="4">
      <t>セイサン</t>
    </rPh>
    <rPh sb="12" eb="14">
      <t>シュッカ</t>
    </rPh>
    <phoneticPr fontId="3"/>
  </si>
  <si>
    <t>WHMT0000a-CAP-TP50F-20220425-3</t>
  </si>
  <si>
    <t>SPACECOOL膜材料</t>
    <rPh sb="9" eb="12">
      <t>マクザイリョウ</t>
    </rPh>
    <phoneticPr fontId="3"/>
  </si>
  <si>
    <t>SPACECOOL膜材料(防炎)</t>
    <rPh sb="9" eb="12">
      <t>マクザイリョウ</t>
    </rPh>
    <phoneticPr fontId="3"/>
  </si>
  <si>
    <t>SPACECOOLターポリン</t>
    <phoneticPr fontId="3"/>
  </si>
  <si>
    <t>SPACECOOL膜材料(防炎)</t>
    <rPh sb="9" eb="12">
      <t>マクザイリョウ</t>
    </rPh>
    <rPh sb="13" eb="15">
      <t>ボウエン</t>
    </rPh>
    <phoneticPr fontId="3"/>
  </si>
  <si>
    <t>ジェイトリム</t>
    <phoneticPr fontId="3"/>
  </si>
  <si>
    <t>↓膜材料_カット品梱包</t>
    <rPh sb="1" eb="4">
      <t>マクザイリョウ</t>
    </rPh>
    <rPh sb="8" eb="9">
      <t>ヒン</t>
    </rPh>
    <rPh sb="9" eb="11">
      <t>コンポウ</t>
    </rPh>
    <phoneticPr fontId="3"/>
  </si>
  <si>
    <t>■膜材料</t>
    <rPh sb="1" eb="4">
      <t>マクザイリョウ</t>
    </rPh>
    <phoneticPr fontId="3"/>
  </si>
  <si>
    <t>　　膜材料_ロール品梱包→</t>
    <rPh sb="2" eb="5">
      <t>マクザイリョウ</t>
    </rPh>
    <rPh sb="9" eb="10">
      <t>ヒン</t>
    </rPh>
    <rPh sb="10" eb="12">
      <t>コンポウ</t>
    </rPh>
    <phoneticPr fontId="3"/>
  </si>
  <si>
    <t>SM0001-7</t>
    <phoneticPr fontId="3"/>
  </si>
  <si>
    <t>J22D0701-4</t>
    <phoneticPr fontId="3"/>
  </si>
  <si>
    <t>山本運輸</t>
    <rPh sb="0" eb="4">
      <t>ヤマモトウンユ</t>
    </rPh>
    <phoneticPr fontId="3"/>
  </si>
  <si>
    <t>GL203T02</t>
  </si>
  <si>
    <t>J22I0801-02</t>
  </si>
  <si>
    <t>J22I0801-03</t>
  </si>
  <si>
    <t>J22I0801-04</t>
  </si>
  <si>
    <t>J22I0801-05</t>
  </si>
  <si>
    <t>J22I0801-06</t>
  </si>
  <si>
    <t>J22I0801-09</t>
  </si>
  <si>
    <t>J22I0801-11</t>
  </si>
  <si>
    <t>J22I0801-10</t>
  </si>
  <si>
    <t>SC-23</t>
  </si>
  <si>
    <t>SC-24</t>
  </si>
  <si>
    <t>SC-25</t>
  </si>
  <si>
    <t>SC-27</t>
  </si>
  <si>
    <t>SC-28</t>
  </si>
  <si>
    <t>SM0001-7-CAP-GL-20220830-1</t>
  </si>
  <si>
    <t>SM0001-7-CAP-GL-20220830-2</t>
  </si>
  <si>
    <t>SM0001-7-CAP-GL-20220830-3</t>
  </si>
  <si>
    <t>SM0001-7-CAP-GL-20220830-4</t>
  </si>
  <si>
    <t>WM0004-CAP-GL-20220830-5</t>
  </si>
  <si>
    <t>WM0004-CAP-GL-20220830-6</t>
  </si>
  <si>
    <t>WM0004-CAP-GL-20220830-7</t>
  </si>
  <si>
    <t>WM0004-CAP-GL-20220830-8</t>
  </si>
  <si>
    <t>WM0004-CAP-GL-20220830-9</t>
  </si>
  <si>
    <t>WM0004-CAP-GL-20220830-10</t>
  </si>
  <si>
    <t>WM0004-CAP-B-220913-1</t>
  </si>
  <si>
    <t>WM0004-CAP-B-220913-2</t>
  </si>
  <si>
    <t>WM0004-CAP-B-220913-3</t>
  </si>
  <si>
    <t>WM0004-CAP-B-220913-4</t>
  </si>
  <si>
    <t>WM0004-CAP-B-220913-5</t>
  </si>
  <si>
    <t>WM0004-CAP-B-220913-6</t>
  </si>
  <si>
    <t>WM0004-CAP-B-220913-7</t>
  </si>
  <si>
    <t>WM0004-CAP-B-220913-8</t>
  </si>
  <si>
    <t>WM0004-CAP-B-220913-9</t>
  </si>
  <si>
    <t>SM0002-CAP-B-220913-11</t>
  </si>
  <si>
    <t>SM0002-CAP-B-220913-12</t>
  </si>
  <si>
    <t>SM0002-CAP-B-220913-13</t>
  </si>
  <si>
    <t>SM0002-CAP-B-220913-14</t>
  </si>
  <si>
    <t>SM0002-CAP-B-220913-15</t>
  </si>
  <si>
    <t>SM0002-CAP-B-220913-16</t>
  </si>
  <si>
    <t>SM0002-CAP-B-220913-17</t>
  </si>
  <si>
    <t>SM0002-CAP-B-220913-18</t>
  </si>
  <si>
    <t>-</t>
    <phoneticPr fontId="3"/>
  </si>
  <si>
    <t>大杉管理</t>
    <rPh sb="0" eb="2">
      <t>オオスギ</t>
    </rPh>
    <rPh sb="2" eb="4">
      <t>カンリ</t>
    </rPh>
    <phoneticPr fontId="3"/>
  </si>
  <si>
    <t>J22I2101-01</t>
    <phoneticPr fontId="3"/>
  </si>
  <si>
    <t>大杉試作</t>
    <rPh sb="0" eb="4">
      <t>オオスギシサク</t>
    </rPh>
    <phoneticPr fontId="3"/>
  </si>
  <si>
    <t>鴻池運輸</t>
    <rPh sb="0" eb="2">
      <t>コウノイケ</t>
    </rPh>
    <rPh sb="2" eb="4">
      <t>ウンユ</t>
    </rPh>
    <phoneticPr fontId="3"/>
  </si>
  <si>
    <t>SC-29</t>
    <phoneticPr fontId="3"/>
  </si>
  <si>
    <t>J22I2101-04</t>
  </si>
  <si>
    <t>SC-30</t>
    <phoneticPr fontId="3"/>
  </si>
  <si>
    <t>J21L2201-09</t>
    <phoneticPr fontId="3"/>
  </si>
  <si>
    <t>J22I0802-01</t>
    <phoneticPr fontId="3"/>
  </si>
  <si>
    <t>SC-31</t>
    <phoneticPr fontId="3"/>
  </si>
  <si>
    <t>SC-32</t>
  </si>
  <si>
    <t>SC-32</t>
    <phoneticPr fontId="3"/>
  </si>
  <si>
    <t>3291055-005</t>
    <phoneticPr fontId="3"/>
  </si>
  <si>
    <t>E5100 38μ</t>
    <phoneticPr fontId="3"/>
  </si>
  <si>
    <t>SC-33</t>
  </si>
  <si>
    <t>WM0002-MXJ-K2-220127_1-34_a_600mm</t>
    <phoneticPr fontId="3"/>
  </si>
  <si>
    <t>WM0002-MXJ-K2-220127_1-34_a_300mm</t>
    <phoneticPr fontId="3"/>
  </si>
  <si>
    <t>WM0002-MXJ-K2-220127_1-34_a_100mm</t>
    <phoneticPr fontId="3"/>
  </si>
  <si>
    <t>WM0002-MXJ-K2-220127_1-34_a_50mm</t>
    <phoneticPr fontId="3"/>
  </si>
  <si>
    <t>幅短い</t>
    <rPh sb="0" eb="1">
      <t>ハバ</t>
    </rPh>
    <rPh sb="1" eb="2">
      <t>ミジカ</t>
    </rPh>
    <phoneticPr fontId="3"/>
  </si>
  <si>
    <t>SM0002-MXJ-K2-220127_1-36_600mm</t>
    <phoneticPr fontId="3"/>
  </si>
  <si>
    <t>SM0002-MXJ-K2-220127_1-36_300mm</t>
    <phoneticPr fontId="3"/>
  </si>
  <si>
    <t>SM0002-MXJ-K2-220127_1-36_100mm</t>
    <phoneticPr fontId="3"/>
  </si>
  <si>
    <t>SM0002-MXJ-K2-220127_1-36_50mm</t>
    <phoneticPr fontId="3"/>
  </si>
  <si>
    <t>J22I2101-03_200</t>
    <phoneticPr fontId="3"/>
  </si>
  <si>
    <t>J22I2101-03_100</t>
    <phoneticPr fontId="3"/>
  </si>
  <si>
    <t>WM0004-MXJ-K2-220713</t>
    <phoneticPr fontId="3"/>
  </si>
  <si>
    <t>エクシング</t>
    <phoneticPr fontId="3"/>
  </si>
  <si>
    <t>SM0004-MXJ-K2-220903-1_10</t>
  </si>
  <si>
    <t>SM0004-MXJ-K2-220903-11</t>
  </si>
  <si>
    <t>SM0004-MXJ-K2-220903-12</t>
  </si>
  <si>
    <t>SM0004-MXJ-K2-220903-13</t>
  </si>
  <si>
    <t>WM0004-MXJ-K2-220921-1_8_a</t>
  </si>
  <si>
    <t>WM0004-MXJ-K2-220921-9_a</t>
  </si>
  <si>
    <t>WM0004-MXJ-K2-220921-1_36_b</t>
  </si>
  <si>
    <t>WM0004-MXJ-K2-220921-37_b</t>
  </si>
  <si>
    <t>WM0004-MXJ-K2-220921-39_b</t>
  </si>
  <si>
    <t>WM0004-MXJ-K2-220921-40_b</t>
  </si>
  <si>
    <t>WM0004-MXJ-K2-220921-41_b</t>
  </si>
  <si>
    <t>WM0004-MXJ-K2-220921-42_b</t>
  </si>
  <si>
    <t>WM0004-MXJ-K2-220921-1_37_c</t>
  </si>
  <si>
    <t>WM0004-MXJ-K2-220921-38_c</t>
  </si>
  <si>
    <t>WM0004-MXJ-K2-220921-39_c</t>
  </si>
  <si>
    <t>SM0004-MXJ-K2-220921-1_39_a</t>
  </si>
  <si>
    <t>SM0004-MXJ-K2-220921-40_a</t>
  </si>
  <si>
    <t>SM0004-MXJ-K2-220921-1_38_b</t>
  </si>
  <si>
    <t>SM0004-MXJ-K2-220921-39_b</t>
  </si>
  <si>
    <t>SM0004-MXJ-K2-220921-40_b</t>
  </si>
  <si>
    <t>SM0004-MXJ-K2-220921-1_38_c</t>
  </si>
  <si>
    <t>SM0004-MXJ-K2-220921-39_c</t>
  </si>
  <si>
    <t>SM0004-MXJ-K2-220921-40_c</t>
  </si>
  <si>
    <t>SM0004-MXJ-K2-220921-41_c</t>
  </si>
  <si>
    <t>WM0004-MXJ-K2-220713-1_37</t>
  </si>
  <si>
    <t>WM0004-MXJ-K2-220713-19_40</t>
  </si>
  <si>
    <t>WM0002-MXJ-K2-220713-1_39</t>
  </si>
  <si>
    <t>SM0002-MXJ-K2-220713-36</t>
  </si>
  <si>
    <t>SM0002-MXJ-K2-220713-37</t>
  </si>
  <si>
    <t>SM0002-MXJ-K2-220713-38</t>
  </si>
  <si>
    <t>SM0002-MXJ-K2-220713-39</t>
  </si>
  <si>
    <t>SM0002-MXJ-K2-220713-41</t>
  </si>
  <si>
    <t>SM0002-MXJ-K2-220713-1_35</t>
  </si>
  <si>
    <t>WM0001-2-MXJ-K2-25M</t>
    <phoneticPr fontId="3"/>
  </si>
  <si>
    <t>WHMTe0000a-CAP-GL-8</t>
    <phoneticPr fontId="3"/>
  </si>
  <si>
    <t>WHMT0000a-CAP-TP50F-20220425-2</t>
    <phoneticPr fontId="3"/>
  </si>
  <si>
    <t>WHMTe0000a-MXJ-AS-25M_切り出し用</t>
    <phoneticPr fontId="3"/>
  </si>
  <si>
    <t>塩ビ</t>
    <rPh sb="0" eb="1">
      <t>エン</t>
    </rPh>
    <phoneticPr fontId="2"/>
  </si>
  <si>
    <t>透明</t>
    <rPh sb="0" eb="2">
      <t>トウメイ</t>
    </rPh>
    <phoneticPr fontId="2"/>
  </si>
  <si>
    <t>A6-CL-EM_20220801-2</t>
  </si>
  <si>
    <t>A6-CL-EM_20220801-5</t>
  </si>
  <si>
    <t>A6-CL-EM_20220801-6</t>
  </si>
  <si>
    <t>A6-CL-EM_20220801-7</t>
  </si>
  <si>
    <t>A6-CL-EM_20220801-8</t>
  </si>
  <si>
    <t>A6-CL-EM_20220801-9</t>
  </si>
  <si>
    <t>A6-CL-EM_20220801-10</t>
  </si>
  <si>
    <t>SC-17</t>
  </si>
  <si>
    <t>SC-18</t>
  </si>
  <si>
    <t>大杉試作(粘着フィルム)</t>
    <rPh sb="0" eb="4">
      <t>オオスギシサク</t>
    </rPh>
    <rPh sb="5" eb="7">
      <t>ネンチャク</t>
    </rPh>
    <phoneticPr fontId="3"/>
  </si>
  <si>
    <t>大杉試作(3層ラミフィルム)</t>
    <rPh sb="0" eb="4">
      <t>オオスギシサク</t>
    </rPh>
    <phoneticPr fontId="3"/>
  </si>
  <si>
    <t>大杉試作(離型紙)</t>
    <rPh sb="0" eb="4">
      <t>オオスギシサク</t>
    </rPh>
    <phoneticPr fontId="3"/>
  </si>
  <si>
    <t>大杉試作(PET_銀蒸着なし)</t>
    <rPh sb="0" eb="4">
      <t>オオスギシサク</t>
    </rPh>
    <phoneticPr fontId="3"/>
  </si>
  <si>
    <t>C16-CL-EM_20221101-1</t>
  </si>
  <si>
    <t>C16-CL-EM_20221101-2</t>
  </si>
  <si>
    <t>C16-CL-EM_20221101-3</t>
  </si>
  <si>
    <t>C16-CL-EM_20221101-4</t>
  </si>
  <si>
    <t>C16-CL-EM_20221101-5</t>
  </si>
  <si>
    <t>C16-CL-EM_20221101-6</t>
  </si>
  <si>
    <t>C16-CL-EM_20221101-7</t>
  </si>
  <si>
    <t>C16-CL-EM_20221101-8</t>
  </si>
  <si>
    <t>C16-CL-EM_20221101-9</t>
  </si>
  <si>
    <t>C16-CL-EM_20221101-10</t>
  </si>
  <si>
    <t>210220198-1</t>
  </si>
  <si>
    <t>210220198-2</t>
  </si>
  <si>
    <t>210220198-3</t>
  </si>
  <si>
    <t>210220198-4</t>
  </si>
  <si>
    <t>210220198-5</t>
  </si>
  <si>
    <t>210220198-6</t>
  </si>
  <si>
    <t>210220198-7</t>
  </si>
  <si>
    <t>210220198-8</t>
  </si>
  <si>
    <t>210220198-9</t>
  </si>
  <si>
    <t>210220198-10</t>
  </si>
  <si>
    <t>SC-34</t>
  </si>
  <si>
    <t>SC-35</t>
  </si>
  <si>
    <t>SM0001-9</t>
    <phoneticPr fontId="3"/>
  </si>
  <si>
    <t>J22F2902-06</t>
    <phoneticPr fontId="3"/>
  </si>
  <si>
    <t>PET</t>
    <phoneticPr fontId="3"/>
  </si>
  <si>
    <t>OIP221110-1</t>
  </si>
  <si>
    <t>OIP221110-2</t>
  </si>
  <si>
    <t>OIP221110-3</t>
  </si>
  <si>
    <t>OIP221110-4</t>
  </si>
  <si>
    <t>OIP221110-5</t>
  </si>
  <si>
    <t>OIP221110-6</t>
  </si>
  <si>
    <t>SC-36</t>
  </si>
  <si>
    <t>SC-37</t>
  </si>
  <si>
    <t>SC-38</t>
  </si>
  <si>
    <t>SC-39</t>
  </si>
  <si>
    <t>SC-40</t>
  </si>
  <si>
    <t>SC-41</t>
  </si>
  <si>
    <t>SC-SVMT210325_1-2-A-MX-BW-25M</t>
    <phoneticPr fontId="3"/>
  </si>
  <si>
    <t>SC-SVMT210325_4-A-MD-25M</t>
    <phoneticPr fontId="3"/>
  </si>
  <si>
    <t>SC-SVMT210325_5-A-ME-25M</t>
    <phoneticPr fontId="3"/>
  </si>
  <si>
    <t>SC-SVMT210325_5-A-MF-25M</t>
    <phoneticPr fontId="3"/>
  </si>
  <si>
    <t>SVMTe0000a-MXB-25M</t>
    <phoneticPr fontId="3"/>
  </si>
  <si>
    <t>WM0002-MXJ-K2-220127_1-32_b</t>
    <phoneticPr fontId="3"/>
  </si>
  <si>
    <t>WM0002-MXJ-K2-220127_1-18_c</t>
    <phoneticPr fontId="3"/>
  </si>
  <si>
    <t>WM0001-1-MXJ-K2-25M_切り出し用</t>
    <phoneticPr fontId="3"/>
  </si>
  <si>
    <t>ファブリック</t>
  </si>
  <si>
    <t>白</t>
    <rPh sb="0" eb="1">
      <t>シロ</t>
    </rPh>
    <phoneticPr fontId="4"/>
  </si>
  <si>
    <t>小松マテーレ</t>
    <rPh sb="0" eb="2">
      <t>コマツ</t>
    </rPh>
    <phoneticPr fontId="3"/>
  </si>
  <si>
    <t>WM0002-CAPC-20220719-3</t>
    <phoneticPr fontId="3"/>
  </si>
  <si>
    <t>J22F2902-05</t>
    <phoneticPr fontId="3"/>
  </si>
  <si>
    <t>WM0004-CAPC-202211102-1</t>
  </si>
  <si>
    <t>WM0004-CAPC-202211102-2</t>
  </si>
  <si>
    <t>WM0004-CAPC-202211102-3</t>
  </si>
  <si>
    <t>WM0004-CAPC-202211102-4</t>
  </si>
  <si>
    <t>WM0004-CAPC-202211102-5</t>
  </si>
  <si>
    <t>SM0002-CAPC-202211102-7</t>
  </si>
  <si>
    <t>SM0002-CAPC-202211102-8</t>
  </si>
  <si>
    <t>SM0002-CAPC-202211102-9</t>
  </si>
  <si>
    <t>SM0002-CAPC-202211102-10</t>
  </si>
  <si>
    <t>WM0004-CAPC-202211102-11</t>
  </si>
  <si>
    <t>WM0004-CAPC-202211102-12</t>
  </si>
  <si>
    <t>WM0004-CAPC-202211102-13</t>
  </si>
  <si>
    <t>WM0004-CAPC-202211102-14</t>
  </si>
  <si>
    <t>WM0004-CAPC-202211102-15</t>
  </si>
  <si>
    <t>WM0004-CAPC-202211102-16</t>
  </si>
  <si>
    <t>WM0004-CAPC-202211102-17</t>
  </si>
  <si>
    <t>WM0004-CAPC-202211102-18</t>
  </si>
  <si>
    <t>WM0004-CAPC-202211102-19</t>
  </si>
  <si>
    <t>WM0004-CAPC-202211102-20</t>
  </si>
  <si>
    <t>WM0002-MXJ-K2-220713-40</t>
    <phoneticPr fontId="3"/>
  </si>
  <si>
    <t>梱包情報</t>
  </si>
  <si>
    <t>重量(梱包前)</t>
  </si>
  <si>
    <t>12~13kg</t>
  </si>
  <si>
    <t>重量(梱包後)</t>
  </si>
  <si>
    <t>13~14kg</t>
  </si>
  <si>
    <t>梱包サイズ</t>
  </si>
  <si>
    <t>長1300㎜×幅235㎜×高225㎜</t>
  </si>
  <si>
    <t>円/5m以下まで</t>
    <phoneticPr fontId="3"/>
  </si>
  <si>
    <t>・CSC(カンボウプラス)5m以上（注意：保管場所から移送時間も考慮すること）</t>
    <phoneticPr fontId="3"/>
  </si>
  <si>
    <t>長さに等により変動</t>
    <rPh sb="0" eb="1">
      <t>ナガ</t>
    </rPh>
    <rPh sb="3" eb="4">
      <t>ナド</t>
    </rPh>
    <rPh sb="7" eb="9">
      <t>ヘンドウ</t>
    </rPh>
    <phoneticPr fontId="3"/>
  </si>
  <si>
    <t>機械の空き状況等で、時間がかかる場合あり</t>
    <rPh sb="0" eb="2">
      <t>キカイ</t>
    </rPh>
    <rPh sb="3" eb="4">
      <t>ア</t>
    </rPh>
    <rPh sb="5" eb="7">
      <t>ジョウキョウ</t>
    </rPh>
    <rPh sb="7" eb="8">
      <t>ナド</t>
    </rPh>
    <rPh sb="10" eb="12">
      <t>ジカン</t>
    </rPh>
    <rPh sb="16" eb="18">
      <t>バアイ</t>
    </rPh>
    <phoneticPr fontId="3"/>
  </si>
  <si>
    <t>裏：グレー</t>
    <rPh sb="0" eb="1">
      <t>ウラ</t>
    </rPh>
    <phoneticPr fontId="3"/>
  </si>
  <si>
    <t>裏：黒</t>
    <rPh sb="0" eb="1">
      <t>ウラ</t>
    </rPh>
    <rPh sb="2" eb="3">
      <t>クロ</t>
    </rPh>
    <phoneticPr fontId="3"/>
  </si>
  <si>
    <t>裏：白</t>
    <rPh sb="0" eb="1">
      <t>ウラ</t>
    </rPh>
    <rPh sb="2" eb="3">
      <t>シロ</t>
    </rPh>
    <phoneticPr fontId="3"/>
  </si>
  <si>
    <t>GL207T04</t>
    <phoneticPr fontId="3"/>
  </si>
  <si>
    <t>GL209T02</t>
    <phoneticPr fontId="3"/>
  </si>
  <si>
    <t>FC208T02</t>
    <phoneticPr fontId="3"/>
  </si>
  <si>
    <t>6号、裏地：グレー</t>
    <rPh sb="3" eb="5">
      <t>ウラジ</t>
    </rPh>
    <phoneticPr fontId="3"/>
  </si>
  <si>
    <t>KUSA、裏地：黒</t>
    <rPh sb="5" eb="7">
      <t>ウラジ</t>
    </rPh>
    <rPh sb="8" eb="9">
      <t>クロ</t>
    </rPh>
    <phoneticPr fontId="3"/>
  </si>
  <si>
    <t>C種、裏地：白</t>
    <rPh sb="6" eb="7">
      <t>シロ</t>
    </rPh>
    <phoneticPr fontId="3"/>
  </si>
  <si>
    <t>B種、裏地：白</t>
    <phoneticPr fontId="3"/>
  </si>
  <si>
    <t>裏地：白</t>
    <rPh sb="3" eb="4">
      <t>シロ</t>
    </rPh>
    <phoneticPr fontId="3"/>
  </si>
  <si>
    <t>GL208T01</t>
    <phoneticPr fontId="3"/>
  </si>
  <si>
    <t>C16-CL-EM_220614_BT70-1</t>
  </si>
  <si>
    <t>C16-CL-EM_220614_BT70-2</t>
  </si>
  <si>
    <t>C16-CL-EM_220614_BT70-3</t>
  </si>
  <si>
    <t>IN11‐15</t>
    <phoneticPr fontId="3"/>
  </si>
  <si>
    <t>IN11-15_02</t>
    <phoneticPr fontId="3"/>
  </si>
  <si>
    <t>IN11-15_03</t>
  </si>
  <si>
    <t>耐候防炎</t>
    <rPh sb="0" eb="2">
      <t>タイコウ</t>
    </rPh>
    <rPh sb="2" eb="4">
      <t>ボウエン</t>
    </rPh>
    <phoneticPr fontId="3"/>
  </si>
  <si>
    <t>SC-43</t>
    <phoneticPr fontId="3"/>
  </si>
  <si>
    <t>WM000X-CAP-TP50F-20221103-1</t>
    <phoneticPr fontId="3"/>
  </si>
  <si>
    <t>銀</t>
    <rPh sb="0" eb="1">
      <t>ギン</t>
    </rPh>
    <phoneticPr fontId="4"/>
  </si>
  <si>
    <t>C級品</t>
    <rPh sb="1" eb="3">
      <t>キュウヒン</t>
    </rPh>
    <phoneticPr fontId="3"/>
  </si>
  <si>
    <t>2本に分かれている</t>
    <rPh sb="1" eb="2">
      <t>ホン</t>
    </rPh>
    <rPh sb="3" eb="4">
      <t>ワ</t>
    </rPh>
    <phoneticPr fontId="3"/>
  </si>
  <si>
    <t>SPC1074-202212-A</t>
    <phoneticPr fontId="3"/>
  </si>
  <si>
    <t>SPC1074-202212-C</t>
    <phoneticPr fontId="3"/>
  </si>
  <si>
    <t>全体的にシワがあり</t>
    <rPh sb="0" eb="3">
      <t>ゼンタイテキ</t>
    </rPh>
    <phoneticPr fontId="2"/>
  </si>
  <si>
    <t>SPC1074_202210-A</t>
    <phoneticPr fontId="3"/>
  </si>
  <si>
    <t>SPC1074_202210-C</t>
    <phoneticPr fontId="3"/>
  </si>
  <si>
    <t>全体的に中レベルシワ有、1か所強いシワ有</t>
  </si>
  <si>
    <t>SM0002-CAP-B-220913-19</t>
    <phoneticPr fontId="3"/>
  </si>
  <si>
    <t>J23A1101-02-01</t>
  </si>
  <si>
    <t>裏面塩ビフィルム</t>
    <rPh sb="0" eb="2">
      <t>ウラメン</t>
    </rPh>
    <rPh sb="2" eb="3">
      <t>エン</t>
    </rPh>
    <phoneticPr fontId="3"/>
  </si>
  <si>
    <t>SM0003-MXJ-K2-220422_26</t>
    <phoneticPr fontId="3"/>
  </si>
  <si>
    <t>WHMTe0000a-CAP-GL-11_切り出し用</t>
    <phoneticPr fontId="3"/>
  </si>
  <si>
    <t>SM0001-7-CAP-GL-10</t>
    <phoneticPr fontId="3"/>
  </si>
  <si>
    <t>NAP230124-1</t>
    <phoneticPr fontId="3"/>
  </si>
  <si>
    <t>NAP230124-2</t>
    <phoneticPr fontId="3"/>
  </si>
  <si>
    <t>中井ロットNo：2M1506-1</t>
    <rPh sb="0" eb="2">
      <t>ナカイ</t>
    </rPh>
    <phoneticPr fontId="1"/>
  </si>
  <si>
    <t>中井ロットNo：2M1601-1</t>
    <rPh sb="0" eb="2">
      <t>ナカイ</t>
    </rPh>
    <phoneticPr fontId="1"/>
  </si>
  <si>
    <t>SC-44</t>
  </si>
  <si>
    <t>2月末加工に使用のため出荷禁止</t>
    <rPh sb="1" eb="3">
      <t>ガツマツ</t>
    </rPh>
    <rPh sb="3" eb="5">
      <t>カコウ</t>
    </rPh>
    <rPh sb="6" eb="8">
      <t>シヨウ</t>
    </rPh>
    <rPh sb="11" eb="13">
      <t>シュッカ</t>
    </rPh>
    <rPh sb="13" eb="15">
      <t>キンシ</t>
    </rPh>
    <phoneticPr fontId="3"/>
  </si>
  <si>
    <t>裏面塩ビフィルム</t>
    <rPh sb="0" eb="2">
      <t>ウラメン</t>
    </rPh>
    <rPh sb="2" eb="3">
      <t>エン</t>
    </rPh>
    <phoneticPr fontId="1"/>
  </si>
  <si>
    <t>WM0005-MAG-M04I-20230127-1</t>
  </si>
  <si>
    <t>WM0005-MAG-M04I-20230127-2</t>
  </si>
  <si>
    <t>WM0005-MAG-M04I-20230127-3</t>
  </si>
  <si>
    <t>WM0005-MAG-M04I-20230127-4</t>
  </si>
  <si>
    <t>WM0005-MAG-M04I-20230127-5</t>
  </si>
  <si>
    <t>WM0005-MAG-M04I-20230127-6</t>
  </si>
  <si>
    <t>WM0005-MAG-M04I-20230127-7</t>
  </si>
  <si>
    <t>WM0005-MAG-M04I-20230127-8</t>
  </si>
  <si>
    <t>マグネットシート（白）</t>
    <rPh sb="9" eb="10">
      <t>シロ</t>
    </rPh>
    <phoneticPr fontId="2"/>
  </si>
  <si>
    <t>2023月1月</t>
    <rPh sb="4" eb="5">
      <t>ガツ</t>
    </rPh>
    <rPh sb="6" eb="7">
      <t>ガツ</t>
    </rPh>
    <phoneticPr fontId="3"/>
  </si>
  <si>
    <t>全て研究開発費として計上</t>
    <rPh sb="0" eb="1">
      <t>スベ</t>
    </rPh>
    <rPh sb="2" eb="7">
      <t>ケンキュウカイハツヒ</t>
    </rPh>
    <rPh sb="10" eb="12">
      <t>ケイジョウ</t>
    </rPh>
    <phoneticPr fontId="3"/>
  </si>
  <si>
    <t>SC-45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</si>
</sst>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name val="Calibri"/>
      <family val="2"/>
    </font>
    <font>
      <sz val="11"/>
      <color rgb="FF1D1C1D"/>
      <name val="游ゴシック"/>
      <family val="3"/>
      <charset val="128"/>
    </font>
    <font>
      <u/>
      <sz val="11"/>
      <color rgb="FF1155CC"/>
      <name val="游ゴシック"/>
      <family val="3"/>
      <charset val="128"/>
    </font>
    <font>
      <b/>
      <sz val="11"/>
      <color indexed="81"/>
      <name val="MS P 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rgb="FFD9E2F3"/>
      </patternFill>
    </fill>
    <fill>
      <patternFill patternType="solid">
        <fgColor rgb="FFD9E1F2"/>
        <bgColor rgb="FFD9E1F2"/>
      </patternFill>
    </fill>
    <fill>
      <patternFill patternType="solid">
        <fgColor rgb="FFF8F8F8"/>
        <bgColor rgb="FFF8F8F8"/>
      </patternFill>
    </fill>
    <fill>
      <patternFill patternType="solid">
        <fgColor theme="2"/>
        <bgColor rgb="FFDEEAF6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/>
      <right style="medium">
        <color rgb="FFCCCCCC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08">
    <xf numFmtId="0" fontId="0" fillId="0" borderId="0" xfId="0">
      <alignment vertical="center"/>
    </xf>
    <xf numFmtId="0" fontId="2" fillId="0" borderId="2" xfId="0" applyFont="1" applyBorder="1" applyAlignment="1">
      <alignment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6" borderId="0" xfId="1" applyFont="1" applyFill="1" applyAlignment="1">
      <alignment vertical="center"/>
    </xf>
    <xf numFmtId="0" fontId="6" fillId="0" borderId="0" xfId="1" applyFont="1" applyAlignment="1">
      <alignment vertical="center" wrapText="1"/>
    </xf>
    <xf numFmtId="0" fontId="8" fillId="7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7" fillId="8" borderId="0" xfId="1" applyFont="1" applyFill="1" applyAlignment="1">
      <alignment vertical="center"/>
    </xf>
    <xf numFmtId="0" fontId="6" fillId="8" borderId="0" xfId="1" applyFont="1" applyFill="1" applyAlignment="1">
      <alignment vertical="center"/>
    </xf>
    <xf numFmtId="0" fontId="6" fillId="8" borderId="3" xfId="1" applyFont="1" applyFill="1" applyBorder="1" applyAlignment="1">
      <alignment vertical="center"/>
    </xf>
    <xf numFmtId="0" fontId="6" fillId="0" borderId="3" xfId="1" applyFont="1" applyBorder="1" applyAlignment="1">
      <alignment vertical="center"/>
    </xf>
    <xf numFmtId="0" fontId="5" fillId="9" borderId="3" xfId="1" applyFont="1" applyFill="1" applyBorder="1" applyAlignment="1">
      <alignment vertical="center"/>
    </xf>
    <xf numFmtId="0" fontId="7" fillId="10" borderId="0" xfId="1" applyFont="1" applyFill="1" applyAlignment="1">
      <alignment vertical="center"/>
    </xf>
    <xf numFmtId="0" fontId="6" fillId="10" borderId="0" xfId="1" applyFont="1" applyFill="1" applyAlignment="1">
      <alignment vertical="center"/>
    </xf>
    <xf numFmtId="0" fontId="6" fillId="10" borderId="3" xfId="1" applyFont="1" applyFill="1" applyBorder="1" applyAlignment="1">
      <alignment vertical="center"/>
    </xf>
    <xf numFmtId="0" fontId="7" fillId="11" borderId="0" xfId="1" applyFont="1" applyFill="1" applyAlignment="1">
      <alignment vertical="center"/>
    </xf>
    <xf numFmtId="0" fontId="6" fillId="11" borderId="0" xfId="1" applyFont="1" applyFill="1" applyAlignment="1">
      <alignment vertical="center"/>
    </xf>
    <xf numFmtId="0" fontId="6" fillId="12" borderId="0" xfId="1" applyFont="1" applyFill="1" applyAlignment="1">
      <alignment vertical="center"/>
    </xf>
    <xf numFmtId="0" fontId="11" fillId="14" borderId="0" xfId="1" applyFont="1" applyFill="1" applyAlignment="1">
      <alignment horizontal="left" vertical="center"/>
    </xf>
    <xf numFmtId="0" fontId="12" fillId="14" borderId="0" xfId="1" applyFont="1" applyFill="1" applyAlignment="1">
      <alignment horizontal="left" vertical="center"/>
    </xf>
    <xf numFmtId="0" fontId="2" fillId="0" borderId="0" xfId="2" applyFont="1" applyAlignment="1">
      <alignment vertical="center"/>
    </xf>
    <xf numFmtId="0" fontId="2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15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vertical="center"/>
    </xf>
    <xf numFmtId="0" fontId="6" fillId="3" borderId="2" xfId="2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vertical="center"/>
    </xf>
    <xf numFmtId="0" fontId="6" fillId="3" borderId="2" xfId="2" applyFont="1" applyFill="1" applyBorder="1" applyAlignment="1">
      <alignment vertical="center"/>
    </xf>
    <xf numFmtId="56" fontId="2" fillId="0" borderId="7" xfId="2" applyNumberFormat="1" applyFont="1" applyBorder="1" applyAlignment="1">
      <alignment vertical="center"/>
    </xf>
    <xf numFmtId="0" fontId="2" fillId="5" borderId="6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6" fillId="13" borderId="4" xfId="1" applyFont="1" applyFill="1" applyBorder="1" applyAlignment="1">
      <alignment vertical="center"/>
    </xf>
    <xf numFmtId="0" fontId="6" fillId="0" borderId="2" xfId="1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15" fillId="0" borderId="2" xfId="0" applyFont="1" applyBorder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>
      <alignment vertical="center"/>
    </xf>
    <xf numFmtId="55" fontId="15" fillId="0" borderId="2" xfId="0" applyNumberFormat="1" applyFont="1" applyBorder="1" applyAlignment="1">
      <alignment horizontal="center" vertical="center"/>
    </xf>
    <xf numFmtId="0" fontId="15" fillId="3" borderId="2" xfId="0" applyFont="1" applyFill="1" applyBorder="1">
      <alignment vertical="center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center" vertical="center"/>
    </xf>
    <xf numFmtId="176" fontId="15" fillId="3" borderId="2" xfId="0" applyNumberFormat="1" applyFont="1" applyFill="1" applyBorder="1">
      <alignment vertical="center"/>
    </xf>
    <xf numFmtId="0" fontId="15" fillId="3" borderId="2" xfId="0" applyFont="1" applyFill="1" applyBorder="1" applyAlignment="1">
      <alignment horizontal="right" vertical="center" wrapText="1"/>
    </xf>
    <xf numFmtId="55" fontId="15" fillId="3" borderId="2" xfId="0" applyNumberFormat="1" applyFont="1" applyFill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 wrapText="1"/>
    </xf>
    <xf numFmtId="0" fontId="15" fillId="4" borderId="2" xfId="0" applyFont="1" applyFill="1" applyBorder="1">
      <alignment vertical="center"/>
    </xf>
    <xf numFmtId="0" fontId="17" fillId="4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horizontal="right" vertical="center" wrapText="1"/>
    </xf>
    <xf numFmtId="176" fontId="15" fillId="4" borderId="2" xfId="0" applyNumberFormat="1" applyFont="1" applyFill="1" applyBorder="1">
      <alignment vertical="center"/>
    </xf>
    <xf numFmtId="55" fontId="15" fillId="4" borderId="2" xfId="0" applyNumberFormat="1" applyFont="1" applyFill="1" applyBorder="1" applyAlignment="1">
      <alignment horizontal="center" vertical="center"/>
    </xf>
    <xf numFmtId="0" fontId="15" fillId="5" borderId="2" xfId="0" applyFont="1" applyFill="1" applyBorder="1">
      <alignment vertical="center"/>
    </xf>
    <xf numFmtId="0" fontId="17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horizontal="right" vertical="center" wrapText="1"/>
    </xf>
    <xf numFmtId="176" fontId="15" fillId="5" borderId="2" xfId="0" applyNumberFormat="1" applyFont="1" applyFill="1" applyBorder="1">
      <alignment vertical="center"/>
    </xf>
    <xf numFmtId="55" fontId="15" fillId="5" borderId="2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>
      <alignment vertical="center"/>
    </xf>
    <xf numFmtId="0" fontId="18" fillId="0" borderId="2" xfId="0" applyFont="1" applyBorder="1" applyAlignment="1">
      <alignment vertical="center" wrapText="1"/>
    </xf>
    <xf numFmtId="0" fontId="15" fillId="0" borderId="5" xfId="0" applyFont="1" applyBorder="1">
      <alignment vertical="center"/>
    </xf>
    <xf numFmtId="176" fontId="15" fillId="0" borderId="5" xfId="0" applyNumberFormat="1" applyFont="1" applyBorder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 wrapText="1"/>
    </xf>
    <xf numFmtId="55" fontId="15" fillId="0" borderId="5" xfId="0" applyNumberFormat="1" applyFont="1" applyBorder="1" applyAlignment="1">
      <alignment horizontal="center" vertical="center"/>
    </xf>
    <xf numFmtId="0" fontId="15" fillId="3" borderId="5" xfId="0" applyFont="1" applyFill="1" applyBorder="1">
      <alignment vertical="center"/>
    </xf>
    <xf numFmtId="55" fontId="15" fillId="3" borderId="5" xfId="0" applyNumberFormat="1" applyFont="1" applyFill="1" applyBorder="1" applyAlignment="1">
      <alignment horizontal="center" vertical="center"/>
    </xf>
    <xf numFmtId="176" fontId="15" fillId="3" borderId="5" xfId="0" applyNumberFormat="1" applyFont="1" applyFill="1" applyBorder="1">
      <alignment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vertical="center" wrapText="1"/>
    </xf>
    <xf numFmtId="176" fontId="15" fillId="0" borderId="0" xfId="0" applyNumberFormat="1" applyFont="1">
      <alignment vertical="center"/>
    </xf>
    <xf numFmtId="0" fontId="15" fillId="0" borderId="0" xfId="0" applyFont="1" applyAlignment="1">
      <alignment horizontal="left" vertical="center"/>
    </xf>
    <xf numFmtId="0" fontId="15" fillId="17" borderId="2" xfId="0" applyFont="1" applyFill="1" applyBorder="1">
      <alignment vertical="center"/>
    </xf>
    <xf numFmtId="0" fontId="15" fillId="18" borderId="2" xfId="0" applyFont="1" applyFill="1" applyBorder="1">
      <alignment vertical="center"/>
    </xf>
    <xf numFmtId="0" fontId="15" fillId="18" borderId="2" xfId="0" applyFont="1" applyFill="1" applyBorder="1" applyAlignment="1">
      <alignment vertical="center" wrapText="1"/>
    </xf>
    <xf numFmtId="0" fontId="15" fillId="18" borderId="5" xfId="0" applyFont="1" applyFill="1" applyBorder="1">
      <alignment vertical="center"/>
    </xf>
    <xf numFmtId="176" fontId="15" fillId="18" borderId="2" xfId="0" applyNumberFormat="1" applyFont="1" applyFill="1" applyBorder="1">
      <alignment vertical="center"/>
    </xf>
    <xf numFmtId="55" fontId="15" fillId="18" borderId="2" xfId="0" applyNumberFormat="1" applyFont="1" applyFill="1" applyBorder="1" applyAlignment="1">
      <alignment horizontal="center" vertical="center"/>
    </xf>
    <xf numFmtId="0" fontId="15" fillId="18" borderId="2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176" fontId="15" fillId="18" borderId="5" xfId="0" applyNumberFormat="1" applyFont="1" applyFill="1" applyBorder="1">
      <alignment vertical="center"/>
    </xf>
    <xf numFmtId="0" fontId="15" fillId="18" borderId="2" xfId="0" applyFont="1" applyFill="1" applyBorder="1" applyAlignment="1">
      <alignment horizontal="left" vertical="center"/>
    </xf>
    <xf numFmtId="0" fontId="15" fillId="18" borderId="5" xfId="0" applyFont="1" applyFill="1" applyBorder="1" applyAlignment="1">
      <alignment horizontal="left" vertical="center"/>
    </xf>
    <xf numFmtId="0" fontId="15" fillId="2" borderId="2" xfId="0" applyFont="1" applyFill="1" applyBorder="1">
      <alignment vertical="center"/>
    </xf>
    <xf numFmtId="0" fontId="15" fillId="0" borderId="8" xfId="0" applyFont="1" applyBorder="1">
      <alignment vertical="center"/>
    </xf>
    <xf numFmtId="0" fontId="6" fillId="13" borderId="11" xfId="1" applyFont="1" applyFill="1" applyBorder="1" applyAlignment="1">
      <alignment vertical="center"/>
    </xf>
    <xf numFmtId="0" fontId="6" fillId="13" borderId="12" xfId="1" applyFont="1" applyFill="1" applyBorder="1" applyAlignment="1">
      <alignment vertical="center"/>
    </xf>
    <xf numFmtId="0" fontId="6" fillId="0" borderId="2" xfId="1" applyFont="1" applyBorder="1" applyAlignment="1">
      <alignment vertical="center"/>
    </xf>
    <xf numFmtId="0" fontId="7" fillId="9" borderId="0" xfId="1" applyFont="1" applyFill="1" applyAlignment="1">
      <alignment vertical="center"/>
    </xf>
    <xf numFmtId="0" fontId="10" fillId="0" borderId="0" xfId="1" applyFont="1" applyAlignment="1">
      <alignment vertical="center"/>
    </xf>
    <xf numFmtId="0" fontId="14" fillId="16" borderId="9" xfId="0" applyFont="1" applyFill="1" applyBorder="1" applyAlignment="1">
      <alignment vertical="center" wrapText="1"/>
    </xf>
    <xf numFmtId="0" fontId="14" fillId="16" borderId="10" xfId="0" applyFont="1" applyFill="1" applyBorder="1" applyAlignment="1">
      <alignment vertical="center" wrapText="1"/>
    </xf>
  </cellXfs>
  <cellStyles count="3">
    <cellStyle name="標準" xfId="0" builtinId="0"/>
    <cellStyle name="標準 2" xfId="1" xr:uid="{7CA4DD58-AD8A-48A9-8873-1A20B68EA7B9}"/>
    <cellStyle name="標準 3" xfId="2" xr:uid="{7AE35FCC-DA4D-4B4C-8140-CCC1D013BCD0}"/>
  </cellStyles>
  <dxfs count="20"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76" formatCode="&quot;¥&quot;#,##0_);[Red]\(&quot;¥&quot;#,##0\)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176" formatCode="&quot;¥&quot;#,##0_);[Red]\(&quot;¥&quot;#,##0\)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numFmt numFmtId="0" formatCode="General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游ゴシック"/>
        <family val="3"/>
        <charset val="128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847725</xdr:colOff>
      <xdr:row>7</xdr:row>
      <xdr:rowOff>123825</xdr:rowOff>
    </xdr:from>
    <xdr:ext cx="5457825" cy="2905125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75CDAF8A-57E1-4F37-AD90-A468F96693D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13375" y="1495425"/>
          <a:ext cx="5457825" cy="29051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33</xdr:row>
      <xdr:rowOff>57150</xdr:rowOff>
    </xdr:from>
    <xdr:ext cx="1590675" cy="2114550"/>
    <xdr:pic>
      <xdr:nvPicPr>
        <xdr:cNvPr id="3" name="image1.jpg" title="画像">
          <a:extLst>
            <a:ext uri="{FF2B5EF4-FFF2-40B4-BE49-F238E27FC236}">
              <a16:creationId xmlns:a16="http://schemas.microsoft.com/office/drawing/2014/main" id="{9C7042C0-0AD1-417C-BBE7-CD3A8E4C1DA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584700" y="6546850"/>
          <a:ext cx="1590675" cy="211455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39</xdr:row>
      <xdr:rowOff>47625</xdr:rowOff>
    </xdr:from>
    <xdr:ext cx="4629150" cy="809625"/>
    <xdr:pic>
      <xdr:nvPicPr>
        <xdr:cNvPr id="4" name="image2.png" title="画像">
          <a:extLst>
            <a:ext uri="{FF2B5EF4-FFF2-40B4-BE49-F238E27FC236}">
              <a16:creationId xmlns:a16="http://schemas.microsoft.com/office/drawing/2014/main" id="{7F21FA4C-260C-49B1-A6D8-BEB29735E18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92850" y="7686675"/>
          <a:ext cx="4629150" cy="809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711200</xdr:colOff>
      <xdr:row>68</xdr:row>
      <xdr:rowOff>39550</xdr:rowOff>
    </xdr:from>
    <xdr:to>
      <xdr:col>7</xdr:col>
      <xdr:colOff>3613150</xdr:colOff>
      <xdr:row>72</xdr:row>
      <xdr:rowOff>101599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7E8FCF0-E979-42C9-C9CD-9FC390C214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0" t="45860" r="3104" b="28758"/>
        <a:stretch/>
      </xdr:blipFill>
      <xdr:spPr>
        <a:xfrm>
          <a:off x="7004050" y="13222150"/>
          <a:ext cx="4102100" cy="830399"/>
        </a:xfrm>
        <a:prstGeom prst="rect">
          <a:avLst/>
        </a:prstGeom>
      </xdr:spPr>
    </xdr:pic>
    <xdr:clientData/>
  </xdr:twoCellAnchor>
  <xdr:twoCellAnchor editAs="oneCell">
    <xdr:from>
      <xdr:col>2</xdr:col>
      <xdr:colOff>120650</xdr:colOff>
      <xdr:row>63</xdr:row>
      <xdr:rowOff>101600</xdr:rowOff>
    </xdr:from>
    <xdr:to>
      <xdr:col>2</xdr:col>
      <xdr:colOff>2216150</xdr:colOff>
      <xdr:row>72</xdr:row>
      <xdr:rowOff>93045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66E7425-5892-4E36-B145-A7A547C458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80" t="7193" r="15931" b="15870"/>
        <a:stretch/>
      </xdr:blipFill>
      <xdr:spPr>
        <a:xfrm>
          <a:off x="1955800" y="12331700"/>
          <a:ext cx="2095500" cy="17122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0E2F5-88F1-4CE1-82E6-6B8B3FFD8ADC}" name="テーブル1" displayName="テーブル1" ref="A1:P255" totalsRowShown="0" headerRowDxfId="19" dataDxfId="17" headerRowBorderDxfId="18" tableBorderDxfId="16">
  <autoFilter ref="A1:P255" xr:uid="{13123C2B-3821-4560-8DCC-606862BC768C}">
    <filterColumn colId="10">
      <filters>
        <filter val="カンボウプラス"/>
      </filters>
    </filterColumn>
  </autoFilter>
  <tableColumns count="16">
    <tableColumn id="1" xr3:uid="{59D7A27C-7765-4557-A04D-F54CB52F1588}" name="品名" dataDxfId="15"/>
    <tableColumn id="2" xr3:uid="{59489A6C-0C22-475E-9DEF-3FBCFE2E3771}" name="色" dataDxfId="14"/>
    <tableColumn id="3" xr3:uid="{F7E1B524-DFC1-412F-9930-A631367BD676}" name="Lot" dataDxfId="13"/>
    <tableColumn id="4" xr3:uid="{8BCB8EB3-3301-4922-BD1A-C90E657DF0F5}" name="幅(m)" dataDxfId="12"/>
    <tableColumn id="5" xr3:uid="{E5B7E8BA-4E44-478E-A25B-ED6F155F16D9}" name="長さ(m)" dataDxfId="11"/>
    <tableColumn id="12" xr3:uid="{12124600-7275-48D8-A289-F68D85250E06}" name="在庫(本)" dataDxfId="10"/>
    <tableColumn id="13" xr3:uid="{BEECC970-CC1F-4948-A5BB-72A8361FEA41}" name="長さ合計(m)" dataDxfId="9"/>
    <tableColumn id="6" xr3:uid="{944368E1-E73C-4539-BC02-5019A5848854}" name="総面積(㎡)" dataDxfId="8">
      <calculatedColumnFormula>D2*テーブル1[[#This Row],[長さ合計(m)]]</calculatedColumnFormula>
    </tableColumn>
    <tableColumn id="7" xr3:uid="{6B378BFB-FD96-4D7C-B7E2-E3B69CEF776B}" name="単価(㎡)" dataDxfId="7"/>
    <tableColumn id="8" xr3:uid="{FD9DE133-0886-49ED-A896-E768659E5984}" name="原価" dataDxfId="6">
      <calculatedColumnFormula>H2*I2</calculatedColumnFormula>
    </tableColumn>
    <tableColumn id="9" xr3:uid="{FB196AC7-6870-4F92-9BFB-7086DD3DDC3A}" name="保管場所" dataDxfId="5"/>
    <tableColumn id="10" xr3:uid="{71C2D1F4-3A24-4C93-A906-CDFE8ECE7798}" name="生産月" dataDxfId="4"/>
    <tableColumn id="14" xr3:uid="{AD56F579-59C1-4354-96B3-37A0C45203B6}" name="備考1" dataDxfId="3"/>
    <tableColumn id="15" xr3:uid="{D617536D-81BD-42E3-92FD-305A88B2C168}" name="備考2" dataDxfId="2"/>
    <tableColumn id="11" xr3:uid="{4B068BE8-EA83-4167-A744-42C3FEE37406}" name="備考3" dataDxfId="1"/>
    <tableColumn id="16" xr3:uid="{ECACF2FF-CC1C-4D97-ABB4-5C363626236C}" name="鴻池PL N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MsXCxnkgtNyAxUxGiTvN6NFXr52u553d/ed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D2D1-983D-4DF7-BC77-8CB0C15457FC}">
  <sheetPr>
    <outlinePr summaryBelow="0" summaryRight="0"/>
  </sheetPr>
  <dimension ref="A1:Z1005"/>
  <sheetViews>
    <sheetView workbookViewId="0">
      <selection activeCell="E66" sqref="E66"/>
    </sheetView>
  </sheetViews>
  <sheetFormatPr defaultColWidth="13.25" defaultRowHeight="15" customHeight="1"/>
  <cols>
    <col min="1" max="1" width="10.08203125" style="4" customWidth="1"/>
    <col min="2" max="2" width="14" style="4" customWidth="1"/>
    <col min="3" max="3" width="30.08203125" style="4" customWidth="1"/>
    <col min="4" max="4" width="5.75" style="4" customWidth="1"/>
    <col min="5" max="5" width="17.1640625" style="4" customWidth="1"/>
    <col min="6" max="6" width="5.5" style="4" customWidth="1"/>
    <col min="7" max="7" width="15.75" style="4" customWidth="1"/>
    <col min="8" max="8" width="47.5" style="4" customWidth="1"/>
    <col min="9" max="26" width="12.1640625" style="4" customWidth="1"/>
    <col min="27" max="16384" width="13.25" style="4"/>
  </cols>
  <sheetData>
    <row r="1" spans="1:26" ht="15" customHeight="1">
      <c r="A1" s="2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5" t="s">
        <v>68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6" t="s">
        <v>69</v>
      </c>
      <c r="C4" s="3" t="s">
        <v>70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 t="s">
        <v>71</v>
      </c>
      <c r="C5" s="3" t="s">
        <v>72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6" t="s">
        <v>73</v>
      </c>
      <c r="C6" s="3" t="s">
        <v>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 t="s">
        <v>75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5" t="s">
        <v>76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 t="s">
        <v>77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5" t="s">
        <v>78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3"/>
      <c r="B16" s="3" t="s">
        <v>79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3"/>
      <c r="B17" s="3" t="s">
        <v>80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3"/>
      <c r="B18" s="7" t="s">
        <v>81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3"/>
      <c r="B19" s="3" t="s">
        <v>82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>
      <c r="A20" s="3"/>
      <c r="B20" s="3" t="s">
        <v>83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>
      <c r="A22" s="5" t="s">
        <v>84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>
      <c r="A23" s="3"/>
      <c r="B23" s="3" t="s">
        <v>85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>
      <c r="A24" s="3"/>
      <c r="B24" s="3" t="s">
        <v>86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>
      <c r="A25" s="3"/>
      <c r="B25" s="8" t="s">
        <v>87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3"/>
      <c r="B26" s="3" t="s">
        <v>88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3"/>
      <c r="B28" s="9" t="s">
        <v>89</v>
      </c>
      <c r="C28" s="10"/>
      <c r="D28" s="3"/>
      <c r="E28" s="11" t="s">
        <v>90</v>
      </c>
      <c r="F28" s="11" t="s">
        <v>91</v>
      </c>
      <c r="G28" s="11" t="s">
        <v>92</v>
      </c>
      <c r="H28" s="11" t="s">
        <v>93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>
      <c r="A29" s="3"/>
      <c r="B29" s="12" t="s">
        <v>94</v>
      </c>
      <c r="C29" s="12" t="s">
        <v>95</v>
      </c>
      <c r="D29" s="3"/>
      <c r="E29" s="12" t="s">
        <v>96</v>
      </c>
      <c r="F29" s="12">
        <v>22</v>
      </c>
      <c r="G29" s="12" t="s">
        <v>97</v>
      </c>
      <c r="H29" s="12" t="s">
        <v>98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>
      <c r="A30" s="3"/>
      <c r="B30" s="12" t="s">
        <v>99</v>
      </c>
      <c r="C30" s="12" t="s">
        <v>100</v>
      </c>
      <c r="D30" s="3"/>
      <c r="E30" s="12" t="s">
        <v>101</v>
      </c>
      <c r="F30" s="12">
        <v>33</v>
      </c>
      <c r="G30" s="12" t="s">
        <v>97</v>
      </c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>
      <c r="A31" s="3"/>
      <c r="B31" s="12" t="s">
        <v>102</v>
      </c>
      <c r="C31" s="12" t="s">
        <v>103</v>
      </c>
      <c r="D31" s="3"/>
      <c r="E31" s="12" t="s">
        <v>104</v>
      </c>
      <c r="F31" s="12">
        <v>1000</v>
      </c>
      <c r="G31" s="12" t="s">
        <v>97</v>
      </c>
      <c r="H31" s="12" t="s">
        <v>105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>
      <c r="A32" s="3"/>
      <c r="B32" s="12" t="s">
        <v>106</v>
      </c>
      <c r="C32" s="12" t="s">
        <v>107</v>
      </c>
      <c r="D32" s="3"/>
      <c r="E32" s="12" t="s">
        <v>108</v>
      </c>
      <c r="F32" s="12">
        <v>800</v>
      </c>
      <c r="G32" s="12" t="s">
        <v>97</v>
      </c>
      <c r="H32" s="12" t="s">
        <v>105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>
      <c r="A33" s="3"/>
      <c r="B33" s="12" t="s">
        <v>109</v>
      </c>
      <c r="C33" s="13" t="s">
        <v>110</v>
      </c>
      <c r="D33" s="3"/>
      <c r="E33" s="3" t="s">
        <v>111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>
      <c r="A34" s="3"/>
      <c r="B34" s="12" t="s">
        <v>112</v>
      </c>
      <c r="C34" s="12" t="s">
        <v>113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thickBot="1">
      <c r="A35" s="3"/>
      <c r="B35" s="12" t="s">
        <v>114</v>
      </c>
      <c r="C35" s="12" t="s">
        <v>115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>
      <c r="A36" s="3"/>
      <c r="B36" s="106" t="s">
        <v>451</v>
      </c>
      <c r="C36" s="107"/>
      <c r="D36" s="3"/>
      <c r="E36" s="3"/>
      <c r="F36" s="3"/>
      <c r="G36" s="3" t="s">
        <v>116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>
      <c r="A37" s="3"/>
      <c r="B37" s="1" t="s">
        <v>452</v>
      </c>
      <c r="C37" s="1" t="s">
        <v>453</v>
      </c>
      <c r="D37" s="3"/>
      <c r="E37" s="3"/>
      <c r="F37" s="3"/>
      <c r="G37" s="3" t="s">
        <v>117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1" t="s">
        <v>454</v>
      </c>
      <c r="C38" s="1" t="s">
        <v>455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>
      <c r="A39" s="3"/>
      <c r="B39" s="1" t="s">
        <v>456</v>
      </c>
      <c r="C39" s="1" t="s">
        <v>457</v>
      </c>
      <c r="D39" s="3"/>
      <c r="E39" s="3"/>
      <c r="F39" s="3"/>
      <c r="G39" s="3"/>
      <c r="H39" s="3" t="s">
        <v>118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>
      <c r="A41" s="3"/>
      <c r="B41" s="14" t="s">
        <v>119</v>
      </c>
      <c r="C41" s="1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>
      <c r="A42" s="3"/>
      <c r="B42" s="12" t="s">
        <v>94</v>
      </c>
      <c r="C42" s="12" t="s">
        <v>120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>
      <c r="A43" s="3"/>
      <c r="B43" s="12" t="s">
        <v>99</v>
      </c>
      <c r="C43" s="12" t="s">
        <v>121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>
      <c r="A44" s="3"/>
      <c r="B44" s="12" t="s">
        <v>102</v>
      </c>
      <c r="C44" s="12" t="s">
        <v>122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>
      <c r="A45" s="3"/>
      <c r="B45" s="12" t="s">
        <v>123</v>
      </c>
      <c r="C45" s="12" t="s">
        <v>124</v>
      </c>
      <c r="D45" s="3"/>
      <c r="E45" s="3"/>
      <c r="F45" s="3"/>
      <c r="G45" s="3"/>
      <c r="H45" s="3"/>
      <c r="I45" s="3"/>
      <c r="J45" s="3" t="s">
        <v>125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>
      <c r="A46" s="3"/>
      <c r="B46" s="12"/>
      <c r="C46" s="12" t="s">
        <v>126</v>
      </c>
      <c r="D46" s="3"/>
      <c r="E46" s="16" t="s">
        <v>90</v>
      </c>
      <c r="F46" s="16" t="s">
        <v>91</v>
      </c>
      <c r="G46" s="16" t="s">
        <v>92</v>
      </c>
      <c r="H46" s="16" t="s">
        <v>93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>
      <c r="A47" s="3"/>
      <c r="B47" s="12" t="s">
        <v>109</v>
      </c>
      <c r="C47" s="13" t="s">
        <v>110</v>
      </c>
      <c r="D47" s="3"/>
      <c r="E47" s="12" t="s">
        <v>127</v>
      </c>
      <c r="F47" s="12">
        <v>0</v>
      </c>
      <c r="G47" s="12" t="s">
        <v>97</v>
      </c>
      <c r="H47" s="12" t="s">
        <v>128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>
      <c r="A48" s="3"/>
      <c r="B48" s="12" t="s">
        <v>112</v>
      </c>
      <c r="C48" s="12" t="s">
        <v>129</v>
      </c>
      <c r="D48" s="3"/>
      <c r="E48" s="12" t="s">
        <v>130</v>
      </c>
      <c r="F48" s="12">
        <v>3890</v>
      </c>
      <c r="G48" s="12" t="s">
        <v>97</v>
      </c>
      <c r="H48" s="1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>
      <c r="A49" s="3"/>
      <c r="B49" s="12" t="s">
        <v>114</v>
      </c>
      <c r="C49" s="12" t="s">
        <v>115</v>
      </c>
      <c r="D49" s="3"/>
      <c r="E49" s="12" t="s">
        <v>131</v>
      </c>
      <c r="F49" s="12">
        <v>2000</v>
      </c>
      <c r="G49" s="12" t="s">
        <v>132</v>
      </c>
      <c r="H49" s="12" t="s">
        <v>133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>
      <c r="A51" s="5" t="s">
        <v>254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>
      <c r="A52" s="3"/>
      <c r="B52" s="3" t="s">
        <v>134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>
      <c r="A53" s="3"/>
      <c r="B53" s="8" t="s">
        <v>87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>
      <c r="A54" s="3"/>
      <c r="B54" s="3" t="s">
        <v>88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>
      <c r="A55" s="3"/>
      <c r="B55" s="3" t="s">
        <v>135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>
      <c r="A57" s="3"/>
      <c r="B57" s="17" t="s">
        <v>136</v>
      </c>
      <c r="C57" s="18"/>
      <c r="D57" s="3"/>
      <c r="E57" s="19" t="s">
        <v>459</v>
      </c>
      <c r="F57" s="19"/>
      <c r="G57" s="19"/>
      <c r="H57" s="19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 customHeight="1">
      <c r="A58" s="3"/>
      <c r="B58" s="12" t="s">
        <v>94</v>
      </c>
      <c r="C58" s="12" t="s">
        <v>137</v>
      </c>
      <c r="D58" s="3"/>
      <c r="E58" s="37" t="s">
        <v>90</v>
      </c>
      <c r="F58" s="101" t="s">
        <v>91</v>
      </c>
      <c r="G58" s="102"/>
      <c r="H58" s="37" t="s">
        <v>93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 customHeight="1">
      <c r="A59" s="3"/>
      <c r="B59" s="12" t="s">
        <v>99</v>
      </c>
      <c r="C59" s="12" t="s">
        <v>138</v>
      </c>
      <c r="D59" s="3"/>
      <c r="E59" s="38" t="s">
        <v>139</v>
      </c>
      <c r="F59" s="103" t="s">
        <v>460</v>
      </c>
      <c r="G59" s="103"/>
      <c r="H59" s="38" t="s">
        <v>461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 customHeight="1">
      <c r="A60" s="3"/>
      <c r="B60" s="12" t="s">
        <v>102</v>
      </c>
      <c r="C60" s="12" t="s">
        <v>141</v>
      </c>
      <c r="D60" s="3"/>
      <c r="E60" s="19" t="s">
        <v>143</v>
      </c>
      <c r="F60" s="19"/>
      <c r="G60" s="19"/>
      <c r="H60" s="19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 customHeight="1">
      <c r="A61" s="3"/>
      <c r="B61" s="12" t="s">
        <v>106</v>
      </c>
      <c r="C61" s="12" t="s">
        <v>142</v>
      </c>
      <c r="D61" s="3"/>
      <c r="E61" s="37" t="s">
        <v>90</v>
      </c>
      <c r="F61" s="37" t="s">
        <v>91</v>
      </c>
      <c r="G61" s="37" t="s">
        <v>92</v>
      </c>
      <c r="H61" s="37" t="s">
        <v>93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 customHeight="1">
      <c r="A62" s="3"/>
      <c r="B62" s="12" t="s">
        <v>109</v>
      </c>
      <c r="C62" s="13" t="s">
        <v>110</v>
      </c>
      <c r="D62" s="3"/>
      <c r="E62" s="38" t="s">
        <v>139</v>
      </c>
      <c r="F62" s="38">
        <v>500</v>
      </c>
      <c r="G62" s="38" t="s">
        <v>458</v>
      </c>
      <c r="H62" s="38" t="s">
        <v>140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 customHeight="1">
      <c r="A63" s="3"/>
      <c r="B63" s="12" t="s">
        <v>114</v>
      </c>
      <c r="C63" s="12" t="s">
        <v>115</v>
      </c>
      <c r="D63" s="3"/>
      <c r="E63"/>
      <c r="F63"/>
      <c r="G63"/>
      <c r="H6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>
      <c r="A64" s="3"/>
      <c r="B64" s="3"/>
      <c r="C64" s="3"/>
      <c r="D64" s="3"/>
      <c r="E64"/>
      <c r="F64"/>
      <c r="G64"/>
      <c r="H6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>
      <c r="A65" s="3"/>
      <c r="B65" s="3"/>
      <c r="C65" s="3"/>
      <c r="D65" s="3"/>
      <c r="E65"/>
      <c r="F65"/>
      <c r="G65"/>
      <c r="H6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 customHeight="1">
      <c r="A66" s="3"/>
      <c r="B66" s="3"/>
      <c r="C66" s="3"/>
      <c r="D66" s="3"/>
      <c r="E66"/>
      <c r="F66"/>
      <c r="G66"/>
      <c r="H6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>
      <c r="A67" s="3" t="s">
        <v>255</v>
      </c>
      <c r="B67" s="3"/>
      <c r="C67" s="3"/>
      <c r="D67" s="3"/>
      <c r="E67" s="3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>
      <c r="A68" s="3"/>
      <c r="B68" s="3"/>
      <c r="C68" s="3"/>
      <c r="D68" s="3"/>
      <c r="E68" s="36"/>
      <c r="F68" s="3"/>
      <c r="G68" s="3"/>
      <c r="H68" s="3" t="s">
        <v>253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>
      <c r="A69" s="3"/>
      <c r="B69" s="3"/>
      <c r="C69" s="3"/>
      <c r="D69" s="3"/>
      <c r="E69" s="3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>
      <c r="A70" s="3"/>
      <c r="B70" s="3"/>
      <c r="C70" s="3"/>
      <c r="D70" s="3"/>
      <c r="E70" s="3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>
      <c r="A71" s="3"/>
      <c r="B71" s="3"/>
      <c r="C71" s="3"/>
      <c r="D71" s="3"/>
      <c r="E71" s="3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>
      <c r="A73" s="5" t="s">
        <v>144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>
      <c r="A74" s="3"/>
      <c r="B74" s="20" t="s">
        <v>145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>
      <c r="A75" s="3"/>
      <c r="B75" s="20" t="s">
        <v>146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>
      <c r="A76" s="3"/>
      <c r="B76" s="20" t="s">
        <v>147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>
      <c r="A77" s="3"/>
      <c r="B77" s="21" t="s">
        <v>148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>
      <c r="A78" s="3"/>
      <c r="B78" s="20" t="s">
        <v>149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>
      <c r="A80" s="5" t="s">
        <v>150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>
      <c r="A81" s="3"/>
      <c r="B81" s="104" t="s">
        <v>151</v>
      </c>
      <c r="C81" s="105"/>
      <c r="D81" s="105"/>
      <c r="E81" s="10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>
      <c r="A82" s="3"/>
      <c r="B82" s="104" t="s">
        <v>152</v>
      </c>
      <c r="C82" s="105"/>
      <c r="D82" s="105"/>
      <c r="E82" s="10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5">
    <mergeCell ref="F58:G58"/>
    <mergeCell ref="F59:G59"/>
    <mergeCell ref="B81:E81"/>
    <mergeCell ref="B82:E82"/>
    <mergeCell ref="B36:C36"/>
  </mergeCells>
  <phoneticPr fontId="3"/>
  <hyperlinks>
    <hyperlink ref="B77" r:id="rId1" location="gid=1331430973" xr:uid="{ED1BFB5A-F7DE-4790-9FC0-325D52A1E26B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F0B6-DC17-4DD5-A852-005D87DCD2B8}">
  <sheetPr>
    <pageSetUpPr fitToPage="1"/>
  </sheetPr>
  <dimension ref="A1:I998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20" sqref="H20"/>
    </sheetView>
  </sheetViews>
  <sheetFormatPr defaultColWidth="13.25" defaultRowHeight="15" customHeight="1"/>
  <cols>
    <col min="1" max="1" width="26" style="22" bestFit="1" customWidth="1"/>
    <col min="2" max="2" width="16" style="22" bestFit="1" customWidth="1"/>
    <col min="3" max="3" width="14.33203125" style="22" bestFit="1" customWidth="1"/>
    <col min="4" max="4" width="8" style="22" customWidth="1"/>
    <col min="5" max="6" width="11.58203125" style="22" customWidth="1"/>
    <col min="7" max="7" width="11.75" style="22" bestFit="1" customWidth="1"/>
    <col min="8" max="8" width="12" style="22" bestFit="1" customWidth="1"/>
    <col min="9" max="9" width="47.1640625" style="22" customWidth="1"/>
    <col min="10" max="26" width="8" style="22" customWidth="1"/>
    <col min="27" max="16384" width="13.25" style="22"/>
  </cols>
  <sheetData>
    <row r="1" spans="1:9" ht="18" customHeight="1">
      <c r="A1" s="27" t="s">
        <v>166</v>
      </c>
      <c r="B1" s="27" t="s">
        <v>200</v>
      </c>
      <c r="C1" s="27" t="s">
        <v>153</v>
      </c>
      <c r="D1" s="27" t="s">
        <v>154</v>
      </c>
      <c r="E1" s="27" t="s">
        <v>163</v>
      </c>
      <c r="F1" s="27" t="s">
        <v>162</v>
      </c>
      <c r="G1" s="27" t="s">
        <v>164</v>
      </c>
      <c r="H1" s="27" t="s">
        <v>155</v>
      </c>
      <c r="I1" s="27" t="s">
        <v>93</v>
      </c>
    </row>
    <row r="2" spans="1:9" ht="18" customHeight="1">
      <c r="A2" s="23" t="s">
        <v>156</v>
      </c>
      <c r="B2" s="34" t="s">
        <v>201</v>
      </c>
      <c r="C2" s="24" t="s">
        <v>9</v>
      </c>
      <c r="D2" s="23">
        <v>1.25</v>
      </c>
      <c r="E2" s="25">
        <v>25</v>
      </c>
      <c r="F2" s="23">
        <f>SUMIFS(テーブル1[在庫(本)],テーブル1[品名],"SPACECOOLフィルム",テーブル1[色],"ホワイトマット",テーブル1[長さ(m)],"25",テーブル1[備考1],"&lt;&gt;保管用",テーブル1[備考2],"&lt;&gt;規格外")</f>
        <v>294</v>
      </c>
      <c r="G2" s="23">
        <f>SUMIFS(テーブル1[長さ合計(m)],テーブル1[品名],"SPACECOOLフィルム",テーブル1[色],"ホワイトマット",テーブル1[幅(m)],"1.25",テーブル1[備考1],"&lt;&gt;保管用",テーブル1[備考2],"&lt;&gt;規格外")</f>
        <v>6608.5999999999995</v>
      </c>
      <c r="H2" s="23">
        <f>D2*G2</f>
        <v>8260.75</v>
      </c>
      <c r="I2" s="23" t="s">
        <v>157</v>
      </c>
    </row>
    <row r="3" spans="1:9" ht="18" customHeight="1">
      <c r="A3" s="28" t="s">
        <v>156</v>
      </c>
      <c r="B3" s="35" t="s">
        <v>202</v>
      </c>
      <c r="C3" s="29" t="s">
        <v>13</v>
      </c>
      <c r="D3" s="28">
        <v>1.25</v>
      </c>
      <c r="E3" s="30">
        <v>25</v>
      </c>
      <c r="F3" s="28">
        <f>SUMIFS(テーブル1[在庫(本)],テーブル1[品名],"SPACECOOLフィルム",テーブル1[色],"シルバーマット",テーブル1[長さ(m)],"25",テーブル1[備考1],"&lt;&gt;保管用",テーブル1[備考2],"&lt;&gt;規格外")</f>
        <v>164</v>
      </c>
      <c r="G3" s="28">
        <f>SUMIFS(テーブル1[長さ合計(m)],テーブル1[品名],"SPACECOOLフィルム",テーブル1[色],"シルバーマット",テーブル1[幅(m)],"1.25",テーブル1[備考1],"&lt;&gt;保管用",テーブル1[備考2],"&lt;&gt;規格外")</f>
        <v>4222.6000000000004</v>
      </c>
      <c r="H3" s="28">
        <f t="shared" ref="H3:H15" si="0">D3*G3</f>
        <v>5278.25</v>
      </c>
      <c r="I3" s="23" t="s">
        <v>157</v>
      </c>
    </row>
    <row r="4" spans="1:9" ht="18" customHeight="1">
      <c r="A4" s="23" t="s">
        <v>158</v>
      </c>
      <c r="B4" s="34" t="s">
        <v>125</v>
      </c>
      <c r="C4" s="24" t="s">
        <v>9</v>
      </c>
      <c r="D4" s="26">
        <v>1.2050000000000001</v>
      </c>
      <c r="E4" s="23">
        <v>50</v>
      </c>
      <c r="F4" s="23">
        <f>SUMIFS(テーブル1[在庫(本)],テーブル1[品名],"SPACECOOLシート",テーブル1[色],"ホワイトマット",テーブル1[長さ(m)],"50")</f>
        <v>0</v>
      </c>
      <c r="G4" s="23">
        <f>SUMIFS(テーブル1[長さ合計(m)],テーブル1[品名],A4,テーブル1[色],C4)</f>
        <v>13.9</v>
      </c>
      <c r="H4" s="23">
        <f t="shared" si="0"/>
        <v>16.749500000000001</v>
      </c>
      <c r="I4" s="23" t="s">
        <v>469</v>
      </c>
    </row>
    <row r="5" spans="1:9" ht="18" customHeight="1">
      <c r="A5" s="28" t="s">
        <v>158</v>
      </c>
      <c r="B5" s="35" t="s">
        <v>125</v>
      </c>
      <c r="C5" s="29" t="s">
        <v>13</v>
      </c>
      <c r="D5" s="31">
        <v>1.2050000000000001</v>
      </c>
      <c r="E5" s="28">
        <v>50</v>
      </c>
      <c r="F5" s="28">
        <f>SUMIFS(テーブル1[在庫(本)],テーブル1[品名],"SPACECOOLシート",テーブル1[色],"シルバーマット",テーブル1[長さ(m)],"50")</f>
        <v>2</v>
      </c>
      <c r="G5" s="28">
        <f>SUMIFS(テーブル1[長さ合計(m)],テーブル1[品名],A5,テーブル1[色],C5)</f>
        <v>140.5</v>
      </c>
      <c r="H5" s="28">
        <f t="shared" si="0"/>
        <v>169.30250000000001</v>
      </c>
      <c r="I5" s="23" t="s">
        <v>469</v>
      </c>
    </row>
    <row r="6" spans="1:9" ht="18" customHeight="1">
      <c r="A6" s="23" t="s">
        <v>248</v>
      </c>
      <c r="B6" s="34" t="s">
        <v>203</v>
      </c>
      <c r="C6" s="24" t="s">
        <v>9</v>
      </c>
      <c r="D6" s="26">
        <v>1.0349999999999999</v>
      </c>
      <c r="E6" s="23">
        <v>50</v>
      </c>
      <c r="F6" s="23">
        <f>SUMIFS(テーブル1[在庫(本)],テーブル1[品名],"SPACECOOL膜材料",テーブル1[色],"ホワイトマット",テーブル1[長さ(m)],"50")</f>
        <v>12</v>
      </c>
      <c r="G6" s="23">
        <f>SUMIFS(テーブル1[長さ合計(m)],テーブル1[品名],A6,テーブル1[色],C6)</f>
        <v>687.8</v>
      </c>
      <c r="H6" s="23">
        <f t="shared" si="0"/>
        <v>711.87299999999993</v>
      </c>
      <c r="I6" s="23" t="s">
        <v>468</v>
      </c>
    </row>
    <row r="7" spans="1:9" ht="18" customHeight="1">
      <c r="A7" s="28" t="s">
        <v>248</v>
      </c>
      <c r="B7" s="35" t="s">
        <v>204</v>
      </c>
      <c r="C7" s="29" t="s">
        <v>13</v>
      </c>
      <c r="D7" s="31">
        <v>1.0329999999999999</v>
      </c>
      <c r="E7" s="28">
        <v>50</v>
      </c>
      <c r="F7" s="28">
        <f>SUMIFS(テーブル1[在庫(本)],テーブル1[品名],"SPACECOOL膜材料",テーブル1[色],"シルバーマット",テーブル1[長さ(m)],"50")</f>
        <v>5</v>
      </c>
      <c r="G7" s="28">
        <f>SUMIFS(テーブル1[長さ合計(m)],テーブル1[品名],A7,テーブル1[色],C7)</f>
        <v>324.8</v>
      </c>
      <c r="H7" s="28">
        <f t="shared" si="0"/>
        <v>335.51839999999999</v>
      </c>
      <c r="I7" s="23" t="s">
        <v>468</v>
      </c>
    </row>
    <row r="8" spans="1:9" ht="18" customHeight="1">
      <c r="A8" s="23" t="s">
        <v>249</v>
      </c>
      <c r="B8" s="34" t="s">
        <v>205</v>
      </c>
      <c r="C8" s="24" t="s">
        <v>9</v>
      </c>
      <c r="D8" s="26">
        <v>1.0429999999999999</v>
      </c>
      <c r="E8" s="23">
        <v>50</v>
      </c>
      <c r="F8" s="23">
        <f>SUMIFS(テーブル1[在庫(本)],テーブル1[品名],"SPACECOOL膜材料(防炎)",テーブル1[色],"ホワイトマット",テーブル1[長さ(m)],"50")</f>
        <v>14</v>
      </c>
      <c r="G8" s="23">
        <f>SUMIFS(テーブル1[長さ合計(m)],テーブル1[品名],A8,テーブル1[色],C8)</f>
        <v>862.2</v>
      </c>
      <c r="H8" s="23">
        <f t="shared" si="0"/>
        <v>899.27459999999996</v>
      </c>
      <c r="I8" s="23" t="s">
        <v>470</v>
      </c>
    </row>
    <row r="9" spans="1:9" ht="18" customHeight="1">
      <c r="A9" s="28" t="s">
        <v>249</v>
      </c>
      <c r="B9" s="35" t="s">
        <v>206</v>
      </c>
      <c r="C9" s="29" t="s">
        <v>13</v>
      </c>
      <c r="D9" s="31">
        <v>1.0429999999999999</v>
      </c>
      <c r="E9" s="28">
        <v>50</v>
      </c>
      <c r="F9" s="28">
        <f>SUMIFS(テーブル1[在庫(本)],テーブル1[品名],"SPACECOOL膜材料(防炎)",テーブル1[色],"シルバーマット",テーブル1[長さ(m)],"50")</f>
        <v>4</v>
      </c>
      <c r="G9" s="28">
        <f>SUMIFS(テーブル1[長さ合計(m)],テーブル1[品名],A9,テーブル1[色],C9)</f>
        <v>299</v>
      </c>
      <c r="H9" s="28">
        <f t="shared" si="0"/>
        <v>311.85699999999997</v>
      </c>
      <c r="I9" s="23" t="s">
        <v>470</v>
      </c>
    </row>
    <row r="10" spans="1:9" ht="18" customHeight="1">
      <c r="A10" s="23" t="s">
        <v>159</v>
      </c>
      <c r="B10" s="34" t="s">
        <v>207</v>
      </c>
      <c r="C10" s="24" t="s">
        <v>9</v>
      </c>
      <c r="D10" s="26">
        <v>1.042</v>
      </c>
      <c r="E10" s="23">
        <v>50</v>
      </c>
      <c r="F10" s="23">
        <f>SUMIFS(テーブル1[在庫(本)],テーブル1[品名],"SPACECOOL不燃膜材料",テーブル1[色],"ホワイトマット",テーブル1[長さ(m)],"50")</f>
        <v>9</v>
      </c>
      <c r="G10" s="23">
        <f>SUMIFS(テーブル1[長さ合計(m)],テーブル1[品名],A10,テーブル1[色],C10)</f>
        <v>477.7</v>
      </c>
      <c r="H10" s="23">
        <f t="shared" si="0"/>
        <v>497.76339999999999</v>
      </c>
      <c r="I10" s="23" t="s">
        <v>471</v>
      </c>
    </row>
    <row r="11" spans="1:9" ht="18" customHeight="1">
      <c r="A11" s="28" t="s">
        <v>159</v>
      </c>
      <c r="B11" s="35" t="s">
        <v>208</v>
      </c>
      <c r="C11" s="29" t="s">
        <v>13</v>
      </c>
      <c r="D11" s="31">
        <v>1.042</v>
      </c>
      <c r="E11" s="28">
        <v>50</v>
      </c>
      <c r="F11" s="28">
        <f>SUMIFS(テーブル1[在庫(本)],テーブル1[品名],"SPACECOOL不燃膜材料",テーブル1[色],"シルバーマット",テーブル1[長さ(m)],"50")</f>
        <v>6</v>
      </c>
      <c r="G11" s="28">
        <f>SUMIFS(テーブル1[長さ合計(m)],テーブル1[品名],A11,テーブル1[色],C11)</f>
        <v>450.2</v>
      </c>
      <c r="H11" s="28">
        <f t="shared" si="0"/>
        <v>469.10840000000002</v>
      </c>
      <c r="I11" s="23" t="s">
        <v>471</v>
      </c>
    </row>
    <row r="12" spans="1:9" ht="18" customHeight="1">
      <c r="A12" s="23" t="s">
        <v>250</v>
      </c>
      <c r="B12" s="34" t="s">
        <v>209</v>
      </c>
      <c r="C12" s="24" t="s">
        <v>9</v>
      </c>
      <c r="D12" s="26">
        <v>1.202</v>
      </c>
      <c r="E12" s="23">
        <v>50</v>
      </c>
      <c r="F12" s="23">
        <f>SUMIFS(テーブル1[在庫(本)],テーブル1[品名],"SPACECOOLターポリン",テーブル1[色],"ホワイトマット",テーブル1[長さ(m)],"50")</f>
        <v>1</v>
      </c>
      <c r="G12" s="23">
        <f>SUMIFS(テーブル1[長さ合計(m)],テーブル1[品名],A12,テーブル1[色],C12)</f>
        <v>179.5</v>
      </c>
      <c r="H12" s="23">
        <f t="shared" si="0"/>
        <v>215.75899999999999</v>
      </c>
      <c r="I12" s="23" t="s">
        <v>472</v>
      </c>
    </row>
    <row r="13" spans="1:9" ht="18" customHeight="1">
      <c r="A13" s="28" t="s">
        <v>250</v>
      </c>
      <c r="B13" s="35" t="s">
        <v>210</v>
      </c>
      <c r="C13" s="29" t="s">
        <v>13</v>
      </c>
      <c r="D13" s="31">
        <v>1.202</v>
      </c>
      <c r="E13" s="28">
        <v>50</v>
      </c>
      <c r="F13" s="28">
        <f>SUMIFS(テーブル1[在庫(本)],テーブル1[品名],"SPACECOOLターポリン",テーブル1[色],"シルバーマット",テーブル1[長さ(m)],"50")</f>
        <v>0</v>
      </c>
      <c r="G13" s="28">
        <f>SUMIFS(テーブル1[長さ合計(m)],テーブル1[品名],A13,テーブル1[色],C13)</f>
        <v>51</v>
      </c>
      <c r="H13" s="28">
        <f t="shared" si="0"/>
        <v>61.302</v>
      </c>
      <c r="I13" s="23" t="s">
        <v>472</v>
      </c>
    </row>
    <row r="14" spans="1:9" ht="18" customHeight="1">
      <c r="A14" s="23" t="s">
        <v>161</v>
      </c>
      <c r="B14" s="34" t="s">
        <v>125</v>
      </c>
      <c r="C14" s="24" t="s">
        <v>9</v>
      </c>
      <c r="D14" s="26">
        <v>1.25</v>
      </c>
      <c r="E14" s="23">
        <v>25</v>
      </c>
      <c r="F14" s="23">
        <f>SUMIFS(テーブル1[在庫(本)],テーブル1[品名],"SPACECOOLフィルム強粘着",テーブル1[色],"ホワイトマット",テーブル1[長さ(m)],"25")</f>
        <v>7</v>
      </c>
      <c r="G14" s="23">
        <f>SUMIFS(テーブル1[長さ合計(m)],テーブル1[品名],A14,テーブル1[色],C14)</f>
        <v>185</v>
      </c>
      <c r="H14" s="23">
        <f t="shared" si="0"/>
        <v>231.25</v>
      </c>
      <c r="I14" s="23" t="s">
        <v>160</v>
      </c>
    </row>
    <row r="15" spans="1:9" ht="18" customHeight="1">
      <c r="A15" s="28" t="s">
        <v>161</v>
      </c>
      <c r="B15" s="35" t="s">
        <v>125</v>
      </c>
      <c r="C15" s="29" t="s">
        <v>13</v>
      </c>
      <c r="D15" s="31">
        <v>1.25</v>
      </c>
      <c r="E15" s="28">
        <v>25</v>
      </c>
      <c r="F15" s="28">
        <f>SUMIFS(テーブル1[在庫(本)],テーブル1[品名],"SPACECOOLフィルム強粘着",テーブル1[色],"シルバーマット",テーブル1[長さ(m)],"25")</f>
        <v>4</v>
      </c>
      <c r="G15" s="28">
        <f>SUMIFS(テーブル1[長さ合計(m)],テーブル1[品名],A15,テーブル1[色],C15)</f>
        <v>100</v>
      </c>
      <c r="H15" s="28">
        <f t="shared" si="0"/>
        <v>125</v>
      </c>
      <c r="I15" s="23" t="s">
        <v>160</v>
      </c>
    </row>
    <row r="16" spans="1:9" ht="18" customHeight="1"/>
    <row r="17" spans="7:8" ht="18" customHeight="1"/>
    <row r="18" spans="7:8" ht="18" customHeight="1" thickBot="1"/>
    <row r="19" spans="7:8" ht="18" customHeight="1" thickBot="1">
      <c r="G19" s="33" t="s">
        <v>179</v>
      </c>
      <c r="H19" s="32">
        <v>44956</v>
      </c>
    </row>
    <row r="20" spans="7:8" ht="18" customHeight="1"/>
    <row r="21" spans="7:8" ht="18" customHeight="1"/>
    <row r="22" spans="7:8" ht="18" customHeight="1"/>
    <row r="23" spans="7:8" ht="18" customHeight="1"/>
    <row r="24" spans="7:8" ht="18" customHeight="1"/>
    <row r="25" spans="7:8" ht="18" customHeight="1"/>
    <row r="26" spans="7:8" ht="18" customHeight="1"/>
    <row r="27" spans="7:8" ht="18" customHeight="1"/>
    <row r="28" spans="7:8" ht="18" customHeight="1"/>
    <row r="29" spans="7:8" ht="18" customHeight="1"/>
    <row r="30" spans="7:8" ht="18" customHeight="1"/>
    <row r="31" spans="7:8" ht="18" customHeight="1"/>
    <row r="32" spans="7:8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</sheetData>
  <phoneticPr fontId="3"/>
  <pageMargins left="0.7" right="0.7" top="0.75" bottom="0.75" header="0" footer="0"/>
  <pageSetup paperSize="9" scale="58" orientation="landscape" r:id="rId1"/>
  <ignoredErrors>
    <ignoredError sqref="F5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213C-0CD3-4C28-8C10-12A4C5B88182}">
  <sheetPr>
    <pageSetUpPr fitToPage="1"/>
  </sheetPr>
  <dimension ref="A1:P255"/>
  <sheetViews>
    <sheetView tabSelected="1" zoomScaleNormal="100" workbookViewId="0">
      <pane xSplit="6" ySplit="1" topLeftCell="K2" activePane="bottomRight" state="frozen"/>
      <selection pane="topRight" activeCell="G1" sqref="G1"/>
      <selection pane="bottomLeft" activeCell="A2" sqref="A2"/>
      <selection pane="bottomRight" activeCell="A113" sqref="A113:XFD113"/>
    </sheetView>
  </sheetViews>
  <sheetFormatPr defaultRowHeight="16.5"/>
  <cols>
    <col min="1" max="1" width="26" style="42" bestFit="1" customWidth="1"/>
    <col min="2" max="2" width="20.4140625" style="42" customWidth="1"/>
    <col min="3" max="3" width="47.58203125" style="42" customWidth="1"/>
    <col min="4" max="4" width="9.25" style="42" customWidth="1"/>
    <col min="5" max="7" width="13.25" style="42" customWidth="1"/>
    <col min="8" max="8" width="11.4140625" style="42" customWidth="1"/>
    <col min="9" max="9" width="10" style="86" customWidth="1"/>
    <col min="10" max="10" width="11.08203125" style="42" bestFit="1" customWidth="1"/>
    <col min="11" max="11" width="14.33203125" style="42" bestFit="1" customWidth="1"/>
    <col min="12" max="12" width="12.1640625" style="42" customWidth="1"/>
    <col min="13" max="13" width="26" style="42" customWidth="1"/>
    <col min="14" max="14" width="19.33203125" style="42" bestFit="1" customWidth="1"/>
    <col min="15" max="15" width="26.58203125" style="42" bestFit="1" customWidth="1"/>
    <col min="16" max="16" width="14.1640625" style="87" bestFit="1" customWidth="1"/>
    <col min="17" max="16384" width="8.6640625" style="42"/>
  </cols>
  <sheetData>
    <row r="1" spans="1:16">
      <c r="A1" s="39" t="s">
        <v>0</v>
      </c>
      <c r="B1" s="40" t="s">
        <v>167</v>
      </c>
      <c r="C1" s="40" t="s">
        <v>1</v>
      </c>
      <c r="D1" s="40" t="s">
        <v>2</v>
      </c>
      <c r="E1" s="40" t="s">
        <v>240</v>
      </c>
      <c r="F1" s="40" t="s">
        <v>162</v>
      </c>
      <c r="G1" s="40" t="s">
        <v>165</v>
      </c>
      <c r="H1" s="40" t="s">
        <v>3</v>
      </c>
      <c r="I1" s="40" t="s">
        <v>4</v>
      </c>
      <c r="J1" s="40" t="s">
        <v>5</v>
      </c>
      <c r="K1" s="40" t="s">
        <v>6</v>
      </c>
      <c r="L1" s="40" t="s">
        <v>7</v>
      </c>
      <c r="M1" s="99" t="s">
        <v>168</v>
      </c>
      <c r="N1" s="40" t="s">
        <v>173</v>
      </c>
      <c r="O1" s="40" t="s">
        <v>172</v>
      </c>
      <c r="P1" s="41" t="s">
        <v>175</v>
      </c>
    </row>
    <row r="2" spans="1:16" hidden="1">
      <c r="A2" s="43" t="s">
        <v>8</v>
      </c>
      <c r="B2" s="44" t="s">
        <v>9</v>
      </c>
      <c r="C2" s="44" t="s">
        <v>237</v>
      </c>
      <c r="D2" s="43">
        <v>1.25</v>
      </c>
      <c r="E2" s="45">
        <f>53.8-6-17.2-15.1-8.1</f>
        <v>7.3999999999999986</v>
      </c>
      <c r="F2" s="46" t="s">
        <v>11</v>
      </c>
      <c r="G2" s="43">
        <f>テーブル1[[#This Row],[長さ(m)]]</f>
        <v>7.3999999999999986</v>
      </c>
      <c r="H2" s="43">
        <f>D2*テーブル1[[#This Row],[長さ合計(m)]]</f>
        <v>9.2499999999999982</v>
      </c>
      <c r="I2" s="47">
        <v>986.79157138412597</v>
      </c>
      <c r="J2" s="47">
        <f t="shared" ref="J2:J24" si="0">H2*I2</f>
        <v>9127.8220353031629</v>
      </c>
      <c r="K2" s="43" t="s">
        <v>10</v>
      </c>
      <c r="L2" s="48">
        <v>44440</v>
      </c>
      <c r="M2" s="43" t="s">
        <v>169</v>
      </c>
      <c r="N2" s="46"/>
      <c r="O2" s="43"/>
      <c r="P2" s="43"/>
    </row>
    <row r="3" spans="1:16" hidden="1">
      <c r="A3" s="49" t="s">
        <v>8</v>
      </c>
      <c r="B3" s="50" t="s">
        <v>13</v>
      </c>
      <c r="C3" s="50" t="s">
        <v>14</v>
      </c>
      <c r="D3" s="49">
        <v>1.2</v>
      </c>
      <c r="E3" s="51">
        <v>17.3</v>
      </c>
      <c r="F3" s="52" t="s">
        <v>11</v>
      </c>
      <c r="G3" s="49">
        <f>テーブル1[[#This Row],[長さ(m)]]</f>
        <v>17.3</v>
      </c>
      <c r="H3" s="49">
        <f>D3*テーブル1[[#This Row],[長さ合計(m)]]</f>
        <v>20.76</v>
      </c>
      <c r="I3" s="53">
        <v>500</v>
      </c>
      <c r="J3" s="53">
        <f t="shared" si="0"/>
        <v>10380</v>
      </c>
      <c r="K3" s="49" t="s">
        <v>10</v>
      </c>
      <c r="L3" s="52" t="s">
        <v>11</v>
      </c>
      <c r="M3" s="43" t="s">
        <v>169</v>
      </c>
      <c r="N3" s="46"/>
      <c r="O3" s="46" t="s">
        <v>12</v>
      </c>
      <c r="P3" s="43"/>
    </row>
    <row r="4" spans="1:16" hidden="1">
      <c r="A4" s="49" t="s">
        <v>8</v>
      </c>
      <c r="B4" s="50" t="s">
        <v>13</v>
      </c>
      <c r="C4" s="50" t="s">
        <v>15</v>
      </c>
      <c r="D4" s="49">
        <v>1.25</v>
      </c>
      <c r="E4" s="54">
        <v>25</v>
      </c>
      <c r="F4" s="52" t="s">
        <v>11</v>
      </c>
      <c r="G4" s="49">
        <f>テーブル1[[#This Row],[長さ(m)]]</f>
        <v>25</v>
      </c>
      <c r="H4" s="49">
        <f>D4*テーブル1[[#This Row],[長さ合計(m)]]</f>
        <v>31.25</v>
      </c>
      <c r="I4" s="53">
        <v>868.0267479595384</v>
      </c>
      <c r="J4" s="53">
        <f t="shared" si="0"/>
        <v>27125.835873735574</v>
      </c>
      <c r="K4" s="49" t="s">
        <v>10</v>
      </c>
      <c r="L4" s="55">
        <v>44805</v>
      </c>
      <c r="M4" s="43" t="s">
        <v>169</v>
      </c>
      <c r="N4" s="46"/>
      <c r="O4" s="43"/>
      <c r="P4" s="43"/>
    </row>
    <row r="5" spans="1:16" hidden="1">
      <c r="A5" s="49" t="s">
        <v>250</v>
      </c>
      <c r="B5" s="50" t="s">
        <v>13</v>
      </c>
      <c r="C5" s="49" t="s">
        <v>231</v>
      </c>
      <c r="D5" s="49">
        <v>1.202</v>
      </c>
      <c r="E5" s="49">
        <v>46</v>
      </c>
      <c r="F5" s="49">
        <v>1</v>
      </c>
      <c r="G5" s="49">
        <f>テーブル1[[#This Row],[長さ(m)]]*テーブル1[[#This Row],[在庫(本)]]</f>
        <v>46</v>
      </c>
      <c r="H5" s="49">
        <f>D5*テーブル1[[#This Row],[長さ合計(m)]]</f>
        <v>55.292000000000002</v>
      </c>
      <c r="I5" s="53">
        <v>1844.5235479571647</v>
      </c>
      <c r="J5" s="53">
        <f t="shared" si="0"/>
        <v>101987.39601364755</v>
      </c>
      <c r="K5" s="49" t="s">
        <v>18</v>
      </c>
      <c r="L5" s="55">
        <v>44593</v>
      </c>
      <c r="M5" s="43" t="s">
        <v>234</v>
      </c>
      <c r="N5" s="46" t="s">
        <v>464</v>
      </c>
      <c r="O5" s="43"/>
      <c r="P5" s="43"/>
    </row>
    <row r="6" spans="1:16" hidden="1">
      <c r="A6" s="49" t="s">
        <v>250</v>
      </c>
      <c r="B6" s="50" t="s">
        <v>13</v>
      </c>
      <c r="C6" s="49" t="s">
        <v>194</v>
      </c>
      <c r="D6" s="49">
        <v>1.202</v>
      </c>
      <c r="E6" s="49">
        <v>5</v>
      </c>
      <c r="F6" s="49">
        <v>1</v>
      </c>
      <c r="G6" s="49">
        <f>テーブル1[[#This Row],[長さ(m)]]*テーブル1[[#This Row],[在庫(本)]]</f>
        <v>5</v>
      </c>
      <c r="H6" s="49">
        <f>D6*テーブル1[[#This Row],[長さ合計(m)]]</f>
        <v>6.01</v>
      </c>
      <c r="I6" s="53">
        <v>1844.5235479571647</v>
      </c>
      <c r="J6" s="53">
        <f t="shared" si="0"/>
        <v>11085.586523222561</v>
      </c>
      <c r="K6" s="49" t="s">
        <v>51</v>
      </c>
      <c r="L6" s="55">
        <v>44593</v>
      </c>
      <c r="M6" s="43" t="s">
        <v>170</v>
      </c>
      <c r="N6" s="46" t="s">
        <v>464</v>
      </c>
      <c r="O6" s="43"/>
      <c r="P6" s="43"/>
    </row>
    <row r="7" spans="1:16" hidden="1">
      <c r="A7" s="43" t="s">
        <v>250</v>
      </c>
      <c r="B7" s="44" t="s">
        <v>9</v>
      </c>
      <c r="C7" s="43" t="s">
        <v>238</v>
      </c>
      <c r="D7" s="43">
        <v>1.202</v>
      </c>
      <c r="E7" s="43">
        <v>3</v>
      </c>
      <c r="F7" s="43">
        <v>1</v>
      </c>
      <c r="G7" s="43">
        <f>テーブル1[[#This Row],[長さ(m)]]*テーブル1[[#This Row],[在庫(本)]]</f>
        <v>3</v>
      </c>
      <c r="H7" s="43">
        <f>D7*テーブル1[[#This Row],[長さ合計(m)]]</f>
        <v>3.6059999999999999</v>
      </c>
      <c r="I7" s="47">
        <v>1844.5235479571647</v>
      </c>
      <c r="J7" s="47">
        <f t="shared" ref="J7" si="1">H7*I7</f>
        <v>6651.3519139335358</v>
      </c>
      <c r="K7" s="43" t="s">
        <v>18</v>
      </c>
      <c r="L7" s="48">
        <v>44593</v>
      </c>
      <c r="M7" s="43" t="s">
        <v>235</v>
      </c>
      <c r="N7" s="46" t="s">
        <v>464</v>
      </c>
      <c r="O7" s="43"/>
      <c r="P7" s="43"/>
    </row>
    <row r="8" spans="1:16" hidden="1">
      <c r="A8" s="43" t="s">
        <v>250</v>
      </c>
      <c r="B8" s="44" t="s">
        <v>9</v>
      </c>
      <c r="C8" s="43" t="s">
        <v>232</v>
      </c>
      <c r="D8" s="43">
        <v>1.202</v>
      </c>
      <c r="E8" s="43">
        <f>49-10</f>
        <v>39</v>
      </c>
      <c r="F8" s="43">
        <v>1</v>
      </c>
      <c r="G8" s="43">
        <f>テーブル1[[#This Row],[長さ(m)]]*テーブル1[[#This Row],[在庫(本)]]</f>
        <v>39</v>
      </c>
      <c r="H8" s="43">
        <f>D8*テーブル1[[#This Row],[長さ合計(m)]]</f>
        <v>46.878</v>
      </c>
      <c r="I8" s="47">
        <v>1844.5235479571647</v>
      </c>
      <c r="J8" s="47">
        <f t="shared" si="0"/>
        <v>86467.574881135966</v>
      </c>
      <c r="K8" s="43" t="s">
        <v>18</v>
      </c>
      <c r="L8" s="48">
        <v>44593</v>
      </c>
      <c r="M8" s="43" t="s">
        <v>235</v>
      </c>
      <c r="N8" s="46" t="s">
        <v>464</v>
      </c>
      <c r="O8" s="43"/>
      <c r="P8" s="43"/>
    </row>
    <row r="9" spans="1:16" hidden="1">
      <c r="A9" s="43" t="s">
        <v>250</v>
      </c>
      <c r="B9" s="44" t="s">
        <v>9</v>
      </c>
      <c r="C9" s="43" t="s">
        <v>233</v>
      </c>
      <c r="D9" s="43">
        <v>1.202</v>
      </c>
      <c r="E9" s="43">
        <v>49</v>
      </c>
      <c r="F9" s="43">
        <v>1</v>
      </c>
      <c r="G9" s="43">
        <f>テーブル1[[#This Row],[長さ(m)]]*テーブル1[[#This Row],[在庫(本)]]</f>
        <v>49</v>
      </c>
      <c r="H9" s="43">
        <f>D9*テーブル1[[#This Row],[長さ合計(m)]]</f>
        <v>58.897999999999996</v>
      </c>
      <c r="I9" s="47">
        <v>1844.5235479571647</v>
      </c>
      <c r="J9" s="47">
        <f t="shared" si="0"/>
        <v>108638.74792758108</v>
      </c>
      <c r="K9" s="43" t="s">
        <v>258</v>
      </c>
      <c r="L9" s="48">
        <v>44593</v>
      </c>
      <c r="M9" s="43" t="s">
        <v>234</v>
      </c>
      <c r="N9" s="46" t="s">
        <v>464</v>
      </c>
      <c r="O9" s="43"/>
      <c r="P9" s="43"/>
    </row>
    <row r="10" spans="1:16" hidden="1">
      <c r="A10" s="43" t="s">
        <v>250</v>
      </c>
      <c r="B10" s="44" t="s">
        <v>9</v>
      </c>
      <c r="C10" s="43" t="s">
        <v>195</v>
      </c>
      <c r="D10" s="43">
        <v>1.202</v>
      </c>
      <c r="E10" s="43">
        <v>5</v>
      </c>
      <c r="F10" s="43">
        <v>1</v>
      </c>
      <c r="G10" s="56">
        <f>テーブル1[[#This Row],[長さ(m)]]*テーブル1[[#This Row],[在庫(本)]]</f>
        <v>5</v>
      </c>
      <c r="H10" s="43">
        <f>D10*テーブル1[[#This Row],[長さ合計(m)]]</f>
        <v>6.01</v>
      </c>
      <c r="I10" s="47">
        <v>1829.0304691118606</v>
      </c>
      <c r="J10" s="47">
        <f t="shared" si="0"/>
        <v>10992.473119362281</v>
      </c>
      <c r="K10" s="43" t="s">
        <v>51</v>
      </c>
      <c r="L10" s="48">
        <v>44593</v>
      </c>
      <c r="M10" s="43" t="s">
        <v>170</v>
      </c>
      <c r="N10" s="46" t="s">
        <v>464</v>
      </c>
      <c r="O10" s="43"/>
      <c r="P10" s="43"/>
    </row>
    <row r="11" spans="1:16" hidden="1">
      <c r="A11" s="49" t="s">
        <v>248</v>
      </c>
      <c r="B11" s="50" t="s">
        <v>13</v>
      </c>
      <c r="C11" s="50" t="s">
        <v>215</v>
      </c>
      <c r="D11" s="54">
        <v>1.0329999999999999</v>
      </c>
      <c r="E11" s="54">
        <f>10</f>
        <v>10</v>
      </c>
      <c r="F11" s="54">
        <v>1</v>
      </c>
      <c r="G11" s="49">
        <f>テーブル1[[#This Row],[長さ(m)]]*テーブル1[[#This Row],[在庫(本)]]</f>
        <v>10</v>
      </c>
      <c r="H11" s="49">
        <f>D11*テーブル1[[#This Row],[長さ合計(m)]]</f>
        <v>10.329999999999998</v>
      </c>
      <c r="I11" s="53">
        <v>1955.4267856800591</v>
      </c>
      <c r="J11" s="53">
        <f t="shared" si="0"/>
        <v>20199.558696075008</v>
      </c>
      <c r="K11" s="49" t="s">
        <v>18</v>
      </c>
      <c r="L11" s="55">
        <v>44440</v>
      </c>
      <c r="M11" s="43" t="s">
        <v>189</v>
      </c>
      <c r="N11" s="57" t="s">
        <v>462</v>
      </c>
      <c r="O11" s="43"/>
      <c r="P11" s="43"/>
    </row>
    <row r="12" spans="1:16" hidden="1">
      <c r="A12" s="49" t="s">
        <v>248</v>
      </c>
      <c r="B12" s="50" t="s">
        <v>13</v>
      </c>
      <c r="C12" s="50" t="s">
        <v>19</v>
      </c>
      <c r="D12" s="54">
        <v>1.0329999999999999</v>
      </c>
      <c r="E12" s="54">
        <v>50</v>
      </c>
      <c r="F12" s="54">
        <v>1</v>
      </c>
      <c r="G12" s="49">
        <f>テーブル1[[#This Row],[長さ(m)]]*テーブル1[[#This Row],[在庫(本)]]</f>
        <v>50</v>
      </c>
      <c r="H12" s="49">
        <f>D12*テーブル1[[#This Row],[長さ合計(m)]]</f>
        <v>51.65</v>
      </c>
      <c r="I12" s="53">
        <v>1955.4267856800591</v>
      </c>
      <c r="J12" s="53">
        <f t="shared" si="0"/>
        <v>100997.79348037505</v>
      </c>
      <c r="K12" s="49" t="s">
        <v>18</v>
      </c>
      <c r="L12" s="55">
        <v>44440</v>
      </c>
      <c r="M12" s="43" t="s">
        <v>189</v>
      </c>
      <c r="N12" s="57" t="s">
        <v>462</v>
      </c>
      <c r="O12" s="43"/>
      <c r="P12" s="43"/>
    </row>
    <row r="13" spans="1:16" hidden="1">
      <c r="A13" s="49" t="s">
        <v>248</v>
      </c>
      <c r="B13" s="50" t="s">
        <v>13</v>
      </c>
      <c r="C13" s="50" t="s">
        <v>218</v>
      </c>
      <c r="D13" s="54">
        <v>1.0329999999999999</v>
      </c>
      <c r="E13" s="54">
        <v>50</v>
      </c>
      <c r="F13" s="54">
        <v>1</v>
      </c>
      <c r="G13" s="49">
        <f>テーブル1[[#This Row],[長さ(m)]]*テーブル1[[#This Row],[在庫(本)]]</f>
        <v>50</v>
      </c>
      <c r="H13" s="49">
        <f>D13*テーブル1[[#This Row],[長さ合計(m)]]</f>
        <v>51.65</v>
      </c>
      <c r="I13" s="53">
        <v>1955.4267856800591</v>
      </c>
      <c r="J13" s="53">
        <f t="shared" si="0"/>
        <v>100997.79348037505</v>
      </c>
      <c r="K13" s="49" t="s">
        <v>18</v>
      </c>
      <c r="L13" s="55">
        <v>44440</v>
      </c>
      <c r="M13" s="43" t="s">
        <v>189</v>
      </c>
      <c r="N13" s="57" t="s">
        <v>462</v>
      </c>
      <c r="O13" s="43"/>
      <c r="P13" s="43"/>
    </row>
    <row r="14" spans="1:16" hidden="1">
      <c r="A14" s="49" t="s">
        <v>20</v>
      </c>
      <c r="B14" s="50" t="s">
        <v>13</v>
      </c>
      <c r="C14" s="50" t="s">
        <v>214</v>
      </c>
      <c r="D14" s="54">
        <v>1.2050000000000001</v>
      </c>
      <c r="E14" s="54">
        <v>50</v>
      </c>
      <c r="F14" s="54">
        <v>1</v>
      </c>
      <c r="G14" s="49">
        <f>テーブル1[[#This Row],[長さ(m)]]*テーブル1[[#This Row],[在庫(本)]]</f>
        <v>50</v>
      </c>
      <c r="H14" s="49">
        <f>D14*テーブル1[[#This Row],[長さ合計(m)]]</f>
        <v>60.25</v>
      </c>
      <c r="I14" s="53">
        <v>1694.4471129068031</v>
      </c>
      <c r="J14" s="53">
        <f t="shared" si="0"/>
        <v>102090.43855263489</v>
      </c>
      <c r="K14" s="49" t="s">
        <v>18</v>
      </c>
      <c r="L14" s="55">
        <v>44501</v>
      </c>
      <c r="M14" s="43" t="s">
        <v>212</v>
      </c>
      <c r="N14" s="46" t="s">
        <v>463</v>
      </c>
      <c r="O14" s="43"/>
      <c r="P14" s="43"/>
    </row>
    <row r="15" spans="1:16" hidden="1">
      <c r="A15" s="49" t="s">
        <v>20</v>
      </c>
      <c r="B15" s="50" t="s">
        <v>13</v>
      </c>
      <c r="C15" s="50" t="s">
        <v>21</v>
      </c>
      <c r="D15" s="54">
        <v>1.2050000000000001</v>
      </c>
      <c r="E15" s="54">
        <v>50</v>
      </c>
      <c r="F15" s="54">
        <v>1</v>
      </c>
      <c r="G15" s="49">
        <f>テーブル1[[#This Row],[長さ(m)]]*テーブル1[[#This Row],[在庫(本)]]</f>
        <v>50</v>
      </c>
      <c r="H15" s="49">
        <f>D15*テーブル1[[#This Row],[長さ合計(m)]]</f>
        <v>60.25</v>
      </c>
      <c r="I15" s="53">
        <v>1694.4471129068031</v>
      </c>
      <c r="J15" s="53">
        <f t="shared" si="0"/>
        <v>102090.43855263489</v>
      </c>
      <c r="K15" s="49" t="s">
        <v>18</v>
      </c>
      <c r="L15" s="55">
        <v>44501</v>
      </c>
      <c r="M15" s="43" t="s">
        <v>212</v>
      </c>
      <c r="N15" s="46" t="s">
        <v>463</v>
      </c>
      <c r="O15" s="43"/>
      <c r="P15" s="43"/>
    </row>
    <row r="16" spans="1:16" hidden="1">
      <c r="A16" s="43" t="s">
        <v>20</v>
      </c>
      <c r="B16" s="44" t="s">
        <v>9</v>
      </c>
      <c r="C16" s="44" t="s">
        <v>213</v>
      </c>
      <c r="D16" s="58">
        <v>1.2050000000000001</v>
      </c>
      <c r="E16" s="58">
        <v>9.5</v>
      </c>
      <c r="F16" s="58">
        <v>1</v>
      </c>
      <c r="G16" s="43">
        <f>テーブル1[[#This Row],[長さ(m)]]*テーブル1[[#This Row],[在庫(本)]]</f>
        <v>9.5</v>
      </c>
      <c r="H16" s="43">
        <f>D16*テーブル1[[#This Row],[長さ合計(m)]]</f>
        <v>11.447500000000002</v>
      </c>
      <c r="I16" s="47">
        <v>1627.173279379994</v>
      </c>
      <c r="J16" s="47">
        <f t="shared" si="0"/>
        <v>18627.066115702484</v>
      </c>
      <c r="K16" s="43" t="s">
        <v>18</v>
      </c>
      <c r="L16" s="48">
        <v>44501</v>
      </c>
      <c r="M16" s="43" t="s">
        <v>196</v>
      </c>
      <c r="N16" s="46" t="s">
        <v>463</v>
      </c>
      <c r="O16" s="43"/>
      <c r="P16" s="43"/>
    </row>
    <row r="17" spans="1:16" hidden="1">
      <c r="A17" s="49" t="s">
        <v>22</v>
      </c>
      <c r="B17" s="50" t="s">
        <v>13</v>
      </c>
      <c r="C17" s="50" t="s">
        <v>23</v>
      </c>
      <c r="D17" s="54">
        <v>1.042</v>
      </c>
      <c r="E17" s="54">
        <f>42.7-2-10-1</f>
        <v>29.700000000000003</v>
      </c>
      <c r="F17" s="54">
        <v>1</v>
      </c>
      <c r="G17" s="49">
        <f>テーブル1[[#This Row],[長さ(m)]]*テーブル1[[#This Row],[在庫(本)]]</f>
        <v>29.700000000000003</v>
      </c>
      <c r="H17" s="49">
        <f>D17*テーブル1[[#This Row],[長さ合計(m)]]</f>
        <v>30.947400000000005</v>
      </c>
      <c r="I17" s="53">
        <v>3845.033368655626</v>
      </c>
      <c r="J17" s="53">
        <f t="shared" si="0"/>
        <v>118993.78567313314</v>
      </c>
      <c r="K17" s="49" t="s">
        <v>18</v>
      </c>
      <c r="L17" s="55">
        <v>44562</v>
      </c>
      <c r="M17" s="43" t="s">
        <v>197</v>
      </c>
      <c r="N17" s="46" t="s">
        <v>464</v>
      </c>
      <c r="O17" s="43"/>
      <c r="P17" s="43"/>
    </row>
    <row r="18" spans="1:16" hidden="1">
      <c r="A18" s="43" t="s">
        <v>22</v>
      </c>
      <c r="B18" s="44" t="s">
        <v>9</v>
      </c>
      <c r="C18" s="44" t="s">
        <v>24</v>
      </c>
      <c r="D18" s="58">
        <v>1.042</v>
      </c>
      <c r="E18" s="58">
        <v>6.7</v>
      </c>
      <c r="F18" s="58">
        <v>1</v>
      </c>
      <c r="G18" s="43">
        <f>テーブル1[[#This Row],[長さ(m)]]*テーブル1[[#This Row],[在庫(本)]]</f>
        <v>6.7</v>
      </c>
      <c r="H18" s="43">
        <f>D18*テーブル1[[#This Row],[長さ合計(m)]]</f>
        <v>6.9814000000000007</v>
      </c>
      <c r="I18" s="47">
        <v>3595.9646338139178</v>
      </c>
      <c r="J18" s="47">
        <f t="shared" si="0"/>
        <v>25104.867494508489</v>
      </c>
      <c r="K18" s="43" t="s">
        <v>18</v>
      </c>
      <c r="L18" s="48">
        <v>44562</v>
      </c>
      <c r="M18" s="43" t="s">
        <v>197</v>
      </c>
      <c r="N18" s="46" t="s">
        <v>464</v>
      </c>
      <c r="O18" s="43"/>
      <c r="P18" s="43"/>
    </row>
    <row r="19" spans="1:16" hidden="1">
      <c r="A19" s="43" t="s">
        <v>22</v>
      </c>
      <c r="B19" s="44" t="s">
        <v>9</v>
      </c>
      <c r="C19" s="44" t="s">
        <v>25</v>
      </c>
      <c r="D19" s="58">
        <v>1.042</v>
      </c>
      <c r="E19" s="58">
        <v>50</v>
      </c>
      <c r="F19" s="58">
        <v>1</v>
      </c>
      <c r="G19" s="43">
        <f>テーブル1[[#This Row],[長さ(m)]]*テーブル1[[#This Row],[在庫(本)]]</f>
        <v>50</v>
      </c>
      <c r="H19" s="43">
        <f>D19*テーブル1[[#This Row],[長さ合計(m)]]</f>
        <v>52.1</v>
      </c>
      <c r="I19" s="47">
        <v>3595.9646338139178</v>
      </c>
      <c r="J19" s="47">
        <f t="shared" si="0"/>
        <v>187349.75742170512</v>
      </c>
      <c r="K19" s="43" t="s">
        <v>18</v>
      </c>
      <c r="L19" s="48">
        <v>44562</v>
      </c>
      <c r="M19" s="43" t="s">
        <v>197</v>
      </c>
      <c r="N19" s="46" t="s">
        <v>464</v>
      </c>
      <c r="O19" s="43"/>
      <c r="P19" s="43"/>
    </row>
    <row r="20" spans="1:16" hidden="1">
      <c r="A20" s="43" t="s">
        <v>251</v>
      </c>
      <c r="B20" s="44" t="s">
        <v>9</v>
      </c>
      <c r="C20" s="44" t="s">
        <v>191</v>
      </c>
      <c r="D20" s="58">
        <v>1.0429999999999999</v>
      </c>
      <c r="E20" s="58">
        <v>50</v>
      </c>
      <c r="F20" s="58">
        <v>1</v>
      </c>
      <c r="G20" s="43">
        <f>テーブル1[[#This Row],[長さ(m)]]*テーブル1[[#This Row],[在庫(本)]]</f>
        <v>50</v>
      </c>
      <c r="H20" s="43">
        <f>D20*テーブル1[[#This Row],[長さ合計(m)]]</f>
        <v>52.15</v>
      </c>
      <c r="I20" s="47">
        <v>500</v>
      </c>
      <c r="J20" s="47">
        <f t="shared" si="0"/>
        <v>26075</v>
      </c>
      <c r="K20" s="43" t="s">
        <v>18</v>
      </c>
      <c r="L20" s="48">
        <v>44348</v>
      </c>
      <c r="M20" s="43" t="s">
        <v>198</v>
      </c>
      <c r="N20" s="46" t="s">
        <v>464</v>
      </c>
      <c r="O20" s="46" t="s">
        <v>12</v>
      </c>
      <c r="P20" s="43"/>
    </row>
    <row r="21" spans="1:16" hidden="1">
      <c r="A21" s="43" t="s">
        <v>251</v>
      </c>
      <c r="B21" s="44" t="s">
        <v>9</v>
      </c>
      <c r="C21" s="44" t="s">
        <v>192</v>
      </c>
      <c r="D21" s="58">
        <v>1.0429999999999999</v>
      </c>
      <c r="E21" s="58">
        <f>38-14.5-1-5-2-2</f>
        <v>13.5</v>
      </c>
      <c r="F21" s="58">
        <v>1</v>
      </c>
      <c r="G21" s="43">
        <f>テーブル1[[#This Row],[長さ(m)]]*テーブル1[[#This Row],[在庫(本)]]</f>
        <v>13.5</v>
      </c>
      <c r="H21" s="43">
        <f>D21*テーブル1[[#This Row],[長さ合計(m)]]</f>
        <v>14.080499999999999</v>
      </c>
      <c r="I21" s="47">
        <v>500</v>
      </c>
      <c r="J21" s="47">
        <f t="shared" si="0"/>
        <v>7040.2499999999991</v>
      </c>
      <c r="K21" s="43" t="s">
        <v>18</v>
      </c>
      <c r="L21" s="48">
        <v>44348</v>
      </c>
      <c r="M21" s="43" t="s">
        <v>198</v>
      </c>
      <c r="N21" s="46" t="s">
        <v>464</v>
      </c>
      <c r="O21" s="46"/>
      <c r="P21" s="43"/>
    </row>
    <row r="22" spans="1:16" hidden="1">
      <c r="A22" s="49" t="s">
        <v>251</v>
      </c>
      <c r="B22" s="50" t="s">
        <v>13</v>
      </c>
      <c r="C22" s="50" t="s">
        <v>217</v>
      </c>
      <c r="D22" s="54">
        <v>1.0329999999999999</v>
      </c>
      <c r="E22" s="54">
        <f>45-2</f>
        <v>43</v>
      </c>
      <c r="F22" s="54">
        <v>1</v>
      </c>
      <c r="G22" s="49">
        <f>テーブル1[[#This Row],[長さ(m)]]*テーブル1[[#This Row],[在庫(本)]]</f>
        <v>43</v>
      </c>
      <c r="H22" s="49">
        <f>D22*テーブル1[[#This Row],[長さ合計(m)]]</f>
        <v>44.418999999999997</v>
      </c>
      <c r="I22" s="53">
        <v>500</v>
      </c>
      <c r="J22" s="53">
        <f t="shared" si="0"/>
        <v>22209.5</v>
      </c>
      <c r="K22" s="49" t="s">
        <v>18</v>
      </c>
      <c r="L22" s="55">
        <v>44348</v>
      </c>
      <c r="M22" s="43" t="s">
        <v>198</v>
      </c>
      <c r="N22" s="46" t="s">
        <v>464</v>
      </c>
      <c r="O22" s="46"/>
      <c r="P22" s="43"/>
    </row>
    <row r="23" spans="1:16" hidden="1">
      <c r="A23" s="49" t="s">
        <v>251</v>
      </c>
      <c r="B23" s="50" t="s">
        <v>13</v>
      </c>
      <c r="C23" s="50" t="s">
        <v>193</v>
      </c>
      <c r="D23" s="54">
        <v>1.0329999999999999</v>
      </c>
      <c r="E23" s="54">
        <v>50</v>
      </c>
      <c r="F23" s="54">
        <v>1</v>
      </c>
      <c r="G23" s="49">
        <f>テーブル1[[#This Row],[長さ(m)]]*テーブル1[[#This Row],[在庫(本)]]</f>
        <v>50</v>
      </c>
      <c r="H23" s="49">
        <f>D23*テーブル1[[#This Row],[長さ合計(m)]]</f>
        <v>51.65</v>
      </c>
      <c r="I23" s="53">
        <v>500</v>
      </c>
      <c r="J23" s="53">
        <f t="shared" si="0"/>
        <v>25825</v>
      </c>
      <c r="K23" s="49" t="s">
        <v>18</v>
      </c>
      <c r="L23" s="55">
        <v>44348</v>
      </c>
      <c r="M23" s="43" t="s">
        <v>198</v>
      </c>
      <c r="N23" s="46" t="s">
        <v>464</v>
      </c>
      <c r="O23" s="46"/>
      <c r="P23" s="43"/>
    </row>
    <row r="24" spans="1:16" hidden="1">
      <c r="A24" s="59" t="s">
        <v>8</v>
      </c>
      <c r="B24" s="60" t="s">
        <v>27</v>
      </c>
      <c r="C24" s="61" t="s">
        <v>28</v>
      </c>
      <c r="D24" s="59">
        <v>1.25</v>
      </c>
      <c r="E24" s="62">
        <v>25</v>
      </c>
      <c r="F24" s="62">
        <v>5</v>
      </c>
      <c r="G24" s="59">
        <f>テーブル1[[#This Row],[長さ(m)]]*テーブル1[[#This Row],[在庫(本)]]</f>
        <v>125</v>
      </c>
      <c r="H24" s="59">
        <f>D24*テーブル1[[#This Row],[長さ合計(m)]]</f>
        <v>156.25</v>
      </c>
      <c r="I24" s="63">
        <v>1349.3787234042554</v>
      </c>
      <c r="J24" s="63">
        <f t="shared" si="0"/>
        <v>210840.42553191492</v>
      </c>
      <c r="K24" s="59" t="s">
        <v>26</v>
      </c>
      <c r="L24" s="64">
        <v>44440</v>
      </c>
      <c r="M24" s="43"/>
      <c r="N24" s="46"/>
      <c r="O24" s="43"/>
      <c r="P24" s="43"/>
    </row>
    <row r="25" spans="1:16" hidden="1">
      <c r="A25" s="65" t="s">
        <v>8</v>
      </c>
      <c r="B25" s="66" t="s">
        <v>29</v>
      </c>
      <c r="C25" s="67" t="s">
        <v>30</v>
      </c>
      <c r="D25" s="65">
        <v>1.25</v>
      </c>
      <c r="E25" s="68">
        <v>25</v>
      </c>
      <c r="F25" s="68">
        <v>7</v>
      </c>
      <c r="G25" s="65">
        <f>テーブル1[[#This Row],[長さ(m)]]*テーブル1[[#This Row],[在庫(本)]]</f>
        <v>175</v>
      </c>
      <c r="H25" s="65">
        <f>D25*テーブル1[[#This Row],[長さ合計(m)]]</f>
        <v>218.75</v>
      </c>
      <c r="I25" s="69">
        <v>1903.3305760488972</v>
      </c>
      <c r="J25" s="69">
        <f t="shared" ref="J25:J42" si="2">H25*I25</f>
        <v>416353.56351069629</v>
      </c>
      <c r="K25" s="65" t="s">
        <v>26</v>
      </c>
      <c r="L25" s="70">
        <v>44440</v>
      </c>
      <c r="M25" s="43"/>
      <c r="N25" s="46"/>
      <c r="O25" s="43"/>
      <c r="P25" s="43"/>
    </row>
    <row r="26" spans="1:16" hidden="1">
      <c r="A26" s="65" t="s">
        <v>8</v>
      </c>
      <c r="B26" s="66" t="s">
        <v>29</v>
      </c>
      <c r="C26" s="67" t="s">
        <v>31</v>
      </c>
      <c r="D26" s="65">
        <v>1.25</v>
      </c>
      <c r="E26" s="68">
        <v>18</v>
      </c>
      <c r="F26" s="67">
        <v>1</v>
      </c>
      <c r="G26" s="65">
        <f>テーブル1[[#This Row],[長さ(m)]]*テーブル1[[#This Row],[在庫(本)]]</f>
        <v>18</v>
      </c>
      <c r="H26" s="65">
        <f>D26*テーブル1[[#This Row],[長さ合計(m)]]</f>
        <v>22.5</v>
      </c>
      <c r="I26" s="69">
        <v>1903.3305760488972</v>
      </c>
      <c r="J26" s="69">
        <f t="shared" si="2"/>
        <v>42824.937961100186</v>
      </c>
      <c r="K26" s="65" t="s">
        <v>26</v>
      </c>
      <c r="L26" s="70">
        <v>44440</v>
      </c>
      <c r="M26" s="43"/>
      <c r="N26" s="46"/>
      <c r="O26" s="43"/>
      <c r="P26" s="43"/>
    </row>
    <row r="27" spans="1:16" hidden="1">
      <c r="A27" s="49" t="s">
        <v>8</v>
      </c>
      <c r="B27" s="50" t="s">
        <v>13</v>
      </c>
      <c r="C27" s="50" t="s">
        <v>32</v>
      </c>
      <c r="D27" s="49">
        <v>1.25</v>
      </c>
      <c r="E27" s="54">
        <v>15</v>
      </c>
      <c r="F27" s="54">
        <v>1</v>
      </c>
      <c r="G27" s="54">
        <f>テーブル1[[#This Row],[長さ(m)]]*テーブル1[[#This Row],[在庫(本)]]</f>
        <v>15</v>
      </c>
      <c r="H27" s="49">
        <f>D27*テーブル1[[#This Row],[長さ合計(m)]]</f>
        <v>18.75</v>
      </c>
      <c r="I27" s="53">
        <v>980.99865295983977</v>
      </c>
      <c r="J27" s="53">
        <f t="shared" si="2"/>
        <v>18393.724742996998</v>
      </c>
      <c r="K27" s="49" t="s">
        <v>16</v>
      </c>
      <c r="L27" s="55">
        <v>44593</v>
      </c>
      <c r="M27" s="43"/>
      <c r="N27" s="46"/>
      <c r="O27" s="43"/>
      <c r="P27" s="43"/>
    </row>
    <row r="28" spans="1:16" hidden="1">
      <c r="A28" s="49" t="s">
        <v>8</v>
      </c>
      <c r="B28" s="50" t="s">
        <v>13</v>
      </c>
      <c r="C28" s="50" t="s">
        <v>33</v>
      </c>
      <c r="D28" s="49">
        <v>1.25</v>
      </c>
      <c r="E28" s="54">
        <v>23</v>
      </c>
      <c r="F28" s="54">
        <v>1</v>
      </c>
      <c r="G28" s="54">
        <f>テーブル1[[#This Row],[長さ(m)]]*テーブル1[[#This Row],[在庫(本)]]</f>
        <v>23</v>
      </c>
      <c r="H28" s="49">
        <f>D28*テーブル1[[#This Row],[長さ合計(m)]]</f>
        <v>28.75</v>
      </c>
      <c r="I28" s="53">
        <v>980.99865295983977</v>
      </c>
      <c r="J28" s="53">
        <f t="shared" si="2"/>
        <v>28203.711272595392</v>
      </c>
      <c r="K28" s="49" t="s">
        <v>16</v>
      </c>
      <c r="L28" s="55">
        <v>44593</v>
      </c>
      <c r="M28" s="43"/>
      <c r="N28" s="46"/>
      <c r="O28" s="43"/>
      <c r="P28" s="43"/>
    </row>
    <row r="29" spans="1:16" hidden="1">
      <c r="A29" s="43" t="s">
        <v>8</v>
      </c>
      <c r="B29" s="44" t="s">
        <v>9</v>
      </c>
      <c r="C29" s="44" t="s">
        <v>242</v>
      </c>
      <c r="D29" s="43">
        <v>1.25</v>
      </c>
      <c r="E29" s="58">
        <v>25</v>
      </c>
      <c r="F29" s="58"/>
      <c r="G29" s="58">
        <f>250-85.3</f>
        <v>164.7</v>
      </c>
      <c r="H29" s="43">
        <f>D29*テーブル1[[#This Row],[長さ合計(m)]]</f>
        <v>205.875</v>
      </c>
      <c r="I29" s="47">
        <v>991.44394343082831</v>
      </c>
      <c r="J29" s="47">
        <f t="shared" ref="J29" si="3">H29*I29</f>
        <v>204113.52185382179</v>
      </c>
      <c r="K29" s="43" t="s">
        <v>243</v>
      </c>
      <c r="L29" s="48">
        <v>44593</v>
      </c>
      <c r="M29" s="43"/>
      <c r="N29" s="46"/>
      <c r="O29" s="43"/>
      <c r="P29" s="43"/>
    </row>
    <row r="30" spans="1:16" hidden="1">
      <c r="A30" s="43" t="s">
        <v>8</v>
      </c>
      <c r="B30" s="44" t="s">
        <v>9</v>
      </c>
      <c r="C30" s="44" t="s">
        <v>423</v>
      </c>
      <c r="D30" s="43">
        <v>1.25</v>
      </c>
      <c r="E30" s="58">
        <v>25</v>
      </c>
      <c r="F30" s="58">
        <f>26-1-1</f>
        <v>24</v>
      </c>
      <c r="G30" s="58">
        <f>テーブル1[[#This Row],[長さ(m)]]*テーブル1[[#This Row],[在庫(本)]]</f>
        <v>600</v>
      </c>
      <c r="H30" s="43">
        <f>D30*テーブル1[[#This Row],[長さ合計(m)]]</f>
        <v>750</v>
      </c>
      <c r="I30" s="47">
        <v>991.44394343082831</v>
      </c>
      <c r="J30" s="47">
        <f t="shared" si="2"/>
        <v>743582.95757312118</v>
      </c>
      <c r="K30" s="43" t="s">
        <v>26</v>
      </c>
      <c r="L30" s="48">
        <v>44593</v>
      </c>
      <c r="M30" s="43"/>
      <c r="N30" s="46"/>
      <c r="O30" s="43"/>
      <c r="P30" s="43"/>
    </row>
    <row r="31" spans="1:16" hidden="1">
      <c r="A31" s="43" t="s">
        <v>8</v>
      </c>
      <c r="B31" s="44" t="s">
        <v>9</v>
      </c>
      <c r="C31" s="44" t="s">
        <v>424</v>
      </c>
      <c r="D31" s="43">
        <v>1.25</v>
      </c>
      <c r="E31" s="58">
        <v>25</v>
      </c>
      <c r="F31" s="58">
        <v>18</v>
      </c>
      <c r="G31" s="58">
        <f>テーブル1[[#This Row],[長さ(m)]]*テーブル1[[#This Row],[在庫(本)]]</f>
        <v>450</v>
      </c>
      <c r="H31" s="43">
        <f>D31*テーブル1[[#This Row],[長さ合計(m)]]</f>
        <v>562.5</v>
      </c>
      <c r="I31" s="47">
        <v>991.44394343082831</v>
      </c>
      <c r="J31" s="47">
        <f t="shared" si="2"/>
        <v>557687.21817984094</v>
      </c>
      <c r="K31" s="43" t="s">
        <v>26</v>
      </c>
      <c r="L31" s="48">
        <v>44593</v>
      </c>
      <c r="M31" s="43"/>
      <c r="N31" s="46"/>
      <c r="O31" s="43"/>
      <c r="P31" s="43"/>
    </row>
    <row r="32" spans="1:16" hidden="1">
      <c r="A32" s="49" t="s">
        <v>174</v>
      </c>
      <c r="B32" s="50" t="s">
        <v>13</v>
      </c>
      <c r="C32" s="50" t="s">
        <v>34</v>
      </c>
      <c r="D32" s="49">
        <v>1.25</v>
      </c>
      <c r="E32" s="54">
        <v>25</v>
      </c>
      <c r="F32" s="54">
        <v>4</v>
      </c>
      <c r="G32" s="54">
        <f>テーブル1[[#This Row],[長さ(m)]]*テーブル1[[#This Row],[在庫(本)]]</f>
        <v>100</v>
      </c>
      <c r="H32" s="49">
        <f>D32*テーブル1[[#This Row],[長さ合計(m)]]</f>
        <v>125</v>
      </c>
      <c r="I32" s="53">
        <v>2761.6622125146446</v>
      </c>
      <c r="J32" s="53">
        <f t="shared" si="2"/>
        <v>345207.77656433056</v>
      </c>
      <c r="K32" s="49" t="s">
        <v>26</v>
      </c>
      <c r="L32" s="55">
        <v>44621</v>
      </c>
      <c r="M32" s="43"/>
      <c r="N32" s="46"/>
      <c r="O32" s="43"/>
      <c r="P32" s="43"/>
    </row>
    <row r="33" spans="1:16" hidden="1">
      <c r="A33" s="43" t="s">
        <v>174</v>
      </c>
      <c r="B33" s="44" t="s">
        <v>9</v>
      </c>
      <c r="C33" s="44" t="s">
        <v>35</v>
      </c>
      <c r="D33" s="43">
        <v>1.25</v>
      </c>
      <c r="E33" s="58">
        <v>25</v>
      </c>
      <c r="F33" s="58">
        <v>7</v>
      </c>
      <c r="G33" s="58">
        <f>テーブル1[[#This Row],[長さ(m)]]*テーブル1[[#This Row],[在庫(本)]]</f>
        <v>175</v>
      </c>
      <c r="H33" s="43">
        <f>D33*テーブル1[[#This Row],[長さ合計(m)]]</f>
        <v>218.75</v>
      </c>
      <c r="I33" s="47">
        <v>2117.4934851041867</v>
      </c>
      <c r="J33" s="47">
        <f t="shared" si="2"/>
        <v>463201.69986654085</v>
      </c>
      <c r="K33" s="43" t="s">
        <v>26</v>
      </c>
      <c r="L33" s="48">
        <v>44621</v>
      </c>
      <c r="M33" s="43"/>
      <c r="N33" s="46"/>
      <c r="O33" s="43"/>
      <c r="P33" s="43"/>
    </row>
    <row r="34" spans="1:16" hidden="1">
      <c r="A34" s="43" t="s">
        <v>174</v>
      </c>
      <c r="B34" s="44" t="s">
        <v>9</v>
      </c>
      <c r="C34" s="44" t="s">
        <v>36</v>
      </c>
      <c r="D34" s="43">
        <v>1.25</v>
      </c>
      <c r="E34" s="44">
        <f>20-10</f>
        <v>10</v>
      </c>
      <c r="F34" s="44">
        <v>1</v>
      </c>
      <c r="G34" s="56">
        <f>テーブル1[[#This Row],[長さ(m)]]*テーブル1[[#This Row],[在庫(本)]]</f>
        <v>10</v>
      </c>
      <c r="H34" s="43">
        <f>D34*テーブル1[[#This Row],[長さ合計(m)]]</f>
        <v>12.5</v>
      </c>
      <c r="I34" s="47">
        <v>2117.4934851041867</v>
      </c>
      <c r="J34" s="47">
        <f t="shared" si="2"/>
        <v>26468.668563802334</v>
      </c>
      <c r="K34" s="43" t="s">
        <v>51</v>
      </c>
      <c r="L34" s="48">
        <v>44621</v>
      </c>
      <c r="M34" s="43"/>
      <c r="N34" s="46"/>
      <c r="O34" s="43"/>
      <c r="P34" s="43"/>
    </row>
    <row r="35" spans="1:16" hidden="1">
      <c r="A35" s="43" t="s">
        <v>37</v>
      </c>
      <c r="B35" s="43" t="s">
        <v>38</v>
      </c>
      <c r="C35" s="43" t="s">
        <v>39</v>
      </c>
      <c r="D35" s="43">
        <v>1.29</v>
      </c>
      <c r="E35" s="43">
        <f>476-50-300-5</f>
        <v>121</v>
      </c>
      <c r="F35" s="43">
        <v>1</v>
      </c>
      <c r="G35" s="58">
        <f>テーブル1[[#This Row],[長さ(m)]]*テーブル1[[#This Row],[在庫(本)]]</f>
        <v>121</v>
      </c>
      <c r="H35" s="43">
        <f>D35*テーブル1[[#This Row],[長さ合計(m)]]</f>
        <v>156.09</v>
      </c>
      <c r="I35" s="47">
        <v>598.71687278667991</v>
      </c>
      <c r="J35" s="47">
        <f t="shared" si="2"/>
        <v>93453.716673272866</v>
      </c>
      <c r="K35" s="43" t="s">
        <v>16</v>
      </c>
      <c r="L35" s="46" t="s">
        <v>11</v>
      </c>
      <c r="M35" s="43"/>
      <c r="N35" s="46"/>
      <c r="O35" s="43"/>
      <c r="P35" s="43"/>
    </row>
    <row r="36" spans="1:16" hidden="1">
      <c r="A36" s="49" t="s">
        <v>40</v>
      </c>
      <c r="B36" s="49" t="s">
        <v>41</v>
      </c>
      <c r="C36" s="49" t="s">
        <v>403</v>
      </c>
      <c r="D36" s="49">
        <v>1.29</v>
      </c>
      <c r="E36" s="49">
        <f>539-100-200</f>
        <v>239</v>
      </c>
      <c r="F36" s="49">
        <v>1</v>
      </c>
      <c r="G36" s="54">
        <f>テーブル1[[#This Row],[長さ(m)]]*テーブル1[[#This Row],[在庫(本)]]</f>
        <v>239</v>
      </c>
      <c r="H36" s="49">
        <f>D36*テーブル1[[#This Row],[長さ合計(m)]]</f>
        <v>308.31</v>
      </c>
      <c r="I36" s="53">
        <v>590.78755204513288</v>
      </c>
      <c r="J36" s="53">
        <f t="shared" si="2"/>
        <v>182145.71017103491</v>
      </c>
      <c r="K36" s="49" t="s">
        <v>16</v>
      </c>
      <c r="L36" s="52" t="s">
        <v>11</v>
      </c>
      <c r="M36" s="43"/>
      <c r="N36" s="46"/>
      <c r="O36" s="43"/>
      <c r="P36" s="43"/>
    </row>
    <row r="37" spans="1:16">
      <c r="A37" s="49" t="s">
        <v>40</v>
      </c>
      <c r="B37" s="49" t="s">
        <v>41</v>
      </c>
      <c r="C37" s="50" t="s">
        <v>256</v>
      </c>
      <c r="D37" s="50">
        <v>1.29</v>
      </c>
      <c r="E37" s="50">
        <v>100</v>
      </c>
      <c r="F37" s="50">
        <v>1</v>
      </c>
      <c r="G37" s="54">
        <f>テーブル1[[#This Row],[長さ(m)]]*テーブル1[[#This Row],[在庫(本)]]</f>
        <v>100</v>
      </c>
      <c r="H37" s="49">
        <f>D37*テーブル1[[#This Row],[長さ合計(m)]]</f>
        <v>129</v>
      </c>
      <c r="I37" s="53">
        <v>590.78755204513288</v>
      </c>
      <c r="J37" s="53">
        <f t="shared" si="2"/>
        <v>76211.594213822144</v>
      </c>
      <c r="K37" s="49" t="s">
        <v>17</v>
      </c>
      <c r="L37" s="52" t="s">
        <v>11</v>
      </c>
      <c r="M37" s="43"/>
      <c r="N37" s="46"/>
      <c r="O37" s="43"/>
      <c r="P37" s="43"/>
    </row>
    <row r="38" spans="1:16" hidden="1">
      <c r="A38" s="65" t="s">
        <v>42</v>
      </c>
      <c r="B38" s="67" t="s">
        <v>29</v>
      </c>
      <c r="C38" s="65" t="s">
        <v>43</v>
      </c>
      <c r="D38" s="67">
        <v>1.29</v>
      </c>
      <c r="E38" s="65">
        <v>212</v>
      </c>
      <c r="F38" s="65">
        <v>1</v>
      </c>
      <c r="G38" s="68">
        <f>テーブル1[[#This Row],[長さ(m)]]*テーブル1[[#This Row],[在庫(本)]]</f>
        <v>212</v>
      </c>
      <c r="H38" s="65">
        <f>D38*テーブル1[[#This Row],[長さ合計(m)]]</f>
        <v>273.48</v>
      </c>
      <c r="I38" s="69">
        <v>696.23543330165626</v>
      </c>
      <c r="J38" s="69">
        <f t="shared" si="2"/>
        <v>190406.46629933696</v>
      </c>
      <c r="K38" s="65" t="s">
        <v>44</v>
      </c>
      <c r="L38" s="71" t="s">
        <v>11</v>
      </c>
      <c r="M38" s="43"/>
      <c r="N38" s="46"/>
      <c r="O38" s="43"/>
      <c r="P38" s="72">
        <v>46</v>
      </c>
    </row>
    <row r="39" spans="1:16" hidden="1">
      <c r="A39" s="65" t="s">
        <v>42</v>
      </c>
      <c r="B39" s="67" t="s">
        <v>29</v>
      </c>
      <c r="C39" s="65" t="s">
        <v>45</v>
      </c>
      <c r="D39" s="67">
        <v>1.29</v>
      </c>
      <c r="E39" s="65">
        <v>263</v>
      </c>
      <c r="F39" s="65">
        <v>1</v>
      </c>
      <c r="G39" s="68">
        <f>テーブル1[[#This Row],[長さ(m)]]*テーブル1[[#This Row],[在庫(本)]]</f>
        <v>263</v>
      </c>
      <c r="H39" s="65">
        <f>D39*テーブル1[[#This Row],[長さ合計(m)]]</f>
        <v>339.27</v>
      </c>
      <c r="I39" s="69">
        <v>696.23543330165626</v>
      </c>
      <c r="J39" s="69">
        <f t="shared" si="2"/>
        <v>236211.7954562529</v>
      </c>
      <c r="K39" s="65" t="s">
        <v>44</v>
      </c>
      <c r="L39" s="71" t="s">
        <v>11</v>
      </c>
      <c r="M39" s="43"/>
      <c r="N39" s="46"/>
      <c r="O39" s="43"/>
      <c r="P39" s="72">
        <v>54</v>
      </c>
    </row>
    <row r="40" spans="1:16" hidden="1">
      <c r="A40" s="65" t="s">
        <v>42</v>
      </c>
      <c r="B40" s="67" t="s">
        <v>29</v>
      </c>
      <c r="C40" s="65" t="s">
        <v>46</v>
      </c>
      <c r="D40" s="67">
        <v>1.29</v>
      </c>
      <c r="E40" s="65">
        <v>237</v>
      </c>
      <c r="F40" s="65">
        <v>1</v>
      </c>
      <c r="G40" s="68">
        <f>テーブル1[[#This Row],[長さ(m)]]*テーブル1[[#This Row],[在庫(本)]]</f>
        <v>237</v>
      </c>
      <c r="H40" s="65">
        <f>D40*テーブル1[[#This Row],[長さ合計(m)]]</f>
        <v>305.73</v>
      </c>
      <c r="I40" s="69">
        <v>696.23543330165626</v>
      </c>
      <c r="J40" s="69">
        <f t="shared" si="2"/>
        <v>212860.05902331538</v>
      </c>
      <c r="K40" s="65" t="s">
        <v>44</v>
      </c>
      <c r="L40" s="71" t="s">
        <v>11</v>
      </c>
      <c r="M40" s="43"/>
      <c r="N40" s="46"/>
      <c r="O40" s="43"/>
      <c r="P40" s="72">
        <v>54</v>
      </c>
    </row>
    <row r="41" spans="1:16" hidden="1">
      <c r="A41" s="59" t="s">
        <v>47</v>
      </c>
      <c r="B41" s="61" t="s">
        <v>27</v>
      </c>
      <c r="C41" s="59" t="s">
        <v>48</v>
      </c>
      <c r="D41" s="61">
        <v>1.29</v>
      </c>
      <c r="E41" s="59">
        <v>200</v>
      </c>
      <c r="F41" s="59">
        <v>1</v>
      </c>
      <c r="G41" s="62">
        <f>テーブル1[[#This Row],[長さ(m)]]*テーブル1[[#This Row],[在庫(本)]]</f>
        <v>200</v>
      </c>
      <c r="H41" s="59">
        <f>D41*テーブル1[[#This Row],[長さ合計(m)]]</f>
        <v>258</v>
      </c>
      <c r="I41" s="63">
        <v>756.59782007427634</v>
      </c>
      <c r="J41" s="63">
        <f t="shared" si="2"/>
        <v>195202.23757916331</v>
      </c>
      <c r="K41" s="59" t="s">
        <v>44</v>
      </c>
      <c r="L41" s="73" t="s">
        <v>11</v>
      </c>
      <c r="M41" s="43"/>
      <c r="N41" s="46"/>
      <c r="O41" s="43"/>
      <c r="P41" s="72">
        <v>54</v>
      </c>
    </row>
    <row r="42" spans="1:16" hidden="1">
      <c r="A42" s="49" t="s">
        <v>40</v>
      </c>
      <c r="B42" s="49" t="s">
        <v>41</v>
      </c>
      <c r="C42" s="49" t="s">
        <v>308</v>
      </c>
      <c r="D42" s="50">
        <v>1.29</v>
      </c>
      <c r="E42" s="49">
        <f>795-315</f>
        <v>480</v>
      </c>
      <c r="F42" s="49">
        <v>1</v>
      </c>
      <c r="G42" s="54">
        <f>テーブル1[[#This Row],[長さ(m)]]*テーブル1[[#This Row],[在庫(本)]]</f>
        <v>480</v>
      </c>
      <c r="H42" s="49">
        <f>D42*テーブル1[[#This Row],[長さ合計(m)]]</f>
        <v>619.20000000000005</v>
      </c>
      <c r="I42" s="53">
        <v>598.58593247214253</v>
      </c>
      <c r="J42" s="53">
        <f t="shared" si="2"/>
        <v>370644.40938675066</v>
      </c>
      <c r="K42" s="49" t="s">
        <v>44</v>
      </c>
      <c r="L42" s="52" t="s">
        <v>11</v>
      </c>
      <c r="M42" s="43" t="s">
        <v>246</v>
      </c>
      <c r="N42" s="46"/>
      <c r="O42" s="43"/>
      <c r="P42" s="72" t="s">
        <v>307</v>
      </c>
    </row>
    <row r="43" spans="1:16" hidden="1">
      <c r="A43" s="49" t="s">
        <v>8</v>
      </c>
      <c r="B43" s="50" t="s">
        <v>13</v>
      </c>
      <c r="C43" s="49" t="s">
        <v>50</v>
      </c>
      <c r="D43" s="49">
        <v>0.6</v>
      </c>
      <c r="E43" s="49">
        <v>10</v>
      </c>
      <c r="F43" s="49">
        <v>7</v>
      </c>
      <c r="G43" s="49">
        <f>テーブル1[[#This Row],[長さ(m)]]*テーブル1[[#This Row],[在庫(本)]]</f>
        <v>70</v>
      </c>
      <c r="H43" s="49">
        <f>D43*テーブル1[[#This Row],[長さ合計(m)]]</f>
        <v>42</v>
      </c>
      <c r="I43" s="53">
        <v>500</v>
      </c>
      <c r="J43" s="53">
        <f t="shared" ref="J43:J78" si="4">H43*I43</f>
        <v>21000</v>
      </c>
      <c r="K43" s="49" t="s">
        <v>51</v>
      </c>
      <c r="L43" s="52" t="s">
        <v>11</v>
      </c>
      <c r="M43" s="43" t="s">
        <v>170</v>
      </c>
      <c r="N43" s="46"/>
      <c r="O43" s="46" t="s">
        <v>12</v>
      </c>
      <c r="P43" s="43"/>
    </row>
    <row r="44" spans="1:16" hidden="1">
      <c r="A44" s="59" t="s">
        <v>8</v>
      </c>
      <c r="B44" s="61" t="s">
        <v>27</v>
      </c>
      <c r="C44" s="59" t="s">
        <v>52</v>
      </c>
      <c r="D44" s="59">
        <v>0.6</v>
      </c>
      <c r="E44" s="59">
        <v>10</v>
      </c>
      <c r="F44" s="59">
        <v>12</v>
      </c>
      <c r="G44" s="74">
        <f>テーブル1[[#This Row],[長さ(m)]]*テーブル1[[#This Row],[在庫(本)]]</f>
        <v>120</v>
      </c>
      <c r="H44" s="59">
        <f>D44*テーブル1[[#This Row],[長さ合計(m)]]</f>
        <v>72</v>
      </c>
      <c r="I44" s="63">
        <v>500</v>
      </c>
      <c r="J44" s="63">
        <f t="shared" si="4"/>
        <v>36000</v>
      </c>
      <c r="K44" s="59" t="s">
        <v>51</v>
      </c>
      <c r="L44" s="73" t="s">
        <v>11</v>
      </c>
      <c r="M44" s="43"/>
      <c r="N44" s="46" t="s">
        <v>171</v>
      </c>
      <c r="O44" s="46" t="s">
        <v>53</v>
      </c>
      <c r="P44" s="43"/>
    </row>
    <row r="45" spans="1:16" hidden="1">
      <c r="A45" s="59" t="s">
        <v>8</v>
      </c>
      <c r="B45" s="61" t="s">
        <v>27</v>
      </c>
      <c r="C45" s="59" t="s">
        <v>54</v>
      </c>
      <c r="D45" s="59">
        <v>0.6</v>
      </c>
      <c r="E45" s="59">
        <v>2</v>
      </c>
      <c r="F45" s="59">
        <v>1</v>
      </c>
      <c r="G45" s="74">
        <f>テーブル1[[#This Row],[長さ(m)]]*テーブル1[[#This Row],[在庫(本)]]</f>
        <v>2</v>
      </c>
      <c r="H45" s="59">
        <f>D45*テーブル1[[#This Row],[長さ合計(m)]]</f>
        <v>1.2</v>
      </c>
      <c r="I45" s="63">
        <v>500</v>
      </c>
      <c r="J45" s="63">
        <f t="shared" si="4"/>
        <v>600</v>
      </c>
      <c r="K45" s="59" t="s">
        <v>51</v>
      </c>
      <c r="L45" s="73" t="s">
        <v>11</v>
      </c>
      <c r="M45" s="43"/>
      <c r="N45" s="46" t="s">
        <v>171</v>
      </c>
      <c r="O45" s="46" t="s">
        <v>55</v>
      </c>
      <c r="P45" s="43"/>
    </row>
    <row r="46" spans="1:16" hidden="1">
      <c r="A46" s="49" t="s">
        <v>248</v>
      </c>
      <c r="B46" s="50" t="s">
        <v>13</v>
      </c>
      <c r="C46" s="49" t="s">
        <v>497</v>
      </c>
      <c r="D46" s="49">
        <v>1.0329999999999999</v>
      </c>
      <c r="E46" s="49">
        <f>27-2.1-3-2.1</f>
        <v>19.799999999999997</v>
      </c>
      <c r="F46" s="49">
        <v>1</v>
      </c>
      <c r="G46" s="49">
        <f>テーブル1[[#This Row],[長さ(m)]]*テーブル1[[#This Row],[在庫(本)]]</f>
        <v>19.799999999999997</v>
      </c>
      <c r="H46" s="49">
        <f>D46*テーブル1[[#This Row],[長さ合計(m)]]</f>
        <v>20.453399999999995</v>
      </c>
      <c r="I46" s="53">
        <v>1955.4267856800591</v>
      </c>
      <c r="J46" s="53">
        <f t="shared" si="4"/>
        <v>39995.126218228514</v>
      </c>
      <c r="K46" s="49" t="s">
        <v>51</v>
      </c>
      <c r="L46" s="55">
        <v>44440</v>
      </c>
      <c r="M46" s="43" t="s">
        <v>189</v>
      </c>
      <c r="N46" s="57" t="s">
        <v>462</v>
      </c>
      <c r="O46" s="43"/>
      <c r="P46" s="43"/>
    </row>
    <row r="47" spans="1:16" hidden="1">
      <c r="A47" s="43" t="s">
        <v>248</v>
      </c>
      <c r="B47" s="44" t="s">
        <v>9</v>
      </c>
      <c r="C47" s="43" t="s">
        <v>496</v>
      </c>
      <c r="D47" s="43">
        <v>1.0349999999999999</v>
      </c>
      <c r="E47" s="43">
        <f>11.5-2.1-3-2.1</f>
        <v>4.3000000000000007</v>
      </c>
      <c r="F47" s="43">
        <v>1</v>
      </c>
      <c r="G47" s="56">
        <f>テーブル1[[#This Row],[長さ(m)]]*テーブル1[[#This Row],[在庫(本)]]</f>
        <v>4.3000000000000007</v>
      </c>
      <c r="H47" s="43">
        <f>D47*テーブル1[[#This Row],[長さ合計(m)]]</f>
        <v>4.4505000000000008</v>
      </c>
      <c r="I47" s="47">
        <v>1385.9317065151874</v>
      </c>
      <c r="J47" s="47">
        <f t="shared" si="4"/>
        <v>6168.0890598458427</v>
      </c>
      <c r="K47" s="43" t="s">
        <v>51</v>
      </c>
      <c r="L47" s="48">
        <v>44409</v>
      </c>
      <c r="M47" s="43" t="s">
        <v>239</v>
      </c>
      <c r="N47" s="57" t="s">
        <v>462</v>
      </c>
      <c r="O47" s="43"/>
      <c r="P47" s="43"/>
    </row>
    <row r="48" spans="1:16" hidden="1">
      <c r="A48" s="49" t="s">
        <v>8</v>
      </c>
      <c r="B48" s="50" t="s">
        <v>13</v>
      </c>
      <c r="C48" s="49" t="s">
        <v>418</v>
      </c>
      <c r="D48" s="49">
        <v>1.2</v>
      </c>
      <c r="E48" s="49">
        <v>25</v>
      </c>
      <c r="F48" s="49">
        <v>4</v>
      </c>
      <c r="G48" s="49">
        <f>テーブル1[[#This Row],[長さ(m)]]*テーブル1[[#This Row],[在庫(本)]]</f>
        <v>100</v>
      </c>
      <c r="H48" s="49">
        <f>D48*テーブル1[[#This Row],[長さ合計(m)]]</f>
        <v>120</v>
      </c>
      <c r="I48" s="53">
        <v>500</v>
      </c>
      <c r="J48" s="53">
        <f t="shared" si="4"/>
        <v>60000</v>
      </c>
      <c r="K48" s="49" t="s">
        <v>51</v>
      </c>
      <c r="L48" s="52" t="s">
        <v>11</v>
      </c>
      <c r="M48" s="43"/>
      <c r="N48" s="46" t="s">
        <v>171</v>
      </c>
      <c r="O48" s="46" t="s">
        <v>12</v>
      </c>
      <c r="P48" s="43"/>
    </row>
    <row r="49" spans="1:16" hidden="1">
      <c r="A49" s="49" t="s">
        <v>8</v>
      </c>
      <c r="B49" s="50" t="s">
        <v>13</v>
      </c>
      <c r="C49" s="49" t="s">
        <v>180</v>
      </c>
      <c r="D49" s="49">
        <v>1.2</v>
      </c>
      <c r="E49" s="49">
        <f>7.5-2-0.3</f>
        <v>5.2</v>
      </c>
      <c r="F49" s="49">
        <v>1</v>
      </c>
      <c r="G49" s="49">
        <f>テーブル1[[#This Row],[長さ(m)]]*テーブル1[[#This Row],[在庫(本)]]</f>
        <v>5.2</v>
      </c>
      <c r="H49" s="49">
        <f>D49*テーブル1[[#This Row],[長さ合計(m)]]</f>
        <v>6.24</v>
      </c>
      <c r="I49" s="53">
        <v>500</v>
      </c>
      <c r="J49" s="53">
        <f t="shared" si="4"/>
        <v>3120</v>
      </c>
      <c r="K49" s="49" t="s">
        <v>51</v>
      </c>
      <c r="L49" s="52" t="s">
        <v>11</v>
      </c>
      <c r="M49" s="43"/>
      <c r="N49" s="46" t="s">
        <v>171</v>
      </c>
      <c r="O49" s="46" t="s">
        <v>12</v>
      </c>
      <c r="P49" s="43"/>
    </row>
    <row r="50" spans="1:16" hidden="1">
      <c r="A50" s="49" t="s">
        <v>8</v>
      </c>
      <c r="B50" s="50" t="s">
        <v>13</v>
      </c>
      <c r="C50" s="49" t="s">
        <v>419</v>
      </c>
      <c r="D50" s="49">
        <v>1.2</v>
      </c>
      <c r="E50" s="49">
        <v>25</v>
      </c>
      <c r="F50" s="49">
        <v>1</v>
      </c>
      <c r="G50" s="49">
        <f>テーブル1[[#This Row],[長さ(m)]]*テーブル1[[#This Row],[在庫(本)]]</f>
        <v>25</v>
      </c>
      <c r="H50" s="49">
        <f>D50*テーブル1[[#This Row],[長さ合計(m)]]</f>
        <v>30</v>
      </c>
      <c r="I50" s="53">
        <v>500</v>
      </c>
      <c r="J50" s="53">
        <f t="shared" si="4"/>
        <v>15000</v>
      </c>
      <c r="K50" s="49" t="s">
        <v>51</v>
      </c>
      <c r="L50" s="52" t="s">
        <v>11</v>
      </c>
      <c r="M50" s="43" t="s">
        <v>170</v>
      </c>
      <c r="N50" s="46"/>
      <c r="O50" s="46" t="s">
        <v>12</v>
      </c>
      <c r="P50" s="43"/>
    </row>
    <row r="51" spans="1:16" hidden="1">
      <c r="A51" s="49" t="s">
        <v>8</v>
      </c>
      <c r="B51" s="50" t="s">
        <v>13</v>
      </c>
      <c r="C51" s="49" t="s">
        <v>420</v>
      </c>
      <c r="D51" s="49">
        <v>1.2</v>
      </c>
      <c r="E51" s="49">
        <v>25</v>
      </c>
      <c r="F51" s="49">
        <v>1</v>
      </c>
      <c r="G51" s="49">
        <f>テーブル1[[#This Row],[長さ(m)]]*テーブル1[[#This Row],[在庫(本)]]</f>
        <v>25</v>
      </c>
      <c r="H51" s="49">
        <f>D51*テーブル1[[#This Row],[長さ合計(m)]]</f>
        <v>30</v>
      </c>
      <c r="I51" s="53">
        <v>500</v>
      </c>
      <c r="J51" s="53">
        <f t="shared" si="4"/>
        <v>15000</v>
      </c>
      <c r="K51" s="49" t="s">
        <v>51</v>
      </c>
      <c r="L51" s="52" t="s">
        <v>11</v>
      </c>
      <c r="M51" s="43" t="s">
        <v>170</v>
      </c>
      <c r="N51" s="46"/>
      <c r="O51" s="46" t="s">
        <v>12</v>
      </c>
      <c r="P51" s="43"/>
    </row>
    <row r="52" spans="1:16" hidden="1">
      <c r="A52" s="49" t="s">
        <v>8</v>
      </c>
      <c r="B52" s="50" t="s">
        <v>13</v>
      </c>
      <c r="C52" s="49" t="s">
        <v>56</v>
      </c>
      <c r="D52" s="49">
        <v>1.2</v>
      </c>
      <c r="E52" s="49">
        <f>2.4-0.3</f>
        <v>2.1</v>
      </c>
      <c r="F52" s="49">
        <v>1</v>
      </c>
      <c r="G52" s="49">
        <f>テーブル1[[#This Row],[長さ(m)]]*テーブル1[[#This Row],[在庫(本)]]</f>
        <v>2.1</v>
      </c>
      <c r="H52" s="49">
        <f>D52*テーブル1[[#This Row],[長さ合計(m)]]</f>
        <v>2.52</v>
      </c>
      <c r="I52" s="53">
        <v>500</v>
      </c>
      <c r="J52" s="53">
        <f t="shared" si="4"/>
        <v>1260</v>
      </c>
      <c r="K52" s="49" t="s">
        <v>51</v>
      </c>
      <c r="L52" s="52" t="s">
        <v>11</v>
      </c>
      <c r="M52" s="43"/>
      <c r="N52" s="46" t="s">
        <v>171</v>
      </c>
      <c r="O52" s="46" t="s">
        <v>12</v>
      </c>
      <c r="P52" s="43"/>
    </row>
    <row r="53" spans="1:16" hidden="1">
      <c r="A53" s="49" t="s">
        <v>8</v>
      </c>
      <c r="B53" s="50" t="s">
        <v>13</v>
      </c>
      <c r="C53" s="49" t="s">
        <v>421</v>
      </c>
      <c r="D53" s="49">
        <v>1.2</v>
      </c>
      <c r="E53" s="49">
        <v>25</v>
      </c>
      <c r="F53" s="49">
        <v>1</v>
      </c>
      <c r="G53" s="49">
        <f>テーブル1[[#This Row],[長さ(m)]]*テーブル1[[#This Row],[在庫(本)]]</f>
        <v>25</v>
      </c>
      <c r="H53" s="49">
        <f>D53*テーブル1[[#This Row],[長さ合計(m)]]</f>
        <v>30</v>
      </c>
      <c r="I53" s="53">
        <v>500</v>
      </c>
      <c r="J53" s="53">
        <f t="shared" si="4"/>
        <v>15000</v>
      </c>
      <c r="K53" s="49" t="s">
        <v>51</v>
      </c>
      <c r="L53" s="52" t="s">
        <v>11</v>
      </c>
      <c r="M53" s="43" t="s">
        <v>170</v>
      </c>
      <c r="N53" s="46"/>
      <c r="O53" s="46" t="s">
        <v>12</v>
      </c>
      <c r="P53" s="43"/>
    </row>
    <row r="54" spans="1:16" hidden="1">
      <c r="A54" s="43" t="s">
        <v>8</v>
      </c>
      <c r="B54" s="44" t="s">
        <v>9</v>
      </c>
      <c r="C54" s="43" t="s">
        <v>57</v>
      </c>
      <c r="D54" s="43">
        <v>1.2</v>
      </c>
      <c r="E54" s="43">
        <v>25</v>
      </c>
      <c r="F54" s="43">
        <v>1</v>
      </c>
      <c r="G54" s="43">
        <f>テーブル1[[#This Row],[長さ(m)]]*テーブル1[[#This Row],[在庫(本)]]</f>
        <v>25</v>
      </c>
      <c r="H54" s="43">
        <f>D54*テーブル1[[#This Row],[長さ合計(m)]]</f>
        <v>30</v>
      </c>
      <c r="I54" s="47">
        <v>500</v>
      </c>
      <c r="J54" s="47">
        <f t="shared" si="4"/>
        <v>15000</v>
      </c>
      <c r="K54" s="43" t="s">
        <v>51</v>
      </c>
      <c r="L54" s="46" t="s">
        <v>11</v>
      </c>
      <c r="M54" s="43" t="s">
        <v>170</v>
      </c>
      <c r="N54" s="46"/>
      <c r="O54" s="46" t="s">
        <v>58</v>
      </c>
      <c r="P54" s="43"/>
    </row>
    <row r="55" spans="1:16" hidden="1">
      <c r="A55" s="49" t="s">
        <v>8</v>
      </c>
      <c r="B55" s="50" t="s">
        <v>13</v>
      </c>
      <c r="C55" s="49" t="s">
        <v>422</v>
      </c>
      <c r="D55" s="49">
        <v>1.2</v>
      </c>
      <c r="E55" s="49">
        <v>25</v>
      </c>
      <c r="F55" s="49">
        <v>1</v>
      </c>
      <c r="G55" s="49">
        <f>テーブル1[[#This Row],[長さ(m)]]*テーブル1[[#This Row],[在庫(本)]]</f>
        <v>25</v>
      </c>
      <c r="H55" s="49">
        <f>D55*テーブル1[[#This Row],[長さ合計(m)]]</f>
        <v>30</v>
      </c>
      <c r="I55" s="53">
        <v>645.27089783281701</v>
      </c>
      <c r="J55" s="53">
        <f t="shared" si="4"/>
        <v>19358.12693498451</v>
      </c>
      <c r="K55" s="49" t="s">
        <v>51</v>
      </c>
      <c r="L55" s="55">
        <v>44378</v>
      </c>
      <c r="M55" s="43" t="s">
        <v>170</v>
      </c>
      <c r="N55" s="46"/>
      <c r="O55" s="46"/>
      <c r="P55" s="43"/>
    </row>
    <row r="56" spans="1:16" hidden="1">
      <c r="A56" s="49" t="s">
        <v>8</v>
      </c>
      <c r="B56" s="50" t="s">
        <v>13</v>
      </c>
      <c r="C56" s="49" t="s">
        <v>59</v>
      </c>
      <c r="D56" s="49">
        <v>1.2</v>
      </c>
      <c r="E56" s="49">
        <v>19.399999999999999</v>
      </c>
      <c r="F56" s="49">
        <v>1</v>
      </c>
      <c r="G56" s="49">
        <f>テーブル1[[#This Row],[長さ(m)]]*テーブル1[[#This Row],[在庫(本)]]</f>
        <v>19.399999999999999</v>
      </c>
      <c r="H56" s="49">
        <f>D56*テーブル1[[#This Row],[長さ合計(m)]]</f>
        <v>23.279999999999998</v>
      </c>
      <c r="I56" s="53">
        <v>500</v>
      </c>
      <c r="J56" s="53">
        <f t="shared" si="4"/>
        <v>11639.999999999998</v>
      </c>
      <c r="K56" s="49" t="s">
        <v>51</v>
      </c>
      <c r="L56" s="52" t="s">
        <v>11</v>
      </c>
      <c r="M56" s="43"/>
      <c r="N56" s="46" t="s">
        <v>171</v>
      </c>
      <c r="O56" s="46" t="s">
        <v>12</v>
      </c>
      <c r="P56" s="43"/>
    </row>
    <row r="57" spans="1:16" hidden="1">
      <c r="A57" s="49" t="s">
        <v>20</v>
      </c>
      <c r="B57" s="50" t="s">
        <v>13</v>
      </c>
      <c r="C57" s="49" t="s">
        <v>60</v>
      </c>
      <c r="D57" s="49">
        <v>1.2050000000000001</v>
      </c>
      <c r="E57" s="49">
        <v>32.5</v>
      </c>
      <c r="F57" s="49">
        <v>1</v>
      </c>
      <c r="G57" s="49">
        <f>テーブル1[[#This Row],[長さ(m)]]*テーブル1[[#This Row],[在庫(本)]]</f>
        <v>32.5</v>
      </c>
      <c r="H57" s="49">
        <f>D57*テーブル1[[#This Row],[長さ合計(m)]]</f>
        <v>39.162500000000001</v>
      </c>
      <c r="I57" s="53">
        <v>1694.4471129068031</v>
      </c>
      <c r="J57" s="53">
        <f t="shared" si="4"/>
        <v>66358.785059212678</v>
      </c>
      <c r="K57" s="49" t="s">
        <v>51</v>
      </c>
      <c r="L57" s="55">
        <v>44501</v>
      </c>
      <c r="M57" s="43" t="s">
        <v>212</v>
      </c>
      <c r="N57" s="46" t="s">
        <v>463</v>
      </c>
      <c r="O57" s="43"/>
      <c r="P57" s="43"/>
    </row>
    <row r="58" spans="1:16" hidden="1">
      <c r="A58" s="49" t="s">
        <v>20</v>
      </c>
      <c r="B58" s="50" t="s">
        <v>13</v>
      </c>
      <c r="C58" s="49" t="s">
        <v>61</v>
      </c>
      <c r="D58" s="49">
        <v>1.2050000000000001</v>
      </c>
      <c r="E58" s="49">
        <v>8</v>
      </c>
      <c r="F58" s="49">
        <v>1</v>
      </c>
      <c r="G58" s="49">
        <f>テーブル1[[#This Row],[長さ(m)]]*テーブル1[[#This Row],[在庫(本)]]</f>
        <v>8</v>
      </c>
      <c r="H58" s="49">
        <f>D58*テーブル1[[#This Row],[長さ合計(m)]]</f>
        <v>9.64</v>
      </c>
      <c r="I58" s="53">
        <v>1694.4471129068031</v>
      </c>
      <c r="J58" s="53">
        <f t="shared" si="4"/>
        <v>16334.470168421583</v>
      </c>
      <c r="K58" s="49" t="s">
        <v>51</v>
      </c>
      <c r="L58" s="55">
        <v>44501</v>
      </c>
      <c r="M58" s="43" t="s">
        <v>212</v>
      </c>
      <c r="N58" s="46" t="s">
        <v>463</v>
      </c>
      <c r="O58" s="43"/>
      <c r="P58" s="43"/>
    </row>
    <row r="59" spans="1:16" hidden="1">
      <c r="A59" s="43" t="s">
        <v>8</v>
      </c>
      <c r="B59" s="44" t="s">
        <v>9</v>
      </c>
      <c r="C59" s="43" t="s">
        <v>62</v>
      </c>
      <c r="D59" s="43">
        <v>1.25</v>
      </c>
      <c r="E59" s="43">
        <v>2</v>
      </c>
      <c r="F59" s="43">
        <v>1</v>
      </c>
      <c r="G59" s="56">
        <f>テーブル1[[#This Row],[長さ(m)]]*テーブル1[[#This Row],[在庫(本)]]</f>
        <v>2</v>
      </c>
      <c r="H59" s="43">
        <f>D59*テーブル1[[#This Row],[長さ合計(m)]]</f>
        <v>2.5</v>
      </c>
      <c r="I59" s="47">
        <v>500</v>
      </c>
      <c r="J59" s="47">
        <f t="shared" si="4"/>
        <v>1250</v>
      </c>
      <c r="K59" s="43" t="s">
        <v>51</v>
      </c>
      <c r="L59" s="46" t="s">
        <v>11</v>
      </c>
      <c r="M59" s="43"/>
      <c r="N59" s="46" t="s">
        <v>171</v>
      </c>
      <c r="O59" s="46" t="s">
        <v>63</v>
      </c>
      <c r="P59" s="43"/>
    </row>
    <row r="60" spans="1:16" hidden="1">
      <c r="A60" s="43" t="s">
        <v>8</v>
      </c>
      <c r="B60" s="44" t="s">
        <v>9</v>
      </c>
      <c r="C60" s="43" t="s">
        <v>64</v>
      </c>
      <c r="D60" s="43">
        <v>1.25</v>
      </c>
      <c r="E60" s="43">
        <v>25</v>
      </c>
      <c r="F60" s="43">
        <v>1</v>
      </c>
      <c r="G60" s="43">
        <f>テーブル1[[#This Row],[長さ(m)]]*テーブル1[[#This Row],[在庫(本)]]</f>
        <v>25</v>
      </c>
      <c r="H60" s="43">
        <f>D60*テーブル1[[#This Row],[長さ合計(m)]]</f>
        <v>31.25</v>
      </c>
      <c r="I60" s="47">
        <v>500</v>
      </c>
      <c r="J60" s="47">
        <f t="shared" si="4"/>
        <v>15625</v>
      </c>
      <c r="K60" s="43" t="s">
        <v>51</v>
      </c>
      <c r="L60" s="46" t="s">
        <v>11</v>
      </c>
      <c r="M60" s="43" t="s">
        <v>170</v>
      </c>
      <c r="N60" s="46"/>
      <c r="O60" s="46" t="s">
        <v>12</v>
      </c>
      <c r="P60" s="43"/>
    </row>
    <row r="61" spans="1:16" hidden="1">
      <c r="A61" s="43" t="s">
        <v>8</v>
      </c>
      <c r="B61" s="44" t="s">
        <v>9</v>
      </c>
      <c r="C61" s="43" t="s">
        <v>65</v>
      </c>
      <c r="D61" s="43">
        <v>1.25</v>
      </c>
      <c r="E61" s="43">
        <v>25</v>
      </c>
      <c r="F61" s="43">
        <v>1</v>
      </c>
      <c r="G61" s="43">
        <f>テーブル1[[#This Row],[長さ(m)]]*テーブル1[[#This Row],[在庫(本)]]</f>
        <v>25</v>
      </c>
      <c r="H61" s="43">
        <f>D61*テーブル1[[#This Row],[長さ合計(m)]]</f>
        <v>31.25</v>
      </c>
      <c r="I61" s="47">
        <v>500</v>
      </c>
      <c r="J61" s="47">
        <f t="shared" si="4"/>
        <v>15625</v>
      </c>
      <c r="K61" s="43" t="s">
        <v>51</v>
      </c>
      <c r="L61" s="46" t="s">
        <v>11</v>
      </c>
      <c r="M61" s="43" t="s">
        <v>170</v>
      </c>
      <c r="N61" s="46"/>
      <c r="O61" s="46" t="s">
        <v>63</v>
      </c>
      <c r="P61" s="43"/>
    </row>
    <row r="62" spans="1:16" hidden="1">
      <c r="A62" s="59" t="s">
        <v>8</v>
      </c>
      <c r="B62" s="61" t="s">
        <v>27</v>
      </c>
      <c r="C62" s="59" t="s">
        <v>66</v>
      </c>
      <c r="D62" s="59">
        <v>1.25</v>
      </c>
      <c r="E62" s="59">
        <f>9.1-0.6</f>
        <v>8.5</v>
      </c>
      <c r="F62" s="59">
        <v>1</v>
      </c>
      <c r="G62" s="74">
        <f>テーブル1[[#This Row],[長さ(m)]]*テーブル1[[#This Row],[在庫(本)]]</f>
        <v>8.5</v>
      </c>
      <c r="H62" s="59">
        <f>D62*テーブル1[[#This Row],[長さ合計(m)]]</f>
        <v>10.625</v>
      </c>
      <c r="I62" s="63">
        <v>1349.3787234042554</v>
      </c>
      <c r="J62" s="63">
        <f t="shared" si="4"/>
        <v>14337.148936170213</v>
      </c>
      <c r="K62" s="59" t="s">
        <v>51</v>
      </c>
      <c r="L62" s="64">
        <v>44440</v>
      </c>
      <c r="M62" s="43"/>
      <c r="N62" s="46"/>
      <c r="O62" s="43"/>
      <c r="P62" s="43"/>
    </row>
    <row r="63" spans="1:16" hidden="1">
      <c r="A63" s="43" t="s">
        <v>8</v>
      </c>
      <c r="B63" s="44" t="s">
        <v>9</v>
      </c>
      <c r="C63" s="43" t="s">
        <v>365</v>
      </c>
      <c r="D63" s="43">
        <v>1.25</v>
      </c>
      <c r="E63" s="43">
        <f>23.3-5</f>
        <v>18.3</v>
      </c>
      <c r="F63" s="43">
        <v>1</v>
      </c>
      <c r="G63" s="56">
        <f>テーブル1[[#This Row],[長さ(m)]]*テーブル1[[#This Row],[在庫(本)]]</f>
        <v>18.3</v>
      </c>
      <c r="H63" s="43">
        <f>D63*テーブル1[[#This Row],[長さ合計(m)]]</f>
        <v>22.875</v>
      </c>
      <c r="I63" s="47">
        <v>500</v>
      </c>
      <c r="J63" s="47">
        <f t="shared" si="4"/>
        <v>11437.5</v>
      </c>
      <c r="K63" s="43" t="s">
        <v>51</v>
      </c>
      <c r="L63" s="46" t="s">
        <v>11</v>
      </c>
      <c r="M63" s="43"/>
      <c r="N63" s="46" t="s">
        <v>171</v>
      </c>
      <c r="O63" s="46" t="s">
        <v>12</v>
      </c>
      <c r="P63" s="43"/>
    </row>
    <row r="64" spans="1:16" hidden="1">
      <c r="A64" s="43" t="s">
        <v>8</v>
      </c>
      <c r="B64" s="44" t="s">
        <v>9</v>
      </c>
      <c r="C64" s="43" t="s">
        <v>425</v>
      </c>
      <c r="D64" s="43">
        <v>1.25</v>
      </c>
      <c r="E64" s="43">
        <f>15-0.8-0.6-3-1.2-2.3</f>
        <v>7.1000000000000005</v>
      </c>
      <c r="F64" s="43">
        <v>1</v>
      </c>
      <c r="G64" s="56">
        <f>テーブル1[[#This Row],[長さ(m)]]*テーブル1[[#This Row],[在庫(本)]]</f>
        <v>7.1000000000000005</v>
      </c>
      <c r="H64" s="43">
        <f>D64*テーブル1[[#This Row],[長さ合計(m)]]</f>
        <v>8.875</v>
      </c>
      <c r="I64" s="47">
        <v>986.79157138412597</v>
      </c>
      <c r="J64" s="47">
        <f t="shared" si="4"/>
        <v>8757.7751960341175</v>
      </c>
      <c r="K64" s="43" t="s">
        <v>51</v>
      </c>
      <c r="L64" s="48">
        <v>44440</v>
      </c>
      <c r="M64" s="43"/>
      <c r="N64" s="46"/>
      <c r="O64" s="43"/>
      <c r="P64" s="43"/>
    </row>
    <row r="65" spans="1:16" hidden="1">
      <c r="A65" s="49" t="s">
        <v>40</v>
      </c>
      <c r="B65" s="49" t="s">
        <v>41</v>
      </c>
      <c r="C65" s="49" t="s">
        <v>176</v>
      </c>
      <c r="D65" s="50">
        <v>1.29</v>
      </c>
      <c r="E65" s="49">
        <v>1007</v>
      </c>
      <c r="F65" s="49">
        <v>1</v>
      </c>
      <c r="G65" s="49">
        <f>テーブル1[[#This Row],[長さ(m)]]*テーブル1[[#This Row],[在庫(本)]]</f>
        <v>1007</v>
      </c>
      <c r="H65" s="49">
        <f>D65*テーブル1[[#This Row],[長さ合計(m)]]</f>
        <v>1299.03</v>
      </c>
      <c r="I65" s="53">
        <v>621.00017485574404</v>
      </c>
      <c r="J65" s="53">
        <f t="shared" si="4"/>
        <v>806697.85714285716</v>
      </c>
      <c r="K65" s="49" t="s">
        <v>44</v>
      </c>
      <c r="L65" s="55">
        <v>44652</v>
      </c>
      <c r="M65" s="43" t="s">
        <v>216</v>
      </c>
      <c r="N65" s="46" t="s">
        <v>171</v>
      </c>
      <c r="O65" s="43"/>
      <c r="P65" s="72" t="s">
        <v>178</v>
      </c>
    </row>
    <row r="66" spans="1:16" hidden="1">
      <c r="A66" s="49" t="s">
        <v>40</v>
      </c>
      <c r="B66" s="49" t="s">
        <v>41</v>
      </c>
      <c r="C66" s="49" t="s">
        <v>177</v>
      </c>
      <c r="D66" s="50">
        <v>1.29</v>
      </c>
      <c r="E66" s="49">
        <v>987</v>
      </c>
      <c r="F66" s="49">
        <v>1</v>
      </c>
      <c r="G66" s="49">
        <f>テーブル1[[#This Row],[長さ(m)]]*テーブル1[[#This Row],[在庫(本)]]</f>
        <v>987</v>
      </c>
      <c r="H66" s="49">
        <f>D66*テーブル1[[#This Row],[長さ合計(m)]]</f>
        <v>1273.23</v>
      </c>
      <c r="I66" s="53">
        <v>621.00017485574404</v>
      </c>
      <c r="J66" s="53">
        <f t="shared" si="4"/>
        <v>790676.05263157899</v>
      </c>
      <c r="K66" s="49" t="s">
        <v>44</v>
      </c>
      <c r="L66" s="55">
        <v>44652</v>
      </c>
      <c r="M66" s="43" t="s">
        <v>216</v>
      </c>
      <c r="N66" s="46" t="s">
        <v>171</v>
      </c>
      <c r="O66" s="43"/>
      <c r="P66" s="72" t="s">
        <v>178</v>
      </c>
    </row>
    <row r="67" spans="1:16" hidden="1">
      <c r="A67" s="49" t="s">
        <v>40</v>
      </c>
      <c r="B67" s="49" t="s">
        <v>41</v>
      </c>
      <c r="C67" s="49" t="s">
        <v>187</v>
      </c>
      <c r="D67" s="50">
        <v>1.29</v>
      </c>
      <c r="E67" s="49">
        <v>320</v>
      </c>
      <c r="F67" s="49">
        <v>1</v>
      </c>
      <c r="G67" s="49">
        <f>テーブル1[[#This Row],[長さ(m)]]*テーブル1[[#This Row],[在庫(本)]]</f>
        <v>320</v>
      </c>
      <c r="H67" s="49">
        <f>D67*テーブル1[[#This Row],[長さ合計(m)]]</f>
        <v>412.8</v>
      </c>
      <c r="I67" s="53">
        <v>621.00017485574404</v>
      </c>
      <c r="J67" s="53">
        <f t="shared" si="4"/>
        <v>256348.87218045114</v>
      </c>
      <c r="K67" s="49" t="s">
        <v>44</v>
      </c>
      <c r="L67" s="55">
        <v>44652</v>
      </c>
      <c r="M67" s="43" t="s">
        <v>216</v>
      </c>
      <c r="N67" s="46" t="s">
        <v>171</v>
      </c>
      <c r="O67" s="43"/>
      <c r="P67" s="72" t="s">
        <v>188</v>
      </c>
    </row>
    <row r="68" spans="1:16" hidden="1">
      <c r="A68" s="49" t="s">
        <v>40</v>
      </c>
      <c r="B68" s="49" t="s">
        <v>41</v>
      </c>
      <c r="C68" s="49" t="s">
        <v>257</v>
      </c>
      <c r="D68" s="50">
        <v>1.29</v>
      </c>
      <c r="E68" s="49">
        <v>423</v>
      </c>
      <c r="F68" s="49">
        <v>1</v>
      </c>
      <c r="G68" s="49">
        <f>テーブル1[[#This Row],[長さ(m)]]*テーブル1[[#This Row],[在庫(本)]]</f>
        <v>423</v>
      </c>
      <c r="H68" s="49">
        <f>D68*テーブル1[[#This Row],[長さ合計(m)]]</f>
        <v>545.66999999999996</v>
      </c>
      <c r="I68" s="53">
        <v>621.00017485574404</v>
      </c>
      <c r="J68" s="53">
        <f t="shared" si="4"/>
        <v>338861.1654135338</v>
      </c>
      <c r="K68" s="49" t="s">
        <v>44</v>
      </c>
      <c r="L68" s="55">
        <v>44652</v>
      </c>
      <c r="M68" s="43" t="s">
        <v>216</v>
      </c>
      <c r="N68" s="46" t="s">
        <v>171</v>
      </c>
      <c r="O68" s="43"/>
      <c r="P68" s="72" t="s">
        <v>307</v>
      </c>
    </row>
    <row r="69" spans="1:16" hidden="1">
      <c r="A69" s="43" t="s">
        <v>250</v>
      </c>
      <c r="B69" s="44" t="s">
        <v>9</v>
      </c>
      <c r="C69" s="43" t="s">
        <v>199</v>
      </c>
      <c r="D69" s="43">
        <v>1.2030000000000001</v>
      </c>
      <c r="E69" s="75">
        <v>5</v>
      </c>
      <c r="F69" s="43">
        <v>1</v>
      </c>
      <c r="G69" s="56">
        <f>テーブル1[[#This Row],[長さ(m)]]*テーブル1[[#This Row],[在庫(本)]]</f>
        <v>5</v>
      </c>
      <c r="H69" s="43">
        <f>D69*テーブル1[[#This Row],[長さ合計(m)]]</f>
        <v>6.0150000000000006</v>
      </c>
      <c r="I69" s="47">
        <v>1720.5653100778291</v>
      </c>
      <c r="J69" s="47">
        <f t="shared" si="4"/>
        <v>10349.200340118143</v>
      </c>
      <c r="K69" s="76" t="s">
        <v>51</v>
      </c>
      <c r="L69" s="48">
        <v>44652</v>
      </c>
      <c r="M69" s="43" t="s">
        <v>170</v>
      </c>
      <c r="N69" s="46" t="s">
        <v>464</v>
      </c>
      <c r="O69" s="43"/>
      <c r="P69" s="43"/>
    </row>
    <row r="70" spans="1:16" hidden="1">
      <c r="A70" s="43" t="s">
        <v>8</v>
      </c>
      <c r="B70" s="44" t="s">
        <v>9</v>
      </c>
      <c r="C70" s="43" t="s">
        <v>230</v>
      </c>
      <c r="D70" s="43">
        <v>1.25</v>
      </c>
      <c r="E70" s="43">
        <v>25</v>
      </c>
      <c r="F70" s="43">
        <v>20</v>
      </c>
      <c r="G70" s="43">
        <f>テーブル1[[#This Row],[長さ(m)]]*テーブル1[[#This Row],[在庫(本)]]</f>
        <v>500</v>
      </c>
      <c r="H70" s="43">
        <f>D70*テーブル1[[#This Row],[長さ合計(m)]]</f>
        <v>625</v>
      </c>
      <c r="I70" s="47">
        <v>1086.1813388965465</v>
      </c>
      <c r="J70" s="47">
        <f t="shared" si="4"/>
        <v>678863.33681034157</v>
      </c>
      <c r="K70" s="43" t="s">
        <v>26</v>
      </c>
      <c r="L70" s="48">
        <v>44652</v>
      </c>
      <c r="M70" s="43"/>
      <c r="N70" s="46"/>
      <c r="O70" s="43"/>
      <c r="P70" s="43"/>
    </row>
    <row r="71" spans="1:16" hidden="1">
      <c r="A71" s="43" t="s">
        <v>8</v>
      </c>
      <c r="B71" s="44" t="s">
        <v>9</v>
      </c>
      <c r="C71" s="43" t="s">
        <v>181</v>
      </c>
      <c r="D71" s="43">
        <v>1.25</v>
      </c>
      <c r="E71" s="43">
        <v>25</v>
      </c>
      <c r="F71" s="43">
        <v>30</v>
      </c>
      <c r="G71" s="43">
        <f>テーブル1[[#This Row],[長さ(m)]]*テーブル1[[#This Row],[在庫(本)]]</f>
        <v>750</v>
      </c>
      <c r="H71" s="43">
        <f>D71*テーブル1[[#This Row],[長さ合計(m)]]</f>
        <v>937.5</v>
      </c>
      <c r="I71" s="47">
        <v>1086.1813388965465</v>
      </c>
      <c r="J71" s="47">
        <f t="shared" si="4"/>
        <v>1018295.0052155124</v>
      </c>
      <c r="K71" s="43" t="s">
        <v>26</v>
      </c>
      <c r="L71" s="48">
        <v>44652</v>
      </c>
      <c r="M71" s="43"/>
      <c r="N71" s="46"/>
      <c r="O71" s="43"/>
      <c r="P71" s="43"/>
    </row>
    <row r="72" spans="1:16" hidden="1">
      <c r="A72" s="43" t="s">
        <v>8</v>
      </c>
      <c r="B72" s="44" t="s">
        <v>9</v>
      </c>
      <c r="C72" s="43" t="s">
        <v>450</v>
      </c>
      <c r="D72" s="43">
        <v>1.25</v>
      </c>
      <c r="E72" s="43">
        <v>1</v>
      </c>
      <c r="F72" s="43">
        <v>1</v>
      </c>
      <c r="G72" s="43">
        <f>テーブル1[[#This Row],[長さ(m)]]*テーブル1[[#This Row],[在庫(本)]]</f>
        <v>1</v>
      </c>
      <c r="H72" s="43">
        <f>D72*テーブル1[[#This Row],[長さ合計(m)]]</f>
        <v>1.25</v>
      </c>
      <c r="I72" s="47">
        <v>1086.1813388965465</v>
      </c>
      <c r="J72" s="47">
        <f t="shared" si="4"/>
        <v>1357.7266736206832</v>
      </c>
      <c r="K72" s="43" t="s">
        <v>16</v>
      </c>
      <c r="L72" s="48">
        <v>44652</v>
      </c>
      <c r="M72" s="43"/>
      <c r="N72" s="46"/>
      <c r="O72" s="43"/>
      <c r="P72" s="43"/>
    </row>
    <row r="73" spans="1:16" hidden="1">
      <c r="A73" s="43" t="s">
        <v>8</v>
      </c>
      <c r="B73" s="44" t="s">
        <v>9</v>
      </c>
      <c r="C73" s="43" t="s">
        <v>182</v>
      </c>
      <c r="D73" s="43">
        <v>1.25</v>
      </c>
      <c r="E73" s="43">
        <v>25</v>
      </c>
      <c r="F73" s="43">
        <v>38</v>
      </c>
      <c r="G73" s="43">
        <f>テーブル1[[#This Row],[長さ(m)]]*テーブル1[[#This Row],[在庫(本)]]</f>
        <v>950</v>
      </c>
      <c r="H73" s="43">
        <f>D73*テーブル1[[#This Row],[長さ合計(m)]]</f>
        <v>1187.5</v>
      </c>
      <c r="I73" s="47">
        <v>1086.1813388965463</v>
      </c>
      <c r="J73" s="47">
        <f t="shared" si="4"/>
        <v>1289840.3399396488</v>
      </c>
      <c r="K73" s="43" t="s">
        <v>26</v>
      </c>
      <c r="L73" s="48">
        <v>44652</v>
      </c>
      <c r="M73" s="43"/>
      <c r="N73" s="46"/>
      <c r="O73" s="43"/>
      <c r="P73" s="43"/>
    </row>
    <row r="74" spans="1:16" hidden="1">
      <c r="A74" s="43" t="s">
        <v>8</v>
      </c>
      <c r="B74" s="44" t="s">
        <v>9</v>
      </c>
      <c r="C74" s="43" t="s">
        <v>183</v>
      </c>
      <c r="D74" s="43">
        <v>1.25</v>
      </c>
      <c r="E74" s="43">
        <v>13</v>
      </c>
      <c r="F74" s="43">
        <v>1</v>
      </c>
      <c r="G74" s="43">
        <f>テーブル1[[#This Row],[長さ(m)]]*テーブル1[[#This Row],[在庫(本)]]</f>
        <v>13</v>
      </c>
      <c r="H74" s="43">
        <f>D74*テーブル1[[#This Row],[長さ合計(m)]]</f>
        <v>16.25</v>
      </c>
      <c r="I74" s="47">
        <v>1086.1813388965463</v>
      </c>
      <c r="J74" s="47">
        <f t="shared" si="4"/>
        <v>17650.446757068879</v>
      </c>
      <c r="K74" s="43" t="s">
        <v>26</v>
      </c>
      <c r="L74" s="48">
        <v>44652</v>
      </c>
      <c r="M74" s="43"/>
      <c r="N74" s="46"/>
      <c r="O74" s="43"/>
      <c r="P74" s="43"/>
    </row>
    <row r="75" spans="1:16" hidden="1">
      <c r="A75" s="43" t="s">
        <v>8</v>
      </c>
      <c r="B75" s="44" t="s">
        <v>9</v>
      </c>
      <c r="C75" s="43" t="s">
        <v>184</v>
      </c>
      <c r="D75" s="43">
        <v>1.25</v>
      </c>
      <c r="E75" s="43">
        <f>24-3-5</f>
        <v>16</v>
      </c>
      <c r="F75" s="43">
        <v>1</v>
      </c>
      <c r="G75" s="43">
        <f>テーブル1[[#This Row],[長さ(m)]]*テーブル1[[#This Row],[在庫(本)]]</f>
        <v>16</v>
      </c>
      <c r="H75" s="43">
        <f>D75*テーブル1[[#This Row],[長さ合計(m)]]</f>
        <v>20</v>
      </c>
      <c r="I75" s="47">
        <v>1086.1813388965465</v>
      </c>
      <c r="J75" s="47">
        <f t="shared" si="4"/>
        <v>21723.626777930931</v>
      </c>
      <c r="K75" s="43" t="s">
        <v>16</v>
      </c>
      <c r="L75" s="48">
        <v>44652</v>
      </c>
      <c r="M75" s="43"/>
      <c r="N75" s="46"/>
      <c r="O75" s="43"/>
      <c r="P75" s="43"/>
    </row>
    <row r="76" spans="1:16" hidden="1">
      <c r="A76" s="49" t="s">
        <v>8</v>
      </c>
      <c r="B76" s="49" t="s">
        <v>41</v>
      </c>
      <c r="C76" s="49" t="s">
        <v>185</v>
      </c>
      <c r="D76" s="49">
        <v>1.25</v>
      </c>
      <c r="E76" s="49">
        <v>25</v>
      </c>
      <c r="F76" s="49">
        <v>11</v>
      </c>
      <c r="G76" s="49">
        <f>テーブル1[[#This Row],[長さ(m)]]*テーブル1[[#This Row],[在庫(本)]]</f>
        <v>275</v>
      </c>
      <c r="H76" s="49">
        <f>D76*テーブル1[[#This Row],[長さ合計(m)]]</f>
        <v>343.75</v>
      </c>
      <c r="I76" s="53">
        <v>1099.5225721795628</v>
      </c>
      <c r="J76" s="53">
        <f t="shared" si="4"/>
        <v>377960.88418672472</v>
      </c>
      <c r="K76" s="49" t="s">
        <v>26</v>
      </c>
      <c r="L76" s="55">
        <v>44652</v>
      </c>
      <c r="M76" s="43" t="s">
        <v>216</v>
      </c>
      <c r="N76" s="46" t="s">
        <v>171</v>
      </c>
      <c r="O76" s="43"/>
      <c r="P76" s="43"/>
    </row>
    <row r="77" spans="1:16" hidden="1">
      <c r="A77" s="49" t="s">
        <v>8</v>
      </c>
      <c r="B77" s="49" t="s">
        <v>41</v>
      </c>
      <c r="C77" s="49" t="s">
        <v>186</v>
      </c>
      <c r="D77" s="49">
        <v>1.25</v>
      </c>
      <c r="E77" s="49">
        <v>25</v>
      </c>
      <c r="F77" s="49">
        <v>25</v>
      </c>
      <c r="G77" s="49">
        <f>テーブル1[[#This Row],[長さ(m)]]*テーブル1[[#This Row],[在庫(本)]]</f>
        <v>625</v>
      </c>
      <c r="H77" s="49">
        <f>D77*テーブル1[[#This Row],[長さ合計(m)]]</f>
        <v>781.25</v>
      </c>
      <c r="I77" s="53">
        <v>1099.5225721795628</v>
      </c>
      <c r="J77" s="53">
        <f t="shared" si="4"/>
        <v>859002.0095152834</v>
      </c>
      <c r="K77" s="49" t="s">
        <v>26</v>
      </c>
      <c r="L77" s="55">
        <v>44652</v>
      </c>
      <c r="M77" s="43" t="s">
        <v>216</v>
      </c>
      <c r="N77" s="46" t="s">
        <v>171</v>
      </c>
      <c r="O77" s="43"/>
      <c r="P77" s="43"/>
    </row>
    <row r="78" spans="1:16" hidden="1">
      <c r="A78" s="49" t="s">
        <v>8</v>
      </c>
      <c r="B78" s="49" t="s">
        <v>41</v>
      </c>
      <c r="C78" s="49" t="s">
        <v>495</v>
      </c>
      <c r="D78" s="49">
        <v>1.25</v>
      </c>
      <c r="E78" s="49">
        <f>13.3-0.6-0.6-3-1.2-2.3-3</f>
        <v>2.6000000000000014</v>
      </c>
      <c r="F78" s="49">
        <v>1</v>
      </c>
      <c r="G78" s="49">
        <f>テーブル1[[#This Row],[長さ(m)]]*テーブル1[[#This Row],[在庫(本)]]</f>
        <v>2.6000000000000014</v>
      </c>
      <c r="H78" s="49">
        <f>D78*テーブル1[[#This Row],[長さ合計(m)]]</f>
        <v>3.2500000000000018</v>
      </c>
      <c r="I78" s="53">
        <v>1099.5225721795628</v>
      </c>
      <c r="J78" s="53">
        <f t="shared" si="4"/>
        <v>3573.4483595835809</v>
      </c>
      <c r="K78" s="49" t="s">
        <v>51</v>
      </c>
      <c r="L78" s="55">
        <v>44652</v>
      </c>
      <c r="M78" s="43"/>
      <c r="N78" s="46"/>
      <c r="O78" s="43"/>
      <c r="P78" s="43"/>
    </row>
    <row r="79" spans="1:16">
      <c r="A79" s="43" t="s">
        <v>37</v>
      </c>
      <c r="B79" s="44" t="s">
        <v>9</v>
      </c>
      <c r="C79" s="43" t="s">
        <v>430</v>
      </c>
      <c r="D79" s="76">
        <v>1.29</v>
      </c>
      <c r="E79" s="43">
        <v>400</v>
      </c>
      <c r="F79" s="76">
        <v>1</v>
      </c>
      <c r="G79" s="76">
        <f t="shared" ref="G79" si="5">E79*F79</f>
        <v>400</v>
      </c>
      <c r="H79" s="43">
        <f>D79*テーブル1[[#This Row],[長さ合計(m)]]</f>
        <v>516</v>
      </c>
      <c r="I79" s="47">
        <v>604.35137476984016</v>
      </c>
      <c r="J79" s="47">
        <f t="shared" ref="J79:J80" si="6">H79*I79</f>
        <v>311845.30938123754</v>
      </c>
      <c r="K79" s="76" t="s">
        <v>17</v>
      </c>
      <c r="L79" s="48">
        <v>44713</v>
      </c>
      <c r="M79" s="43"/>
      <c r="N79" s="46"/>
      <c r="O79" s="43"/>
      <c r="P79" s="45"/>
    </row>
    <row r="80" spans="1:16" hidden="1">
      <c r="A80" s="89" t="s">
        <v>37</v>
      </c>
      <c r="B80" s="90" t="s">
        <v>9</v>
      </c>
      <c r="C80" s="89" t="s">
        <v>404</v>
      </c>
      <c r="D80" s="91">
        <v>1.29</v>
      </c>
      <c r="E80" s="89">
        <f>400-200</f>
        <v>200</v>
      </c>
      <c r="F80" s="91">
        <v>1</v>
      </c>
      <c r="G80" s="91">
        <f>E80*F80</f>
        <v>200</v>
      </c>
      <c r="H80" s="89">
        <f>D80*テーブル1[[#This Row],[長さ合計(m)]]</f>
        <v>258</v>
      </c>
      <c r="I80" s="92">
        <v>604.35137476984016</v>
      </c>
      <c r="J80" s="92">
        <f t="shared" si="6"/>
        <v>155922.65469061877</v>
      </c>
      <c r="K80" s="91" t="s">
        <v>44</v>
      </c>
      <c r="L80" s="93">
        <v>44713</v>
      </c>
      <c r="M80" s="89" t="s">
        <v>485</v>
      </c>
      <c r="N80" s="94"/>
      <c r="O80" s="43" t="s">
        <v>503</v>
      </c>
      <c r="P80" s="72" t="s">
        <v>211</v>
      </c>
    </row>
    <row r="81" spans="1:16" hidden="1">
      <c r="A81" s="76" t="s">
        <v>8</v>
      </c>
      <c r="B81" s="79" t="s">
        <v>9</v>
      </c>
      <c r="C81" s="76" t="s">
        <v>353</v>
      </c>
      <c r="D81" s="43">
        <v>1.25</v>
      </c>
      <c r="E81" s="76">
        <v>25</v>
      </c>
      <c r="F81" s="76">
        <v>37</v>
      </c>
      <c r="G81" s="76">
        <v>925</v>
      </c>
      <c r="H81" s="76">
        <f>D81*テーブル1[[#This Row],[長さ合計(m)]]</f>
        <v>1156.25</v>
      </c>
      <c r="I81" s="77">
        <v>1089.6454038775285</v>
      </c>
      <c r="J81" s="77">
        <f>H81*I81</f>
        <v>1259902.4982333924</v>
      </c>
      <c r="K81" s="43" t="s">
        <v>26</v>
      </c>
      <c r="L81" s="80">
        <v>44743</v>
      </c>
      <c r="M81" s="76"/>
      <c r="N81" s="57"/>
      <c r="O81" s="76"/>
      <c r="P81" s="76"/>
    </row>
    <row r="82" spans="1:16" hidden="1">
      <c r="A82" s="76" t="s">
        <v>8</v>
      </c>
      <c r="B82" s="79" t="s">
        <v>9</v>
      </c>
      <c r="C82" s="43" t="s">
        <v>354</v>
      </c>
      <c r="D82" s="43">
        <v>1.25</v>
      </c>
      <c r="E82" s="43">
        <v>16</v>
      </c>
      <c r="F82" s="43">
        <v>1</v>
      </c>
      <c r="G82" s="43">
        <v>16</v>
      </c>
      <c r="H82" s="43">
        <f>D82*テーブル1[[#This Row],[長さ合計(m)]]</f>
        <v>20</v>
      </c>
      <c r="I82" s="47">
        <v>1089.6454038775285</v>
      </c>
      <c r="J82" s="47">
        <f t="shared" ref="J82:J89" si="7">H82*I82</f>
        <v>21792.908077550568</v>
      </c>
      <c r="K82" s="43" t="s">
        <v>26</v>
      </c>
      <c r="L82" s="80">
        <v>44743</v>
      </c>
      <c r="M82" s="43"/>
      <c r="N82" s="46"/>
      <c r="O82" s="43"/>
      <c r="P82" s="43"/>
    </row>
    <row r="83" spans="1:16" hidden="1">
      <c r="A83" s="76" t="s">
        <v>8</v>
      </c>
      <c r="B83" s="79" t="s">
        <v>9</v>
      </c>
      <c r="C83" s="43" t="s">
        <v>355</v>
      </c>
      <c r="D83" s="43">
        <v>1.25</v>
      </c>
      <c r="E83" s="43">
        <v>25</v>
      </c>
      <c r="F83" s="43">
        <v>39</v>
      </c>
      <c r="G83" s="43">
        <v>10</v>
      </c>
      <c r="H83" s="43">
        <f>D83*テーブル1[[#This Row],[長さ合計(m)]]</f>
        <v>12.5</v>
      </c>
      <c r="I83" s="47">
        <v>1089.6454038775285</v>
      </c>
      <c r="J83" s="47">
        <f t="shared" si="7"/>
        <v>13620.567548469106</v>
      </c>
      <c r="K83" s="43" t="s">
        <v>26</v>
      </c>
      <c r="L83" s="80">
        <v>44743</v>
      </c>
      <c r="M83" s="43"/>
      <c r="N83" s="46"/>
      <c r="O83" s="43"/>
      <c r="P83" s="43"/>
    </row>
    <row r="84" spans="1:16" hidden="1">
      <c r="A84" s="81" t="s">
        <v>8</v>
      </c>
      <c r="B84" s="49" t="s">
        <v>41</v>
      </c>
      <c r="C84" s="49" t="s">
        <v>356</v>
      </c>
      <c r="D84" s="49">
        <v>1.25</v>
      </c>
      <c r="E84" s="49">
        <v>15</v>
      </c>
      <c r="F84" s="49">
        <v>1</v>
      </c>
      <c r="G84" s="49">
        <f>テーブル1[[#This Row],[長さ(m)]]*テーブル1[[#This Row],[在庫(本)]]</f>
        <v>15</v>
      </c>
      <c r="H84" s="49">
        <f>D84*テーブル1[[#This Row],[長さ合計(m)]]</f>
        <v>18.75</v>
      </c>
      <c r="I84" s="53">
        <v>1089.6454038775285</v>
      </c>
      <c r="J84" s="53">
        <f t="shared" si="7"/>
        <v>20430.85132270366</v>
      </c>
      <c r="K84" s="49" t="s">
        <v>26</v>
      </c>
      <c r="L84" s="82">
        <v>44743</v>
      </c>
      <c r="M84" s="43"/>
      <c r="N84" s="46"/>
      <c r="O84" s="43"/>
      <c r="P84" s="43"/>
    </row>
    <row r="85" spans="1:16" hidden="1">
      <c r="A85" s="81" t="s">
        <v>8</v>
      </c>
      <c r="B85" s="49" t="s">
        <v>41</v>
      </c>
      <c r="C85" s="49" t="s">
        <v>357</v>
      </c>
      <c r="D85" s="49">
        <v>1.25</v>
      </c>
      <c r="E85" s="49">
        <v>18</v>
      </c>
      <c r="F85" s="49">
        <v>1</v>
      </c>
      <c r="G85" s="49">
        <v>15</v>
      </c>
      <c r="H85" s="49">
        <f>D85*テーブル1[[#This Row],[長さ合計(m)]]</f>
        <v>18.75</v>
      </c>
      <c r="I85" s="53">
        <v>1089.6454038775285</v>
      </c>
      <c r="J85" s="53">
        <f t="shared" si="7"/>
        <v>20430.85132270366</v>
      </c>
      <c r="K85" s="49" t="s">
        <v>26</v>
      </c>
      <c r="L85" s="82">
        <v>44743</v>
      </c>
      <c r="M85" s="43"/>
      <c r="N85" s="46"/>
      <c r="O85" s="43"/>
      <c r="P85" s="43"/>
    </row>
    <row r="86" spans="1:16" hidden="1">
      <c r="A86" s="81" t="s">
        <v>8</v>
      </c>
      <c r="B86" s="49" t="s">
        <v>41</v>
      </c>
      <c r="C86" s="49" t="s">
        <v>358</v>
      </c>
      <c r="D86" s="49">
        <v>1.25</v>
      </c>
      <c r="E86" s="49">
        <v>14</v>
      </c>
      <c r="F86" s="49">
        <v>1</v>
      </c>
      <c r="G86" s="49">
        <v>18</v>
      </c>
      <c r="H86" s="49">
        <f>D86*テーブル1[[#This Row],[長さ合計(m)]]</f>
        <v>22.5</v>
      </c>
      <c r="I86" s="53">
        <v>1089.6454038775285</v>
      </c>
      <c r="J86" s="53">
        <f t="shared" si="7"/>
        <v>24517.021587244391</v>
      </c>
      <c r="K86" s="49" t="s">
        <v>26</v>
      </c>
      <c r="L86" s="82">
        <v>44743</v>
      </c>
      <c r="M86" s="43"/>
      <c r="N86" s="46"/>
      <c r="O86" s="43"/>
      <c r="P86" s="43"/>
    </row>
    <row r="87" spans="1:16" hidden="1">
      <c r="A87" s="81" t="s">
        <v>8</v>
      </c>
      <c r="B87" s="49" t="s">
        <v>41</v>
      </c>
      <c r="C87" s="49" t="s">
        <v>359</v>
      </c>
      <c r="D87" s="49">
        <v>1.25</v>
      </c>
      <c r="E87" s="49">
        <v>23</v>
      </c>
      <c r="F87" s="49">
        <v>1</v>
      </c>
      <c r="G87" s="49">
        <v>14</v>
      </c>
      <c r="H87" s="49">
        <f>D87*テーブル1[[#This Row],[長さ合計(m)]]</f>
        <v>17.5</v>
      </c>
      <c r="I87" s="53">
        <v>1089.6454038775285</v>
      </c>
      <c r="J87" s="53">
        <f t="shared" si="7"/>
        <v>19068.794567856748</v>
      </c>
      <c r="K87" s="49" t="s">
        <v>26</v>
      </c>
      <c r="L87" s="82">
        <v>44743</v>
      </c>
      <c r="M87" s="43"/>
      <c r="N87" s="46"/>
      <c r="O87" s="43"/>
      <c r="P87" s="43"/>
    </row>
    <row r="88" spans="1:16" hidden="1">
      <c r="A88" s="81" t="s">
        <v>8</v>
      </c>
      <c r="B88" s="49" t="s">
        <v>41</v>
      </c>
      <c r="C88" s="49" t="s">
        <v>360</v>
      </c>
      <c r="D88" s="49">
        <v>1.25</v>
      </c>
      <c r="E88" s="49">
        <v>23</v>
      </c>
      <c r="F88" s="49">
        <v>1</v>
      </c>
      <c r="G88" s="49">
        <v>23</v>
      </c>
      <c r="H88" s="49">
        <f>D88*テーブル1[[#This Row],[長さ合計(m)]]</f>
        <v>28.75</v>
      </c>
      <c r="I88" s="53">
        <v>1089.6454038775285</v>
      </c>
      <c r="J88" s="53">
        <f t="shared" si="7"/>
        <v>31327.305361478942</v>
      </c>
      <c r="K88" s="49" t="s">
        <v>26</v>
      </c>
      <c r="L88" s="82">
        <v>44743</v>
      </c>
      <c r="M88" s="43"/>
      <c r="N88" s="46"/>
      <c r="O88" s="43"/>
      <c r="P88" s="43"/>
    </row>
    <row r="89" spans="1:16" hidden="1">
      <c r="A89" s="49" t="s">
        <v>8</v>
      </c>
      <c r="B89" s="49" t="s">
        <v>41</v>
      </c>
      <c r="C89" s="49" t="s">
        <v>361</v>
      </c>
      <c r="D89" s="49">
        <v>1.25</v>
      </c>
      <c r="E89" s="49">
        <v>25</v>
      </c>
      <c r="F89" s="49">
        <f>34-1</f>
        <v>33</v>
      </c>
      <c r="G89" s="49">
        <f>テーブル1[[#This Row],[長さ(m)]]*テーブル1[[#This Row],[在庫(本)]]</f>
        <v>825</v>
      </c>
      <c r="H89" s="49">
        <f>D89*テーブル1[[#This Row],[長さ合計(m)]]</f>
        <v>1031.25</v>
      </c>
      <c r="I89" s="53">
        <v>1081.8091504305573</v>
      </c>
      <c r="J89" s="53">
        <f t="shared" si="7"/>
        <v>1115615.6863815123</v>
      </c>
      <c r="K89" s="49" t="s">
        <v>26</v>
      </c>
      <c r="L89" s="82">
        <v>44743</v>
      </c>
      <c r="M89" s="43"/>
      <c r="N89" s="46"/>
      <c r="O89" s="43"/>
      <c r="P89" s="43"/>
    </row>
    <row r="90" spans="1:16" hidden="1">
      <c r="A90" s="43" t="s">
        <v>251</v>
      </c>
      <c r="B90" s="44" t="s">
        <v>9</v>
      </c>
      <c r="C90" s="43" t="s">
        <v>429</v>
      </c>
      <c r="D90" s="43">
        <v>1.044</v>
      </c>
      <c r="E90" s="43">
        <v>50</v>
      </c>
      <c r="F90" s="43">
        <v>1</v>
      </c>
      <c r="G90" s="43">
        <v>50</v>
      </c>
      <c r="H90" s="43">
        <f>D90*テーブル1[[#This Row],[長さ合計(m)]]</f>
        <v>52.2</v>
      </c>
      <c r="I90" s="47">
        <v>2807.836209038991</v>
      </c>
      <c r="J90" s="47">
        <f t="shared" ref="J90:J99" si="8">H90*I90</f>
        <v>146569.05011183533</v>
      </c>
      <c r="K90" s="76" t="s">
        <v>258</v>
      </c>
      <c r="L90" s="80">
        <v>44743</v>
      </c>
      <c r="M90" s="43" t="s">
        <v>228</v>
      </c>
      <c r="N90" s="46" t="s">
        <v>464</v>
      </c>
      <c r="O90" s="43"/>
      <c r="P90" s="43"/>
    </row>
    <row r="91" spans="1:16" hidden="1">
      <c r="A91" s="43" t="s">
        <v>251</v>
      </c>
      <c r="B91" s="44" t="s">
        <v>9</v>
      </c>
      <c r="C91" s="43" t="s">
        <v>219</v>
      </c>
      <c r="D91" s="43">
        <v>1.044</v>
      </c>
      <c r="E91" s="43">
        <f>10.5-3-1.3</f>
        <v>6.2</v>
      </c>
      <c r="F91" s="43">
        <v>1</v>
      </c>
      <c r="G91" s="56">
        <f>テーブル1[[#This Row],[長さ(m)]]*テーブル1[[#This Row],[在庫(本)]]</f>
        <v>6.2</v>
      </c>
      <c r="H91" s="43">
        <f>D91*テーブル1[[#This Row],[長さ合計(m)]]</f>
        <v>6.4728000000000003</v>
      </c>
      <c r="I91" s="47">
        <v>2807.836209038991</v>
      </c>
      <c r="J91" s="47">
        <f t="shared" si="8"/>
        <v>18174.562213867583</v>
      </c>
      <c r="K91" s="43" t="s">
        <v>51</v>
      </c>
      <c r="L91" s="80">
        <v>44743</v>
      </c>
      <c r="M91" s="43" t="s">
        <v>228</v>
      </c>
      <c r="N91" s="46" t="s">
        <v>464</v>
      </c>
      <c r="O91" s="43"/>
      <c r="P91" s="43"/>
    </row>
    <row r="92" spans="1:16" hidden="1">
      <c r="A92" s="43" t="s">
        <v>248</v>
      </c>
      <c r="B92" s="44" t="s">
        <v>9</v>
      </c>
      <c r="C92" s="88" t="s">
        <v>220</v>
      </c>
      <c r="D92" s="43">
        <v>1.034</v>
      </c>
      <c r="E92" s="88">
        <f>33-33</f>
        <v>0</v>
      </c>
      <c r="F92" s="43">
        <v>1</v>
      </c>
      <c r="G92" s="43">
        <v>50</v>
      </c>
      <c r="H92" s="43">
        <f>D92*テーブル1[[#This Row],[長さ合計(m)]]</f>
        <v>51.7</v>
      </c>
      <c r="I92" s="47">
        <v>2032.2833677337587</v>
      </c>
      <c r="J92" s="47">
        <f t="shared" si="8"/>
        <v>105069.05011183533</v>
      </c>
      <c r="K92" s="76" t="s">
        <v>258</v>
      </c>
      <c r="L92" s="80">
        <v>44743</v>
      </c>
      <c r="M92" s="43" t="s">
        <v>229</v>
      </c>
      <c r="N92" s="46" t="s">
        <v>462</v>
      </c>
      <c r="O92" s="43"/>
      <c r="P92" s="43"/>
    </row>
    <row r="93" spans="1:16" hidden="1">
      <c r="A93" s="43" t="s">
        <v>248</v>
      </c>
      <c r="B93" s="44" t="s">
        <v>9</v>
      </c>
      <c r="C93" s="43" t="s">
        <v>221</v>
      </c>
      <c r="D93" s="43">
        <v>1.034</v>
      </c>
      <c r="E93" s="43">
        <v>50</v>
      </c>
      <c r="F93" s="43">
        <v>1</v>
      </c>
      <c r="G93" s="43">
        <v>50</v>
      </c>
      <c r="H93" s="43">
        <f>D93*テーブル1[[#This Row],[長さ合計(m)]]</f>
        <v>51.7</v>
      </c>
      <c r="I93" s="47">
        <v>2032.2833677337587</v>
      </c>
      <c r="J93" s="47">
        <f t="shared" si="8"/>
        <v>105069.05011183533</v>
      </c>
      <c r="K93" s="76" t="s">
        <v>258</v>
      </c>
      <c r="L93" s="80">
        <v>44743</v>
      </c>
      <c r="M93" s="43" t="s">
        <v>229</v>
      </c>
      <c r="N93" s="46" t="s">
        <v>462</v>
      </c>
      <c r="O93" s="43"/>
      <c r="P93" s="43"/>
    </row>
    <row r="94" spans="1:16" hidden="1">
      <c r="A94" s="43" t="s">
        <v>248</v>
      </c>
      <c r="B94" s="44" t="s">
        <v>9</v>
      </c>
      <c r="C94" s="43" t="s">
        <v>222</v>
      </c>
      <c r="D94" s="43">
        <v>1.034</v>
      </c>
      <c r="E94" s="43">
        <v>50</v>
      </c>
      <c r="F94" s="43">
        <v>1</v>
      </c>
      <c r="G94" s="43">
        <v>50</v>
      </c>
      <c r="H94" s="43">
        <f>D94*テーブル1[[#This Row],[長さ合計(m)]]</f>
        <v>51.7</v>
      </c>
      <c r="I94" s="47">
        <v>2032.2833677337587</v>
      </c>
      <c r="J94" s="47">
        <f t="shared" si="8"/>
        <v>105069.05011183533</v>
      </c>
      <c r="K94" s="76" t="s">
        <v>258</v>
      </c>
      <c r="L94" s="80">
        <v>44743</v>
      </c>
      <c r="M94" s="43" t="s">
        <v>229</v>
      </c>
      <c r="N94" s="46" t="s">
        <v>462</v>
      </c>
      <c r="O94" s="43"/>
      <c r="P94" s="43"/>
    </row>
    <row r="95" spans="1:16" hidden="1">
      <c r="A95" s="43" t="s">
        <v>248</v>
      </c>
      <c r="B95" s="44" t="s">
        <v>9</v>
      </c>
      <c r="C95" s="43" t="s">
        <v>223</v>
      </c>
      <c r="D95" s="43">
        <v>1.034</v>
      </c>
      <c r="E95" s="43">
        <v>50</v>
      </c>
      <c r="F95" s="43">
        <v>1</v>
      </c>
      <c r="G95" s="43">
        <v>50</v>
      </c>
      <c r="H95" s="43">
        <f>D95*テーブル1[[#This Row],[長さ合計(m)]]</f>
        <v>51.7</v>
      </c>
      <c r="I95" s="47">
        <v>2032.2833677337587</v>
      </c>
      <c r="J95" s="47">
        <f t="shared" si="8"/>
        <v>105069.05011183533</v>
      </c>
      <c r="K95" s="76" t="s">
        <v>258</v>
      </c>
      <c r="L95" s="80">
        <v>44743</v>
      </c>
      <c r="M95" s="43" t="s">
        <v>229</v>
      </c>
      <c r="N95" s="46" t="s">
        <v>462</v>
      </c>
      <c r="O95" s="43"/>
      <c r="P95" s="43"/>
    </row>
    <row r="96" spans="1:16" hidden="1">
      <c r="A96" s="43" t="s">
        <v>248</v>
      </c>
      <c r="B96" s="44" t="s">
        <v>9</v>
      </c>
      <c r="C96" s="43" t="s">
        <v>224</v>
      </c>
      <c r="D96" s="43">
        <v>1.034</v>
      </c>
      <c r="E96" s="43">
        <v>50</v>
      </c>
      <c r="F96" s="43">
        <v>1</v>
      </c>
      <c r="G96" s="43">
        <v>50</v>
      </c>
      <c r="H96" s="43">
        <f>D96*テーブル1[[#This Row],[長さ合計(m)]]</f>
        <v>51.7</v>
      </c>
      <c r="I96" s="47">
        <v>2032.2833677337587</v>
      </c>
      <c r="J96" s="47">
        <f t="shared" si="8"/>
        <v>105069.05011183533</v>
      </c>
      <c r="K96" s="76" t="s">
        <v>258</v>
      </c>
      <c r="L96" s="80">
        <v>44743</v>
      </c>
      <c r="M96" s="43" t="s">
        <v>229</v>
      </c>
      <c r="N96" s="46" t="s">
        <v>462</v>
      </c>
      <c r="O96" s="43"/>
      <c r="P96" s="43"/>
    </row>
    <row r="97" spans="1:16" hidden="1">
      <c r="A97" s="43" t="s">
        <v>248</v>
      </c>
      <c r="B97" s="44" t="s">
        <v>9</v>
      </c>
      <c r="C97" s="43" t="s">
        <v>225</v>
      </c>
      <c r="D97" s="43">
        <v>1.034</v>
      </c>
      <c r="E97" s="43">
        <v>50</v>
      </c>
      <c r="F97" s="43">
        <v>1</v>
      </c>
      <c r="G97" s="43">
        <v>50</v>
      </c>
      <c r="H97" s="43">
        <f>D97*テーブル1[[#This Row],[長さ合計(m)]]</f>
        <v>51.7</v>
      </c>
      <c r="I97" s="47">
        <v>2032.2833677337587</v>
      </c>
      <c r="J97" s="47">
        <f t="shared" si="8"/>
        <v>105069.05011183533</v>
      </c>
      <c r="K97" s="76" t="s">
        <v>258</v>
      </c>
      <c r="L97" s="80">
        <v>44743</v>
      </c>
      <c r="M97" s="43" t="s">
        <v>229</v>
      </c>
      <c r="N97" s="46" t="s">
        <v>462</v>
      </c>
      <c r="O97" s="43"/>
      <c r="P97" s="43"/>
    </row>
    <row r="98" spans="1:16" hidden="1">
      <c r="A98" s="43" t="s">
        <v>248</v>
      </c>
      <c r="B98" s="44" t="s">
        <v>9</v>
      </c>
      <c r="C98" s="43" t="s">
        <v>226</v>
      </c>
      <c r="D98" s="43">
        <v>1.034</v>
      </c>
      <c r="E98" s="43">
        <v>50</v>
      </c>
      <c r="F98" s="43">
        <v>1</v>
      </c>
      <c r="G98" s="43">
        <v>50</v>
      </c>
      <c r="H98" s="43">
        <f>D98*テーブル1[[#This Row],[長さ合計(m)]]</f>
        <v>51.7</v>
      </c>
      <c r="I98" s="47">
        <v>2032.2833677337587</v>
      </c>
      <c r="J98" s="47">
        <f t="shared" si="8"/>
        <v>105069.05011183533</v>
      </c>
      <c r="K98" s="76" t="s">
        <v>258</v>
      </c>
      <c r="L98" s="80">
        <v>44743</v>
      </c>
      <c r="M98" s="43" t="s">
        <v>229</v>
      </c>
      <c r="N98" s="46" t="s">
        <v>462</v>
      </c>
      <c r="O98" s="43"/>
      <c r="P98" s="43"/>
    </row>
    <row r="99" spans="1:16" hidden="1">
      <c r="A99" s="43" t="s">
        <v>248</v>
      </c>
      <c r="B99" s="44" t="s">
        <v>9</v>
      </c>
      <c r="C99" s="43" t="s">
        <v>227</v>
      </c>
      <c r="D99" s="43">
        <v>1.034</v>
      </c>
      <c r="E99" s="43">
        <f>4-2</f>
        <v>2</v>
      </c>
      <c r="F99" s="43">
        <v>1</v>
      </c>
      <c r="G99" s="43">
        <f>テーブル1[[#This Row],[長さ(m)]]</f>
        <v>2</v>
      </c>
      <c r="H99" s="43">
        <f>D99*テーブル1[[#This Row],[長さ合計(m)]]</f>
        <v>2.0680000000000001</v>
      </c>
      <c r="I99" s="47">
        <v>2032.2833677337587</v>
      </c>
      <c r="J99" s="47">
        <f t="shared" si="8"/>
        <v>4202.7620044734131</v>
      </c>
      <c r="K99" s="43" t="s">
        <v>18</v>
      </c>
      <c r="L99" s="80">
        <v>44743</v>
      </c>
      <c r="M99" s="43" t="s">
        <v>236</v>
      </c>
      <c r="N99" s="46" t="s">
        <v>462</v>
      </c>
      <c r="O99" s="43"/>
      <c r="P99" s="43"/>
    </row>
    <row r="100" spans="1:16" hidden="1">
      <c r="A100" s="43" t="s">
        <v>248</v>
      </c>
      <c r="B100" s="44" t="s">
        <v>9</v>
      </c>
      <c r="C100" s="43" t="s">
        <v>363</v>
      </c>
      <c r="D100" s="43">
        <v>1.0349999999999999</v>
      </c>
      <c r="E100" s="43">
        <v>50</v>
      </c>
      <c r="F100" s="43">
        <v>1</v>
      </c>
      <c r="G100" s="43">
        <v>50</v>
      </c>
      <c r="H100" s="43">
        <f>D100*テーブル1[[#This Row],[長さ合計(m)]]</f>
        <v>51.749999999999993</v>
      </c>
      <c r="I100" s="77">
        <v>1385.9317065151874</v>
      </c>
      <c r="J100" s="47">
        <f>H100*I100</f>
        <v>71721.965812160939</v>
      </c>
      <c r="K100" s="43" t="s">
        <v>18</v>
      </c>
      <c r="L100" s="48">
        <v>44409</v>
      </c>
      <c r="M100" s="43" t="s">
        <v>239</v>
      </c>
      <c r="N100" s="57" t="s">
        <v>462</v>
      </c>
      <c r="O100" s="76"/>
      <c r="P100" s="76"/>
    </row>
    <row r="101" spans="1:16" hidden="1">
      <c r="A101" s="43" t="s">
        <v>20</v>
      </c>
      <c r="B101" s="44" t="s">
        <v>9</v>
      </c>
      <c r="C101" s="43" t="s">
        <v>241</v>
      </c>
      <c r="D101" s="43">
        <v>1.2050000000000001</v>
      </c>
      <c r="E101" s="43">
        <v>4.4000000000000004</v>
      </c>
      <c r="F101" s="43">
        <v>1</v>
      </c>
      <c r="G101" s="43">
        <v>4.4000000000000004</v>
      </c>
      <c r="H101" s="43">
        <f>D101*テーブル1[[#This Row],[長さ合計(m)]]</f>
        <v>5.3020000000000005</v>
      </c>
      <c r="I101" s="47">
        <v>1627.173279379994</v>
      </c>
      <c r="J101" s="47">
        <f>H101*I101</f>
        <v>8627.2727272727298</v>
      </c>
      <c r="K101" s="43" t="s">
        <v>18</v>
      </c>
      <c r="L101" s="48">
        <v>44501</v>
      </c>
      <c r="M101" s="43" t="s">
        <v>212</v>
      </c>
      <c r="N101" s="46" t="s">
        <v>463</v>
      </c>
      <c r="O101" s="76"/>
      <c r="P101" s="76"/>
    </row>
    <row r="102" spans="1:16" hidden="1">
      <c r="A102" s="43" t="s">
        <v>8</v>
      </c>
      <c r="B102" s="44" t="s">
        <v>9</v>
      </c>
      <c r="C102" s="43" t="s">
        <v>244</v>
      </c>
      <c r="D102" s="43">
        <v>1.25</v>
      </c>
      <c r="E102" s="43">
        <v>25</v>
      </c>
      <c r="F102" s="43">
        <v>1</v>
      </c>
      <c r="G102" s="43">
        <f>テーブル1[[#This Row],[長さ(m)]]*テーブル1[[#This Row],[在庫(本)]]</f>
        <v>25</v>
      </c>
      <c r="H102" s="43">
        <f>D102*テーブル1[[#This Row],[長さ合計(m)]]</f>
        <v>31.25</v>
      </c>
      <c r="I102" s="47">
        <v>986.79157138412597</v>
      </c>
      <c r="J102" s="47">
        <f>H102*I102</f>
        <v>30837.236605753937</v>
      </c>
      <c r="K102" s="43" t="s">
        <v>51</v>
      </c>
      <c r="L102" s="48">
        <v>44440</v>
      </c>
      <c r="M102" s="43" t="s">
        <v>245</v>
      </c>
      <c r="N102" s="46"/>
      <c r="O102" s="43"/>
      <c r="P102" s="43"/>
    </row>
    <row r="103" spans="1:16" hidden="1">
      <c r="A103" s="43" t="s">
        <v>250</v>
      </c>
      <c r="B103" s="44" t="s">
        <v>9</v>
      </c>
      <c r="C103" s="43" t="s">
        <v>364</v>
      </c>
      <c r="D103" s="43">
        <v>1.204</v>
      </c>
      <c r="E103" s="43">
        <v>4.5</v>
      </c>
      <c r="F103" s="43">
        <v>1</v>
      </c>
      <c r="G103" s="43">
        <f>テーブル1[[#This Row],[長さ(m)]]</f>
        <v>4.5</v>
      </c>
      <c r="H103" s="43">
        <f>D103*テーブル1[[#This Row],[長さ合計(m)]]</f>
        <v>5.4180000000000001</v>
      </c>
      <c r="I103" s="47">
        <v>1851.8122870175514</v>
      </c>
      <c r="J103" s="47">
        <f t="shared" ref="J103:J104" si="9">H103*I103</f>
        <v>10033.118971061094</v>
      </c>
      <c r="K103" s="43" t="s">
        <v>18</v>
      </c>
      <c r="L103" s="80">
        <v>44652</v>
      </c>
      <c r="M103" s="100" t="s">
        <v>259</v>
      </c>
      <c r="N103" s="46" t="s">
        <v>464</v>
      </c>
      <c r="O103" s="43"/>
      <c r="P103" s="43"/>
    </row>
    <row r="104" spans="1:16" hidden="1">
      <c r="A104" s="43" t="s">
        <v>250</v>
      </c>
      <c r="B104" s="44" t="s">
        <v>9</v>
      </c>
      <c r="C104" s="43" t="s">
        <v>247</v>
      </c>
      <c r="D104" s="43">
        <v>1.204</v>
      </c>
      <c r="E104" s="43">
        <v>24</v>
      </c>
      <c r="F104" s="43">
        <v>1</v>
      </c>
      <c r="G104" s="43">
        <f>テーブル1[[#This Row],[長さ(m)]]</f>
        <v>24</v>
      </c>
      <c r="H104" s="43">
        <f>D104*テーブル1[[#This Row],[長さ合計(m)]]</f>
        <v>28.896000000000001</v>
      </c>
      <c r="I104" s="47">
        <v>1851.8122870175514</v>
      </c>
      <c r="J104" s="47">
        <f t="shared" si="9"/>
        <v>53509.967845659165</v>
      </c>
      <c r="K104" s="43" t="s">
        <v>18</v>
      </c>
      <c r="L104" s="80">
        <v>44652</v>
      </c>
      <c r="M104" s="100" t="s">
        <v>259</v>
      </c>
      <c r="N104" s="46" t="s">
        <v>464</v>
      </c>
      <c r="O104" s="76"/>
      <c r="P104" s="76"/>
    </row>
    <row r="105" spans="1:16" hidden="1">
      <c r="A105" s="43" t="s">
        <v>8</v>
      </c>
      <c r="B105" s="44" t="s">
        <v>9</v>
      </c>
      <c r="C105" s="76" t="s">
        <v>362</v>
      </c>
      <c r="D105" s="76">
        <v>1.25</v>
      </c>
      <c r="E105" s="76">
        <f>25-12</f>
        <v>13</v>
      </c>
      <c r="F105" s="76">
        <v>1</v>
      </c>
      <c r="G105" s="43">
        <f>テーブル1[[#This Row],[長さ(m)]]</f>
        <v>13</v>
      </c>
      <c r="H105" s="76">
        <f>D105*テーブル1[[#This Row],[長さ合計(m)]]</f>
        <v>16.25</v>
      </c>
      <c r="I105" s="77">
        <v>986.79157138412597</v>
      </c>
      <c r="J105" s="77">
        <f>H105*I105</f>
        <v>16035.363034992048</v>
      </c>
      <c r="K105" s="76" t="s">
        <v>252</v>
      </c>
      <c r="L105" s="48">
        <v>44440</v>
      </c>
      <c r="M105" s="76"/>
      <c r="N105" s="57"/>
      <c r="O105" s="76"/>
      <c r="P105" s="76"/>
    </row>
    <row r="106" spans="1:16" hidden="1">
      <c r="A106" s="43" t="s">
        <v>366</v>
      </c>
      <c r="B106" s="44" t="s">
        <v>367</v>
      </c>
      <c r="C106" s="43" t="s">
        <v>368</v>
      </c>
      <c r="D106" s="43">
        <v>1.29</v>
      </c>
      <c r="E106" s="43">
        <v>600</v>
      </c>
      <c r="F106" s="76">
        <v>1</v>
      </c>
      <c r="G106" s="76">
        <f t="shared" ref="G106:G112" si="10">E106*F106</f>
        <v>600</v>
      </c>
      <c r="H106" s="43">
        <f>D106*テーブル1[[#This Row],[長さ合計(m)]]</f>
        <v>774</v>
      </c>
      <c r="I106" s="47">
        <v>157.1</v>
      </c>
      <c r="J106" s="47">
        <f>G106*I106</f>
        <v>94260</v>
      </c>
      <c r="K106" s="76" t="s">
        <v>44</v>
      </c>
      <c r="L106" s="48">
        <v>44743</v>
      </c>
      <c r="M106" s="43"/>
      <c r="N106" s="46"/>
      <c r="O106" s="43"/>
      <c r="P106" s="72" t="s">
        <v>312</v>
      </c>
    </row>
    <row r="107" spans="1:16" hidden="1">
      <c r="A107" s="43" t="s">
        <v>366</v>
      </c>
      <c r="B107" s="44" t="s">
        <v>367</v>
      </c>
      <c r="C107" s="43" t="s">
        <v>369</v>
      </c>
      <c r="D107" s="43">
        <v>1.29</v>
      </c>
      <c r="E107" s="43">
        <v>1000</v>
      </c>
      <c r="F107" s="76">
        <v>1</v>
      </c>
      <c r="G107" s="76">
        <f t="shared" si="10"/>
        <v>1000</v>
      </c>
      <c r="H107" s="43">
        <f>D107*テーブル1[[#This Row],[長さ合計(m)]]</f>
        <v>1290</v>
      </c>
      <c r="I107" s="47">
        <v>157.1</v>
      </c>
      <c r="J107" s="47">
        <f t="shared" ref="J107:J112" si="11">G107*I107</f>
        <v>157100</v>
      </c>
      <c r="K107" s="76" t="s">
        <v>44</v>
      </c>
      <c r="L107" s="48">
        <v>44743</v>
      </c>
      <c r="M107" s="43"/>
      <c r="N107" s="46"/>
      <c r="O107" s="43"/>
      <c r="P107" s="72" t="s">
        <v>375</v>
      </c>
    </row>
    <row r="108" spans="1:16" hidden="1">
      <c r="A108" s="43" t="s">
        <v>366</v>
      </c>
      <c r="B108" s="44" t="s">
        <v>367</v>
      </c>
      <c r="C108" s="43" t="s">
        <v>370</v>
      </c>
      <c r="D108" s="43">
        <v>1.29</v>
      </c>
      <c r="E108" s="43">
        <v>1000</v>
      </c>
      <c r="F108" s="76">
        <v>1</v>
      </c>
      <c r="G108" s="76">
        <f t="shared" si="10"/>
        <v>1000</v>
      </c>
      <c r="H108" s="43">
        <f>D108*テーブル1[[#This Row],[長さ合計(m)]]</f>
        <v>1290</v>
      </c>
      <c r="I108" s="47">
        <v>157.1</v>
      </c>
      <c r="J108" s="47">
        <f t="shared" si="11"/>
        <v>157100</v>
      </c>
      <c r="K108" s="76" t="s">
        <v>44</v>
      </c>
      <c r="L108" s="48">
        <v>44743</v>
      </c>
      <c r="M108" s="43"/>
      <c r="N108" s="46"/>
      <c r="O108" s="43"/>
      <c r="P108" s="72" t="s">
        <v>376</v>
      </c>
    </row>
    <row r="109" spans="1:16" hidden="1">
      <c r="A109" s="43" t="s">
        <v>366</v>
      </c>
      <c r="B109" s="44" t="s">
        <v>367</v>
      </c>
      <c r="C109" s="43" t="s">
        <v>371</v>
      </c>
      <c r="D109" s="43">
        <v>1.29</v>
      </c>
      <c r="E109" s="43">
        <v>1000</v>
      </c>
      <c r="F109" s="76">
        <v>1</v>
      </c>
      <c r="G109" s="76">
        <f t="shared" si="10"/>
        <v>1000</v>
      </c>
      <c r="H109" s="43">
        <f>D109*テーブル1[[#This Row],[長さ合計(m)]]</f>
        <v>1290</v>
      </c>
      <c r="I109" s="47">
        <v>157.1</v>
      </c>
      <c r="J109" s="47">
        <f t="shared" si="11"/>
        <v>157100</v>
      </c>
      <c r="K109" s="76" t="s">
        <v>44</v>
      </c>
      <c r="L109" s="48">
        <v>44743</v>
      </c>
      <c r="M109" s="43"/>
      <c r="N109" s="46"/>
      <c r="O109" s="43"/>
      <c r="P109" s="72" t="s">
        <v>376</v>
      </c>
    </row>
    <row r="110" spans="1:16" hidden="1">
      <c r="A110" s="43" t="s">
        <v>366</v>
      </c>
      <c r="B110" s="44" t="s">
        <v>367</v>
      </c>
      <c r="C110" s="43" t="s">
        <v>372</v>
      </c>
      <c r="D110" s="43">
        <v>1.29</v>
      </c>
      <c r="E110" s="43">
        <v>1000</v>
      </c>
      <c r="F110" s="76">
        <v>1</v>
      </c>
      <c r="G110" s="76">
        <f t="shared" si="10"/>
        <v>1000</v>
      </c>
      <c r="H110" s="43">
        <f>D110*テーブル1[[#This Row],[長さ合計(m)]]</f>
        <v>1290</v>
      </c>
      <c r="I110" s="47">
        <v>157.1</v>
      </c>
      <c r="J110" s="47">
        <f t="shared" si="11"/>
        <v>157100</v>
      </c>
      <c r="K110" s="76" t="s">
        <v>44</v>
      </c>
      <c r="L110" s="48">
        <v>44743</v>
      </c>
      <c r="M110" s="43"/>
      <c r="N110" s="46"/>
      <c r="O110" s="43"/>
      <c r="P110" s="72" t="s">
        <v>376</v>
      </c>
    </row>
    <row r="111" spans="1:16" hidden="1">
      <c r="A111" s="43" t="s">
        <v>366</v>
      </c>
      <c r="B111" s="44" t="s">
        <v>367</v>
      </c>
      <c r="C111" s="43" t="s">
        <v>373</v>
      </c>
      <c r="D111" s="43">
        <v>1.29</v>
      </c>
      <c r="E111" s="43">
        <v>1000</v>
      </c>
      <c r="F111" s="76">
        <v>1</v>
      </c>
      <c r="G111" s="76">
        <f t="shared" si="10"/>
        <v>1000</v>
      </c>
      <c r="H111" s="43">
        <f>D111*テーブル1[[#This Row],[長さ合計(m)]]</f>
        <v>1290</v>
      </c>
      <c r="I111" s="47">
        <v>157.1</v>
      </c>
      <c r="J111" s="47">
        <f t="shared" si="11"/>
        <v>157100</v>
      </c>
      <c r="K111" s="76" t="s">
        <v>44</v>
      </c>
      <c r="L111" s="48">
        <v>44743</v>
      </c>
      <c r="M111" s="43"/>
      <c r="N111" s="46"/>
      <c r="O111" s="43"/>
      <c r="P111" s="72" t="s">
        <v>376</v>
      </c>
    </row>
    <row r="112" spans="1:16" hidden="1">
      <c r="A112" s="43" t="s">
        <v>366</v>
      </c>
      <c r="B112" s="44" t="s">
        <v>367</v>
      </c>
      <c r="C112" s="43" t="s">
        <v>374</v>
      </c>
      <c r="D112" s="43">
        <v>1.29</v>
      </c>
      <c r="E112" s="43">
        <v>1000</v>
      </c>
      <c r="F112" s="76">
        <v>1</v>
      </c>
      <c r="G112" s="76">
        <f t="shared" si="10"/>
        <v>1000</v>
      </c>
      <c r="H112" s="43">
        <f>D112*テーブル1[[#This Row],[長さ合計(m)]]</f>
        <v>1290</v>
      </c>
      <c r="I112" s="47">
        <v>157.1</v>
      </c>
      <c r="J112" s="47">
        <f t="shared" si="11"/>
        <v>157100</v>
      </c>
      <c r="K112" s="76" t="s">
        <v>44</v>
      </c>
      <c r="L112" s="48">
        <v>44743</v>
      </c>
      <c r="M112" s="43"/>
      <c r="N112" s="46"/>
      <c r="O112" s="43"/>
      <c r="P112" s="72" t="s">
        <v>376</v>
      </c>
    </row>
    <row r="113" spans="1:16" hidden="1">
      <c r="A113" s="89" t="s">
        <v>37</v>
      </c>
      <c r="B113" s="90" t="s">
        <v>9</v>
      </c>
      <c r="C113" s="89" t="s">
        <v>260</v>
      </c>
      <c r="D113" s="89">
        <v>1.29</v>
      </c>
      <c r="E113" s="89">
        <v>1008</v>
      </c>
      <c r="F113" s="91">
        <v>1</v>
      </c>
      <c r="G113" s="89">
        <f>テーブル1[[#This Row],[長さ(m)]]</f>
        <v>1008</v>
      </c>
      <c r="H113" s="89">
        <f>D113*テーブル1[[#This Row],[長さ合計(m)]]</f>
        <v>1300.32</v>
      </c>
      <c r="I113" s="92">
        <v>803.27333769610118</v>
      </c>
      <c r="J113" s="92">
        <f t="shared" ref="J113:J120" si="12">H113*I113</f>
        <v>1044512.3864729942</v>
      </c>
      <c r="K113" s="89" t="s">
        <v>44</v>
      </c>
      <c r="L113" s="93">
        <v>44805</v>
      </c>
      <c r="M113" s="89"/>
      <c r="N113" s="94"/>
      <c r="O113" s="43" t="s">
        <v>503</v>
      </c>
      <c r="P113" s="72" t="s">
        <v>268</v>
      </c>
    </row>
    <row r="114" spans="1:16" hidden="1">
      <c r="A114" s="89" t="s">
        <v>37</v>
      </c>
      <c r="B114" s="90" t="s">
        <v>9</v>
      </c>
      <c r="C114" s="89" t="s">
        <v>261</v>
      </c>
      <c r="D114" s="89">
        <v>1.29</v>
      </c>
      <c r="E114" s="89">
        <v>1005</v>
      </c>
      <c r="F114" s="91">
        <v>1</v>
      </c>
      <c r="G114" s="89">
        <f>テーブル1[[#This Row],[長さ(m)]]</f>
        <v>1005</v>
      </c>
      <c r="H114" s="89">
        <f>D114*テーブル1[[#This Row],[長さ合計(m)]]</f>
        <v>1296.45</v>
      </c>
      <c r="I114" s="92">
        <v>803.27333769610118</v>
      </c>
      <c r="J114" s="92">
        <f t="shared" si="12"/>
        <v>1041403.7186561105</v>
      </c>
      <c r="K114" s="89" t="s">
        <v>44</v>
      </c>
      <c r="L114" s="93">
        <v>44805</v>
      </c>
      <c r="M114" s="89"/>
      <c r="N114" s="94"/>
      <c r="O114" s="43" t="s">
        <v>503</v>
      </c>
      <c r="P114" s="72" t="s">
        <v>269</v>
      </c>
    </row>
    <row r="115" spans="1:16" hidden="1">
      <c r="A115" s="89" t="s">
        <v>37</v>
      </c>
      <c r="B115" s="90" t="s">
        <v>9</v>
      </c>
      <c r="C115" s="89" t="s">
        <v>262</v>
      </c>
      <c r="D115" s="89">
        <v>1.29</v>
      </c>
      <c r="E115" s="89">
        <v>1012</v>
      </c>
      <c r="F115" s="91">
        <v>1</v>
      </c>
      <c r="G115" s="89">
        <f>テーブル1[[#This Row],[長さ(m)]]</f>
        <v>1012</v>
      </c>
      <c r="H115" s="89">
        <f>D115*テーブル1[[#This Row],[長さ合計(m)]]</f>
        <v>1305.48</v>
      </c>
      <c r="I115" s="92">
        <v>803.27333769610107</v>
      </c>
      <c r="J115" s="92">
        <f t="shared" si="12"/>
        <v>1048657.2768955061</v>
      </c>
      <c r="K115" s="89" t="s">
        <v>44</v>
      </c>
      <c r="L115" s="93">
        <v>44805</v>
      </c>
      <c r="M115" s="89"/>
      <c r="N115" s="94"/>
      <c r="O115" s="43" t="s">
        <v>503</v>
      </c>
      <c r="P115" s="72" t="s">
        <v>269</v>
      </c>
    </row>
    <row r="116" spans="1:16" hidden="1">
      <c r="A116" s="89" t="s">
        <v>37</v>
      </c>
      <c r="B116" s="90" t="s">
        <v>9</v>
      </c>
      <c r="C116" s="89" t="s">
        <v>263</v>
      </c>
      <c r="D116" s="89">
        <v>1.29</v>
      </c>
      <c r="E116" s="89">
        <v>1138</v>
      </c>
      <c r="F116" s="91">
        <v>1</v>
      </c>
      <c r="G116" s="89">
        <f>テーブル1[[#This Row],[長さ(m)]]</f>
        <v>1138</v>
      </c>
      <c r="H116" s="89">
        <f>D116*テーブル1[[#This Row],[長さ合計(m)]]</f>
        <v>1468.02</v>
      </c>
      <c r="I116" s="92">
        <v>803.27333769610118</v>
      </c>
      <c r="J116" s="92">
        <f t="shared" si="12"/>
        <v>1179221.3252046304</v>
      </c>
      <c r="K116" s="89" t="s">
        <v>44</v>
      </c>
      <c r="L116" s="93">
        <v>44805</v>
      </c>
      <c r="M116" s="89"/>
      <c r="N116" s="94"/>
      <c r="O116" s="43" t="s">
        <v>503</v>
      </c>
      <c r="P116" s="72" t="s">
        <v>270</v>
      </c>
    </row>
    <row r="117" spans="1:16" hidden="1">
      <c r="A117" s="89" t="s">
        <v>37</v>
      </c>
      <c r="B117" s="90" t="s">
        <v>9</v>
      </c>
      <c r="C117" s="89" t="s">
        <v>264</v>
      </c>
      <c r="D117" s="89">
        <v>1.29</v>
      </c>
      <c r="E117" s="89">
        <v>1006</v>
      </c>
      <c r="F117" s="91">
        <v>1</v>
      </c>
      <c r="G117" s="89">
        <f>テーブル1[[#This Row],[長さ(m)]]</f>
        <v>1006</v>
      </c>
      <c r="H117" s="89">
        <f>D117*テーブル1[[#This Row],[長さ合計(m)]]</f>
        <v>1297.74</v>
      </c>
      <c r="I117" s="92">
        <v>803.27333769610118</v>
      </c>
      <c r="J117" s="92">
        <f t="shared" si="12"/>
        <v>1042439.9412617383</v>
      </c>
      <c r="K117" s="89" t="s">
        <v>44</v>
      </c>
      <c r="L117" s="93">
        <v>44805</v>
      </c>
      <c r="M117" s="89"/>
      <c r="N117" s="94"/>
      <c r="O117" s="43" t="s">
        <v>503</v>
      </c>
      <c r="P117" s="72" t="s">
        <v>270</v>
      </c>
    </row>
    <row r="118" spans="1:16" hidden="1">
      <c r="A118" s="49" t="s">
        <v>40</v>
      </c>
      <c r="B118" s="49" t="s">
        <v>41</v>
      </c>
      <c r="C118" s="49" t="s">
        <v>265</v>
      </c>
      <c r="D118" s="49">
        <v>1.29</v>
      </c>
      <c r="E118" s="49">
        <v>1078</v>
      </c>
      <c r="F118" s="81">
        <v>1</v>
      </c>
      <c r="G118" s="49">
        <f>テーブル1[[#This Row],[長さ(m)]]</f>
        <v>1078</v>
      </c>
      <c r="H118" s="49">
        <f>D118*テーブル1[[#This Row],[長さ合計(m)]]</f>
        <v>1390.6200000000001</v>
      </c>
      <c r="I118" s="53">
        <v>798.67812059143489</v>
      </c>
      <c r="J118" s="53">
        <f t="shared" si="12"/>
        <v>1110657.7680568614</v>
      </c>
      <c r="K118" s="49" t="s">
        <v>44</v>
      </c>
      <c r="L118" s="55">
        <v>44805</v>
      </c>
      <c r="M118" s="43"/>
      <c r="N118" s="46"/>
      <c r="O118" s="43"/>
      <c r="P118" s="72" t="s">
        <v>271</v>
      </c>
    </row>
    <row r="119" spans="1:16" hidden="1">
      <c r="A119" s="49" t="s">
        <v>40</v>
      </c>
      <c r="B119" s="49" t="s">
        <v>41</v>
      </c>
      <c r="C119" s="49" t="s">
        <v>266</v>
      </c>
      <c r="D119" s="49">
        <v>1.29</v>
      </c>
      <c r="E119" s="49">
        <v>1078</v>
      </c>
      <c r="F119" s="81">
        <v>1</v>
      </c>
      <c r="G119" s="49">
        <f>テーブル1[[#This Row],[長さ(m)]]</f>
        <v>1078</v>
      </c>
      <c r="H119" s="49">
        <f>D119*テーブル1[[#This Row],[長さ合計(m)]]</f>
        <v>1390.6200000000001</v>
      </c>
      <c r="I119" s="53">
        <v>798.67812059143489</v>
      </c>
      <c r="J119" s="53">
        <f t="shared" si="12"/>
        <v>1110657.7680568614</v>
      </c>
      <c r="K119" s="49" t="s">
        <v>44</v>
      </c>
      <c r="L119" s="55">
        <v>44805</v>
      </c>
      <c r="M119" s="43"/>
      <c r="N119" s="46"/>
      <c r="O119" s="43"/>
      <c r="P119" s="72" t="s">
        <v>271</v>
      </c>
    </row>
    <row r="120" spans="1:16" hidden="1">
      <c r="A120" s="49" t="s">
        <v>40</v>
      </c>
      <c r="B120" s="49" t="s">
        <v>41</v>
      </c>
      <c r="C120" s="81" t="s">
        <v>267</v>
      </c>
      <c r="D120" s="49">
        <v>1.29</v>
      </c>
      <c r="E120" s="81">
        <v>1042</v>
      </c>
      <c r="F120" s="81">
        <v>1</v>
      </c>
      <c r="G120" s="49">
        <f>テーブル1[[#This Row],[長さ(m)]]</f>
        <v>1042</v>
      </c>
      <c r="H120" s="81">
        <f>D120*テーブル1[[#This Row],[長さ合計(m)]]</f>
        <v>1344.18</v>
      </c>
      <c r="I120" s="53">
        <v>798.67812059143489</v>
      </c>
      <c r="J120" s="83">
        <f t="shared" si="12"/>
        <v>1073567.1561365949</v>
      </c>
      <c r="K120" s="49" t="s">
        <v>44</v>
      </c>
      <c r="L120" s="55">
        <v>44805</v>
      </c>
      <c r="M120" s="43"/>
      <c r="N120" s="57"/>
      <c r="O120" s="76"/>
      <c r="P120" s="78" t="s">
        <v>272</v>
      </c>
    </row>
    <row r="121" spans="1:16" hidden="1">
      <c r="A121" s="49" t="s">
        <v>248</v>
      </c>
      <c r="B121" s="49" t="s">
        <v>41</v>
      </c>
      <c r="C121" s="49" t="s">
        <v>273</v>
      </c>
      <c r="D121" s="49">
        <v>1.0329999999999999</v>
      </c>
      <c r="E121" s="49">
        <v>50</v>
      </c>
      <c r="F121" s="49">
        <v>1</v>
      </c>
      <c r="G121" s="49">
        <f>テーブル1[[#This Row],[長さ(m)]]</f>
        <v>50</v>
      </c>
      <c r="H121" s="49">
        <f>D121*テーブル1[[#This Row],[長さ合計(m)]]</f>
        <v>51.65</v>
      </c>
      <c r="I121" s="53">
        <v>2002.5714855375395</v>
      </c>
      <c r="J121" s="53">
        <f t="shared" ref="J121:J130" si="13">H121*I121</f>
        <v>103432.81722801391</v>
      </c>
      <c r="K121" s="49" t="s">
        <v>18</v>
      </c>
      <c r="L121" s="55">
        <v>44774</v>
      </c>
      <c r="M121" s="43" t="s">
        <v>465</v>
      </c>
      <c r="N121" s="46" t="s">
        <v>462</v>
      </c>
      <c r="O121" s="43"/>
      <c r="P121" s="43"/>
    </row>
    <row r="122" spans="1:16" hidden="1">
      <c r="A122" s="49" t="s">
        <v>248</v>
      </c>
      <c r="B122" s="49" t="s">
        <v>41</v>
      </c>
      <c r="C122" s="49" t="s">
        <v>274</v>
      </c>
      <c r="D122" s="49">
        <v>1.0329999999999999</v>
      </c>
      <c r="E122" s="49">
        <v>50</v>
      </c>
      <c r="F122" s="49">
        <v>1</v>
      </c>
      <c r="G122" s="49">
        <f>テーブル1[[#This Row],[長さ(m)]]</f>
        <v>50</v>
      </c>
      <c r="H122" s="49">
        <f>D122*テーブル1[[#This Row],[長さ合計(m)]]</f>
        <v>51.65</v>
      </c>
      <c r="I122" s="53">
        <v>2002.5714855375395</v>
      </c>
      <c r="J122" s="53">
        <f t="shared" si="13"/>
        <v>103432.81722801391</v>
      </c>
      <c r="K122" s="49" t="s">
        <v>18</v>
      </c>
      <c r="L122" s="55">
        <v>44774</v>
      </c>
      <c r="M122" s="43" t="s">
        <v>465</v>
      </c>
      <c r="N122" s="46" t="s">
        <v>462</v>
      </c>
      <c r="O122" s="43"/>
      <c r="P122" s="43"/>
    </row>
    <row r="123" spans="1:16" hidden="1">
      <c r="A123" s="49" t="s">
        <v>248</v>
      </c>
      <c r="B123" s="49" t="s">
        <v>41</v>
      </c>
      <c r="C123" s="49" t="s">
        <v>275</v>
      </c>
      <c r="D123" s="49">
        <v>1.0329999999999999</v>
      </c>
      <c r="E123" s="49">
        <v>50</v>
      </c>
      <c r="F123" s="49">
        <v>1</v>
      </c>
      <c r="G123" s="49">
        <f>テーブル1[[#This Row],[長さ(m)]]</f>
        <v>50</v>
      </c>
      <c r="H123" s="49">
        <f>D123*テーブル1[[#This Row],[長さ合計(m)]]</f>
        <v>51.65</v>
      </c>
      <c r="I123" s="53">
        <v>2002.5714855375395</v>
      </c>
      <c r="J123" s="53">
        <f t="shared" si="13"/>
        <v>103432.81722801391</v>
      </c>
      <c r="K123" s="49" t="s">
        <v>18</v>
      </c>
      <c r="L123" s="55">
        <v>44774</v>
      </c>
      <c r="M123" s="43" t="s">
        <v>465</v>
      </c>
      <c r="N123" s="46" t="s">
        <v>462</v>
      </c>
      <c r="O123" s="43"/>
      <c r="P123" s="43"/>
    </row>
    <row r="124" spans="1:16" hidden="1">
      <c r="A124" s="49" t="s">
        <v>248</v>
      </c>
      <c r="B124" s="49" t="s">
        <v>41</v>
      </c>
      <c r="C124" s="49" t="s">
        <v>276</v>
      </c>
      <c r="D124" s="49">
        <v>1.0329999999999999</v>
      </c>
      <c r="E124" s="49">
        <v>45</v>
      </c>
      <c r="F124" s="49">
        <v>1</v>
      </c>
      <c r="G124" s="49">
        <f>テーブル1[[#This Row],[長さ(m)]]</f>
        <v>45</v>
      </c>
      <c r="H124" s="49">
        <f>D124*テーブル1[[#This Row],[長さ合計(m)]]</f>
        <v>46.484999999999999</v>
      </c>
      <c r="I124" s="53">
        <v>2002.5714855375393</v>
      </c>
      <c r="J124" s="53">
        <f t="shared" si="13"/>
        <v>93089.535505212509</v>
      </c>
      <c r="K124" s="49" t="s">
        <v>18</v>
      </c>
      <c r="L124" s="55">
        <v>44774</v>
      </c>
      <c r="M124" s="43" t="s">
        <v>465</v>
      </c>
      <c r="N124" s="46" t="s">
        <v>462</v>
      </c>
      <c r="O124" s="43"/>
      <c r="P124" s="43"/>
    </row>
    <row r="125" spans="1:16" hidden="1">
      <c r="A125" s="43" t="s">
        <v>248</v>
      </c>
      <c r="B125" s="44" t="s">
        <v>9</v>
      </c>
      <c r="C125" s="43" t="s">
        <v>277</v>
      </c>
      <c r="D125" s="43">
        <v>1.0329999999999999</v>
      </c>
      <c r="E125" s="43">
        <v>50</v>
      </c>
      <c r="F125" s="43">
        <v>1</v>
      </c>
      <c r="G125" s="43">
        <f>テーブル1[[#This Row],[長さ(m)]]</f>
        <v>50</v>
      </c>
      <c r="H125" s="43">
        <f>D125*テーブル1[[#This Row],[長さ合計(m)]]</f>
        <v>51.65</v>
      </c>
      <c r="I125" s="47">
        <v>2027.9655087612023</v>
      </c>
      <c r="J125" s="47">
        <f t="shared" si="13"/>
        <v>104744.4185275161</v>
      </c>
      <c r="K125" s="43" t="s">
        <v>258</v>
      </c>
      <c r="L125" s="48">
        <v>44774</v>
      </c>
      <c r="M125" s="43" t="s">
        <v>465</v>
      </c>
      <c r="N125" s="46" t="s">
        <v>462</v>
      </c>
      <c r="O125" s="43"/>
      <c r="P125" s="43"/>
    </row>
    <row r="126" spans="1:16" hidden="1">
      <c r="A126" s="43" t="s">
        <v>248</v>
      </c>
      <c r="B126" s="44" t="s">
        <v>9</v>
      </c>
      <c r="C126" s="43" t="s">
        <v>278</v>
      </c>
      <c r="D126" s="43">
        <v>1.0329999999999999</v>
      </c>
      <c r="E126" s="43">
        <v>50</v>
      </c>
      <c r="F126" s="43">
        <v>1</v>
      </c>
      <c r="G126" s="43">
        <f>テーブル1[[#This Row],[長さ(m)]]</f>
        <v>50</v>
      </c>
      <c r="H126" s="43">
        <f>D126*テーブル1[[#This Row],[長さ合計(m)]]</f>
        <v>51.65</v>
      </c>
      <c r="I126" s="47">
        <v>2027.9655087612023</v>
      </c>
      <c r="J126" s="47">
        <f t="shared" si="13"/>
        <v>104744.4185275161</v>
      </c>
      <c r="K126" s="43" t="s">
        <v>258</v>
      </c>
      <c r="L126" s="48">
        <v>44774</v>
      </c>
      <c r="M126" s="43" t="s">
        <v>465</v>
      </c>
      <c r="N126" s="46" t="s">
        <v>462</v>
      </c>
      <c r="O126" s="43"/>
      <c r="P126" s="43"/>
    </row>
    <row r="127" spans="1:16" hidden="1">
      <c r="A127" s="43" t="s">
        <v>248</v>
      </c>
      <c r="B127" s="44" t="s">
        <v>9</v>
      </c>
      <c r="C127" s="43" t="s">
        <v>279</v>
      </c>
      <c r="D127" s="43">
        <v>1.0329999999999999</v>
      </c>
      <c r="E127" s="43">
        <v>50</v>
      </c>
      <c r="F127" s="43">
        <v>1</v>
      </c>
      <c r="G127" s="43">
        <f>テーブル1[[#This Row],[長さ(m)]]</f>
        <v>50</v>
      </c>
      <c r="H127" s="43">
        <f>D127*テーブル1[[#This Row],[長さ合計(m)]]</f>
        <v>51.65</v>
      </c>
      <c r="I127" s="47">
        <v>2027.9655087612023</v>
      </c>
      <c r="J127" s="47">
        <f t="shared" si="13"/>
        <v>104744.4185275161</v>
      </c>
      <c r="K127" s="43" t="s">
        <v>258</v>
      </c>
      <c r="L127" s="48">
        <v>44774</v>
      </c>
      <c r="M127" s="43" t="s">
        <v>465</v>
      </c>
      <c r="N127" s="46" t="s">
        <v>462</v>
      </c>
      <c r="O127" s="43"/>
      <c r="P127" s="43"/>
    </row>
    <row r="128" spans="1:16" hidden="1">
      <c r="A128" s="43" t="s">
        <v>248</v>
      </c>
      <c r="B128" s="44" t="s">
        <v>9</v>
      </c>
      <c r="C128" s="43" t="s">
        <v>280</v>
      </c>
      <c r="D128" s="43">
        <v>1.0329999999999999</v>
      </c>
      <c r="E128" s="43">
        <v>50</v>
      </c>
      <c r="F128" s="43">
        <v>1</v>
      </c>
      <c r="G128" s="43">
        <f>テーブル1[[#This Row],[長さ(m)]]</f>
        <v>50</v>
      </c>
      <c r="H128" s="43">
        <f>D128*テーブル1[[#This Row],[長さ合計(m)]]</f>
        <v>51.65</v>
      </c>
      <c r="I128" s="47">
        <v>2027.9655087612023</v>
      </c>
      <c r="J128" s="47">
        <f t="shared" si="13"/>
        <v>104744.4185275161</v>
      </c>
      <c r="K128" s="43" t="s">
        <v>258</v>
      </c>
      <c r="L128" s="48">
        <v>44774</v>
      </c>
      <c r="M128" s="43" t="s">
        <v>465</v>
      </c>
      <c r="N128" s="46" t="s">
        <v>462</v>
      </c>
      <c r="O128" s="43"/>
      <c r="P128" s="43"/>
    </row>
    <row r="129" spans="1:16" hidden="1">
      <c r="A129" s="43" t="s">
        <v>248</v>
      </c>
      <c r="B129" s="44" t="s">
        <v>9</v>
      </c>
      <c r="C129" s="43" t="s">
        <v>281</v>
      </c>
      <c r="D129" s="43">
        <v>1.0329999999999999</v>
      </c>
      <c r="E129" s="43">
        <v>50</v>
      </c>
      <c r="F129" s="43">
        <v>1</v>
      </c>
      <c r="G129" s="43">
        <f>テーブル1[[#This Row],[長さ(m)]]</f>
        <v>50</v>
      </c>
      <c r="H129" s="43">
        <f>D129*テーブル1[[#This Row],[長さ合計(m)]]</f>
        <v>51.65</v>
      </c>
      <c r="I129" s="47">
        <v>2027.9655087612023</v>
      </c>
      <c r="J129" s="47">
        <f t="shared" si="13"/>
        <v>104744.4185275161</v>
      </c>
      <c r="K129" s="43" t="s">
        <v>258</v>
      </c>
      <c r="L129" s="48">
        <v>44774</v>
      </c>
      <c r="M129" s="43" t="s">
        <v>465</v>
      </c>
      <c r="N129" s="46" t="s">
        <v>462</v>
      </c>
      <c r="O129" s="43"/>
      <c r="P129" s="43"/>
    </row>
    <row r="130" spans="1:16" hidden="1">
      <c r="A130" s="43" t="s">
        <v>248</v>
      </c>
      <c r="B130" s="44" t="s">
        <v>9</v>
      </c>
      <c r="C130" s="76" t="s">
        <v>282</v>
      </c>
      <c r="D130" s="43">
        <v>1.0329999999999999</v>
      </c>
      <c r="E130" s="76">
        <f>39.5-3-5</f>
        <v>31.5</v>
      </c>
      <c r="F130" s="43">
        <v>1</v>
      </c>
      <c r="G130" s="43">
        <f>テーブル1[[#This Row],[長さ(m)]]</f>
        <v>31.5</v>
      </c>
      <c r="H130" s="76">
        <f>D130*テーブル1[[#This Row],[長さ合計(m)]]</f>
        <v>32.539499999999997</v>
      </c>
      <c r="I130" s="77">
        <v>2027.9655087612023</v>
      </c>
      <c r="J130" s="77">
        <f t="shared" si="13"/>
        <v>65988.983672335133</v>
      </c>
      <c r="K130" s="43" t="s">
        <v>258</v>
      </c>
      <c r="L130" s="48">
        <v>44774</v>
      </c>
      <c r="M130" s="43" t="s">
        <v>465</v>
      </c>
      <c r="N130" s="46" t="s">
        <v>462</v>
      </c>
      <c r="O130" s="76"/>
      <c r="P130" s="76"/>
    </row>
    <row r="131" spans="1:16" hidden="1">
      <c r="A131" s="43" t="s">
        <v>22</v>
      </c>
      <c r="B131" s="44" t="s">
        <v>9</v>
      </c>
      <c r="C131" s="43" t="s">
        <v>283</v>
      </c>
      <c r="D131" s="43">
        <v>1.042</v>
      </c>
      <c r="E131" s="43">
        <v>50</v>
      </c>
      <c r="F131" s="43">
        <v>1</v>
      </c>
      <c r="G131" s="43">
        <f>テーブル1[[#This Row],[長さ(m)]]</f>
        <v>50</v>
      </c>
      <c r="H131" s="43">
        <f>D131*テーブル1[[#This Row],[長さ合計(m)]]</f>
        <v>52.1</v>
      </c>
      <c r="I131" s="47">
        <v>3466.503992175597</v>
      </c>
      <c r="J131" s="47">
        <f t="shared" ref="J131:J148" si="14">H131*I131</f>
        <v>180604.85799234861</v>
      </c>
      <c r="K131" s="43" t="s">
        <v>258</v>
      </c>
      <c r="L131" s="48">
        <v>44805</v>
      </c>
      <c r="M131" s="43" t="s">
        <v>467</v>
      </c>
      <c r="N131" s="46" t="s">
        <v>464</v>
      </c>
      <c r="O131" s="43"/>
      <c r="P131" s="43"/>
    </row>
    <row r="132" spans="1:16" hidden="1">
      <c r="A132" s="43" t="s">
        <v>22</v>
      </c>
      <c r="B132" s="44" t="s">
        <v>9</v>
      </c>
      <c r="C132" s="43" t="s">
        <v>284</v>
      </c>
      <c r="D132" s="43">
        <v>1.042</v>
      </c>
      <c r="E132" s="43">
        <v>50</v>
      </c>
      <c r="F132" s="43">
        <v>1</v>
      </c>
      <c r="G132" s="43">
        <f>テーブル1[[#This Row],[長さ(m)]]</f>
        <v>50</v>
      </c>
      <c r="H132" s="43">
        <f>D132*テーブル1[[#This Row],[長さ合計(m)]]</f>
        <v>52.1</v>
      </c>
      <c r="I132" s="47">
        <v>3466.503992175597</v>
      </c>
      <c r="J132" s="47">
        <f t="shared" si="14"/>
        <v>180604.85799234861</v>
      </c>
      <c r="K132" s="43" t="s">
        <v>258</v>
      </c>
      <c r="L132" s="48">
        <v>44805</v>
      </c>
      <c r="M132" s="43" t="s">
        <v>467</v>
      </c>
      <c r="N132" s="46" t="s">
        <v>464</v>
      </c>
      <c r="O132" s="43"/>
      <c r="P132" s="43"/>
    </row>
    <row r="133" spans="1:16" hidden="1">
      <c r="A133" s="43" t="s">
        <v>22</v>
      </c>
      <c r="B133" s="44" t="s">
        <v>9</v>
      </c>
      <c r="C133" s="43" t="s">
        <v>285</v>
      </c>
      <c r="D133" s="43">
        <v>1.042</v>
      </c>
      <c r="E133" s="43">
        <v>50</v>
      </c>
      <c r="F133" s="43">
        <v>1</v>
      </c>
      <c r="G133" s="43">
        <f>テーブル1[[#This Row],[長さ(m)]]</f>
        <v>50</v>
      </c>
      <c r="H133" s="43">
        <f>D133*テーブル1[[#This Row],[長さ合計(m)]]</f>
        <v>52.1</v>
      </c>
      <c r="I133" s="47">
        <v>3466.503992175597</v>
      </c>
      <c r="J133" s="47">
        <f t="shared" si="14"/>
        <v>180604.85799234861</v>
      </c>
      <c r="K133" s="43" t="s">
        <v>258</v>
      </c>
      <c r="L133" s="48">
        <v>44805</v>
      </c>
      <c r="M133" s="43" t="s">
        <v>467</v>
      </c>
      <c r="N133" s="46" t="s">
        <v>464</v>
      </c>
      <c r="O133" s="43"/>
      <c r="P133" s="43"/>
    </row>
    <row r="134" spans="1:16" hidden="1">
      <c r="A134" s="43" t="s">
        <v>22</v>
      </c>
      <c r="B134" s="44" t="s">
        <v>9</v>
      </c>
      <c r="C134" s="43" t="s">
        <v>286</v>
      </c>
      <c r="D134" s="43">
        <v>1.042</v>
      </c>
      <c r="E134" s="43">
        <v>50</v>
      </c>
      <c r="F134" s="43">
        <v>1</v>
      </c>
      <c r="G134" s="43">
        <f>テーブル1[[#This Row],[長さ(m)]]</f>
        <v>50</v>
      </c>
      <c r="H134" s="43">
        <f>D134*テーブル1[[#This Row],[長さ合計(m)]]</f>
        <v>52.1</v>
      </c>
      <c r="I134" s="47">
        <v>3466.503992175597</v>
      </c>
      <c r="J134" s="47">
        <f t="shared" si="14"/>
        <v>180604.85799234861</v>
      </c>
      <c r="K134" s="43" t="s">
        <v>258</v>
      </c>
      <c r="L134" s="48">
        <v>44805</v>
      </c>
      <c r="M134" s="43" t="s">
        <v>467</v>
      </c>
      <c r="N134" s="46" t="s">
        <v>464</v>
      </c>
      <c r="O134" s="43"/>
      <c r="P134" s="43"/>
    </row>
    <row r="135" spans="1:16" hidden="1">
      <c r="A135" s="43" t="s">
        <v>22</v>
      </c>
      <c r="B135" s="44" t="s">
        <v>9</v>
      </c>
      <c r="C135" s="43" t="s">
        <v>287</v>
      </c>
      <c r="D135" s="43">
        <v>1.042</v>
      </c>
      <c r="E135" s="43">
        <v>50</v>
      </c>
      <c r="F135" s="43">
        <v>1</v>
      </c>
      <c r="G135" s="43">
        <f>テーブル1[[#This Row],[長さ(m)]]</f>
        <v>50</v>
      </c>
      <c r="H135" s="43">
        <f>D135*テーブル1[[#This Row],[長さ合計(m)]]</f>
        <v>52.1</v>
      </c>
      <c r="I135" s="47">
        <v>3466.503992175597</v>
      </c>
      <c r="J135" s="47">
        <f t="shared" si="14"/>
        <v>180604.85799234861</v>
      </c>
      <c r="K135" s="43" t="s">
        <v>258</v>
      </c>
      <c r="L135" s="48">
        <v>44805</v>
      </c>
      <c r="M135" s="43" t="s">
        <v>467</v>
      </c>
      <c r="N135" s="46" t="s">
        <v>464</v>
      </c>
      <c r="O135" s="43"/>
      <c r="P135" s="43"/>
    </row>
    <row r="136" spans="1:16" hidden="1">
      <c r="A136" s="43" t="s">
        <v>22</v>
      </c>
      <c r="B136" s="44" t="s">
        <v>9</v>
      </c>
      <c r="C136" s="43" t="s">
        <v>288</v>
      </c>
      <c r="D136" s="43">
        <v>1.042</v>
      </c>
      <c r="E136" s="43">
        <f>22-1</f>
        <v>21</v>
      </c>
      <c r="F136" s="43">
        <v>1</v>
      </c>
      <c r="G136" s="43">
        <f>テーブル1[[#This Row],[長さ(m)]]</f>
        <v>21</v>
      </c>
      <c r="H136" s="43">
        <f>D136*テーブル1[[#This Row],[長さ合計(m)]]</f>
        <v>21.882000000000001</v>
      </c>
      <c r="I136" s="47">
        <v>3466.5039921755979</v>
      </c>
      <c r="J136" s="47">
        <f t="shared" si="14"/>
        <v>75854.040356786441</v>
      </c>
      <c r="K136" s="43" t="s">
        <v>258</v>
      </c>
      <c r="L136" s="48">
        <v>44805</v>
      </c>
      <c r="M136" s="43" t="s">
        <v>467</v>
      </c>
      <c r="N136" s="46" t="s">
        <v>464</v>
      </c>
      <c r="O136" s="43"/>
      <c r="P136" s="43"/>
    </row>
    <row r="137" spans="1:16" hidden="1">
      <c r="A137" s="43" t="s">
        <v>22</v>
      </c>
      <c r="B137" s="44" t="s">
        <v>9</v>
      </c>
      <c r="C137" s="43" t="s">
        <v>289</v>
      </c>
      <c r="D137" s="43">
        <v>1.042</v>
      </c>
      <c r="E137" s="43">
        <v>50</v>
      </c>
      <c r="F137" s="43">
        <v>1</v>
      </c>
      <c r="G137" s="43">
        <f>テーブル1[[#This Row],[長さ(m)]]</f>
        <v>50</v>
      </c>
      <c r="H137" s="43">
        <f>D137*テーブル1[[#This Row],[長さ合計(m)]]</f>
        <v>52.1</v>
      </c>
      <c r="I137" s="47">
        <v>3466.503992175597</v>
      </c>
      <c r="J137" s="47">
        <f t="shared" si="14"/>
        <v>180604.85799234861</v>
      </c>
      <c r="K137" s="43" t="s">
        <v>258</v>
      </c>
      <c r="L137" s="48">
        <v>44805</v>
      </c>
      <c r="M137" s="43" t="s">
        <v>467</v>
      </c>
      <c r="N137" s="46" t="s">
        <v>464</v>
      </c>
      <c r="O137" s="43"/>
      <c r="P137" s="43"/>
    </row>
    <row r="138" spans="1:16" hidden="1">
      <c r="A138" s="43" t="s">
        <v>22</v>
      </c>
      <c r="B138" s="44" t="s">
        <v>9</v>
      </c>
      <c r="C138" s="43" t="s">
        <v>290</v>
      </c>
      <c r="D138" s="43">
        <v>1.042</v>
      </c>
      <c r="E138" s="43">
        <v>50</v>
      </c>
      <c r="F138" s="43">
        <v>1</v>
      </c>
      <c r="G138" s="43">
        <f>テーブル1[[#This Row],[長さ(m)]]</f>
        <v>50</v>
      </c>
      <c r="H138" s="43">
        <f>D138*テーブル1[[#This Row],[長さ合計(m)]]</f>
        <v>52.1</v>
      </c>
      <c r="I138" s="47">
        <v>3466.503992175597</v>
      </c>
      <c r="J138" s="47">
        <f t="shared" si="14"/>
        <v>180604.85799234861</v>
      </c>
      <c r="K138" s="43" t="s">
        <v>258</v>
      </c>
      <c r="L138" s="48">
        <v>44805</v>
      </c>
      <c r="M138" s="43" t="s">
        <v>467</v>
      </c>
      <c r="N138" s="46" t="s">
        <v>464</v>
      </c>
      <c r="O138" s="43"/>
      <c r="P138" s="43"/>
    </row>
    <row r="139" spans="1:16" hidden="1">
      <c r="A139" s="43" t="s">
        <v>22</v>
      </c>
      <c r="B139" s="44" t="s">
        <v>9</v>
      </c>
      <c r="C139" s="43" t="s">
        <v>291</v>
      </c>
      <c r="D139" s="43">
        <v>1.042</v>
      </c>
      <c r="E139" s="43">
        <v>50</v>
      </c>
      <c r="F139" s="43">
        <v>1</v>
      </c>
      <c r="G139" s="43">
        <f>テーブル1[[#This Row],[長さ(m)]]</f>
        <v>50</v>
      </c>
      <c r="H139" s="43">
        <f>D139*テーブル1[[#This Row],[長さ合計(m)]]</f>
        <v>52.1</v>
      </c>
      <c r="I139" s="47">
        <v>3466.503992175597</v>
      </c>
      <c r="J139" s="47">
        <f t="shared" si="14"/>
        <v>180604.85799234861</v>
      </c>
      <c r="K139" s="43" t="s">
        <v>258</v>
      </c>
      <c r="L139" s="48">
        <v>44805</v>
      </c>
      <c r="M139" s="43" t="s">
        <v>467</v>
      </c>
      <c r="N139" s="46" t="s">
        <v>464</v>
      </c>
      <c r="O139" s="43"/>
      <c r="P139" s="43"/>
    </row>
    <row r="140" spans="1:16" hidden="1">
      <c r="A140" s="49" t="s">
        <v>22</v>
      </c>
      <c r="B140" s="50" t="s">
        <v>13</v>
      </c>
      <c r="C140" s="49" t="s">
        <v>292</v>
      </c>
      <c r="D140" s="49">
        <v>1.042</v>
      </c>
      <c r="E140" s="49">
        <v>48.5</v>
      </c>
      <c r="F140" s="49">
        <v>1</v>
      </c>
      <c r="G140" s="49">
        <f>テーブル1[[#This Row],[長さ(m)]]</f>
        <v>48.5</v>
      </c>
      <c r="H140" s="49">
        <f>D140*テーブル1[[#This Row],[長さ合計(m)]]</f>
        <v>50.536999999999999</v>
      </c>
      <c r="I140" s="53">
        <v>3456.3979167913685</v>
      </c>
      <c r="J140" s="53">
        <f t="shared" si="14"/>
        <v>174675.9815208854</v>
      </c>
      <c r="K140" s="49" t="s">
        <v>18</v>
      </c>
      <c r="L140" s="55">
        <v>44805</v>
      </c>
      <c r="M140" s="43" t="s">
        <v>467</v>
      </c>
      <c r="N140" s="46" t="s">
        <v>464</v>
      </c>
      <c r="O140" s="43"/>
      <c r="P140" s="43"/>
    </row>
    <row r="141" spans="1:16" hidden="1">
      <c r="A141" s="49" t="s">
        <v>22</v>
      </c>
      <c r="B141" s="50" t="s">
        <v>13</v>
      </c>
      <c r="C141" s="49" t="s">
        <v>293</v>
      </c>
      <c r="D141" s="49">
        <v>1.042</v>
      </c>
      <c r="E141" s="49">
        <v>45.5</v>
      </c>
      <c r="F141" s="49">
        <v>1</v>
      </c>
      <c r="G141" s="49">
        <f>テーブル1[[#This Row],[長さ(m)]]</f>
        <v>45.5</v>
      </c>
      <c r="H141" s="49">
        <f>D141*テーブル1[[#This Row],[長さ合計(m)]]</f>
        <v>47.411000000000001</v>
      </c>
      <c r="I141" s="53">
        <v>3456.3979167913685</v>
      </c>
      <c r="J141" s="53">
        <f t="shared" si="14"/>
        <v>163871.28163299558</v>
      </c>
      <c r="K141" s="49" t="s">
        <v>18</v>
      </c>
      <c r="L141" s="55">
        <v>44805</v>
      </c>
      <c r="M141" s="43" t="s">
        <v>467</v>
      </c>
      <c r="N141" s="46" t="s">
        <v>464</v>
      </c>
      <c r="O141" s="43"/>
      <c r="P141" s="43"/>
    </row>
    <row r="142" spans="1:16" hidden="1">
      <c r="A142" s="49" t="s">
        <v>22</v>
      </c>
      <c r="B142" s="50" t="s">
        <v>13</v>
      </c>
      <c r="C142" s="49" t="s">
        <v>294</v>
      </c>
      <c r="D142" s="49">
        <v>1.042</v>
      </c>
      <c r="E142" s="49">
        <v>50</v>
      </c>
      <c r="F142" s="49">
        <v>1</v>
      </c>
      <c r="G142" s="49">
        <f>テーブル1[[#This Row],[長さ(m)]]</f>
        <v>50</v>
      </c>
      <c r="H142" s="49">
        <f>D142*テーブル1[[#This Row],[長さ合計(m)]]</f>
        <v>52.1</v>
      </c>
      <c r="I142" s="53">
        <v>3456.397916791369</v>
      </c>
      <c r="J142" s="53">
        <f t="shared" si="14"/>
        <v>180078.33146483032</v>
      </c>
      <c r="K142" s="49" t="s">
        <v>18</v>
      </c>
      <c r="L142" s="55">
        <v>44805</v>
      </c>
      <c r="M142" s="43" t="s">
        <v>467</v>
      </c>
      <c r="N142" s="46" t="s">
        <v>464</v>
      </c>
      <c r="O142" s="43"/>
      <c r="P142" s="43"/>
    </row>
    <row r="143" spans="1:16" hidden="1">
      <c r="A143" s="49" t="s">
        <v>22</v>
      </c>
      <c r="B143" s="50" t="s">
        <v>13</v>
      </c>
      <c r="C143" s="49" t="s">
        <v>295</v>
      </c>
      <c r="D143" s="49">
        <v>1.042</v>
      </c>
      <c r="E143" s="49">
        <v>50</v>
      </c>
      <c r="F143" s="49">
        <v>1</v>
      </c>
      <c r="G143" s="49">
        <f>テーブル1[[#This Row],[長さ(m)]]</f>
        <v>50</v>
      </c>
      <c r="H143" s="49">
        <f>D143*テーブル1[[#This Row],[長さ合計(m)]]</f>
        <v>52.1</v>
      </c>
      <c r="I143" s="53">
        <v>3456.397916791369</v>
      </c>
      <c r="J143" s="53">
        <f t="shared" si="14"/>
        <v>180078.33146483032</v>
      </c>
      <c r="K143" s="49" t="s">
        <v>18</v>
      </c>
      <c r="L143" s="55">
        <v>44805</v>
      </c>
      <c r="M143" s="43" t="s">
        <v>467</v>
      </c>
      <c r="N143" s="46" t="s">
        <v>464</v>
      </c>
      <c r="O143" s="43"/>
      <c r="P143" s="43"/>
    </row>
    <row r="144" spans="1:16" hidden="1">
      <c r="A144" s="49" t="s">
        <v>22</v>
      </c>
      <c r="B144" s="50" t="s">
        <v>13</v>
      </c>
      <c r="C144" s="49" t="s">
        <v>296</v>
      </c>
      <c r="D144" s="49">
        <v>1.042</v>
      </c>
      <c r="E144" s="49">
        <v>50</v>
      </c>
      <c r="F144" s="49">
        <v>1</v>
      </c>
      <c r="G144" s="49">
        <f>テーブル1[[#This Row],[長さ(m)]]</f>
        <v>50</v>
      </c>
      <c r="H144" s="49">
        <f>D144*テーブル1[[#This Row],[長さ合計(m)]]</f>
        <v>52.1</v>
      </c>
      <c r="I144" s="53">
        <v>3456.397916791369</v>
      </c>
      <c r="J144" s="53">
        <f t="shared" si="14"/>
        <v>180078.33146483032</v>
      </c>
      <c r="K144" s="49" t="s">
        <v>18</v>
      </c>
      <c r="L144" s="55">
        <v>44805</v>
      </c>
      <c r="M144" s="43" t="s">
        <v>467</v>
      </c>
      <c r="N144" s="46" t="s">
        <v>464</v>
      </c>
      <c r="O144" s="43"/>
      <c r="P144" s="43"/>
    </row>
    <row r="145" spans="1:16" hidden="1">
      <c r="A145" s="49" t="s">
        <v>22</v>
      </c>
      <c r="B145" s="50" t="s">
        <v>13</v>
      </c>
      <c r="C145" s="49" t="s">
        <v>297</v>
      </c>
      <c r="D145" s="49">
        <v>1.042</v>
      </c>
      <c r="E145" s="49">
        <v>50</v>
      </c>
      <c r="F145" s="49">
        <v>1</v>
      </c>
      <c r="G145" s="49">
        <f>テーブル1[[#This Row],[長さ(m)]]</f>
        <v>50</v>
      </c>
      <c r="H145" s="49">
        <f>D145*テーブル1[[#This Row],[長さ合計(m)]]</f>
        <v>52.1</v>
      </c>
      <c r="I145" s="53">
        <v>3456.397916791369</v>
      </c>
      <c r="J145" s="53">
        <f t="shared" si="14"/>
        <v>180078.33146483032</v>
      </c>
      <c r="K145" s="49" t="s">
        <v>18</v>
      </c>
      <c r="L145" s="55">
        <v>44805</v>
      </c>
      <c r="M145" s="43" t="s">
        <v>467</v>
      </c>
      <c r="N145" s="46" t="s">
        <v>464</v>
      </c>
      <c r="O145" s="43"/>
      <c r="P145" s="43"/>
    </row>
    <row r="146" spans="1:16" hidden="1">
      <c r="A146" s="49" t="s">
        <v>22</v>
      </c>
      <c r="B146" s="50" t="s">
        <v>13</v>
      </c>
      <c r="C146" s="49" t="s">
        <v>298</v>
      </c>
      <c r="D146" s="49">
        <v>1.042</v>
      </c>
      <c r="E146" s="49">
        <v>50</v>
      </c>
      <c r="F146" s="49">
        <v>1</v>
      </c>
      <c r="G146" s="49">
        <f>テーブル1[[#This Row],[長さ(m)]]</f>
        <v>50</v>
      </c>
      <c r="H146" s="49">
        <f>D146*テーブル1[[#This Row],[長さ合計(m)]]</f>
        <v>52.1</v>
      </c>
      <c r="I146" s="53">
        <v>3456.397916791369</v>
      </c>
      <c r="J146" s="53">
        <f t="shared" si="14"/>
        <v>180078.33146483032</v>
      </c>
      <c r="K146" s="49" t="s">
        <v>18</v>
      </c>
      <c r="L146" s="55">
        <v>44805</v>
      </c>
      <c r="M146" s="43" t="s">
        <v>467</v>
      </c>
      <c r="N146" s="46" t="s">
        <v>464</v>
      </c>
      <c r="O146" s="43"/>
      <c r="P146" s="43"/>
    </row>
    <row r="147" spans="1:16" hidden="1">
      <c r="A147" s="49" t="s">
        <v>22</v>
      </c>
      <c r="B147" s="50" t="s">
        <v>13</v>
      </c>
      <c r="C147" s="49" t="s">
        <v>299</v>
      </c>
      <c r="D147" s="49">
        <v>1.042</v>
      </c>
      <c r="E147" s="49">
        <v>50</v>
      </c>
      <c r="F147" s="49">
        <v>1</v>
      </c>
      <c r="G147" s="49">
        <f>テーブル1[[#This Row],[長さ(m)]]</f>
        <v>50</v>
      </c>
      <c r="H147" s="49">
        <f>D147*テーブル1[[#This Row],[長さ合計(m)]]</f>
        <v>52.1</v>
      </c>
      <c r="I147" s="53">
        <v>3456.397916791369</v>
      </c>
      <c r="J147" s="53">
        <f t="shared" si="14"/>
        <v>180078.33146483032</v>
      </c>
      <c r="K147" s="49" t="s">
        <v>18</v>
      </c>
      <c r="L147" s="55">
        <v>44805</v>
      </c>
      <c r="M147" s="43" t="s">
        <v>467</v>
      </c>
      <c r="N147" s="46" t="s">
        <v>464</v>
      </c>
      <c r="O147" s="43"/>
      <c r="P147" s="43"/>
    </row>
    <row r="148" spans="1:16" hidden="1">
      <c r="A148" s="49" t="s">
        <v>22</v>
      </c>
      <c r="B148" s="50" t="s">
        <v>13</v>
      </c>
      <c r="C148" s="49" t="s">
        <v>492</v>
      </c>
      <c r="D148" s="49">
        <v>1.042</v>
      </c>
      <c r="E148" s="49">
        <f>39.5-10-3</f>
        <v>26.5</v>
      </c>
      <c r="F148" s="49">
        <v>1</v>
      </c>
      <c r="G148" s="49">
        <f>テーブル1[[#This Row],[長さ(m)]]</f>
        <v>26.5</v>
      </c>
      <c r="H148" s="49">
        <f>D148*テーブル1[[#This Row],[長さ合計(m)]]</f>
        <v>27.613</v>
      </c>
      <c r="I148" s="53">
        <v>3456.397916791369</v>
      </c>
      <c r="J148" s="53">
        <f t="shared" si="14"/>
        <v>95441.515676360068</v>
      </c>
      <c r="K148" s="49" t="s">
        <v>51</v>
      </c>
      <c r="L148" s="55">
        <v>44805</v>
      </c>
      <c r="M148" s="43" t="s">
        <v>467</v>
      </c>
      <c r="N148" s="46" t="s">
        <v>464</v>
      </c>
      <c r="O148" s="76"/>
      <c r="P148" s="76"/>
    </row>
    <row r="149" spans="1:16" hidden="1">
      <c r="A149" s="76" t="s">
        <v>377</v>
      </c>
      <c r="B149" s="46" t="s">
        <v>300</v>
      </c>
      <c r="C149" s="76" t="s">
        <v>302</v>
      </c>
      <c r="D149" s="76">
        <v>1.05</v>
      </c>
      <c r="E149" s="76">
        <v>56</v>
      </c>
      <c r="F149" s="43">
        <v>1</v>
      </c>
      <c r="G149" s="43">
        <f>テーブル1[[#This Row],[長さ(m)]]</f>
        <v>56</v>
      </c>
      <c r="H149" s="76">
        <f>D149*テーブル1[[#This Row],[長さ合計(m)]]</f>
        <v>58.800000000000004</v>
      </c>
      <c r="I149" s="77"/>
      <c r="J149" s="77">
        <f t="shared" ref="J149:J153" si="15">H149*I149</f>
        <v>0</v>
      </c>
      <c r="K149" s="76" t="s">
        <v>304</v>
      </c>
      <c r="L149" s="48">
        <v>44805</v>
      </c>
      <c r="M149" s="43" t="s">
        <v>301</v>
      </c>
      <c r="N149" s="57"/>
      <c r="O149" s="76"/>
      <c r="P149" s="78" t="s">
        <v>305</v>
      </c>
    </row>
    <row r="150" spans="1:16" hidden="1">
      <c r="A150" s="76" t="s">
        <v>303</v>
      </c>
      <c r="B150" s="46" t="s">
        <v>300</v>
      </c>
      <c r="C150" s="76" t="s">
        <v>306</v>
      </c>
      <c r="D150" s="76">
        <v>1.29</v>
      </c>
      <c r="E150" s="76">
        <f>53-5</f>
        <v>48</v>
      </c>
      <c r="F150" s="43">
        <v>1</v>
      </c>
      <c r="G150" s="43">
        <f>テーブル1[[#This Row],[長さ(m)]]</f>
        <v>48</v>
      </c>
      <c r="H150" s="43">
        <f>D150*テーブル1[[#This Row],[長さ合計(m)]]</f>
        <v>61.92</v>
      </c>
      <c r="I150" s="47"/>
      <c r="J150" s="47">
        <f t="shared" si="15"/>
        <v>0</v>
      </c>
      <c r="K150" s="76" t="s">
        <v>51</v>
      </c>
      <c r="L150" s="48">
        <v>44805</v>
      </c>
      <c r="M150" s="43" t="s">
        <v>301</v>
      </c>
      <c r="N150" s="46"/>
      <c r="O150" s="43"/>
      <c r="P150" s="76"/>
    </row>
    <row r="151" spans="1:16" hidden="1">
      <c r="A151" s="76" t="s">
        <v>378</v>
      </c>
      <c r="B151" s="46" t="s">
        <v>300</v>
      </c>
      <c r="C151" s="76" t="s">
        <v>309</v>
      </c>
      <c r="D151" s="76">
        <v>1.29</v>
      </c>
      <c r="E151" s="76">
        <v>443</v>
      </c>
      <c r="F151" s="43">
        <v>1</v>
      </c>
      <c r="G151" s="43">
        <f>テーブル1[[#This Row],[長さ(m)]]</f>
        <v>443</v>
      </c>
      <c r="H151" s="43">
        <f>D151*テーブル1[[#This Row],[長さ合計(m)]]</f>
        <v>571.47</v>
      </c>
      <c r="I151" s="77"/>
      <c r="J151" s="77">
        <f t="shared" si="15"/>
        <v>0</v>
      </c>
      <c r="K151" s="76" t="s">
        <v>304</v>
      </c>
      <c r="L151" s="48">
        <v>44805</v>
      </c>
      <c r="M151" s="43" t="s">
        <v>301</v>
      </c>
      <c r="N151" s="57"/>
      <c r="O151" s="76"/>
      <c r="P151" s="78" t="s">
        <v>310</v>
      </c>
    </row>
    <row r="152" spans="1:16" hidden="1">
      <c r="A152" s="76" t="s">
        <v>379</v>
      </c>
      <c r="B152" s="46" t="s">
        <v>300</v>
      </c>
      <c r="C152" s="76" t="s">
        <v>313</v>
      </c>
      <c r="D152" s="76">
        <v>1.05</v>
      </c>
      <c r="E152" s="76">
        <v>130</v>
      </c>
      <c r="F152" s="43">
        <v>1</v>
      </c>
      <c r="G152" s="43">
        <f>テーブル1[[#This Row],[長さ(m)]]</f>
        <v>130</v>
      </c>
      <c r="H152" s="76">
        <f>D152*テーブル1[[#This Row],[長さ合計(m)]]</f>
        <v>136.5</v>
      </c>
      <c r="I152" s="77"/>
      <c r="J152" s="77">
        <f t="shared" si="15"/>
        <v>0</v>
      </c>
      <c r="K152" s="76" t="s">
        <v>304</v>
      </c>
      <c r="L152" s="48">
        <v>44805</v>
      </c>
      <c r="M152" s="43" t="s">
        <v>301</v>
      </c>
      <c r="N152" s="57"/>
      <c r="O152" s="76"/>
      <c r="P152" s="78" t="s">
        <v>311</v>
      </c>
    </row>
    <row r="153" spans="1:16" hidden="1">
      <c r="A153" s="43" t="s">
        <v>380</v>
      </c>
      <c r="B153" s="46" t="s">
        <v>300</v>
      </c>
      <c r="C153" s="43" t="s">
        <v>314</v>
      </c>
      <c r="D153" s="43">
        <v>1.3</v>
      </c>
      <c r="E153" s="43">
        <f>3470-200</f>
        <v>3270</v>
      </c>
      <c r="F153" s="43">
        <v>1</v>
      </c>
      <c r="G153" s="56">
        <f>テーブル1[[#This Row],[長さ(m)]]</f>
        <v>3270</v>
      </c>
      <c r="H153" s="43">
        <f>D153*テーブル1[[#This Row],[長さ合計(m)]]</f>
        <v>4251</v>
      </c>
      <c r="I153" s="47">
        <v>41</v>
      </c>
      <c r="J153" s="47">
        <f t="shared" si="15"/>
        <v>174291</v>
      </c>
      <c r="K153" s="43" t="s">
        <v>304</v>
      </c>
      <c r="L153" s="48">
        <v>44805</v>
      </c>
      <c r="M153" s="43" t="s">
        <v>301</v>
      </c>
      <c r="N153" s="46"/>
      <c r="O153" s="43"/>
      <c r="P153" s="72" t="s">
        <v>315</v>
      </c>
    </row>
    <row r="154" spans="1:16" hidden="1">
      <c r="A154" s="43" t="s">
        <v>8</v>
      </c>
      <c r="B154" s="44" t="s">
        <v>9</v>
      </c>
      <c r="C154" s="76" t="s">
        <v>316</v>
      </c>
      <c r="D154" s="76">
        <v>0.6</v>
      </c>
      <c r="E154" s="76">
        <v>25</v>
      </c>
      <c r="F154" s="43">
        <v>1</v>
      </c>
      <c r="G154" s="43">
        <f>テーブル1[[#This Row],[長さ(m)]]</f>
        <v>25</v>
      </c>
      <c r="H154" s="76">
        <f>D154*テーブル1[[#This Row],[長さ合計(m)]]</f>
        <v>15</v>
      </c>
      <c r="I154" s="77">
        <v>991.44394343082831</v>
      </c>
      <c r="J154" s="77">
        <f>H154*I154</f>
        <v>14871.659151462425</v>
      </c>
      <c r="K154" s="76" t="s">
        <v>51</v>
      </c>
      <c r="L154" s="57" t="s">
        <v>11</v>
      </c>
      <c r="M154" s="76" t="s">
        <v>320</v>
      </c>
      <c r="N154" s="57"/>
      <c r="O154" s="76"/>
      <c r="P154" s="76"/>
    </row>
    <row r="155" spans="1:16" hidden="1">
      <c r="A155" s="43" t="s">
        <v>8</v>
      </c>
      <c r="B155" s="44" t="s">
        <v>9</v>
      </c>
      <c r="C155" s="76" t="s">
        <v>317</v>
      </c>
      <c r="D155" s="43">
        <v>0.3</v>
      </c>
      <c r="E155" s="43">
        <v>25</v>
      </c>
      <c r="F155" s="43">
        <v>1</v>
      </c>
      <c r="G155" s="43">
        <f>テーブル1[[#This Row],[長さ(m)]]</f>
        <v>25</v>
      </c>
      <c r="H155" s="43">
        <f>D155*テーブル1[[#This Row],[長さ合計(m)]]</f>
        <v>7.5</v>
      </c>
      <c r="I155" s="77">
        <v>991.44394343082831</v>
      </c>
      <c r="J155" s="47">
        <f t="shared" ref="J155:J157" si="16">H155*I155</f>
        <v>7435.8295757312126</v>
      </c>
      <c r="K155" s="76" t="s">
        <v>51</v>
      </c>
      <c r="L155" s="57" t="s">
        <v>11</v>
      </c>
      <c r="M155" s="76" t="s">
        <v>320</v>
      </c>
      <c r="N155" s="46"/>
      <c r="O155" s="43"/>
      <c r="P155" s="43"/>
    </row>
    <row r="156" spans="1:16" hidden="1">
      <c r="A156" s="43" t="s">
        <v>8</v>
      </c>
      <c r="B156" s="44" t="s">
        <v>9</v>
      </c>
      <c r="C156" s="76" t="s">
        <v>318</v>
      </c>
      <c r="D156" s="43">
        <v>0.1</v>
      </c>
      <c r="E156" s="43">
        <v>25</v>
      </c>
      <c r="F156" s="43">
        <v>2</v>
      </c>
      <c r="G156" s="43">
        <f>テーブル1[[#This Row],[長さ(m)]]*テーブル1[[#This Row],[在庫(本)]]</f>
        <v>50</v>
      </c>
      <c r="H156" s="43">
        <f>D156*テーブル1[[#This Row],[長さ合計(m)]]</f>
        <v>5</v>
      </c>
      <c r="I156" s="77">
        <v>991.44394343082831</v>
      </c>
      <c r="J156" s="47">
        <f t="shared" si="16"/>
        <v>4957.2197171541411</v>
      </c>
      <c r="K156" s="76" t="s">
        <v>51</v>
      </c>
      <c r="L156" s="57" t="s">
        <v>11</v>
      </c>
      <c r="M156" s="76" t="s">
        <v>320</v>
      </c>
      <c r="N156" s="46"/>
      <c r="O156" s="43"/>
      <c r="P156" s="43"/>
    </row>
    <row r="157" spans="1:16" hidden="1">
      <c r="A157" s="43" t="s">
        <v>8</v>
      </c>
      <c r="B157" s="44" t="s">
        <v>9</v>
      </c>
      <c r="C157" s="76" t="s">
        <v>319</v>
      </c>
      <c r="D157" s="43">
        <v>0.05</v>
      </c>
      <c r="E157" s="43">
        <v>25</v>
      </c>
      <c r="F157" s="43">
        <v>2</v>
      </c>
      <c r="G157" s="43">
        <f>テーブル1[[#This Row],[長さ(m)]]*テーブル1[[#This Row],[在庫(本)]]</f>
        <v>50</v>
      </c>
      <c r="H157" s="43">
        <f>D157*テーブル1[[#This Row],[長さ合計(m)]]</f>
        <v>2.5</v>
      </c>
      <c r="I157" s="77">
        <v>991.44394343082831</v>
      </c>
      <c r="J157" s="47">
        <f t="shared" si="16"/>
        <v>2478.6098585770706</v>
      </c>
      <c r="K157" s="76" t="s">
        <v>51</v>
      </c>
      <c r="L157" s="57" t="s">
        <v>11</v>
      </c>
      <c r="M157" s="76" t="s">
        <v>320</v>
      </c>
      <c r="N157" s="46"/>
      <c r="O157" s="43"/>
      <c r="P157" s="43"/>
    </row>
    <row r="158" spans="1:16" hidden="1">
      <c r="A158" s="49" t="s">
        <v>8</v>
      </c>
      <c r="B158" s="49" t="s">
        <v>41</v>
      </c>
      <c r="C158" s="81" t="s">
        <v>321</v>
      </c>
      <c r="D158" s="81">
        <v>0.6</v>
      </c>
      <c r="E158" s="81">
        <v>25</v>
      </c>
      <c r="F158" s="49">
        <v>1</v>
      </c>
      <c r="G158" s="49">
        <f>テーブル1[[#This Row],[長さ(m)]]*テーブル1[[#This Row],[在庫(本)]]</f>
        <v>25</v>
      </c>
      <c r="H158" s="81">
        <f>D158*テーブル1[[#This Row],[長さ合計(m)]]</f>
        <v>15</v>
      </c>
      <c r="I158" s="83">
        <v>980.99865295983977</v>
      </c>
      <c r="J158" s="83">
        <f>H158*I158</f>
        <v>14714.979794397597</v>
      </c>
      <c r="K158" s="81" t="s">
        <v>51</v>
      </c>
      <c r="L158" s="84" t="s">
        <v>11</v>
      </c>
      <c r="M158" s="81" t="s">
        <v>320</v>
      </c>
      <c r="N158" s="57"/>
      <c r="O158" s="76"/>
      <c r="P158" s="76"/>
    </row>
    <row r="159" spans="1:16" hidden="1">
      <c r="A159" s="49" t="s">
        <v>8</v>
      </c>
      <c r="B159" s="49" t="s">
        <v>41</v>
      </c>
      <c r="C159" s="81" t="s">
        <v>322</v>
      </c>
      <c r="D159" s="49">
        <v>0.3</v>
      </c>
      <c r="E159" s="49">
        <v>25</v>
      </c>
      <c r="F159" s="49">
        <v>1</v>
      </c>
      <c r="G159" s="49">
        <f>テーブル1[[#This Row],[長さ(m)]]*テーブル1[[#This Row],[在庫(本)]]</f>
        <v>25</v>
      </c>
      <c r="H159" s="49">
        <f>D159*テーブル1[[#This Row],[長さ合計(m)]]</f>
        <v>7.5</v>
      </c>
      <c r="I159" s="83">
        <v>980.99865295983977</v>
      </c>
      <c r="J159" s="53">
        <f t="shared" ref="J159:J161" si="17">H159*I159</f>
        <v>7357.4898971987986</v>
      </c>
      <c r="K159" s="81" t="s">
        <v>51</v>
      </c>
      <c r="L159" s="84" t="s">
        <v>11</v>
      </c>
      <c r="M159" s="81" t="s">
        <v>320</v>
      </c>
      <c r="N159" s="46"/>
      <c r="O159" s="43"/>
      <c r="P159" s="43"/>
    </row>
    <row r="160" spans="1:16" hidden="1">
      <c r="A160" s="49" t="s">
        <v>8</v>
      </c>
      <c r="B160" s="49" t="s">
        <v>41</v>
      </c>
      <c r="C160" s="81" t="s">
        <v>323</v>
      </c>
      <c r="D160" s="49">
        <v>0.1</v>
      </c>
      <c r="E160" s="49">
        <v>25</v>
      </c>
      <c r="F160" s="49">
        <v>2</v>
      </c>
      <c r="G160" s="49">
        <f>テーブル1[[#This Row],[長さ(m)]]*テーブル1[[#This Row],[在庫(本)]]</f>
        <v>50</v>
      </c>
      <c r="H160" s="49">
        <f>D160*テーブル1[[#This Row],[長さ合計(m)]]</f>
        <v>5</v>
      </c>
      <c r="I160" s="83">
        <v>980.99865295983977</v>
      </c>
      <c r="J160" s="53">
        <f t="shared" si="17"/>
        <v>4904.9932647991991</v>
      </c>
      <c r="K160" s="81" t="s">
        <v>51</v>
      </c>
      <c r="L160" s="84" t="s">
        <v>11</v>
      </c>
      <c r="M160" s="81" t="s">
        <v>320</v>
      </c>
      <c r="N160" s="46"/>
      <c r="O160" s="43"/>
      <c r="P160" s="43"/>
    </row>
    <row r="161" spans="1:16" hidden="1">
      <c r="A161" s="49" t="s">
        <v>8</v>
      </c>
      <c r="B161" s="49" t="s">
        <v>41</v>
      </c>
      <c r="C161" s="81" t="s">
        <v>324</v>
      </c>
      <c r="D161" s="49">
        <v>0.05</v>
      </c>
      <c r="E161" s="49">
        <v>25</v>
      </c>
      <c r="F161" s="49">
        <v>2</v>
      </c>
      <c r="G161" s="49">
        <f>テーブル1[[#This Row],[長さ(m)]]*テーブル1[[#This Row],[在庫(本)]]</f>
        <v>50</v>
      </c>
      <c r="H161" s="49">
        <f>D161*テーブル1[[#This Row],[長さ合計(m)]]</f>
        <v>2.5</v>
      </c>
      <c r="I161" s="83">
        <v>980.99865295983977</v>
      </c>
      <c r="J161" s="53">
        <f t="shared" si="17"/>
        <v>2452.4966323995995</v>
      </c>
      <c r="K161" s="81" t="s">
        <v>51</v>
      </c>
      <c r="L161" s="84" t="s">
        <v>11</v>
      </c>
      <c r="M161" s="81" t="s">
        <v>320</v>
      </c>
      <c r="N161" s="46"/>
      <c r="O161" s="43"/>
      <c r="P161" s="43"/>
    </row>
    <row r="162" spans="1:16" hidden="1">
      <c r="A162" s="43" t="s">
        <v>303</v>
      </c>
      <c r="B162" s="46" t="s">
        <v>300</v>
      </c>
      <c r="C162" s="76" t="s">
        <v>325</v>
      </c>
      <c r="D162" s="76">
        <v>200</v>
      </c>
      <c r="E162" s="76">
        <v>53</v>
      </c>
      <c r="F162" s="76">
        <v>2</v>
      </c>
      <c r="G162" s="43">
        <f>テーブル1[[#This Row],[長さ(m)]]*テーブル1[[#This Row],[在庫(本)]]</f>
        <v>106</v>
      </c>
      <c r="H162" s="76">
        <f>D162*テーブル1[[#This Row],[長さ合計(m)]]</f>
        <v>21200</v>
      </c>
      <c r="I162" s="77"/>
      <c r="J162" s="77">
        <f>H162*I162</f>
        <v>0</v>
      </c>
      <c r="K162" s="76" t="s">
        <v>51</v>
      </c>
      <c r="L162" s="57" t="s">
        <v>11</v>
      </c>
      <c r="M162" s="76" t="s">
        <v>320</v>
      </c>
      <c r="N162" s="57"/>
      <c r="O162" s="76"/>
      <c r="P162" s="76"/>
    </row>
    <row r="163" spans="1:16" hidden="1">
      <c r="A163" s="43" t="s">
        <v>303</v>
      </c>
      <c r="B163" s="46" t="s">
        <v>300</v>
      </c>
      <c r="C163" s="76" t="s">
        <v>326</v>
      </c>
      <c r="D163" s="76">
        <v>100</v>
      </c>
      <c r="E163" s="76">
        <v>53</v>
      </c>
      <c r="F163" s="76">
        <v>1</v>
      </c>
      <c r="G163" s="43">
        <f>テーブル1[[#This Row],[長さ(m)]]*テーブル1[[#This Row],[在庫(本)]]</f>
        <v>53</v>
      </c>
      <c r="H163" s="76">
        <f>D163*テーブル1[[#This Row],[長さ合計(m)]]</f>
        <v>5300</v>
      </c>
      <c r="I163" s="77"/>
      <c r="J163" s="77">
        <f>H163*I163</f>
        <v>0</v>
      </c>
      <c r="K163" s="76" t="s">
        <v>51</v>
      </c>
      <c r="L163" s="57" t="s">
        <v>11</v>
      </c>
      <c r="M163" s="76" t="s">
        <v>320</v>
      </c>
      <c r="N163" s="57"/>
      <c r="O163" s="76"/>
      <c r="P163" s="76"/>
    </row>
    <row r="164" spans="1:16" hidden="1">
      <c r="A164" s="43" t="s">
        <v>8</v>
      </c>
      <c r="B164" s="44" t="s">
        <v>9</v>
      </c>
      <c r="C164" s="76" t="s">
        <v>327</v>
      </c>
      <c r="D164" s="76">
        <v>1.25</v>
      </c>
      <c r="E164" s="76">
        <v>6.4</v>
      </c>
      <c r="F164" s="76">
        <v>1</v>
      </c>
      <c r="G164" s="43">
        <f>テーブル1[[#This Row],[長さ(m)]]*テーブル1[[#This Row],[在庫(本)]]</f>
        <v>6.4</v>
      </c>
      <c r="H164" s="76">
        <f>D164*テーブル1[[#This Row],[長さ合計(m)]]</f>
        <v>8</v>
      </c>
      <c r="I164" s="47">
        <v>1089.6454038775285</v>
      </c>
      <c r="J164" s="77">
        <f>H164*I164</f>
        <v>8717.1632310202276</v>
      </c>
      <c r="K164" s="76" t="s">
        <v>328</v>
      </c>
      <c r="L164" s="57" t="s">
        <v>11</v>
      </c>
      <c r="M164" s="76"/>
      <c r="N164" s="57"/>
      <c r="O164" s="76"/>
      <c r="P164" s="76"/>
    </row>
    <row r="165" spans="1:16" hidden="1">
      <c r="A165" s="49" t="s">
        <v>8</v>
      </c>
      <c r="B165" s="49" t="s">
        <v>41</v>
      </c>
      <c r="C165" s="49" t="s">
        <v>329</v>
      </c>
      <c r="D165" s="81">
        <v>1.25</v>
      </c>
      <c r="E165" s="49">
        <v>25</v>
      </c>
      <c r="F165" s="49">
        <v>10</v>
      </c>
      <c r="G165" s="49">
        <f>テーブル1[[#This Row],[長さ(m)]]*テーブル1[[#This Row],[在庫(本)]]</f>
        <v>250</v>
      </c>
      <c r="H165" s="49">
        <f>D165*テーブル1[[#This Row],[長さ合計(m)]]</f>
        <v>312.5</v>
      </c>
      <c r="I165" s="53">
        <v>1282.1929558379868</v>
      </c>
      <c r="J165" s="53">
        <f t="shared" ref="J165:J188" si="18">H165*I165</f>
        <v>400685.29869937088</v>
      </c>
      <c r="K165" s="49" t="s">
        <v>26</v>
      </c>
      <c r="L165" s="55">
        <v>44805</v>
      </c>
      <c r="M165" s="43"/>
      <c r="N165" s="46"/>
      <c r="O165" s="43"/>
      <c r="P165" s="43"/>
    </row>
    <row r="166" spans="1:16" hidden="1">
      <c r="A166" s="49" t="s">
        <v>8</v>
      </c>
      <c r="B166" s="49" t="s">
        <v>41</v>
      </c>
      <c r="C166" s="49" t="s">
        <v>330</v>
      </c>
      <c r="D166" s="81">
        <v>1.25</v>
      </c>
      <c r="E166" s="49">
        <v>24</v>
      </c>
      <c r="F166" s="49">
        <v>1</v>
      </c>
      <c r="G166" s="49">
        <f>テーブル1[[#This Row],[長さ(m)]]*テーブル1[[#This Row],[在庫(本)]]</f>
        <v>24</v>
      </c>
      <c r="H166" s="49">
        <f>D166*テーブル1[[#This Row],[長さ合計(m)]]</f>
        <v>30</v>
      </c>
      <c r="I166" s="53">
        <v>1282.1929558379868</v>
      </c>
      <c r="J166" s="53">
        <f t="shared" si="18"/>
        <v>38465.788675139607</v>
      </c>
      <c r="K166" s="49" t="s">
        <v>26</v>
      </c>
      <c r="L166" s="55">
        <v>44805</v>
      </c>
      <c r="M166" s="43"/>
      <c r="N166" s="46"/>
      <c r="O166" s="43"/>
      <c r="P166" s="43"/>
    </row>
    <row r="167" spans="1:16" hidden="1">
      <c r="A167" s="49" t="s">
        <v>8</v>
      </c>
      <c r="B167" s="49" t="s">
        <v>41</v>
      </c>
      <c r="C167" s="49" t="s">
        <v>331</v>
      </c>
      <c r="D167" s="81">
        <v>1.25</v>
      </c>
      <c r="E167" s="49">
        <v>13</v>
      </c>
      <c r="F167" s="49">
        <v>1</v>
      </c>
      <c r="G167" s="49">
        <f>テーブル1[[#This Row],[長さ(m)]]*テーブル1[[#This Row],[在庫(本)]]</f>
        <v>13</v>
      </c>
      <c r="H167" s="49">
        <f>D167*テーブル1[[#This Row],[長さ合計(m)]]</f>
        <v>16.25</v>
      </c>
      <c r="I167" s="53">
        <v>1282.1929558379868</v>
      </c>
      <c r="J167" s="53">
        <f t="shared" si="18"/>
        <v>20835.635532367287</v>
      </c>
      <c r="K167" s="49" t="s">
        <v>26</v>
      </c>
      <c r="L167" s="55">
        <v>44805</v>
      </c>
      <c r="M167" s="43"/>
      <c r="N167" s="46"/>
      <c r="O167" s="43"/>
      <c r="P167" s="43"/>
    </row>
    <row r="168" spans="1:16" hidden="1">
      <c r="A168" s="49" t="s">
        <v>8</v>
      </c>
      <c r="B168" s="49" t="s">
        <v>41</v>
      </c>
      <c r="C168" s="49" t="s">
        <v>332</v>
      </c>
      <c r="D168" s="81">
        <v>1.25</v>
      </c>
      <c r="E168" s="49">
        <v>9</v>
      </c>
      <c r="F168" s="49">
        <v>1</v>
      </c>
      <c r="G168" s="49">
        <f>テーブル1[[#This Row],[長さ(m)]]*テーブル1[[#This Row],[在庫(本)]]</f>
        <v>9</v>
      </c>
      <c r="H168" s="49">
        <f>D168*テーブル1[[#This Row],[長さ合計(m)]]</f>
        <v>11.25</v>
      </c>
      <c r="I168" s="53">
        <v>1282.1929558379868</v>
      </c>
      <c r="J168" s="53">
        <f t="shared" si="18"/>
        <v>14424.670753177352</v>
      </c>
      <c r="K168" s="49" t="s">
        <v>26</v>
      </c>
      <c r="L168" s="55">
        <v>44805</v>
      </c>
      <c r="M168" s="43"/>
      <c r="N168" s="46"/>
      <c r="O168" s="43"/>
      <c r="P168" s="43"/>
    </row>
    <row r="169" spans="1:16" hidden="1">
      <c r="A169" s="43" t="s">
        <v>8</v>
      </c>
      <c r="B169" s="44" t="s">
        <v>9</v>
      </c>
      <c r="C169" s="43" t="s">
        <v>333</v>
      </c>
      <c r="D169" s="76">
        <v>1.25</v>
      </c>
      <c r="E169" s="43">
        <v>25</v>
      </c>
      <c r="F169" s="43">
        <v>8</v>
      </c>
      <c r="G169" s="43">
        <f>テーブル1[[#This Row],[長さ(m)]]*テーブル1[[#This Row],[在庫(本)]]</f>
        <v>200</v>
      </c>
      <c r="H169" s="43">
        <f>D169*テーブル1[[#This Row],[長さ合計(m)]]</f>
        <v>250</v>
      </c>
      <c r="I169" s="47">
        <v>1125.1613526715632</v>
      </c>
      <c r="J169" s="47">
        <f t="shared" si="18"/>
        <v>281290.33816789079</v>
      </c>
      <c r="K169" s="43" t="s">
        <v>26</v>
      </c>
      <c r="L169" s="48">
        <v>44805</v>
      </c>
      <c r="M169" s="43"/>
      <c r="N169" s="46"/>
      <c r="O169" s="43"/>
      <c r="P169" s="43"/>
    </row>
    <row r="170" spans="1:16" hidden="1">
      <c r="A170" s="43" t="s">
        <v>8</v>
      </c>
      <c r="B170" s="44" t="s">
        <v>9</v>
      </c>
      <c r="C170" s="43" t="s">
        <v>334</v>
      </c>
      <c r="D170" s="76">
        <v>1.25</v>
      </c>
      <c r="E170" s="43">
        <v>18</v>
      </c>
      <c r="F170" s="43">
        <v>1</v>
      </c>
      <c r="G170" s="43">
        <f>テーブル1[[#This Row],[長さ(m)]]*テーブル1[[#This Row],[在庫(本)]]</f>
        <v>18</v>
      </c>
      <c r="H170" s="43">
        <f>D170*テーブル1[[#This Row],[長さ合計(m)]]</f>
        <v>22.5</v>
      </c>
      <c r="I170" s="47">
        <v>1125.161352671563</v>
      </c>
      <c r="J170" s="47">
        <f t="shared" si="18"/>
        <v>25316.130435110168</v>
      </c>
      <c r="K170" s="43" t="s">
        <v>26</v>
      </c>
      <c r="L170" s="48">
        <v>44805</v>
      </c>
      <c r="M170" s="43"/>
      <c r="N170" s="46"/>
      <c r="O170" s="43"/>
      <c r="P170" s="43"/>
    </row>
    <row r="171" spans="1:16" hidden="1">
      <c r="A171" s="43" t="s">
        <v>8</v>
      </c>
      <c r="B171" s="44" t="s">
        <v>9</v>
      </c>
      <c r="C171" s="43" t="s">
        <v>335</v>
      </c>
      <c r="D171" s="76">
        <v>1.25</v>
      </c>
      <c r="E171" s="43">
        <v>25</v>
      </c>
      <c r="F171" s="43">
        <v>36</v>
      </c>
      <c r="G171" s="43">
        <f>テーブル1[[#This Row],[長さ(m)]]*テーブル1[[#This Row],[在庫(本)]]</f>
        <v>900</v>
      </c>
      <c r="H171" s="43">
        <f>D171*テーブル1[[#This Row],[長さ合計(m)]]</f>
        <v>1125</v>
      </c>
      <c r="I171" s="47">
        <v>1125.161352671563</v>
      </c>
      <c r="J171" s="47">
        <f t="shared" si="18"/>
        <v>1265806.5217555084</v>
      </c>
      <c r="K171" s="43" t="s">
        <v>26</v>
      </c>
      <c r="L171" s="48">
        <v>44805</v>
      </c>
      <c r="M171" s="43"/>
      <c r="N171" s="46"/>
      <c r="O171" s="43"/>
      <c r="P171" s="43"/>
    </row>
    <row r="172" spans="1:16" hidden="1">
      <c r="A172" s="43" t="s">
        <v>8</v>
      </c>
      <c r="B172" s="44" t="s">
        <v>9</v>
      </c>
      <c r="C172" s="43" t="s">
        <v>336</v>
      </c>
      <c r="D172" s="76">
        <v>1.25</v>
      </c>
      <c r="E172" s="43">
        <v>23</v>
      </c>
      <c r="F172" s="43">
        <v>1</v>
      </c>
      <c r="G172" s="43">
        <f>テーブル1[[#This Row],[長さ(m)]]*テーブル1[[#This Row],[在庫(本)]]</f>
        <v>23</v>
      </c>
      <c r="H172" s="43">
        <f>D172*テーブル1[[#This Row],[長さ合計(m)]]</f>
        <v>28.75</v>
      </c>
      <c r="I172" s="47">
        <v>1125.161352671563</v>
      </c>
      <c r="J172" s="47">
        <f t="shared" si="18"/>
        <v>32348.388889307436</v>
      </c>
      <c r="K172" s="43" t="s">
        <v>26</v>
      </c>
      <c r="L172" s="48">
        <v>44805</v>
      </c>
      <c r="M172" s="43"/>
      <c r="N172" s="46"/>
      <c r="O172" s="43"/>
      <c r="P172" s="43"/>
    </row>
    <row r="173" spans="1:16" hidden="1">
      <c r="A173" s="43" t="s">
        <v>8</v>
      </c>
      <c r="B173" s="44" t="s">
        <v>9</v>
      </c>
      <c r="C173" s="43" t="s">
        <v>337</v>
      </c>
      <c r="D173" s="76">
        <v>1.25</v>
      </c>
      <c r="E173" s="43">
        <v>15</v>
      </c>
      <c r="F173" s="43">
        <v>1</v>
      </c>
      <c r="G173" s="43">
        <f>テーブル1[[#This Row],[長さ(m)]]*テーブル1[[#This Row],[在庫(本)]]</f>
        <v>15</v>
      </c>
      <c r="H173" s="43">
        <f>D173*テーブル1[[#This Row],[長さ合計(m)]]</f>
        <v>18.75</v>
      </c>
      <c r="I173" s="47">
        <v>1125.161352671563</v>
      </c>
      <c r="J173" s="47">
        <f t="shared" si="18"/>
        <v>21096.775362591805</v>
      </c>
      <c r="K173" s="43" t="s">
        <v>26</v>
      </c>
      <c r="L173" s="48">
        <v>44805</v>
      </c>
      <c r="M173" s="43"/>
      <c r="N173" s="46"/>
      <c r="O173" s="43"/>
      <c r="P173" s="43"/>
    </row>
    <row r="174" spans="1:16" hidden="1">
      <c r="A174" s="43" t="s">
        <v>8</v>
      </c>
      <c r="B174" s="44" t="s">
        <v>9</v>
      </c>
      <c r="C174" s="43" t="s">
        <v>338</v>
      </c>
      <c r="D174" s="76">
        <v>1.25</v>
      </c>
      <c r="E174" s="43">
        <v>12</v>
      </c>
      <c r="F174" s="43">
        <v>1</v>
      </c>
      <c r="G174" s="43">
        <f>テーブル1[[#This Row],[長さ(m)]]*テーブル1[[#This Row],[在庫(本)]]</f>
        <v>12</v>
      </c>
      <c r="H174" s="43">
        <f>D174*テーブル1[[#This Row],[長さ合計(m)]]</f>
        <v>15</v>
      </c>
      <c r="I174" s="47">
        <v>1125.161352671563</v>
      </c>
      <c r="J174" s="47">
        <f t="shared" si="18"/>
        <v>16877.420290073445</v>
      </c>
      <c r="K174" s="43" t="s">
        <v>26</v>
      </c>
      <c r="L174" s="48">
        <v>44805</v>
      </c>
      <c r="M174" s="43"/>
      <c r="N174" s="46"/>
      <c r="O174" s="43"/>
      <c r="P174" s="43"/>
    </row>
    <row r="175" spans="1:16" hidden="1">
      <c r="A175" s="43" t="s">
        <v>8</v>
      </c>
      <c r="B175" s="44" t="s">
        <v>9</v>
      </c>
      <c r="C175" s="43" t="s">
        <v>339</v>
      </c>
      <c r="D175" s="76">
        <v>1.25</v>
      </c>
      <c r="E175" s="43">
        <v>21</v>
      </c>
      <c r="F175" s="43">
        <v>1</v>
      </c>
      <c r="G175" s="43">
        <f>テーブル1[[#This Row],[長さ(m)]]*テーブル1[[#This Row],[在庫(本)]]</f>
        <v>21</v>
      </c>
      <c r="H175" s="43">
        <f>D175*テーブル1[[#This Row],[長さ合計(m)]]</f>
        <v>26.25</v>
      </c>
      <c r="I175" s="47">
        <v>1125.161352671563</v>
      </c>
      <c r="J175" s="47">
        <f t="shared" si="18"/>
        <v>29535.485507628528</v>
      </c>
      <c r="K175" s="43" t="s">
        <v>26</v>
      </c>
      <c r="L175" s="48">
        <v>44805</v>
      </c>
      <c r="M175" s="43"/>
      <c r="N175" s="46"/>
      <c r="O175" s="43"/>
      <c r="P175" s="43"/>
    </row>
    <row r="176" spans="1:16" hidden="1">
      <c r="A176" s="43" t="s">
        <v>8</v>
      </c>
      <c r="B176" s="44" t="s">
        <v>9</v>
      </c>
      <c r="C176" s="43" t="s">
        <v>340</v>
      </c>
      <c r="D176" s="76">
        <v>1.25</v>
      </c>
      <c r="E176" s="43">
        <v>5</v>
      </c>
      <c r="F176" s="43">
        <v>1</v>
      </c>
      <c r="G176" s="43">
        <f>テーブル1[[#This Row],[長さ(m)]]*テーブル1[[#This Row],[在庫(本)]]</f>
        <v>5</v>
      </c>
      <c r="H176" s="43">
        <f>D176*テーブル1[[#This Row],[長さ合計(m)]]</f>
        <v>6.25</v>
      </c>
      <c r="I176" s="47">
        <v>1125.161352671563</v>
      </c>
      <c r="J176" s="47">
        <f t="shared" si="18"/>
        <v>7032.2584541972692</v>
      </c>
      <c r="K176" s="43" t="s">
        <v>26</v>
      </c>
      <c r="L176" s="48">
        <v>44805</v>
      </c>
      <c r="M176" s="43"/>
      <c r="N176" s="46"/>
      <c r="O176" s="43"/>
      <c r="P176" s="43"/>
    </row>
    <row r="177" spans="1:16" hidden="1">
      <c r="A177" s="43" t="s">
        <v>8</v>
      </c>
      <c r="B177" s="44" t="s">
        <v>9</v>
      </c>
      <c r="C177" s="43" t="s">
        <v>341</v>
      </c>
      <c r="D177" s="76">
        <v>1.25</v>
      </c>
      <c r="E177" s="43">
        <v>25</v>
      </c>
      <c r="F177" s="43">
        <v>37</v>
      </c>
      <c r="G177" s="43">
        <f>テーブル1[[#This Row],[長さ(m)]]*テーブル1[[#This Row],[在庫(本)]]</f>
        <v>925</v>
      </c>
      <c r="H177" s="43">
        <f>D177*テーブル1[[#This Row],[長さ合計(m)]]</f>
        <v>1156.25</v>
      </c>
      <c r="I177" s="47">
        <v>1125.161352671563</v>
      </c>
      <c r="J177" s="47">
        <f t="shared" si="18"/>
        <v>1300967.8140264947</v>
      </c>
      <c r="K177" s="43" t="s">
        <v>26</v>
      </c>
      <c r="L177" s="48">
        <v>44805</v>
      </c>
      <c r="M177" s="43"/>
      <c r="N177" s="46"/>
      <c r="O177" s="43"/>
      <c r="P177" s="43"/>
    </row>
    <row r="178" spans="1:16" hidden="1">
      <c r="A178" s="43" t="s">
        <v>8</v>
      </c>
      <c r="B178" s="44" t="s">
        <v>9</v>
      </c>
      <c r="C178" s="43" t="s">
        <v>342</v>
      </c>
      <c r="D178" s="76">
        <v>1.25</v>
      </c>
      <c r="E178" s="43">
        <v>16</v>
      </c>
      <c r="F178" s="43">
        <v>1</v>
      </c>
      <c r="G178" s="43">
        <f>テーブル1[[#This Row],[長さ(m)]]*テーブル1[[#This Row],[在庫(本)]]</f>
        <v>16</v>
      </c>
      <c r="H178" s="43">
        <f>D178*テーブル1[[#This Row],[長さ合計(m)]]</f>
        <v>20</v>
      </c>
      <c r="I178" s="47">
        <v>1125.161352671563</v>
      </c>
      <c r="J178" s="47">
        <f t="shared" si="18"/>
        <v>22503.227053431259</v>
      </c>
      <c r="K178" s="43" t="s">
        <v>26</v>
      </c>
      <c r="L178" s="48">
        <v>44805</v>
      </c>
      <c r="M178" s="43"/>
      <c r="N178" s="46"/>
      <c r="O178" s="43"/>
      <c r="P178" s="43"/>
    </row>
    <row r="179" spans="1:16" hidden="1">
      <c r="A179" s="43" t="s">
        <v>8</v>
      </c>
      <c r="B179" s="44" t="s">
        <v>9</v>
      </c>
      <c r="C179" s="43" t="s">
        <v>343</v>
      </c>
      <c r="D179" s="76">
        <v>1.25</v>
      </c>
      <c r="E179" s="43">
        <v>19</v>
      </c>
      <c r="F179" s="43">
        <v>1</v>
      </c>
      <c r="G179" s="43">
        <f>テーブル1[[#This Row],[長さ(m)]]*テーブル1[[#This Row],[在庫(本)]]</f>
        <v>19</v>
      </c>
      <c r="H179" s="43">
        <f>D179*テーブル1[[#This Row],[長さ合計(m)]]</f>
        <v>23.75</v>
      </c>
      <c r="I179" s="47">
        <v>1125.1613526715632</v>
      </c>
      <c r="J179" s="47">
        <f t="shared" si="18"/>
        <v>26722.582125949626</v>
      </c>
      <c r="K179" s="43" t="s">
        <v>26</v>
      </c>
      <c r="L179" s="48">
        <v>44805</v>
      </c>
      <c r="M179" s="43"/>
      <c r="N179" s="46"/>
      <c r="O179" s="43"/>
      <c r="P179" s="43"/>
    </row>
    <row r="180" spans="1:16" hidden="1">
      <c r="A180" s="49" t="s">
        <v>8</v>
      </c>
      <c r="B180" s="49" t="s">
        <v>41</v>
      </c>
      <c r="C180" s="49" t="s">
        <v>344</v>
      </c>
      <c r="D180" s="81">
        <v>1.25</v>
      </c>
      <c r="E180" s="49">
        <v>25</v>
      </c>
      <c r="F180" s="49">
        <v>39</v>
      </c>
      <c r="G180" s="49">
        <f>テーブル1[[#This Row],[長さ(m)]]*テーブル1[[#This Row],[在庫(本)]]</f>
        <v>975</v>
      </c>
      <c r="H180" s="49">
        <f>D180*テーブル1[[#This Row],[長さ合計(m)]]</f>
        <v>1218.75</v>
      </c>
      <c r="I180" s="53">
        <v>1211.8249041983679</v>
      </c>
      <c r="J180" s="53">
        <f t="shared" si="18"/>
        <v>1476911.6019917608</v>
      </c>
      <c r="K180" s="49" t="s">
        <v>26</v>
      </c>
      <c r="L180" s="55">
        <v>44805</v>
      </c>
      <c r="M180" s="43"/>
      <c r="N180" s="46"/>
      <c r="O180" s="43"/>
      <c r="P180" s="43"/>
    </row>
    <row r="181" spans="1:16" hidden="1">
      <c r="A181" s="49" t="s">
        <v>8</v>
      </c>
      <c r="B181" s="49" t="s">
        <v>41</v>
      </c>
      <c r="C181" s="49" t="s">
        <v>345</v>
      </c>
      <c r="D181" s="81">
        <v>1.25</v>
      </c>
      <c r="E181" s="49">
        <v>6</v>
      </c>
      <c r="F181" s="49">
        <v>1</v>
      </c>
      <c r="G181" s="49">
        <f>テーブル1[[#This Row],[長さ(m)]]*テーブル1[[#This Row],[在庫(本)]]</f>
        <v>6</v>
      </c>
      <c r="H181" s="49">
        <f>D181*テーブル1[[#This Row],[長さ合計(m)]]</f>
        <v>7.5</v>
      </c>
      <c r="I181" s="53">
        <v>1211.8249041983679</v>
      </c>
      <c r="J181" s="53">
        <f t="shared" si="18"/>
        <v>9088.6867814877587</v>
      </c>
      <c r="K181" s="49" t="s">
        <v>26</v>
      </c>
      <c r="L181" s="55">
        <v>44805</v>
      </c>
      <c r="M181" s="43"/>
      <c r="N181" s="46"/>
      <c r="O181" s="43"/>
      <c r="P181" s="43"/>
    </row>
    <row r="182" spans="1:16" hidden="1">
      <c r="A182" s="49" t="s">
        <v>8</v>
      </c>
      <c r="B182" s="49" t="s">
        <v>41</v>
      </c>
      <c r="C182" s="49" t="s">
        <v>346</v>
      </c>
      <c r="D182" s="81">
        <v>1.25</v>
      </c>
      <c r="E182" s="49">
        <v>25</v>
      </c>
      <c r="F182" s="49">
        <v>38</v>
      </c>
      <c r="G182" s="49">
        <f>テーブル1[[#This Row],[長さ(m)]]*テーブル1[[#This Row],[在庫(本)]]</f>
        <v>950</v>
      </c>
      <c r="H182" s="49">
        <f>D182*テーブル1[[#This Row],[長さ合計(m)]]</f>
        <v>1187.5</v>
      </c>
      <c r="I182" s="53">
        <v>1211.8249041983679</v>
      </c>
      <c r="J182" s="53">
        <f t="shared" si="18"/>
        <v>1439042.0737355619</v>
      </c>
      <c r="K182" s="49" t="s">
        <v>26</v>
      </c>
      <c r="L182" s="55">
        <v>44805</v>
      </c>
      <c r="M182" s="43"/>
      <c r="N182" s="46"/>
      <c r="O182" s="43"/>
      <c r="P182" s="43"/>
    </row>
    <row r="183" spans="1:16" hidden="1">
      <c r="A183" s="49" t="s">
        <v>8</v>
      </c>
      <c r="B183" s="49" t="s">
        <v>41</v>
      </c>
      <c r="C183" s="49" t="s">
        <v>347</v>
      </c>
      <c r="D183" s="81">
        <v>1.25</v>
      </c>
      <c r="E183" s="49">
        <v>17</v>
      </c>
      <c r="F183" s="49">
        <v>1</v>
      </c>
      <c r="G183" s="49">
        <f>テーブル1[[#This Row],[長さ(m)]]*テーブル1[[#This Row],[在庫(本)]]</f>
        <v>17</v>
      </c>
      <c r="H183" s="49">
        <f>D183*テーブル1[[#This Row],[長さ合計(m)]]</f>
        <v>21.25</v>
      </c>
      <c r="I183" s="53">
        <v>1211.8249041983679</v>
      </c>
      <c r="J183" s="53">
        <f t="shared" si="18"/>
        <v>25751.279214215319</v>
      </c>
      <c r="K183" s="49" t="s">
        <v>26</v>
      </c>
      <c r="L183" s="55">
        <v>44805</v>
      </c>
      <c r="M183" s="43"/>
      <c r="N183" s="46"/>
      <c r="O183" s="43"/>
      <c r="P183" s="43"/>
    </row>
    <row r="184" spans="1:16" hidden="1">
      <c r="A184" s="49" t="s">
        <v>8</v>
      </c>
      <c r="B184" s="49" t="s">
        <v>41</v>
      </c>
      <c r="C184" s="49" t="s">
        <v>348</v>
      </c>
      <c r="D184" s="81">
        <v>1.25</v>
      </c>
      <c r="E184" s="49">
        <v>16</v>
      </c>
      <c r="F184" s="49">
        <v>1</v>
      </c>
      <c r="G184" s="49">
        <f>テーブル1[[#This Row],[長さ(m)]]*テーブル1[[#This Row],[在庫(本)]]</f>
        <v>16</v>
      </c>
      <c r="H184" s="49">
        <f>D184*テーブル1[[#This Row],[長さ合計(m)]]</f>
        <v>20</v>
      </c>
      <c r="I184" s="53">
        <v>1211.8249041983679</v>
      </c>
      <c r="J184" s="53">
        <f t="shared" si="18"/>
        <v>24236.498083967359</v>
      </c>
      <c r="K184" s="49" t="s">
        <v>26</v>
      </c>
      <c r="L184" s="55">
        <v>44805</v>
      </c>
      <c r="M184" s="43"/>
      <c r="N184" s="46"/>
      <c r="O184" s="43"/>
      <c r="P184" s="43"/>
    </row>
    <row r="185" spans="1:16" hidden="1">
      <c r="A185" s="49" t="s">
        <v>8</v>
      </c>
      <c r="B185" s="49" t="s">
        <v>41</v>
      </c>
      <c r="C185" s="49" t="s">
        <v>349</v>
      </c>
      <c r="D185" s="81">
        <v>1.25</v>
      </c>
      <c r="E185" s="49">
        <v>25</v>
      </c>
      <c r="F185" s="49">
        <v>38</v>
      </c>
      <c r="G185" s="49">
        <f>テーブル1[[#This Row],[長さ(m)]]*テーブル1[[#This Row],[在庫(本)]]</f>
        <v>950</v>
      </c>
      <c r="H185" s="49">
        <f>D185*テーブル1[[#This Row],[長さ合計(m)]]</f>
        <v>1187.5</v>
      </c>
      <c r="I185" s="53">
        <v>1211.8249041983679</v>
      </c>
      <c r="J185" s="53">
        <f t="shared" si="18"/>
        <v>1439042.0737355619</v>
      </c>
      <c r="K185" s="49" t="s">
        <v>26</v>
      </c>
      <c r="L185" s="55">
        <v>44805</v>
      </c>
      <c r="M185" s="43"/>
      <c r="N185" s="46"/>
      <c r="O185" s="43"/>
      <c r="P185" s="43"/>
    </row>
    <row r="186" spans="1:16" hidden="1">
      <c r="A186" s="49" t="s">
        <v>8</v>
      </c>
      <c r="B186" s="49" t="s">
        <v>41</v>
      </c>
      <c r="C186" s="49" t="s">
        <v>350</v>
      </c>
      <c r="D186" s="81">
        <v>1.25</v>
      </c>
      <c r="E186" s="49">
        <v>8</v>
      </c>
      <c r="F186" s="49">
        <v>1</v>
      </c>
      <c r="G186" s="49">
        <f>テーブル1[[#This Row],[長さ(m)]]*テーブル1[[#This Row],[在庫(本)]]</f>
        <v>8</v>
      </c>
      <c r="H186" s="49">
        <f>D186*テーブル1[[#This Row],[長さ合計(m)]]</f>
        <v>10</v>
      </c>
      <c r="I186" s="53">
        <v>1211.8249041983679</v>
      </c>
      <c r="J186" s="53">
        <f t="shared" si="18"/>
        <v>12118.249041983679</v>
      </c>
      <c r="K186" s="49" t="s">
        <v>26</v>
      </c>
      <c r="L186" s="55">
        <v>44805</v>
      </c>
      <c r="M186" s="43"/>
      <c r="N186" s="46"/>
      <c r="O186" s="43"/>
      <c r="P186" s="43"/>
    </row>
    <row r="187" spans="1:16" hidden="1">
      <c r="A187" s="49" t="s">
        <v>8</v>
      </c>
      <c r="B187" s="49" t="s">
        <v>41</v>
      </c>
      <c r="C187" s="49" t="s">
        <v>351</v>
      </c>
      <c r="D187" s="81">
        <v>1.25</v>
      </c>
      <c r="E187" s="49">
        <v>22</v>
      </c>
      <c r="F187" s="49">
        <v>1</v>
      </c>
      <c r="G187" s="49">
        <f>テーブル1[[#This Row],[長さ(m)]]*テーブル1[[#This Row],[在庫(本)]]</f>
        <v>22</v>
      </c>
      <c r="H187" s="49">
        <f>D187*テーブル1[[#This Row],[長さ合計(m)]]</f>
        <v>27.5</v>
      </c>
      <c r="I187" s="53">
        <v>1211.8249041983677</v>
      </c>
      <c r="J187" s="53">
        <f t="shared" si="18"/>
        <v>33325.184865455114</v>
      </c>
      <c r="K187" s="49" t="s">
        <v>26</v>
      </c>
      <c r="L187" s="55">
        <v>44805</v>
      </c>
      <c r="M187" s="43"/>
      <c r="N187" s="46"/>
      <c r="O187" s="43"/>
      <c r="P187" s="43"/>
    </row>
    <row r="188" spans="1:16" hidden="1">
      <c r="A188" s="49" t="s">
        <v>8</v>
      </c>
      <c r="B188" s="49" t="s">
        <v>41</v>
      </c>
      <c r="C188" s="81" t="s">
        <v>352</v>
      </c>
      <c r="D188" s="81">
        <v>1.25</v>
      </c>
      <c r="E188" s="81">
        <v>7</v>
      </c>
      <c r="F188" s="81">
        <v>1</v>
      </c>
      <c r="G188" s="49">
        <f>テーブル1[[#This Row],[長さ(m)]]*テーブル1[[#This Row],[在庫(本)]]</f>
        <v>7</v>
      </c>
      <c r="H188" s="81">
        <f>D188*テーブル1[[#This Row],[長さ合計(m)]]</f>
        <v>8.75</v>
      </c>
      <c r="I188" s="83">
        <v>1211.8249041983679</v>
      </c>
      <c r="J188" s="83">
        <f t="shared" si="18"/>
        <v>10603.467911735719</v>
      </c>
      <c r="K188" s="49" t="s">
        <v>26</v>
      </c>
      <c r="L188" s="55">
        <v>44805</v>
      </c>
      <c r="M188" s="76"/>
      <c r="N188" s="57"/>
      <c r="O188" s="76"/>
      <c r="P188" s="76"/>
    </row>
    <row r="189" spans="1:16" hidden="1">
      <c r="A189" s="91" t="s">
        <v>49</v>
      </c>
      <c r="B189" s="91" t="s">
        <v>190</v>
      </c>
      <c r="C189" s="91" t="s">
        <v>381</v>
      </c>
      <c r="D189" s="89">
        <v>1.29</v>
      </c>
      <c r="E189" s="89">
        <v>1000</v>
      </c>
      <c r="F189" s="91">
        <v>1</v>
      </c>
      <c r="G189" s="91">
        <f t="shared" ref="G189:G205" si="19">E189*F189</f>
        <v>1000</v>
      </c>
      <c r="H189" s="89">
        <f>D189*テーブル1[[#This Row],[長さ合計(m)]]</f>
        <v>1290</v>
      </c>
      <c r="I189" s="92">
        <v>157.1</v>
      </c>
      <c r="J189" s="92">
        <f t="shared" ref="J189:J198" si="20">G189*I189</f>
        <v>157100</v>
      </c>
      <c r="K189" s="91" t="s">
        <v>44</v>
      </c>
      <c r="L189" s="93">
        <v>44866</v>
      </c>
      <c r="M189" s="89" t="s">
        <v>391</v>
      </c>
      <c r="N189" s="95"/>
      <c r="O189" s="43" t="s">
        <v>503</v>
      </c>
      <c r="P189" s="78" t="s">
        <v>401</v>
      </c>
    </row>
    <row r="190" spans="1:16" hidden="1">
      <c r="A190" s="91" t="s">
        <v>49</v>
      </c>
      <c r="B190" s="91" t="s">
        <v>190</v>
      </c>
      <c r="C190" s="89" t="s">
        <v>382</v>
      </c>
      <c r="D190" s="89">
        <v>1.29</v>
      </c>
      <c r="E190" s="89">
        <v>1000</v>
      </c>
      <c r="F190" s="91">
        <v>1</v>
      </c>
      <c r="G190" s="91">
        <f t="shared" si="19"/>
        <v>1000</v>
      </c>
      <c r="H190" s="89">
        <f>D190*テーブル1[[#This Row],[長さ合計(m)]]</f>
        <v>1290</v>
      </c>
      <c r="I190" s="92">
        <v>157.1</v>
      </c>
      <c r="J190" s="92">
        <f t="shared" si="20"/>
        <v>157100</v>
      </c>
      <c r="K190" s="91" t="s">
        <v>44</v>
      </c>
      <c r="L190" s="93">
        <v>44866</v>
      </c>
      <c r="M190" s="89" t="s">
        <v>392</v>
      </c>
      <c r="N190" s="94"/>
      <c r="O190" s="43" t="s">
        <v>503</v>
      </c>
      <c r="P190" s="72" t="s">
        <v>401</v>
      </c>
    </row>
    <row r="191" spans="1:16" hidden="1">
      <c r="A191" s="91" t="s">
        <v>49</v>
      </c>
      <c r="B191" s="91" t="s">
        <v>190</v>
      </c>
      <c r="C191" s="89" t="s">
        <v>383</v>
      </c>
      <c r="D191" s="89">
        <v>1.29</v>
      </c>
      <c r="E191" s="89">
        <v>1000</v>
      </c>
      <c r="F191" s="91">
        <v>1</v>
      </c>
      <c r="G191" s="91">
        <f t="shared" si="19"/>
        <v>1000</v>
      </c>
      <c r="H191" s="89">
        <f>D191*テーブル1[[#This Row],[長さ合計(m)]]</f>
        <v>1290</v>
      </c>
      <c r="I191" s="92">
        <v>157.1</v>
      </c>
      <c r="J191" s="92">
        <f t="shared" si="20"/>
        <v>157100</v>
      </c>
      <c r="K191" s="91" t="s">
        <v>44</v>
      </c>
      <c r="L191" s="93">
        <v>44866</v>
      </c>
      <c r="M191" s="89" t="s">
        <v>393</v>
      </c>
      <c r="N191" s="94"/>
      <c r="O191" s="43" t="s">
        <v>503</v>
      </c>
      <c r="P191" s="72" t="s">
        <v>401</v>
      </c>
    </row>
    <row r="192" spans="1:16" hidden="1">
      <c r="A192" s="91" t="s">
        <v>49</v>
      </c>
      <c r="B192" s="91" t="s">
        <v>190</v>
      </c>
      <c r="C192" s="89" t="s">
        <v>384</v>
      </c>
      <c r="D192" s="89">
        <v>1.29</v>
      </c>
      <c r="E192" s="89">
        <v>1000</v>
      </c>
      <c r="F192" s="91">
        <v>1</v>
      </c>
      <c r="G192" s="91">
        <f t="shared" si="19"/>
        <v>1000</v>
      </c>
      <c r="H192" s="89">
        <f>D192*テーブル1[[#This Row],[長さ合計(m)]]</f>
        <v>1290</v>
      </c>
      <c r="I192" s="92">
        <v>157.1</v>
      </c>
      <c r="J192" s="92">
        <f t="shared" si="20"/>
        <v>157100</v>
      </c>
      <c r="K192" s="91" t="s">
        <v>44</v>
      </c>
      <c r="L192" s="93">
        <v>44866</v>
      </c>
      <c r="M192" s="89" t="s">
        <v>394</v>
      </c>
      <c r="N192" s="94"/>
      <c r="O192" s="89" t="s">
        <v>503</v>
      </c>
      <c r="P192" s="97" t="s">
        <v>401</v>
      </c>
    </row>
    <row r="193" spans="1:16" hidden="1">
      <c r="A193" s="91" t="s">
        <v>49</v>
      </c>
      <c r="B193" s="91" t="s">
        <v>190</v>
      </c>
      <c r="C193" s="89" t="s">
        <v>385</v>
      </c>
      <c r="D193" s="89">
        <v>1.29</v>
      </c>
      <c r="E193" s="89">
        <v>800</v>
      </c>
      <c r="F193" s="91">
        <v>1</v>
      </c>
      <c r="G193" s="91">
        <f t="shared" ref="G193" si="21">E193*F193</f>
        <v>800</v>
      </c>
      <c r="H193" s="89">
        <f>D193*テーブル1[[#This Row],[長さ合計(m)]]</f>
        <v>1032</v>
      </c>
      <c r="I193" s="92">
        <v>157.1</v>
      </c>
      <c r="J193" s="92">
        <f t="shared" ref="J193" si="22">G193*I193</f>
        <v>125680</v>
      </c>
      <c r="K193" s="91" t="s">
        <v>44</v>
      </c>
      <c r="L193" s="93">
        <v>44866</v>
      </c>
      <c r="M193" s="89" t="s">
        <v>395</v>
      </c>
      <c r="N193" s="94" t="s">
        <v>485</v>
      </c>
      <c r="O193" s="89" t="s">
        <v>503</v>
      </c>
      <c r="P193" s="97" t="s">
        <v>401</v>
      </c>
    </row>
    <row r="194" spans="1:16" hidden="1">
      <c r="A194" s="91" t="s">
        <v>49</v>
      </c>
      <c r="B194" s="91" t="s">
        <v>190</v>
      </c>
      <c r="C194" s="89" t="s">
        <v>385</v>
      </c>
      <c r="D194" s="89">
        <v>1.29</v>
      </c>
      <c r="E194" s="89">
        <v>150</v>
      </c>
      <c r="F194" s="91">
        <v>1</v>
      </c>
      <c r="G194" s="91">
        <f t="shared" si="19"/>
        <v>150</v>
      </c>
      <c r="H194" s="89">
        <f>D194*テーブル1[[#This Row],[長さ合計(m)]]</f>
        <v>193.5</v>
      </c>
      <c r="I194" s="92">
        <v>157.1</v>
      </c>
      <c r="J194" s="92">
        <f t="shared" si="20"/>
        <v>23565</v>
      </c>
      <c r="K194" s="91" t="s">
        <v>44</v>
      </c>
      <c r="L194" s="93">
        <v>44866</v>
      </c>
      <c r="M194" s="89" t="s">
        <v>395</v>
      </c>
      <c r="N194" s="94" t="s">
        <v>485</v>
      </c>
      <c r="O194" s="89" t="s">
        <v>503</v>
      </c>
      <c r="P194" s="97" t="s">
        <v>401</v>
      </c>
    </row>
    <row r="195" spans="1:16" hidden="1">
      <c r="A195" s="91" t="s">
        <v>49</v>
      </c>
      <c r="B195" s="91" t="s">
        <v>190</v>
      </c>
      <c r="C195" s="89" t="s">
        <v>386</v>
      </c>
      <c r="D195" s="89">
        <v>1.29</v>
      </c>
      <c r="E195" s="89">
        <v>1000</v>
      </c>
      <c r="F195" s="91">
        <v>1</v>
      </c>
      <c r="G195" s="91">
        <f t="shared" si="19"/>
        <v>1000</v>
      </c>
      <c r="H195" s="89">
        <f>D195*テーブル1[[#This Row],[長さ合計(m)]]</f>
        <v>1290</v>
      </c>
      <c r="I195" s="92">
        <v>157.1</v>
      </c>
      <c r="J195" s="92">
        <f t="shared" si="20"/>
        <v>157100</v>
      </c>
      <c r="K195" s="91" t="s">
        <v>44</v>
      </c>
      <c r="L195" s="93">
        <v>44866</v>
      </c>
      <c r="M195" s="89" t="s">
        <v>396</v>
      </c>
      <c r="N195" s="94"/>
      <c r="O195" s="89" t="s">
        <v>503</v>
      </c>
      <c r="P195" s="97" t="s">
        <v>402</v>
      </c>
    </row>
    <row r="196" spans="1:16" hidden="1">
      <c r="A196" s="91" t="s">
        <v>49</v>
      </c>
      <c r="B196" s="91" t="s">
        <v>190</v>
      </c>
      <c r="C196" s="89" t="s">
        <v>387</v>
      </c>
      <c r="D196" s="89">
        <v>1.29</v>
      </c>
      <c r="E196" s="89">
        <v>1000</v>
      </c>
      <c r="F196" s="91">
        <v>1</v>
      </c>
      <c r="G196" s="91">
        <f t="shared" si="19"/>
        <v>1000</v>
      </c>
      <c r="H196" s="89">
        <f>D196*テーブル1[[#This Row],[長さ合計(m)]]</f>
        <v>1290</v>
      </c>
      <c r="I196" s="92">
        <v>157.1</v>
      </c>
      <c r="J196" s="92">
        <f t="shared" si="20"/>
        <v>157100</v>
      </c>
      <c r="K196" s="91" t="s">
        <v>44</v>
      </c>
      <c r="L196" s="93">
        <v>44866</v>
      </c>
      <c r="M196" s="89" t="s">
        <v>397</v>
      </c>
      <c r="N196" s="94"/>
      <c r="O196" s="89" t="s">
        <v>503</v>
      </c>
      <c r="P196" s="97" t="s">
        <v>402</v>
      </c>
    </row>
    <row r="197" spans="1:16" hidden="1">
      <c r="A197" s="91" t="s">
        <v>49</v>
      </c>
      <c r="B197" s="91" t="s">
        <v>190</v>
      </c>
      <c r="C197" s="89" t="s">
        <v>388</v>
      </c>
      <c r="D197" s="89">
        <v>1.29</v>
      </c>
      <c r="E197" s="89">
        <v>1000</v>
      </c>
      <c r="F197" s="91">
        <v>1</v>
      </c>
      <c r="G197" s="91">
        <f t="shared" si="19"/>
        <v>1000</v>
      </c>
      <c r="H197" s="89">
        <f>D197*テーブル1[[#This Row],[長さ合計(m)]]</f>
        <v>1290</v>
      </c>
      <c r="I197" s="92">
        <v>157.1</v>
      </c>
      <c r="J197" s="92">
        <f t="shared" si="20"/>
        <v>157100</v>
      </c>
      <c r="K197" s="91" t="s">
        <v>44</v>
      </c>
      <c r="L197" s="93">
        <v>44866</v>
      </c>
      <c r="M197" s="89" t="s">
        <v>398</v>
      </c>
      <c r="N197" s="94"/>
      <c r="O197" s="89" t="s">
        <v>503</v>
      </c>
      <c r="P197" s="97" t="s">
        <v>402</v>
      </c>
    </row>
    <row r="198" spans="1:16" hidden="1">
      <c r="A198" s="91" t="s">
        <v>49</v>
      </c>
      <c r="B198" s="91" t="s">
        <v>190</v>
      </c>
      <c r="C198" s="89" t="s">
        <v>389</v>
      </c>
      <c r="D198" s="89">
        <v>1.29</v>
      </c>
      <c r="E198" s="89">
        <v>1000</v>
      </c>
      <c r="F198" s="91">
        <v>1</v>
      </c>
      <c r="G198" s="91">
        <f t="shared" si="19"/>
        <v>1000</v>
      </c>
      <c r="H198" s="89">
        <f>D198*テーブル1[[#This Row],[長さ合計(m)]]</f>
        <v>1290</v>
      </c>
      <c r="I198" s="92">
        <v>157.1</v>
      </c>
      <c r="J198" s="92">
        <f t="shared" si="20"/>
        <v>157100</v>
      </c>
      <c r="K198" s="91" t="s">
        <v>44</v>
      </c>
      <c r="L198" s="93">
        <v>44866</v>
      </c>
      <c r="M198" s="89" t="s">
        <v>399</v>
      </c>
      <c r="N198" s="94"/>
      <c r="O198" s="89" t="s">
        <v>503</v>
      </c>
      <c r="P198" s="97" t="s">
        <v>402</v>
      </c>
    </row>
    <row r="199" spans="1:16" hidden="1">
      <c r="A199" s="91" t="s">
        <v>49</v>
      </c>
      <c r="B199" s="91" t="s">
        <v>190</v>
      </c>
      <c r="C199" s="89" t="s">
        <v>390</v>
      </c>
      <c r="D199" s="89">
        <v>1.29</v>
      </c>
      <c r="E199" s="89">
        <v>1000</v>
      </c>
      <c r="F199" s="91">
        <v>1</v>
      </c>
      <c r="G199" s="91">
        <f t="shared" si="19"/>
        <v>1000</v>
      </c>
      <c r="H199" s="89">
        <f>D199*テーブル1[[#This Row],[長さ合計(m)]]</f>
        <v>1290</v>
      </c>
      <c r="I199" s="92">
        <v>157.1</v>
      </c>
      <c r="J199" s="92">
        <f>G199*I199</f>
        <v>157100</v>
      </c>
      <c r="K199" s="91" t="s">
        <v>44</v>
      </c>
      <c r="L199" s="93">
        <v>44866</v>
      </c>
      <c r="M199" s="91" t="s">
        <v>400</v>
      </c>
      <c r="N199" s="94"/>
      <c r="O199" s="89" t="s">
        <v>503</v>
      </c>
      <c r="P199" s="97" t="s">
        <v>402</v>
      </c>
    </row>
    <row r="200" spans="1:16" hidden="1">
      <c r="A200" s="91" t="s">
        <v>405</v>
      </c>
      <c r="B200" s="91" t="s">
        <v>300</v>
      </c>
      <c r="C200" s="91" t="s">
        <v>406</v>
      </c>
      <c r="D200" s="91">
        <v>1.28</v>
      </c>
      <c r="E200" s="91">
        <v>2000</v>
      </c>
      <c r="F200" s="91">
        <v>1</v>
      </c>
      <c r="G200" s="91">
        <f t="shared" si="19"/>
        <v>2000</v>
      </c>
      <c r="H200" s="91">
        <f>D200*テーブル1[[#This Row],[長さ合計(m)]]</f>
        <v>2560</v>
      </c>
      <c r="I200" s="96">
        <v>437.5</v>
      </c>
      <c r="J200" s="92">
        <f>G200*I200</f>
        <v>875000</v>
      </c>
      <c r="K200" s="91" t="s">
        <v>44</v>
      </c>
      <c r="L200" s="93">
        <v>44866</v>
      </c>
      <c r="M200" s="91"/>
      <c r="N200" s="95"/>
      <c r="O200" s="89" t="s">
        <v>503</v>
      </c>
      <c r="P200" s="97" t="s">
        <v>412</v>
      </c>
    </row>
    <row r="201" spans="1:16" hidden="1">
      <c r="A201" s="91" t="s">
        <v>405</v>
      </c>
      <c r="B201" s="91" t="s">
        <v>300</v>
      </c>
      <c r="C201" s="89" t="s">
        <v>407</v>
      </c>
      <c r="D201" s="91">
        <v>1.28</v>
      </c>
      <c r="E201" s="91">
        <v>2000</v>
      </c>
      <c r="F201" s="91">
        <v>1</v>
      </c>
      <c r="G201" s="91">
        <f t="shared" si="19"/>
        <v>2000</v>
      </c>
      <c r="H201" s="89">
        <f>D201*テーブル1[[#This Row],[長さ合計(m)]]</f>
        <v>2560</v>
      </c>
      <c r="I201" s="96">
        <v>437.5</v>
      </c>
      <c r="J201" s="92">
        <f t="shared" ref="J201:J205" si="23">G201*I201</f>
        <v>875000</v>
      </c>
      <c r="K201" s="91" t="s">
        <v>44</v>
      </c>
      <c r="L201" s="93">
        <v>44866</v>
      </c>
      <c r="M201" s="89"/>
      <c r="N201" s="94"/>
      <c r="O201" s="89" t="s">
        <v>503</v>
      </c>
      <c r="P201" s="97" t="s">
        <v>413</v>
      </c>
    </row>
    <row r="202" spans="1:16" hidden="1">
      <c r="A202" s="91" t="s">
        <v>405</v>
      </c>
      <c r="B202" s="91" t="s">
        <v>300</v>
      </c>
      <c r="C202" s="89" t="s">
        <v>408</v>
      </c>
      <c r="D202" s="91">
        <v>1.28</v>
      </c>
      <c r="E202" s="91">
        <v>2000</v>
      </c>
      <c r="F202" s="91">
        <v>1</v>
      </c>
      <c r="G202" s="91">
        <f t="shared" si="19"/>
        <v>2000</v>
      </c>
      <c r="H202" s="89">
        <f>D202*テーブル1[[#This Row],[長さ合計(m)]]</f>
        <v>2560</v>
      </c>
      <c r="I202" s="96">
        <v>437.5</v>
      </c>
      <c r="J202" s="92">
        <f t="shared" si="23"/>
        <v>875000</v>
      </c>
      <c r="K202" s="91" t="s">
        <v>44</v>
      </c>
      <c r="L202" s="93">
        <v>44866</v>
      </c>
      <c r="M202" s="89"/>
      <c r="N202" s="94"/>
      <c r="O202" s="89" t="s">
        <v>503</v>
      </c>
      <c r="P202" s="97" t="s">
        <v>414</v>
      </c>
    </row>
    <row r="203" spans="1:16" hidden="1">
      <c r="A203" s="91" t="s">
        <v>405</v>
      </c>
      <c r="B203" s="91" t="s">
        <v>300</v>
      </c>
      <c r="C203" s="89" t="s">
        <v>409</v>
      </c>
      <c r="D203" s="91">
        <v>1.28</v>
      </c>
      <c r="E203" s="91">
        <v>2000</v>
      </c>
      <c r="F203" s="91">
        <v>1</v>
      </c>
      <c r="G203" s="91">
        <f t="shared" si="19"/>
        <v>2000</v>
      </c>
      <c r="H203" s="89">
        <f>D203*テーブル1[[#This Row],[長さ合計(m)]]</f>
        <v>2560</v>
      </c>
      <c r="I203" s="96">
        <v>437.5</v>
      </c>
      <c r="J203" s="92">
        <f t="shared" si="23"/>
        <v>875000</v>
      </c>
      <c r="K203" s="91" t="s">
        <v>44</v>
      </c>
      <c r="L203" s="93">
        <v>44866</v>
      </c>
      <c r="M203" s="89"/>
      <c r="N203" s="94"/>
      <c r="O203" s="89" t="s">
        <v>503</v>
      </c>
      <c r="P203" s="97" t="s">
        <v>415</v>
      </c>
    </row>
    <row r="204" spans="1:16" hidden="1">
      <c r="A204" s="91" t="s">
        <v>405</v>
      </c>
      <c r="B204" s="91" t="s">
        <v>300</v>
      </c>
      <c r="C204" s="89" t="s">
        <v>410</v>
      </c>
      <c r="D204" s="91">
        <v>1.28</v>
      </c>
      <c r="E204" s="89">
        <v>1600</v>
      </c>
      <c r="F204" s="91">
        <v>1</v>
      </c>
      <c r="G204" s="91">
        <f t="shared" si="19"/>
        <v>1600</v>
      </c>
      <c r="H204" s="89">
        <f>D204*テーブル1[[#This Row],[長さ合計(m)]]</f>
        <v>2048</v>
      </c>
      <c r="I204" s="96">
        <v>437.5</v>
      </c>
      <c r="J204" s="92">
        <f t="shared" si="23"/>
        <v>700000</v>
      </c>
      <c r="K204" s="91" t="s">
        <v>44</v>
      </c>
      <c r="L204" s="93">
        <v>44866</v>
      </c>
      <c r="M204" s="89"/>
      <c r="N204" s="94"/>
      <c r="O204" s="89" t="s">
        <v>503</v>
      </c>
      <c r="P204" s="97" t="s">
        <v>416</v>
      </c>
    </row>
    <row r="205" spans="1:16" hidden="1">
      <c r="A205" s="91" t="s">
        <v>405</v>
      </c>
      <c r="B205" s="91" t="s">
        <v>300</v>
      </c>
      <c r="C205" s="89" t="s">
        <v>411</v>
      </c>
      <c r="D205" s="91">
        <v>1.28</v>
      </c>
      <c r="E205" s="89">
        <v>1200</v>
      </c>
      <c r="F205" s="91">
        <v>1</v>
      </c>
      <c r="G205" s="91">
        <f t="shared" si="19"/>
        <v>1200</v>
      </c>
      <c r="H205" s="89">
        <f>D205*テーブル1[[#This Row],[長さ合計(m)]]</f>
        <v>1536</v>
      </c>
      <c r="I205" s="96">
        <v>437.5</v>
      </c>
      <c r="J205" s="92">
        <f t="shared" si="23"/>
        <v>525000</v>
      </c>
      <c r="K205" s="91" t="s">
        <v>44</v>
      </c>
      <c r="L205" s="93">
        <v>44866</v>
      </c>
      <c r="M205" s="89"/>
      <c r="N205" s="94"/>
      <c r="O205" s="89" t="s">
        <v>503</v>
      </c>
      <c r="P205" s="97" t="s">
        <v>417</v>
      </c>
    </row>
    <row r="206" spans="1:16" hidden="1">
      <c r="A206" s="43" t="s">
        <v>426</v>
      </c>
      <c r="B206" s="43" t="s">
        <v>427</v>
      </c>
      <c r="C206" s="43" t="s">
        <v>489</v>
      </c>
      <c r="D206" s="43">
        <v>1.1499999999999999</v>
      </c>
      <c r="E206" s="43">
        <v>14</v>
      </c>
      <c r="F206" s="43">
        <v>1</v>
      </c>
      <c r="G206" s="43">
        <f>テーブル1[[#This Row],[長さ(m)]]</f>
        <v>14</v>
      </c>
      <c r="H206" s="43">
        <f>D206*テーブル1[[#This Row],[長さ合計(m)]]</f>
        <v>16.099999999999998</v>
      </c>
      <c r="I206" s="47">
        <v>1661.8303753028922</v>
      </c>
      <c r="J206" s="47">
        <f t="shared" ref="J206:J211" si="24">H206*I206</f>
        <v>26755.469042376561</v>
      </c>
      <c r="K206" s="43" t="s">
        <v>428</v>
      </c>
      <c r="L206" s="48">
        <v>44835</v>
      </c>
      <c r="M206" s="43"/>
      <c r="N206" s="46" t="s">
        <v>488</v>
      </c>
      <c r="O206" s="43"/>
      <c r="P206" s="72"/>
    </row>
    <row r="207" spans="1:16" hidden="1">
      <c r="A207" s="43" t="s">
        <v>426</v>
      </c>
      <c r="B207" s="43" t="s">
        <v>427</v>
      </c>
      <c r="C207" s="43" t="s">
        <v>489</v>
      </c>
      <c r="D207" s="43">
        <v>1.1499999999999999</v>
      </c>
      <c r="E207" s="43">
        <v>15.4</v>
      </c>
      <c r="F207" s="43">
        <v>1</v>
      </c>
      <c r="G207" s="43">
        <f>テーブル1[[#This Row],[長さ(m)]]</f>
        <v>15.4</v>
      </c>
      <c r="H207" s="43">
        <f>D207*テーブル1[[#This Row],[長さ合計(m)]]</f>
        <v>17.709999999999997</v>
      </c>
      <c r="I207" s="47">
        <v>1661.8303753028922</v>
      </c>
      <c r="J207" s="47">
        <f t="shared" si="24"/>
        <v>29431.015946614218</v>
      </c>
      <c r="K207" s="43" t="s">
        <v>428</v>
      </c>
      <c r="L207" s="48">
        <v>44835</v>
      </c>
      <c r="M207" s="43"/>
      <c r="N207" s="46" t="s">
        <v>488</v>
      </c>
      <c r="O207" s="43"/>
      <c r="P207" s="72"/>
    </row>
    <row r="208" spans="1:16" hidden="1">
      <c r="A208" s="43" t="s">
        <v>426</v>
      </c>
      <c r="B208" s="43" t="s">
        <v>427</v>
      </c>
      <c r="C208" s="43" t="s">
        <v>489</v>
      </c>
      <c r="D208" s="43">
        <v>1.1499999999999999</v>
      </c>
      <c r="E208" s="43">
        <v>17.8</v>
      </c>
      <c r="F208" s="43">
        <v>1</v>
      </c>
      <c r="G208" s="43">
        <f>テーブル1[[#This Row],[長さ(m)]]</f>
        <v>17.8</v>
      </c>
      <c r="H208" s="43">
        <f>D208*テーブル1[[#This Row],[長さ合計(m)]]</f>
        <v>20.47</v>
      </c>
      <c r="I208" s="47">
        <v>1661.8303753028922</v>
      </c>
      <c r="J208" s="47">
        <f t="shared" si="24"/>
        <v>34017.667782450204</v>
      </c>
      <c r="K208" s="43" t="s">
        <v>428</v>
      </c>
      <c r="L208" s="48">
        <v>44835</v>
      </c>
      <c r="M208" s="43"/>
      <c r="N208" s="46" t="s">
        <v>488</v>
      </c>
      <c r="O208" s="43"/>
      <c r="P208" s="72"/>
    </row>
    <row r="209" spans="1:16" hidden="1">
      <c r="A209" s="43" t="s">
        <v>426</v>
      </c>
      <c r="B209" s="43" t="s">
        <v>427</v>
      </c>
      <c r="C209" s="43" t="s">
        <v>489</v>
      </c>
      <c r="D209" s="43">
        <v>1.1499999999999999</v>
      </c>
      <c r="E209" s="43">
        <v>18</v>
      </c>
      <c r="F209" s="43">
        <v>1</v>
      </c>
      <c r="G209" s="43">
        <f>テーブル1[[#This Row],[長さ(m)]]</f>
        <v>18</v>
      </c>
      <c r="H209" s="43">
        <f>D209*テーブル1[[#This Row],[長さ合計(m)]]</f>
        <v>20.7</v>
      </c>
      <c r="I209" s="47">
        <v>1661.8303753028922</v>
      </c>
      <c r="J209" s="47">
        <f t="shared" si="24"/>
        <v>34399.888768769866</v>
      </c>
      <c r="K209" s="43" t="s">
        <v>428</v>
      </c>
      <c r="L209" s="48">
        <v>44835</v>
      </c>
      <c r="M209" s="43"/>
      <c r="N209" s="46" t="s">
        <v>488</v>
      </c>
      <c r="O209" s="43"/>
      <c r="P209" s="72"/>
    </row>
    <row r="210" spans="1:16" hidden="1">
      <c r="A210" s="76" t="s">
        <v>426</v>
      </c>
      <c r="B210" s="76" t="s">
        <v>427</v>
      </c>
      <c r="C210" s="43" t="s">
        <v>490</v>
      </c>
      <c r="D210" s="76">
        <v>1.1499999999999999</v>
      </c>
      <c r="E210" s="76">
        <v>8.5</v>
      </c>
      <c r="F210" s="76">
        <v>1</v>
      </c>
      <c r="G210" s="43">
        <f>テーブル1[[#This Row],[長さ(m)]]</f>
        <v>8.5</v>
      </c>
      <c r="H210" s="76">
        <f>D210*テーブル1[[#This Row],[長さ合計(m)]]</f>
        <v>9.7749999999999986</v>
      </c>
      <c r="I210" s="77">
        <v>1661.830375302892</v>
      </c>
      <c r="J210" s="77">
        <f t="shared" si="24"/>
        <v>16244.391918585767</v>
      </c>
      <c r="K210" s="43" t="s">
        <v>428</v>
      </c>
      <c r="L210" s="48">
        <v>44835</v>
      </c>
      <c r="M210" s="43" t="s">
        <v>484</v>
      </c>
      <c r="N210" s="57" t="s">
        <v>488</v>
      </c>
      <c r="O210" s="76"/>
      <c r="P210" s="78"/>
    </row>
    <row r="211" spans="1:16" hidden="1">
      <c r="A211" s="76" t="s">
        <v>426</v>
      </c>
      <c r="B211" s="76" t="s">
        <v>427</v>
      </c>
      <c r="C211" s="43" t="s">
        <v>490</v>
      </c>
      <c r="D211" s="76">
        <v>1.1499999999999999</v>
      </c>
      <c r="E211" s="76">
        <v>31.4</v>
      </c>
      <c r="F211" s="76">
        <v>1</v>
      </c>
      <c r="G211" s="43">
        <f>テーブル1[[#This Row],[長さ(m)]]</f>
        <v>31.4</v>
      </c>
      <c r="H211" s="76">
        <f>D211*テーブル1[[#This Row],[長さ合計(m)]]</f>
        <v>36.109999999999992</v>
      </c>
      <c r="I211" s="77">
        <v>1661.830375302892</v>
      </c>
      <c r="J211" s="77">
        <f t="shared" si="24"/>
        <v>60008.694852187415</v>
      </c>
      <c r="K211" s="43" t="s">
        <v>428</v>
      </c>
      <c r="L211" s="48">
        <v>44835</v>
      </c>
      <c r="M211" s="43" t="s">
        <v>484</v>
      </c>
      <c r="N211" s="57" t="s">
        <v>488</v>
      </c>
      <c r="O211" s="76"/>
      <c r="P211" s="78"/>
    </row>
    <row r="212" spans="1:16">
      <c r="A212" s="43" t="s">
        <v>251</v>
      </c>
      <c r="B212" s="44" t="s">
        <v>9</v>
      </c>
      <c r="C212" s="43" t="s">
        <v>431</v>
      </c>
      <c r="D212" s="43">
        <v>1.042</v>
      </c>
      <c r="E212" s="43">
        <v>50</v>
      </c>
      <c r="F212" s="76">
        <v>1</v>
      </c>
      <c r="G212" s="43">
        <f>テーブル1[[#This Row],[長さ(m)]]</f>
        <v>50</v>
      </c>
      <c r="H212" s="43">
        <f>D212*テーブル1[[#This Row],[長さ合計(m)]]</f>
        <v>52.1</v>
      </c>
      <c r="I212" s="47">
        <v>2692.4934648095477</v>
      </c>
      <c r="J212" s="47">
        <f t="shared" ref="J212:J213" si="25">H212*I212</f>
        <v>140278.90951657743</v>
      </c>
      <c r="K212" s="43" t="s">
        <v>17</v>
      </c>
      <c r="L212" s="48">
        <v>44866</v>
      </c>
      <c r="M212" s="43" t="s">
        <v>466</v>
      </c>
      <c r="N212" s="46" t="s">
        <v>464</v>
      </c>
      <c r="O212" s="43"/>
      <c r="P212" s="72"/>
    </row>
    <row r="213" spans="1:16">
      <c r="A213" s="43" t="s">
        <v>251</v>
      </c>
      <c r="B213" s="44" t="s">
        <v>9</v>
      </c>
      <c r="C213" s="76" t="s">
        <v>432</v>
      </c>
      <c r="D213" s="76">
        <v>1.042</v>
      </c>
      <c r="E213" s="76">
        <v>50</v>
      </c>
      <c r="F213" s="76">
        <v>1</v>
      </c>
      <c r="G213" s="43">
        <f>テーブル1[[#This Row],[長さ(m)]]</f>
        <v>50</v>
      </c>
      <c r="H213" s="76">
        <f>D213*テーブル1[[#This Row],[長さ合計(m)]]</f>
        <v>52.1</v>
      </c>
      <c r="I213" s="77">
        <v>2692.4934648095477</v>
      </c>
      <c r="J213" s="77">
        <f t="shared" si="25"/>
        <v>140278.90951657743</v>
      </c>
      <c r="K213" s="43" t="s">
        <v>17</v>
      </c>
      <c r="L213" s="48">
        <v>44866</v>
      </c>
      <c r="M213" s="43" t="s">
        <v>466</v>
      </c>
      <c r="N213" s="46" t="s">
        <v>464</v>
      </c>
      <c r="O213" s="76"/>
      <c r="P213" s="78"/>
    </row>
    <row r="214" spans="1:16">
      <c r="A214" s="43" t="s">
        <v>251</v>
      </c>
      <c r="B214" s="44" t="s">
        <v>9</v>
      </c>
      <c r="C214" s="43" t="s">
        <v>433</v>
      </c>
      <c r="D214" s="43">
        <v>1.042</v>
      </c>
      <c r="E214" s="43">
        <v>50</v>
      </c>
      <c r="F214" s="76">
        <v>1</v>
      </c>
      <c r="G214" s="43">
        <f>テーブル1[[#This Row],[長さ(m)]]</f>
        <v>50</v>
      </c>
      <c r="H214" s="43">
        <f>D214*テーブル1[[#This Row],[長さ合計(m)]]</f>
        <v>52.1</v>
      </c>
      <c r="I214" s="47">
        <v>2692.4934648095477</v>
      </c>
      <c r="J214" s="47">
        <f t="shared" ref="J214:J230" si="26">H214*I214</f>
        <v>140278.90951657743</v>
      </c>
      <c r="K214" s="43" t="s">
        <v>17</v>
      </c>
      <c r="L214" s="48">
        <v>44866</v>
      </c>
      <c r="M214" s="43" t="s">
        <v>466</v>
      </c>
      <c r="N214" s="46" t="s">
        <v>464</v>
      </c>
      <c r="O214" s="43"/>
      <c r="P214" s="72"/>
    </row>
    <row r="215" spans="1:16">
      <c r="A215" s="43" t="s">
        <v>251</v>
      </c>
      <c r="B215" s="44" t="s">
        <v>9</v>
      </c>
      <c r="C215" s="43" t="s">
        <v>434</v>
      </c>
      <c r="D215" s="43">
        <v>1.042</v>
      </c>
      <c r="E215" s="43">
        <v>49.5</v>
      </c>
      <c r="F215" s="76">
        <v>1</v>
      </c>
      <c r="G215" s="43">
        <f>テーブル1[[#This Row],[長さ(m)]]</f>
        <v>49.5</v>
      </c>
      <c r="H215" s="43">
        <f>D215*テーブル1[[#This Row],[長さ合計(m)]]</f>
        <v>51.579000000000001</v>
      </c>
      <c r="I215" s="47">
        <v>2692.4934648095477</v>
      </c>
      <c r="J215" s="47">
        <f t="shared" si="26"/>
        <v>138876.12042141167</v>
      </c>
      <c r="K215" s="43" t="s">
        <v>17</v>
      </c>
      <c r="L215" s="48">
        <v>44866</v>
      </c>
      <c r="M215" s="43" t="s">
        <v>466</v>
      </c>
      <c r="N215" s="46" t="s">
        <v>464</v>
      </c>
      <c r="O215" s="43"/>
      <c r="P215" s="72"/>
    </row>
    <row r="216" spans="1:16">
      <c r="A216" s="43" t="s">
        <v>251</v>
      </c>
      <c r="B216" s="44" t="s">
        <v>9</v>
      </c>
      <c r="C216" s="43" t="s">
        <v>435</v>
      </c>
      <c r="D216" s="43">
        <v>1.042</v>
      </c>
      <c r="E216" s="43">
        <v>50</v>
      </c>
      <c r="F216" s="76">
        <v>1</v>
      </c>
      <c r="G216" s="43">
        <f>テーブル1[[#This Row],[長さ(m)]]</f>
        <v>50</v>
      </c>
      <c r="H216" s="43">
        <f>D216*テーブル1[[#This Row],[長さ合計(m)]]</f>
        <v>52.1</v>
      </c>
      <c r="I216" s="47">
        <v>2692.4934648095477</v>
      </c>
      <c r="J216" s="47">
        <f t="shared" si="26"/>
        <v>140278.90951657743</v>
      </c>
      <c r="K216" s="43" t="s">
        <v>17</v>
      </c>
      <c r="L216" s="48">
        <v>44866</v>
      </c>
      <c r="M216" s="43" t="s">
        <v>466</v>
      </c>
      <c r="N216" s="46" t="s">
        <v>464</v>
      </c>
      <c r="O216" s="43"/>
      <c r="P216" s="72"/>
    </row>
    <row r="217" spans="1:16">
      <c r="A217" s="81" t="s">
        <v>251</v>
      </c>
      <c r="B217" s="85" t="s">
        <v>13</v>
      </c>
      <c r="C217" s="49" t="s">
        <v>436</v>
      </c>
      <c r="D217" s="49">
        <v>1.042</v>
      </c>
      <c r="E217" s="49">
        <v>50</v>
      </c>
      <c r="F217" s="81">
        <v>1</v>
      </c>
      <c r="G217" s="49">
        <f>テーブル1[[#This Row],[長さ(m)]]</f>
        <v>50</v>
      </c>
      <c r="H217" s="49">
        <f>D217*テーブル1[[#This Row],[長さ合計(m)]]</f>
        <v>52.1</v>
      </c>
      <c r="I217" s="53">
        <v>2638.8534492006261</v>
      </c>
      <c r="J217" s="53">
        <f t="shared" si="26"/>
        <v>137484.26470335262</v>
      </c>
      <c r="K217" s="49" t="s">
        <v>17</v>
      </c>
      <c r="L217" s="55">
        <v>44866</v>
      </c>
      <c r="M217" s="43" t="s">
        <v>466</v>
      </c>
      <c r="N217" s="46" t="s">
        <v>464</v>
      </c>
      <c r="O217" s="43"/>
      <c r="P217" s="72"/>
    </row>
    <row r="218" spans="1:16">
      <c r="A218" s="81" t="s">
        <v>251</v>
      </c>
      <c r="B218" s="85" t="s">
        <v>13</v>
      </c>
      <c r="C218" s="49" t="s">
        <v>437</v>
      </c>
      <c r="D218" s="49">
        <v>1.042</v>
      </c>
      <c r="E218" s="49">
        <v>50</v>
      </c>
      <c r="F218" s="81">
        <v>1</v>
      </c>
      <c r="G218" s="49">
        <f>テーブル1[[#This Row],[長さ(m)]]</f>
        <v>50</v>
      </c>
      <c r="H218" s="49">
        <f>D218*テーブル1[[#This Row],[長さ合計(m)]]</f>
        <v>52.1</v>
      </c>
      <c r="I218" s="53">
        <v>2638.8534492006261</v>
      </c>
      <c r="J218" s="53">
        <f t="shared" si="26"/>
        <v>137484.26470335262</v>
      </c>
      <c r="K218" s="49" t="s">
        <v>17</v>
      </c>
      <c r="L218" s="55">
        <v>44866</v>
      </c>
      <c r="M218" s="43" t="s">
        <v>466</v>
      </c>
      <c r="N218" s="46" t="s">
        <v>464</v>
      </c>
      <c r="O218" s="43"/>
      <c r="P218" s="72"/>
    </row>
    <row r="219" spans="1:16">
      <c r="A219" s="81" t="s">
        <v>251</v>
      </c>
      <c r="B219" s="85" t="s">
        <v>13</v>
      </c>
      <c r="C219" s="49" t="s">
        <v>438</v>
      </c>
      <c r="D219" s="49">
        <v>1.042</v>
      </c>
      <c r="E219" s="49">
        <v>50</v>
      </c>
      <c r="F219" s="81">
        <v>1</v>
      </c>
      <c r="G219" s="49">
        <f>テーブル1[[#This Row],[長さ(m)]]</f>
        <v>50</v>
      </c>
      <c r="H219" s="49">
        <f>D219*テーブル1[[#This Row],[長さ合計(m)]]</f>
        <v>52.1</v>
      </c>
      <c r="I219" s="53">
        <v>2638.8534492006261</v>
      </c>
      <c r="J219" s="53">
        <f t="shared" si="26"/>
        <v>137484.26470335262</v>
      </c>
      <c r="K219" s="49" t="s">
        <v>17</v>
      </c>
      <c r="L219" s="55">
        <v>44866</v>
      </c>
      <c r="M219" s="43" t="s">
        <v>466</v>
      </c>
      <c r="N219" s="46" t="s">
        <v>464</v>
      </c>
      <c r="O219" s="43"/>
      <c r="P219" s="72"/>
    </row>
    <row r="220" spans="1:16">
      <c r="A220" s="81" t="s">
        <v>251</v>
      </c>
      <c r="B220" s="85" t="s">
        <v>13</v>
      </c>
      <c r="C220" s="49" t="s">
        <v>439</v>
      </c>
      <c r="D220" s="49">
        <v>1.042</v>
      </c>
      <c r="E220" s="49">
        <v>56</v>
      </c>
      <c r="F220" s="81">
        <v>1</v>
      </c>
      <c r="G220" s="49">
        <f>テーブル1[[#This Row],[長さ(m)]]</f>
        <v>56</v>
      </c>
      <c r="H220" s="49">
        <f>D220*テーブル1[[#This Row],[長さ合計(m)]]</f>
        <v>58.352000000000004</v>
      </c>
      <c r="I220" s="53">
        <v>2638.8534492006261</v>
      </c>
      <c r="J220" s="53">
        <f t="shared" si="26"/>
        <v>153982.37646775495</v>
      </c>
      <c r="K220" s="49" t="s">
        <v>17</v>
      </c>
      <c r="L220" s="55">
        <v>44866</v>
      </c>
      <c r="M220" s="43" t="s">
        <v>466</v>
      </c>
      <c r="N220" s="46" t="s">
        <v>464</v>
      </c>
      <c r="O220" s="43"/>
      <c r="P220" s="72"/>
    </row>
    <row r="221" spans="1:16">
      <c r="A221" s="43" t="s">
        <v>251</v>
      </c>
      <c r="B221" s="44" t="s">
        <v>9</v>
      </c>
      <c r="C221" s="43" t="s">
        <v>440</v>
      </c>
      <c r="D221" s="43">
        <v>1.042</v>
      </c>
      <c r="E221" s="43">
        <v>50</v>
      </c>
      <c r="F221" s="76">
        <v>1</v>
      </c>
      <c r="G221" s="43">
        <f>テーブル1[[#This Row],[長さ(m)]]</f>
        <v>50</v>
      </c>
      <c r="H221" s="43">
        <f>D221*テーブル1[[#This Row],[長さ合計(m)]]</f>
        <v>52.1</v>
      </c>
      <c r="I221" s="47">
        <v>2746.5297705402281</v>
      </c>
      <c r="J221" s="47">
        <f t="shared" si="26"/>
        <v>143094.20104514589</v>
      </c>
      <c r="K221" s="43" t="s">
        <v>17</v>
      </c>
      <c r="L221" s="48">
        <v>44866</v>
      </c>
      <c r="M221" s="43" t="s">
        <v>466</v>
      </c>
      <c r="N221" s="46" t="s">
        <v>464</v>
      </c>
      <c r="O221" s="43"/>
      <c r="P221" s="72"/>
    </row>
    <row r="222" spans="1:16">
      <c r="A222" s="43" t="s">
        <v>251</v>
      </c>
      <c r="B222" s="44" t="s">
        <v>9</v>
      </c>
      <c r="C222" s="43" t="s">
        <v>441</v>
      </c>
      <c r="D222" s="43">
        <v>1.042</v>
      </c>
      <c r="E222" s="43">
        <v>50</v>
      </c>
      <c r="F222" s="76">
        <v>1</v>
      </c>
      <c r="G222" s="43">
        <f>テーブル1[[#This Row],[長さ(m)]]</f>
        <v>50</v>
      </c>
      <c r="H222" s="43">
        <f>D222*テーブル1[[#This Row],[長さ合計(m)]]</f>
        <v>52.1</v>
      </c>
      <c r="I222" s="47">
        <v>2746.5297705402281</v>
      </c>
      <c r="J222" s="47">
        <f t="shared" si="26"/>
        <v>143094.20104514589</v>
      </c>
      <c r="K222" s="43" t="s">
        <v>17</v>
      </c>
      <c r="L222" s="48">
        <v>44866</v>
      </c>
      <c r="M222" s="43" t="s">
        <v>466</v>
      </c>
      <c r="N222" s="46" t="s">
        <v>464</v>
      </c>
      <c r="O222" s="43"/>
      <c r="P222" s="72"/>
    </row>
    <row r="223" spans="1:16">
      <c r="A223" s="43" t="s">
        <v>251</v>
      </c>
      <c r="B223" s="44" t="s">
        <v>9</v>
      </c>
      <c r="C223" s="43" t="s">
        <v>442</v>
      </c>
      <c r="D223" s="43">
        <v>1.042</v>
      </c>
      <c r="E223" s="43">
        <v>50</v>
      </c>
      <c r="F223" s="76">
        <v>1</v>
      </c>
      <c r="G223" s="43">
        <f>テーブル1[[#This Row],[長さ(m)]]</f>
        <v>50</v>
      </c>
      <c r="H223" s="43">
        <f>D223*テーブル1[[#This Row],[長さ合計(m)]]</f>
        <v>52.1</v>
      </c>
      <c r="I223" s="47">
        <v>2746.5297705402281</v>
      </c>
      <c r="J223" s="47">
        <f t="shared" si="26"/>
        <v>143094.20104514589</v>
      </c>
      <c r="K223" s="43" t="s">
        <v>17</v>
      </c>
      <c r="L223" s="48">
        <v>44866</v>
      </c>
      <c r="M223" s="43" t="s">
        <v>466</v>
      </c>
      <c r="N223" s="46" t="s">
        <v>464</v>
      </c>
      <c r="O223" s="43"/>
      <c r="P223" s="72"/>
    </row>
    <row r="224" spans="1:16">
      <c r="A224" s="43" t="s">
        <v>251</v>
      </c>
      <c r="B224" s="44" t="s">
        <v>9</v>
      </c>
      <c r="C224" s="43" t="s">
        <v>443</v>
      </c>
      <c r="D224" s="43">
        <v>1.042</v>
      </c>
      <c r="E224" s="43">
        <v>49</v>
      </c>
      <c r="F224" s="76">
        <v>1</v>
      </c>
      <c r="G224" s="43">
        <f>テーブル1[[#This Row],[長さ(m)]]</f>
        <v>49</v>
      </c>
      <c r="H224" s="43">
        <f>D224*テーブル1[[#This Row],[長さ合計(m)]]</f>
        <v>51.058</v>
      </c>
      <c r="I224" s="47">
        <v>2746.5297705402277</v>
      </c>
      <c r="J224" s="47">
        <f t="shared" si="26"/>
        <v>140232.31702424295</v>
      </c>
      <c r="K224" s="43" t="s">
        <v>17</v>
      </c>
      <c r="L224" s="48">
        <v>44866</v>
      </c>
      <c r="M224" s="43" t="s">
        <v>466</v>
      </c>
      <c r="N224" s="46" t="s">
        <v>464</v>
      </c>
      <c r="O224" s="43"/>
      <c r="P224" s="72"/>
    </row>
    <row r="225" spans="1:16">
      <c r="A225" s="43" t="s">
        <v>251</v>
      </c>
      <c r="B225" s="44" t="s">
        <v>9</v>
      </c>
      <c r="C225" s="43" t="s">
        <v>444</v>
      </c>
      <c r="D225" s="43">
        <v>1.042</v>
      </c>
      <c r="E225" s="43">
        <v>50</v>
      </c>
      <c r="F225" s="76">
        <v>1</v>
      </c>
      <c r="G225" s="43">
        <f>テーブル1[[#This Row],[長さ(m)]]</f>
        <v>50</v>
      </c>
      <c r="H225" s="43">
        <f>D225*テーブル1[[#This Row],[長さ合計(m)]]</f>
        <v>52.1</v>
      </c>
      <c r="I225" s="47">
        <v>2692.4934648095477</v>
      </c>
      <c r="J225" s="47">
        <f t="shared" si="26"/>
        <v>140278.90951657743</v>
      </c>
      <c r="K225" s="43" t="s">
        <v>17</v>
      </c>
      <c r="L225" s="48">
        <v>44866</v>
      </c>
      <c r="M225" s="43" t="s">
        <v>466</v>
      </c>
      <c r="N225" s="46" t="s">
        <v>464</v>
      </c>
      <c r="O225" s="43"/>
      <c r="P225" s="72"/>
    </row>
    <row r="226" spans="1:16">
      <c r="A226" s="43" t="s">
        <v>251</v>
      </c>
      <c r="B226" s="44" t="s">
        <v>9</v>
      </c>
      <c r="C226" s="43" t="s">
        <v>445</v>
      </c>
      <c r="D226" s="43">
        <v>1.042</v>
      </c>
      <c r="E226" s="43">
        <v>50</v>
      </c>
      <c r="F226" s="76">
        <v>1</v>
      </c>
      <c r="G226" s="43">
        <f>テーブル1[[#This Row],[長さ(m)]]</f>
        <v>50</v>
      </c>
      <c r="H226" s="43">
        <f>D226*テーブル1[[#This Row],[長さ合計(m)]]</f>
        <v>52.1</v>
      </c>
      <c r="I226" s="47">
        <v>2692.4934648095477</v>
      </c>
      <c r="J226" s="47">
        <f>H226*I226</f>
        <v>140278.90951657743</v>
      </c>
      <c r="K226" s="43" t="s">
        <v>17</v>
      </c>
      <c r="L226" s="48">
        <v>44866</v>
      </c>
      <c r="M226" s="43" t="s">
        <v>466</v>
      </c>
      <c r="N226" s="46" t="s">
        <v>464</v>
      </c>
      <c r="O226" s="43"/>
      <c r="P226" s="72"/>
    </row>
    <row r="227" spans="1:16">
      <c r="A227" s="43" t="s">
        <v>251</v>
      </c>
      <c r="B227" s="44" t="s">
        <v>9</v>
      </c>
      <c r="C227" s="43" t="s">
        <v>446</v>
      </c>
      <c r="D227" s="43">
        <v>1.042</v>
      </c>
      <c r="E227" s="43">
        <v>50</v>
      </c>
      <c r="F227" s="76">
        <v>1</v>
      </c>
      <c r="G227" s="43">
        <f>テーブル1[[#This Row],[長さ(m)]]</f>
        <v>50</v>
      </c>
      <c r="H227" s="43">
        <f>D227*テーブル1[[#This Row],[長さ合計(m)]]</f>
        <v>52.1</v>
      </c>
      <c r="I227" s="47">
        <v>2692.4934648095477</v>
      </c>
      <c r="J227" s="47">
        <f t="shared" si="26"/>
        <v>140278.90951657743</v>
      </c>
      <c r="K227" s="43" t="s">
        <v>17</v>
      </c>
      <c r="L227" s="48">
        <v>44866</v>
      </c>
      <c r="M227" s="43" t="s">
        <v>466</v>
      </c>
      <c r="N227" s="46" t="s">
        <v>464</v>
      </c>
      <c r="O227" s="43"/>
      <c r="P227" s="72"/>
    </row>
    <row r="228" spans="1:16">
      <c r="A228" s="43" t="s">
        <v>251</v>
      </c>
      <c r="B228" s="44" t="s">
        <v>9</v>
      </c>
      <c r="C228" s="43" t="s">
        <v>447</v>
      </c>
      <c r="D228" s="43">
        <v>1.042</v>
      </c>
      <c r="E228" s="43">
        <v>50</v>
      </c>
      <c r="F228" s="76">
        <v>1</v>
      </c>
      <c r="G228" s="43">
        <f>テーブル1[[#This Row],[長さ(m)]]</f>
        <v>50</v>
      </c>
      <c r="H228" s="43">
        <f>D228*テーブル1[[#This Row],[長さ合計(m)]]</f>
        <v>52.1</v>
      </c>
      <c r="I228" s="47">
        <v>2692.4934648095477</v>
      </c>
      <c r="J228" s="47">
        <f t="shared" si="26"/>
        <v>140278.90951657743</v>
      </c>
      <c r="K228" s="43" t="s">
        <v>17</v>
      </c>
      <c r="L228" s="48">
        <v>44866</v>
      </c>
      <c r="M228" s="43" t="s">
        <v>466</v>
      </c>
      <c r="N228" s="46" t="s">
        <v>464</v>
      </c>
      <c r="O228" s="43"/>
      <c r="P228" s="72"/>
    </row>
    <row r="229" spans="1:16">
      <c r="A229" s="43" t="s">
        <v>251</v>
      </c>
      <c r="B229" s="44" t="s">
        <v>9</v>
      </c>
      <c r="C229" s="43" t="s">
        <v>448</v>
      </c>
      <c r="D229" s="43">
        <v>1.042</v>
      </c>
      <c r="E229" s="43">
        <v>50</v>
      </c>
      <c r="F229" s="76">
        <v>1</v>
      </c>
      <c r="G229" s="43">
        <f>テーブル1[[#This Row],[長さ(m)]]</f>
        <v>50</v>
      </c>
      <c r="H229" s="43">
        <f>D229*テーブル1[[#This Row],[長さ合計(m)]]</f>
        <v>52.1</v>
      </c>
      <c r="I229" s="47">
        <v>2692.4934648095477</v>
      </c>
      <c r="J229" s="47">
        <f t="shared" si="26"/>
        <v>140278.90951657743</v>
      </c>
      <c r="K229" s="43" t="s">
        <v>17</v>
      </c>
      <c r="L229" s="48">
        <v>44866</v>
      </c>
      <c r="M229" s="43" t="s">
        <v>466</v>
      </c>
      <c r="N229" s="46" t="s">
        <v>464</v>
      </c>
      <c r="O229" s="43"/>
      <c r="P229" s="72"/>
    </row>
    <row r="230" spans="1:16">
      <c r="A230" s="43" t="s">
        <v>251</v>
      </c>
      <c r="B230" s="44" t="s">
        <v>9</v>
      </c>
      <c r="C230" s="43" t="s">
        <v>449</v>
      </c>
      <c r="D230" s="43">
        <v>1.042</v>
      </c>
      <c r="E230" s="43">
        <v>44</v>
      </c>
      <c r="F230" s="76">
        <v>1</v>
      </c>
      <c r="G230" s="43">
        <f>テーブル1[[#This Row],[長さ(m)]]</f>
        <v>44</v>
      </c>
      <c r="H230" s="43">
        <f>D230*テーブル1[[#This Row],[長さ合計(m)]]</f>
        <v>45.847999999999999</v>
      </c>
      <c r="I230" s="47">
        <v>2692.4934648095477</v>
      </c>
      <c r="J230" s="47">
        <f t="shared" si="26"/>
        <v>123445.44037458814</v>
      </c>
      <c r="K230" s="43" t="s">
        <v>17</v>
      </c>
      <c r="L230" s="48">
        <v>44866</v>
      </c>
      <c r="M230" s="43" t="s">
        <v>466</v>
      </c>
      <c r="N230" s="46" t="s">
        <v>464</v>
      </c>
      <c r="O230" s="43"/>
      <c r="P230" s="72"/>
    </row>
    <row r="231" spans="1:16">
      <c r="A231" s="43" t="s">
        <v>250</v>
      </c>
      <c r="B231" s="44" t="s">
        <v>9</v>
      </c>
      <c r="C231" s="43" t="s">
        <v>482</v>
      </c>
      <c r="D231" s="43">
        <v>1.2030000000000001</v>
      </c>
      <c r="E231" s="43">
        <f>50</f>
        <v>50</v>
      </c>
      <c r="F231" s="76">
        <v>1</v>
      </c>
      <c r="G231" s="43">
        <f>テーブル1[[#This Row],[長さ(m)]]</f>
        <v>50</v>
      </c>
      <c r="H231" s="43">
        <f>D231*テーブル1[[#This Row],[長さ合計(m)]]</f>
        <v>60.150000000000006</v>
      </c>
      <c r="I231" s="47">
        <v>1854.9132786012494</v>
      </c>
      <c r="J231" s="47">
        <f t="shared" ref="J231" si="27">H231*I231</f>
        <v>111573.03370786516</v>
      </c>
      <c r="K231" s="43" t="s">
        <v>17</v>
      </c>
      <c r="L231" s="48">
        <v>44866</v>
      </c>
      <c r="M231" s="43" t="s">
        <v>473</v>
      </c>
      <c r="N231" s="46" t="s">
        <v>464</v>
      </c>
      <c r="O231" s="43"/>
      <c r="P231" s="72"/>
    </row>
    <row r="232" spans="1:16" hidden="1">
      <c r="A232" s="91" t="s">
        <v>49</v>
      </c>
      <c r="B232" s="91" t="s">
        <v>190</v>
      </c>
      <c r="C232" s="91" t="s">
        <v>474</v>
      </c>
      <c r="D232" s="89">
        <v>1.29</v>
      </c>
      <c r="E232" s="91">
        <v>215</v>
      </c>
      <c r="F232" s="91">
        <v>1</v>
      </c>
      <c r="G232" s="89">
        <f>テーブル1[[#This Row],[長さ(m)]]</f>
        <v>215</v>
      </c>
      <c r="H232" s="91">
        <f>D232*テーブル1[[#This Row],[長さ合計(m)]]</f>
        <v>277.35000000000002</v>
      </c>
      <c r="I232" s="96"/>
      <c r="J232" s="96">
        <f>H232*I232</f>
        <v>0</v>
      </c>
      <c r="K232" s="91" t="s">
        <v>44</v>
      </c>
      <c r="L232" s="93">
        <v>44896</v>
      </c>
      <c r="M232" s="91" t="s">
        <v>477</v>
      </c>
      <c r="N232" s="95" t="s">
        <v>480</v>
      </c>
      <c r="O232" s="89" t="s">
        <v>503</v>
      </c>
      <c r="P232" s="98" t="s">
        <v>481</v>
      </c>
    </row>
    <row r="233" spans="1:16" hidden="1">
      <c r="A233" s="91" t="s">
        <v>49</v>
      </c>
      <c r="B233" s="91" t="s">
        <v>190</v>
      </c>
      <c r="C233" s="91" t="s">
        <v>475</v>
      </c>
      <c r="D233" s="89">
        <v>1.29</v>
      </c>
      <c r="E233" s="91">
        <v>1000</v>
      </c>
      <c r="F233" s="91">
        <v>1</v>
      </c>
      <c r="G233" s="89">
        <f>テーブル1[[#This Row],[長さ(m)]]</f>
        <v>1000</v>
      </c>
      <c r="H233" s="89">
        <f>D233*テーブル1[[#This Row],[長さ合計(m)]]</f>
        <v>1290</v>
      </c>
      <c r="I233" s="92"/>
      <c r="J233" s="92">
        <f t="shared" ref="J233:J238" si="28">H233*I233</f>
        <v>0</v>
      </c>
      <c r="K233" s="91" t="s">
        <v>44</v>
      </c>
      <c r="L233" s="93">
        <v>44896</v>
      </c>
      <c r="M233" s="89" t="s">
        <v>478</v>
      </c>
      <c r="N233" s="95" t="s">
        <v>480</v>
      </c>
      <c r="O233" s="89" t="s">
        <v>503</v>
      </c>
      <c r="P233" s="98" t="s">
        <v>481</v>
      </c>
    </row>
    <row r="234" spans="1:16" hidden="1">
      <c r="A234" s="91" t="s">
        <v>49</v>
      </c>
      <c r="B234" s="91" t="s">
        <v>190</v>
      </c>
      <c r="C234" s="91" t="s">
        <v>476</v>
      </c>
      <c r="D234" s="89">
        <v>1.29</v>
      </c>
      <c r="E234" s="91">
        <v>1000</v>
      </c>
      <c r="F234" s="91">
        <v>1</v>
      </c>
      <c r="G234" s="89">
        <f>テーブル1[[#This Row],[長さ(m)]]</f>
        <v>1000</v>
      </c>
      <c r="H234" s="89">
        <f>D234*テーブル1[[#This Row],[長さ合計(m)]]</f>
        <v>1290</v>
      </c>
      <c r="I234" s="92"/>
      <c r="J234" s="92">
        <f t="shared" si="28"/>
        <v>0</v>
      </c>
      <c r="K234" s="91" t="s">
        <v>44</v>
      </c>
      <c r="L234" s="93">
        <v>44896</v>
      </c>
      <c r="M234" s="89" t="s">
        <v>479</v>
      </c>
      <c r="N234" s="95" t="s">
        <v>480</v>
      </c>
      <c r="O234" s="89" t="s">
        <v>503</v>
      </c>
      <c r="P234" s="98" t="s">
        <v>481</v>
      </c>
    </row>
    <row r="235" spans="1:16" hidden="1">
      <c r="A235" s="76" t="s">
        <v>380</v>
      </c>
      <c r="B235" s="57" t="s">
        <v>300</v>
      </c>
      <c r="C235" s="76" t="s">
        <v>314</v>
      </c>
      <c r="D235" s="76">
        <v>1.3</v>
      </c>
      <c r="E235" s="76">
        <f>200-20</f>
        <v>180</v>
      </c>
      <c r="F235" s="76">
        <v>1</v>
      </c>
      <c r="G235" s="76">
        <f>テーブル1[[#This Row],[長さ(m)]]</f>
        <v>180</v>
      </c>
      <c r="H235" s="76">
        <f>D235*テーブル1[[#This Row],[長さ合計(m)]]</f>
        <v>234</v>
      </c>
      <c r="I235" s="77">
        <v>41</v>
      </c>
      <c r="J235" s="77">
        <f t="shared" si="28"/>
        <v>9594</v>
      </c>
      <c r="K235" s="76" t="s">
        <v>428</v>
      </c>
      <c r="L235" s="80">
        <v>44805</v>
      </c>
      <c r="M235" s="76"/>
      <c r="N235" s="57"/>
      <c r="O235" s="76"/>
      <c r="P235" s="78"/>
    </row>
    <row r="236" spans="1:16" hidden="1">
      <c r="A236" s="49" t="s">
        <v>426</v>
      </c>
      <c r="B236" s="49" t="s">
        <v>483</v>
      </c>
      <c r="C236" s="49" t="s">
        <v>486</v>
      </c>
      <c r="D236" s="49">
        <v>1.2</v>
      </c>
      <c r="E236" s="49">
        <v>35</v>
      </c>
      <c r="F236" s="49">
        <v>1</v>
      </c>
      <c r="G236" s="49">
        <f>テーブル1[[#This Row],[長さ(m)]]</f>
        <v>35</v>
      </c>
      <c r="H236" s="49">
        <f>D236*テーブル1[[#This Row],[長さ合計(m)]]</f>
        <v>42</v>
      </c>
      <c r="I236" s="53">
        <v>1148.6566419599715</v>
      </c>
      <c r="J236" s="53">
        <f t="shared" si="28"/>
        <v>48243.578962318803</v>
      </c>
      <c r="K236" s="49" t="s">
        <v>428</v>
      </c>
      <c r="L236" s="55">
        <v>44896</v>
      </c>
      <c r="M236" s="43" t="s">
        <v>491</v>
      </c>
      <c r="N236" s="46"/>
      <c r="O236" s="43"/>
      <c r="P236" s="72"/>
    </row>
    <row r="237" spans="1:16" hidden="1">
      <c r="A237" s="49" t="s">
        <v>426</v>
      </c>
      <c r="B237" s="49" t="s">
        <v>483</v>
      </c>
      <c r="C237" s="49" t="s">
        <v>486</v>
      </c>
      <c r="D237" s="49">
        <v>1.2</v>
      </c>
      <c r="E237" s="49">
        <v>40</v>
      </c>
      <c r="F237" s="49">
        <v>1</v>
      </c>
      <c r="G237" s="49">
        <f>テーブル1[[#This Row],[長さ(m)]]</f>
        <v>40</v>
      </c>
      <c r="H237" s="49">
        <f>D237*テーブル1[[#This Row],[長さ合計(m)]]</f>
        <v>48</v>
      </c>
      <c r="I237" s="53">
        <v>1148.6566419599715</v>
      </c>
      <c r="J237" s="53">
        <f t="shared" si="28"/>
        <v>55135.518814078634</v>
      </c>
      <c r="K237" s="49" t="s">
        <v>428</v>
      </c>
      <c r="L237" s="55">
        <v>44896</v>
      </c>
      <c r="M237" s="43"/>
      <c r="N237" s="46"/>
      <c r="O237" s="43"/>
      <c r="P237" s="72"/>
    </row>
    <row r="238" spans="1:16" hidden="1">
      <c r="A238" s="49" t="s">
        <v>426</v>
      </c>
      <c r="B238" s="49" t="s">
        <v>483</v>
      </c>
      <c r="C238" s="49" t="s">
        <v>486</v>
      </c>
      <c r="D238" s="49">
        <v>1.2</v>
      </c>
      <c r="E238" s="49">
        <v>49</v>
      </c>
      <c r="F238" s="49">
        <v>1</v>
      </c>
      <c r="G238" s="49">
        <f>テーブル1[[#This Row],[長さ(m)]]</f>
        <v>49</v>
      </c>
      <c r="H238" s="49">
        <f>D238*テーブル1[[#This Row],[長さ合計(m)]]</f>
        <v>58.8</v>
      </c>
      <c r="I238" s="53">
        <v>1148.6566419599715</v>
      </c>
      <c r="J238" s="53">
        <f t="shared" si="28"/>
        <v>67541.010547246318</v>
      </c>
      <c r="K238" s="49" t="s">
        <v>428</v>
      </c>
      <c r="L238" s="55">
        <v>44896</v>
      </c>
      <c r="M238" s="43"/>
      <c r="N238" s="46"/>
      <c r="O238" s="43"/>
      <c r="P238" s="72"/>
    </row>
    <row r="239" spans="1:16" hidden="1">
      <c r="A239" s="49" t="s">
        <v>426</v>
      </c>
      <c r="B239" s="49" t="s">
        <v>483</v>
      </c>
      <c r="C239" s="49" t="s">
        <v>486</v>
      </c>
      <c r="D239" s="49">
        <v>1.2</v>
      </c>
      <c r="E239" s="49">
        <v>50</v>
      </c>
      <c r="F239" s="49">
        <v>1</v>
      </c>
      <c r="G239" s="49">
        <f>テーブル1[[#This Row],[長さ(m)]]</f>
        <v>50</v>
      </c>
      <c r="H239" s="49">
        <f>D239*テーブル1[[#This Row],[長さ合計(m)]]</f>
        <v>60</v>
      </c>
      <c r="I239" s="53">
        <v>1148.6566419599715</v>
      </c>
      <c r="J239" s="53">
        <f t="shared" ref="J239:J242" si="29">H239*I239</f>
        <v>68919.398517598282</v>
      </c>
      <c r="K239" s="49" t="s">
        <v>428</v>
      </c>
      <c r="L239" s="55">
        <v>44896</v>
      </c>
      <c r="M239" s="43"/>
      <c r="N239" s="46"/>
      <c r="O239" s="43"/>
      <c r="P239" s="72"/>
    </row>
    <row r="240" spans="1:16" hidden="1">
      <c r="A240" s="43" t="s">
        <v>426</v>
      </c>
      <c r="B240" s="43" t="s">
        <v>427</v>
      </c>
      <c r="C240" s="43" t="s">
        <v>486</v>
      </c>
      <c r="D240" s="43">
        <v>1.2</v>
      </c>
      <c r="E240" s="43">
        <v>30</v>
      </c>
      <c r="F240" s="43">
        <v>1</v>
      </c>
      <c r="G240" s="43">
        <f>テーブル1[[#This Row],[長さ(m)]]</f>
        <v>30</v>
      </c>
      <c r="H240" s="43">
        <f>D240*テーブル1[[#This Row],[長さ合計(m)]]</f>
        <v>36</v>
      </c>
      <c r="I240" s="47">
        <v>1144.5574314572675</v>
      </c>
      <c r="J240" s="47">
        <f t="shared" ref="J240:J241" si="30">H240*I240</f>
        <v>41204.067532461631</v>
      </c>
      <c r="K240" s="43" t="s">
        <v>428</v>
      </c>
      <c r="L240" s="48">
        <v>44896</v>
      </c>
      <c r="M240" s="76"/>
      <c r="N240" s="57"/>
      <c r="O240" s="76"/>
      <c r="P240" s="78"/>
    </row>
    <row r="241" spans="1:16" hidden="1">
      <c r="A241" s="43" t="s">
        <v>426</v>
      </c>
      <c r="B241" s="43" t="s">
        <v>427</v>
      </c>
      <c r="C241" s="43" t="s">
        <v>486</v>
      </c>
      <c r="D241" s="43">
        <v>1.2</v>
      </c>
      <c r="E241" s="43">
        <v>40</v>
      </c>
      <c r="F241" s="43">
        <v>1</v>
      </c>
      <c r="G241" s="43">
        <f>テーブル1[[#This Row],[長さ(m)]]</f>
        <v>40</v>
      </c>
      <c r="H241" s="43">
        <f>D241*テーブル1[[#This Row],[長さ合計(m)]]</f>
        <v>48</v>
      </c>
      <c r="I241" s="47">
        <v>1144.5574314572675</v>
      </c>
      <c r="J241" s="47">
        <f t="shared" si="30"/>
        <v>54938.756709948837</v>
      </c>
      <c r="K241" s="43" t="s">
        <v>428</v>
      </c>
      <c r="L241" s="48">
        <v>44896</v>
      </c>
      <c r="M241" s="76"/>
      <c r="N241" s="57"/>
      <c r="O241" s="76"/>
      <c r="P241" s="78"/>
    </row>
    <row r="242" spans="1:16" hidden="1">
      <c r="A242" s="43" t="s">
        <v>426</v>
      </c>
      <c r="B242" s="43" t="s">
        <v>427</v>
      </c>
      <c r="C242" s="43" t="s">
        <v>486</v>
      </c>
      <c r="D242" s="43">
        <v>1.2</v>
      </c>
      <c r="E242" s="43">
        <v>50</v>
      </c>
      <c r="F242" s="43">
        <v>1</v>
      </c>
      <c r="G242" s="43">
        <f>テーブル1[[#This Row],[長さ(m)]]</f>
        <v>50</v>
      </c>
      <c r="H242" s="43">
        <f>D242*テーブル1[[#This Row],[長さ合計(m)]]</f>
        <v>60</v>
      </c>
      <c r="I242" s="47">
        <v>1144.5574314572675</v>
      </c>
      <c r="J242" s="47">
        <f t="shared" si="29"/>
        <v>68673.445887436057</v>
      </c>
      <c r="K242" s="43" t="s">
        <v>428</v>
      </c>
      <c r="L242" s="48">
        <v>44896</v>
      </c>
      <c r="M242" s="76"/>
      <c r="N242" s="57"/>
      <c r="O242" s="76"/>
      <c r="P242" s="78"/>
    </row>
    <row r="243" spans="1:16" hidden="1">
      <c r="A243" s="43" t="s">
        <v>426</v>
      </c>
      <c r="B243" s="43" t="s">
        <v>427</v>
      </c>
      <c r="C243" s="43" t="s">
        <v>487</v>
      </c>
      <c r="D243" s="43">
        <v>1.2</v>
      </c>
      <c r="E243" s="43">
        <v>49</v>
      </c>
      <c r="F243" s="43">
        <v>1</v>
      </c>
      <c r="G243" s="43">
        <f>テーブル1[[#This Row],[長さ(m)]]</f>
        <v>49</v>
      </c>
      <c r="H243" s="43">
        <f>D243*テーブル1[[#This Row],[長さ合計(m)]]</f>
        <v>58.8</v>
      </c>
      <c r="I243" s="47">
        <v>727.89076479060077</v>
      </c>
      <c r="J243" s="47">
        <f>H243*I243</f>
        <v>42799.976969687326</v>
      </c>
      <c r="K243" s="43" t="s">
        <v>428</v>
      </c>
      <c r="L243" s="48">
        <v>44896</v>
      </c>
      <c r="M243" s="43" t="s">
        <v>484</v>
      </c>
      <c r="N243" s="46"/>
      <c r="O243" s="43"/>
      <c r="P243" s="72"/>
    </row>
    <row r="244" spans="1:16" hidden="1">
      <c r="A244" s="43" t="s">
        <v>504</v>
      </c>
      <c r="B244" s="76" t="s">
        <v>190</v>
      </c>
      <c r="C244" s="76" t="s">
        <v>493</v>
      </c>
      <c r="D244" s="76">
        <v>1.28</v>
      </c>
      <c r="E244" s="76">
        <v>510</v>
      </c>
      <c r="F244" s="76">
        <v>1</v>
      </c>
      <c r="G244" s="43">
        <f>テーブル1[[#This Row],[長さ(m)]]</f>
        <v>510</v>
      </c>
      <c r="H244" s="76">
        <f>D244*テーブル1[[#This Row],[長さ合計(m)]]</f>
        <v>652.80000000000007</v>
      </c>
      <c r="I244" s="77"/>
      <c r="J244" s="77">
        <f>H244*I244</f>
        <v>0</v>
      </c>
      <c r="K244" s="76" t="s">
        <v>304</v>
      </c>
      <c r="L244" s="48">
        <v>44927</v>
      </c>
      <c r="M244" s="76" t="s">
        <v>494</v>
      </c>
      <c r="N244" s="57" t="s">
        <v>301</v>
      </c>
      <c r="O244" s="43"/>
      <c r="P244" s="78" t="s">
        <v>481</v>
      </c>
    </row>
    <row r="245" spans="1:16" hidden="1">
      <c r="A245" s="91" t="s">
        <v>405</v>
      </c>
      <c r="B245" s="91" t="s">
        <v>300</v>
      </c>
      <c r="C245" s="91" t="s">
        <v>498</v>
      </c>
      <c r="D245" s="91">
        <v>1.28</v>
      </c>
      <c r="E245" s="91">
        <v>2450</v>
      </c>
      <c r="F245" s="91">
        <v>1</v>
      </c>
      <c r="G245" s="91">
        <f>テーブル1[[#This Row],[長さ(m)]]</f>
        <v>2450</v>
      </c>
      <c r="H245" s="91">
        <f>D245*テーブル1[[#This Row],[長さ合計(m)]]</f>
        <v>3136</v>
      </c>
      <c r="I245" s="96"/>
      <c r="J245" s="96">
        <f>H245*I245</f>
        <v>0</v>
      </c>
      <c r="K245" s="91" t="s">
        <v>304</v>
      </c>
      <c r="L245" s="95" t="s">
        <v>514</v>
      </c>
      <c r="M245" s="91" t="s">
        <v>500</v>
      </c>
      <c r="N245" s="95"/>
      <c r="O245" s="89" t="s">
        <v>503</v>
      </c>
      <c r="P245" s="98" t="s">
        <v>502</v>
      </c>
    </row>
    <row r="246" spans="1:16" hidden="1">
      <c r="A246" s="91" t="s">
        <v>405</v>
      </c>
      <c r="B246" s="91" t="s">
        <v>300</v>
      </c>
      <c r="C246" s="91" t="s">
        <v>499</v>
      </c>
      <c r="D246" s="91">
        <v>1.28</v>
      </c>
      <c r="E246" s="91">
        <v>2800</v>
      </c>
      <c r="F246" s="91">
        <v>1</v>
      </c>
      <c r="G246" s="91">
        <f>テーブル1[[#This Row],[長さ(m)]]</f>
        <v>2800</v>
      </c>
      <c r="H246" s="91">
        <f>D246*テーブル1[[#This Row],[長さ合計(m)]]</f>
        <v>3584</v>
      </c>
      <c r="I246" s="96"/>
      <c r="J246" s="96">
        <f>H246*I246</f>
        <v>0</v>
      </c>
      <c r="K246" s="91" t="s">
        <v>304</v>
      </c>
      <c r="L246" s="95" t="s">
        <v>514</v>
      </c>
      <c r="M246" s="91" t="s">
        <v>501</v>
      </c>
      <c r="N246" s="95"/>
      <c r="O246" s="89" t="s">
        <v>503</v>
      </c>
      <c r="P246" s="98" t="s">
        <v>502</v>
      </c>
    </row>
    <row r="247" spans="1:16" hidden="1">
      <c r="A247" s="43" t="s">
        <v>513</v>
      </c>
      <c r="B247" s="44" t="s">
        <v>9</v>
      </c>
      <c r="C247" s="43" t="s">
        <v>505</v>
      </c>
      <c r="D247" s="43">
        <v>1.02</v>
      </c>
      <c r="E247" s="43">
        <v>10</v>
      </c>
      <c r="F247" s="76">
        <v>1</v>
      </c>
      <c r="G247" s="43">
        <f>テーブル1[[#This Row],[長さ(m)]]</f>
        <v>10</v>
      </c>
      <c r="H247" s="43">
        <f>D247*テーブル1[[#This Row],[長さ合計(m)]]</f>
        <v>10.199999999999999</v>
      </c>
      <c r="I247" s="47"/>
      <c r="J247" s="47">
        <f t="shared" ref="J247:J255" si="31">H247*I247</f>
        <v>0</v>
      </c>
      <c r="K247" s="76" t="s">
        <v>304</v>
      </c>
      <c r="L247" s="48">
        <v>44927</v>
      </c>
      <c r="M247" s="43" t="s">
        <v>515</v>
      </c>
      <c r="N247" s="46"/>
      <c r="O247" s="43"/>
      <c r="P247" s="72" t="s">
        <v>516</v>
      </c>
    </row>
    <row r="248" spans="1:16" hidden="1">
      <c r="A248" s="43" t="s">
        <v>513</v>
      </c>
      <c r="B248" s="44" t="s">
        <v>9</v>
      </c>
      <c r="C248" s="43" t="s">
        <v>506</v>
      </c>
      <c r="D248" s="43">
        <v>1.02</v>
      </c>
      <c r="E248" s="43">
        <v>10</v>
      </c>
      <c r="F248" s="76">
        <v>1</v>
      </c>
      <c r="G248" s="43">
        <f>テーブル1[[#This Row],[長さ(m)]]</f>
        <v>10</v>
      </c>
      <c r="H248" s="43">
        <f>D248*テーブル1[[#This Row],[長さ合計(m)]]</f>
        <v>10.199999999999999</v>
      </c>
      <c r="I248" s="47"/>
      <c r="J248" s="47">
        <f t="shared" si="31"/>
        <v>0</v>
      </c>
      <c r="K248" s="76" t="s">
        <v>304</v>
      </c>
      <c r="L248" s="48">
        <v>44927</v>
      </c>
      <c r="M248" s="43" t="s">
        <v>515</v>
      </c>
      <c r="N248" s="46"/>
      <c r="O248" s="43"/>
      <c r="P248" s="72" t="s">
        <v>516</v>
      </c>
    </row>
    <row r="249" spans="1:16" hidden="1">
      <c r="A249" s="43" t="s">
        <v>513</v>
      </c>
      <c r="B249" s="44" t="s">
        <v>9</v>
      </c>
      <c r="C249" s="43" t="s">
        <v>507</v>
      </c>
      <c r="D249" s="43">
        <v>1.02</v>
      </c>
      <c r="E249" s="43">
        <v>10</v>
      </c>
      <c r="F249" s="76">
        <v>1</v>
      </c>
      <c r="G249" s="43">
        <f>テーブル1[[#This Row],[長さ(m)]]</f>
        <v>10</v>
      </c>
      <c r="H249" s="43">
        <f>D249*テーブル1[[#This Row],[長さ合計(m)]]</f>
        <v>10.199999999999999</v>
      </c>
      <c r="I249" s="47"/>
      <c r="J249" s="47">
        <f t="shared" si="31"/>
        <v>0</v>
      </c>
      <c r="K249" s="76" t="s">
        <v>304</v>
      </c>
      <c r="L249" s="48">
        <v>44927</v>
      </c>
      <c r="M249" s="43" t="s">
        <v>515</v>
      </c>
      <c r="N249" s="46"/>
      <c r="O249" s="43"/>
      <c r="P249" s="72" t="s">
        <v>516</v>
      </c>
    </row>
    <row r="250" spans="1:16" hidden="1">
      <c r="A250" s="43" t="s">
        <v>513</v>
      </c>
      <c r="B250" s="44" t="s">
        <v>9</v>
      </c>
      <c r="C250" s="43" t="s">
        <v>508</v>
      </c>
      <c r="D250" s="43">
        <v>1.02</v>
      </c>
      <c r="E250" s="43">
        <v>10</v>
      </c>
      <c r="F250" s="76">
        <v>1</v>
      </c>
      <c r="G250" s="43">
        <f>テーブル1[[#This Row],[長さ(m)]]</f>
        <v>10</v>
      </c>
      <c r="H250" s="43">
        <f>D250*テーブル1[[#This Row],[長さ合計(m)]]</f>
        <v>10.199999999999999</v>
      </c>
      <c r="I250" s="47"/>
      <c r="J250" s="47">
        <f t="shared" si="31"/>
        <v>0</v>
      </c>
      <c r="K250" s="76" t="s">
        <v>304</v>
      </c>
      <c r="L250" s="48">
        <v>44927</v>
      </c>
      <c r="M250" s="43" t="s">
        <v>515</v>
      </c>
      <c r="N250" s="46"/>
      <c r="O250" s="43"/>
      <c r="P250" s="72" t="s">
        <v>516</v>
      </c>
    </row>
    <row r="251" spans="1:16" hidden="1">
      <c r="A251" s="43" t="s">
        <v>513</v>
      </c>
      <c r="B251" s="44" t="s">
        <v>9</v>
      </c>
      <c r="C251" s="43" t="s">
        <v>509</v>
      </c>
      <c r="D251" s="43">
        <v>1.02</v>
      </c>
      <c r="E251" s="43">
        <v>10</v>
      </c>
      <c r="F251" s="76">
        <v>1</v>
      </c>
      <c r="G251" s="43">
        <f>テーブル1[[#This Row],[長さ(m)]]</f>
        <v>10</v>
      </c>
      <c r="H251" s="43">
        <f>D251*テーブル1[[#This Row],[長さ合計(m)]]</f>
        <v>10.199999999999999</v>
      </c>
      <c r="I251" s="47"/>
      <c r="J251" s="47">
        <f t="shared" si="31"/>
        <v>0</v>
      </c>
      <c r="K251" s="76" t="s">
        <v>304</v>
      </c>
      <c r="L251" s="48">
        <v>44927</v>
      </c>
      <c r="M251" s="43" t="s">
        <v>515</v>
      </c>
      <c r="N251" s="46"/>
      <c r="O251" s="43"/>
      <c r="P251" s="72" t="s">
        <v>516</v>
      </c>
    </row>
    <row r="252" spans="1:16" hidden="1">
      <c r="A252" s="43" t="s">
        <v>513</v>
      </c>
      <c r="B252" s="44" t="s">
        <v>9</v>
      </c>
      <c r="C252" s="43" t="s">
        <v>510</v>
      </c>
      <c r="D252" s="43">
        <v>1.02</v>
      </c>
      <c r="E252" s="43">
        <v>10</v>
      </c>
      <c r="F252" s="76">
        <v>1</v>
      </c>
      <c r="G252" s="43">
        <f>テーブル1[[#This Row],[長さ(m)]]</f>
        <v>10</v>
      </c>
      <c r="H252" s="43">
        <f>D252*テーブル1[[#This Row],[長さ合計(m)]]</f>
        <v>10.199999999999999</v>
      </c>
      <c r="I252" s="47"/>
      <c r="J252" s="47">
        <f t="shared" si="31"/>
        <v>0</v>
      </c>
      <c r="K252" s="76" t="s">
        <v>304</v>
      </c>
      <c r="L252" s="48">
        <v>44927</v>
      </c>
      <c r="M252" s="43" t="s">
        <v>515</v>
      </c>
      <c r="N252" s="46"/>
      <c r="O252" s="43"/>
      <c r="P252" s="72" t="s">
        <v>516</v>
      </c>
    </row>
    <row r="253" spans="1:16" hidden="1">
      <c r="A253" s="43" t="s">
        <v>513</v>
      </c>
      <c r="B253" s="44" t="s">
        <v>9</v>
      </c>
      <c r="C253" s="43" t="s">
        <v>511</v>
      </c>
      <c r="D253" s="43">
        <v>1.02</v>
      </c>
      <c r="E253" s="43">
        <v>10</v>
      </c>
      <c r="F253" s="76">
        <v>1</v>
      </c>
      <c r="G253" s="43">
        <f>テーブル1[[#This Row],[長さ(m)]]</f>
        <v>10</v>
      </c>
      <c r="H253" s="43">
        <f>D253*テーブル1[[#This Row],[長さ合計(m)]]</f>
        <v>10.199999999999999</v>
      </c>
      <c r="I253" s="47"/>
      <c r="J253" s="47">
        <f t="shared" si="31"/>
        <v>0</v>
      </c>
      <c r="K253" s="76" t="s">
        <v>304</v>
      </c>
      <c r="L253" s="48">
        <v>44927</v>
      </c>
      <c r="M253" s="43" t="s">
        <v>515</v>
      </c>
      <c r="N253" s="46"/>
      <c r="O253" s="43"/>
      <c r="P253" s="72" t="s">
        <v>516</v>
      </c>
    </row>
    <row r="254" spans="1:16" hidden="1">
      <c r="A254" s="76" t="s">
        <v>513</v>
      </c>
      <c r="B254" s="44" t="s">
        <v>9</v>
      </c>
      <c r="C254" s="76" t="s">
        <v>512</v>
      </c>
      <c r="D254" s="76">
        <v>1.02</v>
      </c>
      <c r="E254" s="76">
        <v>10</v>
      </c>
      <c r="F254" s="76">
        <v>1</v>
      </c>
      <c r="G254" s="43">
        <f>テーブル1[[#This Row],[長さ(m)]]</f>
        <v>10</v>
      </c>
      <c r="H254" s="76">
        <f>D254*テーブル1[[#This Row],[長さ合計(m)]]</f>
        <v>10.199999999999999</v>
      </c>
      <c r="I254" s="77"/>
      <c r="J254" s="77">
        <f t="shared" si="31"/>
        <v>0</v>
      </c>
      <c r="K254" s="76" t="s">
        <v>304</v>
      </c>
      <c r="L254" s="48">
        <v>44927</v>
      </c>
      <c r="M254" s="43" t="s">
        <v>515</v>
      </c>
      <c r="N254" s="57"/>
      <c r="O254" s="76"/>
      <c r="P254" s="72" t="s">
        <v>516</v>
      </c>
    </row>
    <row r="255" spans="1:16" hidden="1">
      <c r="A255" s="81" t="s">
        <v>8</v>
      </c>
      <c r="B255" s="81" t="s">
        <v>41</v>
      </c>
      <c r="C255" s="81" t="s">
        <v>185</v>
      </c>
      <c r="D255" s="81">
        <v>1.25</v>
      </c>
      <c r="E255" s="81">
        <v>25</v>
      </c>
      <c r="F255" s="81">
        <v>1</v>
      </c>
      <c r="G255" s="81">
        <f>テーブル1[[#This Row],[長さ(m)]]*テーブル1[[#This Row],[在庫(本)]]</f>
        <v>25</v>
      </c>
      <c r="H255" s="81">
        <f>D255*テーブル1[[#This Row],[長さ合計(m)]]</f>
        <v>31.25</v>
      </c>
      <c r="I255" s="83">
        <v>1099.5225721795628</v>
      </c>
      <c r="J255" s="83">
        <f t="shared" si="31"/>
        <v>34360.080380611333</v>
      </c>
      <c r="K255" s="81" t="s">
        <v>51</v>
      </c>
      <c r="L255" s="82">
        <v>44652</v>
      </c>
      <c r="M255" s="76" t="s">
        <v>216</v>
      </c>
      <c r="N255" s="57" t="s">
        <v>171</v>
      </c>
      <c r="O255" s="76"/>
      <c r="P255" s="76"/>
    </row>
  </sheetData>
  <dataConsolidate/>
  <phoneticPr fontId="3"/>
  <pageMargins left="0.7" right="0.7" top="0.75" bottom="0.75" header="0.3" footer="0.3"/>
  <pageSetup paperSize="9" scale="19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物流情報</vt:lpstr>
      <vt:lpstr>在庫(製品)</vt:lpstr>
      <vt:lpstr>作業用(マスターシート)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2022-04-18T04:10:59Z</cp:lastPrinted>
  <dcterms:created xsi:type="dcterms:W3CDTF">2022-04-15T08:02:22Z</dcterms:created>
  <dcterms:modified xsi:type="dcterms:W3CDTF">2023-02-05T23:03:49Z</dcterms:modified>
</cp:coreProperties>
</file>