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echn\Desktop\仕事\在庫管理\原価計算\2022年度(22年4月～23年3月)\2023年1月\"/>
    </mc:Choice>
  </mc:AlternateContent>
  <xr:revisionPtr revIDLastSave="0" documentId="13_ncr:1_{4142D227-E699-4774-842F-9FA3A5EBF5F3}" xr6:coauthVersionLast="47" xr6:coauthVersionMax="47" xr10:uidLastSave="{00000000-0000-0000-0000-000000000000}"/>
  <bookViews>
    <workbookView xWindow="-110" yWindow="-110" windowWidth="22780" windowHeight="14540" activeTab="3" xr2:uid="{D0E87BAA-A5C4-41E7-B695-E57801A245BE}"/>
  </bookViews>
  <sheets>
    <sheet name="1月末在庫" sheetId="5" r:id="rId1"/>
    <sheet name="1月末在庫(詳細)" sheetId="4" r:id="rId2"/>
    <sheet name="1月入荷履歴" sheetId="2" r:id="rId3"/>
    <sheet name="1月出荷履歴" sheetId="1" r:id="rId4"/>
    <sheet name="両面塩ビフィルム" sheetId="3" r:id="rId5"/>
    <sheet name="マグネットシート" sheetId="6" r:id="rId6"/>
    <sheet name="ターポリン" sheetId="8"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 i="1" l="1"/>
  <c r="I50" i="1" s="1"/>
  <c r="H26" i="2"/>
  <c r="I26" i="2" s="1"/>
  <c r="H27" i="2"/>
  <c r="I27" i="2"/>
  <c r="F240" i="4" l="1"/>
  <c r="F241" i="4"/>
  <c r="F242" i="4"/>
  <c r="H242" i="4" s="1"/>
  <c r="F243" i="4"/>
  <c r="H243" i="4" s="1"/>
  <c r="F244" i="4"/>
  <c r="H244" i="4" s="1"/>
  <c r="F245" i="4"/>
  <c r="H245" i="4" s="1"/>
  <c r="F246" i="4"/>
  <c r="H246" i="4" s="1"/>
  <c r="F247" i="4"/>
  <c r="H247" i="4" s="1"/>
  <c r="F248" i="4"/>
  <c r="H248" i="4" s="1"/>
  <c r="F249" i="4"/>
  <c r="H240" i="4"/>
  <c r="H241" i="4"/>
  <c r="H249" i="4"/>
  <c r="H236" i="4"/>
  <c r="H235" i="4"/>
  <c r="H4" i="2"/>
  <c r="E15" i="4"/>
  <c r="E156" i="4"/>
  <c r="E220" i="4" l="1"/>
  <c r="F239" i="4"/>
  <c r="F238" i="4"/>
  <c r="H238" i="4" s="1"/>
  <c r="H239" i="4" l="1"/>
  <c r="E75" i="4" l="1"/>
  <c r="H49" i="1" l="1"/>
  <c r="I49" i="1" s="1"/>
  <c r="H46" i="1"/>
  <c r="H47" i="1"/>
  <c r="H48" i="1"/>
  <c r="I48" i="1" l="1"/>
  <c r="I47" i="1"/>
  <c r="H20" i="1"/>
  <c r="D17" i="6"/>
  <c r="I5" i="2"/>
  <c r="I4" i="2"/>
  <c r="I16" i="2"/>
  <c r="H17" i="2"/>
  <c r="I17" i="2" s="1"/>
  <c r="H18" i="2"/>
  <c r="I18" i="2" s="1"/>
  <c r="H19" i="2"/>
  <c r="I19" i="2" s="1"/>
  <c r="H20" i="2"/>
  <c r="I20" i="2" s="1"/>
  <c r="H21" i="2"/>
  <c r="I21" i="2" s="1"/>
  <c r="H22" i="2"/>
  <c r="I22" i="2" s="1"/>
  <c r="H23" i="2"/>
  <c r="I23" i="2" s="1"/>
  <c r="H24" i="2"/>
  <c r="I24" i="2" s="1"/>
  <c r="H25" i="2"/>
  <c r="I25" i="2" s="1"/>
  <c r="H16" i="2"/>
  <c r="I46" i="1" l="1"/>
  <c r="J46" i="1" s="1"/>
  <c r="F17" i="8" l="1"/>
  <c r="F3" i="8" s="1"/>
  <c r="D13" i="8"/>
  <c r="G9" i="8" s="1"/>
  <c r="E12" i="8"/>
  <c r="E11" i="8"/>
  <c r="E10" i="8"/>
  <c r="E9" i="8"/>
  <c r="E8" i="8"/>
  <c r="E7" i="8"/>
  <c r="E6" i="8"/>
  <c r="E5" i="8"/>
  <c r="E4" i="8"/>
  <c r="E3" i="8"/>
  <c r="G5" i="8" l="1"/>
  <c r="G6" i="8"/>
  <c r="G10" i="8"/>
  <c r="G3" i="8"/>
  <c r="H3" i="8" s="1"/>
  <c r="I3" i="8" s="1"/>
  <c r="G7" i="8"/>
  <c r="G11" i="8"/>
  <c r="G4" i="8"/>
  <c r="G8" i="8"/>
  <c r="G12" i="8"/>
  <c r="F8" i="8"/>
  <c r="F11" i="8"/>
  <c r="F4" i="8"/>
  <c r="F10" i="8"/>
  <c r="H10" i="8" s="1"/>
  <c r="I10" i="8" s="1"/>
  <c r="F5" i="8"/>
  <c r="H5" i="8" s="1"/>
  <c r="I5" i="8" s="1"/>
  <c r="F6" i="8"/>
  <c r="F9" i="8"/>
  <c r="H9" i="8" s="1"/>
  <c r="I9" i="8" s="1"/>
  <c r="F7" i="8"/>
  <c r="F12" i="8"/>
  <c r="H12" i="8" s="1"/>
  <c r="I12" i="8" s="1"/>
  <c r="H45" i="1"/>
  <c r="I45" i="1" s="1"/>
  <c r="H11" i="8" l="1"/>
  <c r="I11" i="8" s="1"/>
  <c r="H6" i="8"/>
  <c r="I6" i="8" s="1"/>
  <c r="H4" i="8"/>
  <c r="I4" i="8" s="1"/>
  <c r="H7" i="8"/>
  <c r="I7" i="8" s="1"/>
  <c r="H8" i="8"/>
  <c r="I8" i="8" s="1"/>
  <c r="H33" i="1"/>
  <c r="H34" i="1"/>
  <c r="H35" i="1"/>
  <c r="H36" i="1"/>
  <c r="H37" i="1"/>
  <c r="H38" i="1"/>
  <c r="H39" i="1"/>
  <c r="H40" i="1"/>
  <c r="H41" i="1"/>
  <c r="H42" i="1"/>
  <c r="H43" i="1"/>
  <c r="H44" i="1"/>
  <c r="F237" i="4"/>
  <c r="H237" i="4" s="1"/>
  <c r="H6" i="2"/>
  <c r="I6" i="2" s="1"/>
  <c r="H7" i="2"/>
  <c r="I7" i="2" s="1"/>
  <c r="H8" i="2"/>
  <c r="I8" i="2" s="1"/>
  <c r="H9" i="2"/>
  <c r="I9" i="2" s="1"/>
  <c r="H10" i="2"/>
  <c r="I10" i="2" s="1"/>
  <c r="H11" i="2"/>
  <c r="I11" i="2" s="1"/>
  <c r="H12" i="2"/>
  <c r="I12" i="2" s="1"/>
  <c r="H13" i="2"/>
  <c r="I13" i="2" s="1"/>
  <c r="H14" i="2"/>
  <c r="I14" i="2" s="1"/>
  <c r="H15" i="2"/>
  <c r="I15" i="2" s="1"/>
  <c r="G7" i="6" l="1"/>
  <c r="G8" i="6"/>
  <c r="G9" i="6"/>
  <c r="G10" i="6"/>
  <c r="G11" i="6"/>
  <c r="D13" i="6"/>
  <c r="G4" i="6" s="1"/>
  <c r="E4" i="6"/>
  <c r="E5" i="6"/>
  <c r="E6" i="6"/>
  <c r="E7" i="6"/>
  <c r="E8" i="6"/>
  <c r="E9" i="6"/>
  <c r="E10" i="6"/>
  <c r="E11" i="6"/>
  <c r="E12" i="6"/>
  <c r="E3" i="6"/>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I33" i="1"/>
  <c r="I34" i="1"/>
  <c r="H2" i="1"/>
  <c r="I2" i="1" s="1"/>
  <c r="H3" i="2"/>
  <c r="I3" i="2" s="1"/>
  <c r="H5" i="2"/>
  <c r="H2" i="2"/>
  <c r="I2" i="2" s="1"/>
  <c r="F234" i="4"/>
  <c r="H234" i="4" s="1"/>
  <c r="F235" i="4"/>
  <c r="F236" i="4"/>
  <c r="G6" i="6" l="1"/>
  <c r="G3" i="6"/>
  <c r="G5" i="6"/>
  <c r="G12" i="6"/>
  <c r="E4" i="3"/>
  <c r="E3" i="3"/>
  <c r="D5" i="3"/>
  <c r="G4" i="3" s="1"/>
  <c r="F10" i="3"/>
  <c r="F9" i="3"/>
  <c r="F11" i="3" s="1"/>
  <c r="F4" i="3" s="1"/>
  <c r="F233" i="4"/>
  <c r="H233" i="4" s="1"/>
  <c r="F232" i="4"/>
  <c r="H232" i="4" s="1"/>
  <c r="F231" i="4"/>
  <c r="H231" i="4" s="1"/>
  <c r="F230" i="4"/>
  <c r="H230" i="4" s="1"/>
  <c r="F229" i="4"/>
  <c r="H229" i="4" s="1"/>
  <c r="F228" i="4"/>
  <c r="H228" i="4" s="1"/>
  <c r="F227" i="4"/>
  <c r="H227" i="4" s="1"/>
  <c r="F226" i="4"/>
  <c r="H226" i="4" s="1"/>
  <c r="F225" i="4"/>
  <c r="F224" i="4"/>
  <c r="F223" i="4"/>
  <c r="F222" i="4"/>
  <c r="H222" i="4" s="1"/>
  <c r="F221" i="4"/>
  <c r="H221" i="4" s="1"/>
  <c r="F220" i="4"/>
  <c r="H220" i="4" s="1"/>
  <c r="F219" i="4"/>
  <c r="H219" i="4" s="1"/>
  <c r="F218" i="4"/>
  <c r="H218" i="4" s="1"/>
  <c r="F217" i="4"/>
  <c r="H217" i="4" s="1"/>
  <c r="F216" i="4"/>
  <c r="H216" i="4" s="1"/>
  <c r="F215" i="4"/>
  <c r="H215" i="4" s="1"/>
  <c r="F214" i="4"/>
  <c r="H214" i="4" s="1"/>
  <c r="F213" i="4"/>
  <c r="H213" i="4" s="1"/>
  <c r="F212" i="4"/>
  <c r="H212" i="4" s="1"/>
  <c r="F211" i="4"/>
  <c r="H211" i="4" s="1"/>
  <c r="F210" i="4"/>
  <c r="H210" i="4" s="1"/>
  <c r="F209" i="4"/>
  <c r="H209" i="4" s="1"/>
  <c r="F208" i="4"/>
  <c r="H208" i="4" s="1"/>
  <c r="F207" i="4"/>
  <c r="H207" i="4" s="1"/>
  <c r="F206" i="4"/>
  <c r="H206" i="4" s="1"/>
  <c r="F205" i="4"/>
  <c r="H205" i="4" s="1"/>
  <c r="F204" i="4"/>
  <c r="H204" i="4" s="1"/>
  <c r="F203" i="4"/>
  <c r="H203" i="4" s="1"/>
  <c r="F202" i="4"/>
  <c r="H202" i="4" s="1"/>
  <c r="F201" i="4"/>
  <c r="H201" i="4" s="1"/>
  <c r="F200" i="4"/>
  <c r="H200" i="4" s="1"/>
  <c r="F199" i="4"/>
  <c r="H199" i="4" s="1"/>
  <c r="F198" i="4"/>
  <c r="H198" i="4" s="1"/>
  <c r="F197" i="4"/>
  <c r="H197" i="4" s="1"/>
  <c r="F196" i="4"/>
  <c r="H196" i="4" s="1"/>
  <c r="H195" i="4"/>
  <c r="F195" i="4"/>
  <c r="H194" i="4"/>
  <c r="F194" i="4"/>
  <c r="H193" i="4"/>
  <c r="F193" i="4"/>
  <c r="H192" i="4"/>
  <c r="F192" i="4"/>
  <c r="H191" i="4"/>
  <c r="F191" i="4"/>
  <c r="H190" i="4"/>
  <c r="F190" i="4"/>
  <c r="H189" i="4"/>
  <c r="F189" i="4"/>
  <c r="H188" i="4"/>
  <c r="F188" i="4"/>
  <c r="H187" i="4"/>
  <c r="F187" i="4"/>
  <c r="H186" i="4"/>
  <c r="F186" i="4"/>
  <c r="H185" i="4"/>
  <c r="F185" i="4"/>
  <c r="H184" i="4"/>
  <c r="F184" i="4"/>
  <c r="H183" i="4"/>
  <c r="F183" i="4"/>
  <c r="H182" i="4"/>
  <c r="F182" i="4"/>
  <c r="H181" i="4"/>
  <c r="F181" i="4"/>
  <c r="H180" i="4"/>
  <c r="F180" i="4"/>
  <c r="H179" i="4"/>
  <c r="F179" i="4"/>
  <c r="F178" i="4"/>
  <c r="H178" i="4" s="1"/>
  <c r="F177" i="4"/>
  <c r="H177" i="4" s="1"/>
  <c r="F176" i="4"/>
  <c r="H176" i="4" s="1"/>
  <c r="E175" i="4"/>
  <c r="F175" i="4" s="1"/>
  <c r="H175" i="4" s="1"/>
  <c r="E174" i="4"/>
  <c r="F174" i="4" s="1"/>
  <c r="H174" i="4" s="1"/>
  <c r="F173" i="4"/>
  <c r="H173" i="4" s="1"/>
  <c r="F172" i="4"/>
  <c r="H172" i="4" s="1"/>
  <c r="F171" i="4"/>
  <c r="H171" i="4" s="1"/>
  <c r="F170" i="4"/>
  <c r="H170" i="4" s="1"/>
  <c r="F169" i="4"/>
  <c r="H169" i="4" s="1"/>
  <c r="F168" i="4"/>
  <c r="H168" i="4" s="1"/>
  <c r="F167" i="4"/>
  <c r="H167" i="4" s="1"/>
  <c r="F166" i="4"/>
  <c r="H166" i="4" s="1"/>
  <c r="F165" i="4"/>
  <c r="H165" i="4" s="1"/>
  <c r="F164" i="4"/>
  <c r="H164" i="4" s="1"/>
  <c r="F163" i="4"/>
  <c r="H163" i="4" s="1"/>
  <c r="F162" i="4"/>
  <c r="H162" i="4" s="1"/>
  <c r="F161" i="4"/>
  <c r="H161" i="4" s="1"/>
  <c r="F160" i="4"/>
  <c r="H160" i="4" s="1"/>
  <c r="F159" i="4"/>
  <c r="H159" i="4" s="1"/>
  <c r="F158" i="4"/>
  <c r="H158" i="4" s="1"/>
  <c r="F157" i="4"/>
  <c r="H157" i="4" s="1"/>
  <c r="F156" i="4"/>
  <c r="H156" i="4" s="1"/>
  <c r="F155" i="4"/>
  <c r="H155" i="4" s="1"/>
  <c r="F154" i="4"/>
  <c r="H154" i="4" s="1"/>
  <c r="F153" i="4"/>
  <c r="H153" i="4" s="1"/>
  <c r="F152" i="4"/>
  <c r="H152" i="4" s="1"/>
  <c r="F151" i="4"/>
  <c r="H151" i="4" s="1"/>
  <c r="F150" i="4"/>
  <c r="H150" i="4" s="1"/>
  <c r="F149" i="4"/>
  <c r="H149" i="4" s="1"/>
  <c r="F148" i="4"/>
  <c r="H148" i="4" s="1"/>
  <c r="F147" i="4"/>
  <c r="H147" i="4" s="1"/>
  <c r="F146" i="4"/>
  <c r="H146" i="4" s="1"/>
  <c r="F145" i="4"/>
  <c r="H145" i="4" s="1"/>
  <c r="F144" i="4"/>
  <c r="H144" i="4" s="1"/>
  <c r="F143" i="4"/>
  <c r="H143" i="4" s="1"/>
  <c r="F142" i="4"/>
  <c r="H142" i="4" s="1"/>
  <c r="F141" i="4"/>
  <c r="H141" i="4" s="1"/>
  <c r="F140" i="4"/>
  <c r="H140" i="4" s="1"/>
  <c r="F139" i="4"/>
  <c r="H139" i="4" s="1"/>
  <c r="F138" i="4"/>
  <c r="H138" i="4" s="1"/>
  <c r="F137" i="4"/>
  <c r="H137" i="4" s="1"/>
  <c r="F136" i="4"/>
  <c r="H136" i="4" s="1"/>
  <c r="F135" i="4"/>
  <c r="H135" i="4" s="1"/>
  <c r="F134" i="4"/>
  <c r="H134" i="4" s="1"/>
  <c r="F133" i="4"/>
  <c r="H133" i="4" s="1"/>
  <c r="F132" i="4"/>
  <c r="H132" i="4" s="1"/>
  <c r="E131" i="4"/>
  <c r="F131" i="4" s="1"/>
  <c r="H131" i="4" s="1"/>
  <c r="F130" i="4"/>
  <c r="H130" i="4" s="1"/>
  <c r="F129" i="4"/>
  <c r="H129" i="4" s="1"/>
  <c r="F128" i="4"/>
  <c r="H128" i="4" s="1"/>
  <c r="F127" i="4"/>
  <c r="H127" i="4" s="1"/>
  <c r="F126" i="4"/>
  <c r="H126" i="4" s="1"/>
  <c r="E125" i="4"/>
  <c r="F125" i="4" s="1"/>
  <c r="H125" i="4" s="1"/>
  <c r="F124" i="4"/>
  <c r="H124" i="4" s="1"/>
  <c r="E123" i="4"/>
  <c r="F123" i="4" s="1"/>
  <c r="H123" i="4" s="1"/>
  <c r="F122" i="4"/>
  <c r="H122" i="4" s="1"/>
  <c r="F121" i="4"/>
  <c r="H121" i="4" s="1"/>
  <c r="F120" i="4"/>
  <c r="H120" i="4" s="1"/>
  <c r="E119" i="4"/>
  <c r="F119" i="4" s="1"/>
  <c r="H119" i="4" s="1"/>
  <c r="F118" i="4"/>
  <c r="H118" i="4" s="1"/>
  <c r="F117" i="4"/>
  <c r="H117" i="4" s="1"/>
  <c r="E116" i="4"/>
  <c r="F116" i="4" s="1"/>
  <c r="H116" i="4" s="1"/>
  <c r="F115" i="4"/>
  <c r="H115" i="4" s="1"/>
  <c r="E114" i="4"/>
  <c r="F114" i="4" s="1"/>
  <c r="H114" i="4" s="1"/>
  <c r="F113" i="4"/>
  <c r="H113" i="4" s="1"/>
  <c r="F112" i="4"/>
  <c r="H112" i="4" s="1"/>
  <c r="F111" i="4"/>
  <c r="H111" i="4" s="1"/>
  <c r="E110" i="4"/>
  <c r="F110" i="4" s="1"/>
  <c r="H110" i="4" s="1"/>
  <c r="F109" i="4"/>
  <c r="H109" i="4" s="1"/>
  <c r="F108" i="4"/>
  <c r="H108" i="4" s="1"/>
  <c r="F107" i="4"/>
  <c r="H107" i="4" s="1"/>
  <c r="E106" i="4"/>
  <c r="F106" i="4" s="1"/>
  <c r="H106" i="4" s="1"/>
  <c r="F105" i="4"/>
  <c r="H105" i="4" s="1"/>
  <c r="H104" i="4"/>
  <c r="F104" i="4"/>
  <c r="H103" i="4"/>
  <c r="F103" i="4"/>
  <c r="H102" i="4"/>
  <c r="F102" i="4"/>
  <c r="H101" i="4"/>
  <c r="F101" i="4"/>
  <c r="H100" i="4"/>
  <c r="F100" i="4"/>
  <c r="H99" i="4"/>
  <c r="F99" i="4"/>
  <c r="H98" i="4"/>
  <c r="F98" i="4"/>
  <c r="F97" i="4"/>
  <c r="H97" i="4" s="1"/>
  <c r="F96" i="4"/>
  <c r="H96" i="4" s="1"/>
  <c r="F95" i="4"/>
  <c r="H95" i="4" s="1"/>
  <c r="F94" i="4"/>
  <c r="H94" i="4" s="1"/>
  <c r="F93" i="4"/>
  <c r="H93" i="4" s="1"/>
  <c r="F92" i="4"/>
  <c r="H92" i="4" s="1"/>
  <c r="F91" i="4"/>
  <c r="H91" i="4" s="1"/>
  <c r="F90" i="4"/>
  <c r="H90" i="4" s="1"/>
  <c r="F89" i="4"/>
  <c r="H89" i="4" s="1"/>
  <c r="F88" i="4"/>
  <c r="H88" i="4" s="1"/>
  <c r="F87" i="4"/>
  <c r="H87" i="4" s="1"/>
  <c r="F86" i="4"/>
  <c r="H86" i="4" s="1"/>
  <c r="E85" i="4"/>
  <c r="F85" i="4" s="1"/>
  <c r="H85" i="4" s="1"/>
  <c r="F84" i="4"/>
  <c r="H84" i="4" s="1"/>
  <c r="F83" i="4"/>
  <c r="H83" i="4" s="1"/>
  <c r="F82" i="4"/>
  <c r="H82" i="4" s="1"/>
  <c r="F81" i="4"/>
  <c r="H81" i="4" s="1"/>
  <c r="F80" i="4"/>
  <c r="H80" i="4" s="1"/>
  <c r="E79" i="4"/>
  <c r="F79" i="4" s="1"/>
  <c r="H79" i="4" s="1"/>
  <c r="F78" i="4"/>
  <c r="H78" i="4" s="1"/>
  <c r="E77" i="4"/>
  <c r="F77" i="4" s="1"/>
  <c r="H77" i="4" s="1"/>
  <c r="E76" i="4"/>
  <c r="H76" i="4" s="1"/>
  <c r="F75" i="4"/>
  <c r="H75" i="4" s="1"/>
  <c r="E74" i="4"/>
  <c r="F74" i="4" s="1"/>
  <c r="H74" i="4" s="1"/>
  <c r="F73" i="4"/>
  <c r="H73" i="4" s="1"/>
  <c r="F72" i="4"/>
  <c r="H72" i="4" s="1"/>
  <c r="E71" i="4"/>
  <c r="F71" i="4" s="1"/>
  <c r="H71" i="4" s="1"/>
  <c r="F70" i="4"/>
  <c r="H70" i="4" s="1"/>
  <c r="E69" i="4"/>
  <c r="F69" i="4" s="1"/>
  <c r="H69" i="4" s="1"/>
  <c r="E68" i="4"/>
  <c r="F68" i="4" s="1"/>
  <c r="H68" i="4" s="1"/>
  <c r="E67" i="4"/>
  <c r="F67" i="4" s="1"/>
  <c r="H67" i="4" s="1"/>
  <c r="E66" i="4"/>
  <c r="F66" i="4" s="1"/>
  <c r="H66" i="4" s="1"/>
  <c r="F65" i="4"/>
  <c r="H65" i="4" s="1"/>
  <c r="F64" i="4"/>
  <c r="H64" i="4" s="1"/>
  <c r="E63" i="4"/>
  <c r="F63" i="4" s="1"/>
  <c r="H63" i="4" s="1"/>
  <c r="F62" i="4"/>
  <c r="H62" i="4" s="1"/>
  <c r="F61" i="4"/>
  <c r="H61" i="4" s="1"/>
  <c r="F60" i="4"/>
  <c r="H60" i="4" s="1"/>
  <c r="F59" i="4"/>
  <c r="H59" i="4" s="1"/>
  <c r="F58" i="4"/>
  <c r="H58" i="4" s="1"/>
  <c r="F57" i="4"/>
  <c r="H57" i="4" s="1"/>
  <c r="F56" i="4"/>
  <c r="H56" i="4" s="1"/>
  <c r="F55" i="4"/>
  <c r="H55" i="4" s="1"/>
  <c r="F54" i="4"/>
  <c r="H54" i="4" s="1"/>
  <c r="F53" i="4"/>
  <c r="H53" i="4" s="1"/>
  <c r="F52" i="4"/>
  <c r="H52" i="4" s="1"/>
  <c r="F51" i="4"/>
  <c r="H51" i="4" s="1"/>
  <c r="F50" i="4"/>
  <c r="H50" i="4" s="1"/>
  <c r="E49" i="4"/>
  <c r="F49" i="4" s="1"/>
  <c r="H49" i="4" s="1"/>
  <c r="F48" i="4"/>
  <c r="H48" i="4" s="1"/>
  <c r="F47" i="4"/>
  <c r="H47" i="4" s="1"/>
  <c r="E46" i="4"/>
  <c r="F46" i="4" s="1"/>
  <c r="H46" i="4" s="1"/>
  <c r="F45" i="4"/>
  <c r="H45" i="4" s="1"/>
  <c r="F44" i="4"/>
  <c r="H44" i="4" s="1"/>
  <c r="F43" i="4"/>
  <c r="H43" i="4" s="1"/>
  <c r="F42" i="4"/>
  <c r="H42" i="4" s="1"/>
  <c r="F41" i="4"/>
  <c r="H41" i="4" s="1"/>
  <c r="E40" i="4"/>
  <c r="F40" i="4" s="1"/>
  <c r="H40" i="4" s="1"/>
  <c r="F39" i="4"/>
  <c r="H39" i="4" s="1"/>
  <c r="F38" i="4"/>
  <c r="H38" i="4" s="1"/>
  <c r="F37" i="4"/>
  <c r="H37" i="4" s="1"/>
  <c r="F36" i="4"/>
  <c r="H36" i="4" s="1"/>
  <c r="F35" i="4"/>
  <c r="H35" i="4" s="1"/>
  <c r="F34" i="4"/>
  <c r="H34" i="4" s="1"/>
  <c r="F33" i="4"/>
  <c r="H33" i="4" s="1"/>
  <c r="E32" i="4"/>
  <c r="F32" i="4" s="1"/>
  <c r="H32" i="4" s="1"/>
  <c r="E31" i="4"/>
  <c r="F31" i="4" s="1"/>
  <c r="H31" i="4" s="1"/>
  <c r="E30" i="4"/>
  <c r="F30" i="4" s="1"/>
  <c r="H30" i="4" s="1"/>
  <c r="E29" i="4"/>
  <c r="F29" i="4" s="1"/>
  <c r="H29" i="4" s="1"/>
  <c r="E28" i="4"/>
  <c r="F28" i="4" s="1"/>
  <c r="H28" i="4" s="1"/>
  <c r="E27" i="4"/>
  <c r="F27" i="4" s="1"/>
  <c r="H27" i="4" s="1"/>
  <c r="F26" i="4"/>
  <c r="H26" i="4" s="1"/>
  <c r="F25" i="4"/>
  <c r="H25" i="4" s="1"/>
  <c r="F24" i="4"/>
  <c r="H24" i="4" s="1"/>
  <c r="E23" i="4"/>
  <c r="F23" i="4" s="1"/>
  <c r="H23" i="4" s="1"/>
  <c r="E22" i="4"/>
  <c r="F22" i="4" s="1"/>
  <c r="H22" i="4" s="1"/>
  <c r="F21" i="4"/>
  <c r="H21" i="4" s="1"/>
  <c r="F20" i="4"/>
  <c r="H20" i="4" s="1"/>
  <c r="F19" i="4"/>
  <c r="H19" i="4" s="1"/>
  <c r="F18" i="4"/>
  <c r="H18" i="4" s="1"/>
  <c r="F17" i="4"/>
  <c r="H17" i="4" s="1"/>
  <c r="F16" i="4"/>
  <c r="H16" i="4" s="1"/>
  <c r="F15" i="4"/>
  <c r="H15" i="4" s="1"/>
  <c r="E14" i="4"/>
  <c r="F14" i="4" s="1"/>
  <c r="H14" i="4" s="1"/>
  <c r="E13" i="4"/>
  <c r="F13" i="4" s="1"/>
  <c r="H13" i="4" s="1"/>
  <c r="F12" i="4"/>
  <c r="H12" i="4" s="1"/>
  <c r="F11" i="4"/>
  <c r="H11" i="4" s="1"/>
  <c r="F10" i="4"/>
  <c r="H10" i="4" s="1"/>
  <c r="F9" i="4"/>
  <c r="H9" i="4" s="1"/>
  <c r="F8" i="4"/>
  <c r="H8" i="4" s="1"/>
  <c r="F7" i="4"/>
  <c r="H7" i="4" s="1"/>
  <c r="E6" i="4"/>
  <c r="F6" i="4" s="1"/>
  <c r="H6" i="4" s="1"/>
  <c r="F5" i="4"/>
  <c r="H5" i="4" s="1"/>
  <c r="F4" i="4"/>
  <c r="H4" i="4" s="1"/>
  <c r="F3" i="4"/>
  <c r="H3" i="4" s="1"/>
  <c r="E2" i="4"/>
  <c r="F2" i="4" s="1"/>
  <c r="H2" i="4" s="1"/>
  <c r="G3" i="3" l="1"/>
  <c r="F3" i="3"/>
  <c r="H3" i="3" s="1"/>
  <c r="I3" i="3" s="1"/>
  <c r="H4" i="3"/>
  <c r="I4" i="3" s="1"/>
  <c r="G20" i="1" s="1"/>
  <c r="I20" i="1" s="1"/>
  <c r="F76" i="4"/>
  <c r="G19" i="1" l="1"/>
  <c r="I19" i="1" s="1"/>
  <c r="E17" i="6"/>
  <c r="F17" i="6" s="1"/>
  <c r="F4" i="6" l="1"/>
  <c r="H4" i="6" s="1"/>
  <c r="I4" i="6" s="1"/>
  <c r="G36" i="1" s="1"/>
  <c r="I36" i="1" s="1"/>
  <c r="F12" i="6"/>
  <c r="H12" i="6" s="1"/>
  <c r="I12" i="6" s="1"/>
  <c r="G44" i="1" s="1"/>
  <c r="I44" i="1" s="1"/>
  <c r="F6" i="6"/>
  <c r="H6" i="6" s="1"/>
  <c r="I6" i="6" s="1"/>
  <c r="G38" i="1" s="1"/>
  <c r="I38" i="1" s="1"/>
  <c r="F7" i="6"/>
  <c r="H7" i="6" s="1"/>
  <c r="I7" i="6" s="1"/>
  <c r="G39" i="1" s="1"/>
  <c r="I39" i="1" s="1"/>
  <c r="F8" i="6"/>
  <c r="H8" i="6" s="1"/>
  <c r="I8" i="6" s="1"/>
  <c r="G40" i="1" s="1"/>
  <c r="I40" i="1" s="1"/>
  <c r="F9" i="6"/>
  <c r="H9" i="6" s="1"/>
  <c r="I9" i="6" s="1"/>
  <c r="G41" i="1" s="1"/>
  <c r="I41" i="1" s="1"/>
  <c r="F10" i="6"/>
  <c r="H10" i="6" s="1"/>
  <c r="I10" i="6" s="1"/>
  <c r="G42" i="1" s="1"/>
  <c r="I42" i="1" s="1"/>
  <c r="F11" i="6"/>
  <c r="H11" i="6" s="1"/>
  <c r="I11" i="6" s="1"/>
  <c r="G43" i="1" s="1"/>
  <c r="I43" i="1" s="1"/>
  <c r="F5" i="6"/>
  <c r="H5" i="6" s="1"/>
  <c r="I5" i="6" s="1"/>
  <c r="G37" i="1" s="1"/>
  <c r="I37" i="1" s="1"/>
  <c r="F3" i="6"/>
  <c r="H3" i="6" s="1"/>
  <c r="I3" i="6" s="1"/>
  <c r="G35" i="1" s="1"/>
  <c r="I35" i="1" s="1"/>
</calcChain>
</file>

<file path=xl/sharedStrings.xml><?xml version="1.0" encoding="utf-8"?>
<sst xmlns="http://schemas.openxmlformats.org/spreadsheetml/2006/main" count="1621" uniqueCount="459">
  <si>
    <t>出荷日</t>
    <rPh sb="0" eb="3">
      <t>シュッカビ</t>
    </rPh>
    <phoneticPr fontId="2"/>
  </si>
  <si>
    <t>Lot No</t>
    <phoneticPr fontId="2"/>
  </si>
  <si>
    <t>名称</t>
  </si>
  <si>
    <t>幅
(m)</t>
    <phoneticPr fontId="2"/>
  </si>
  <si>
    <t>長さ
(m)</t>
    <rPh sb="0" eb="1">
      <t>ナガ</t>
    </rPh>
    <phoneticPr fontId="2"/>
  </si>
  <si>
    <t>出荷先</t>
    <rPh sb="0" eb="3">
      <t>シュッカサキ</t>
    </rPh>
    <phoneticPr fontId="2"/>
  </si>
  <si>
    <t>単価
(円/㎡)</t>
    <phoneticPr fontId="2"/>
  </si>
  <si>
    <t>総面積(㎡)</t>
    <phoneticPr fontId="2"/>
  </si>
  <si>
    <t>原価</t>
  </si>
  <si>
    <t>販売価格</t>
    <rPh sb="0" eb="4">
      <t>ハンバイカカク</t>
    </rPh>
    <phoneticPr fontId="2"/>
  </si>
  <si>
    <t>部署</t>
    <rPh sb="0" eb="2">
      <t>ブショ</t>
    </rPh>
    <phoneticPr fontId="2"/>
  </si>
  <si>
    <t>備考</t>
    <rPh sb="0" eb="2">
      <t>ビコウ</t>
    </rPh>
    <phoneticPr fontId="2"/>
  </si>
  <si>
    <t>アライアンス</t>
    <phoneticPr fontId="2"/>
  </si>
  <si>
    <t>SPACECOOLフィルム（白マット）</t>
  </si>
  <si>
    <t>WM0002-MXJ-K2-220422_40_c</t>
  </si>
  <si>
    <t>須河車体株式会社</t>
    <phoneticPr fontId="2"/>
  </si>
  <si>
    <t>WM0002-MXJ-K2-220127_1-32_b</t>
  </si>
  <si>
    <t>大陽日酸株式会社</t>
    <phoneticPr fontId="2"/>
  </si>
  <si>
    <t>ファブリック（白）</t>
    <rPh sb="7" eb="8">
      <t>シロ</t>
    </rPh>
    <phoneticPr fontId="2"/>
  </si>
  <si>
    <t>株式会社SMV JAPAN</t>
  </si>
  <si>
    <t>販促費</t>
    <rPh sb="0" eb="3">
      <t>ハンソクヒ</t>
    </rPh>
    <phoneticPr fontId="2"/>
  </si>
  <si>
    <t>株式会社井高</t>
  </si>
  <si>
    <t>仕掛品（白）</t>
    <rPh sb="0" eb="3">
      <t>シカカリヒン</t>
    </rPh>
    <rPh sb="4" eb="5">
      <t>シロ</t>
    </rPh>
    <phoneticPr fontId="2"/>
  </si>
  <si>
    <t>明治電機工業株式会社</t>
    <rPh sb="0" eb="2">
      <t>メイジ</t>
    </rPh>
    <rPh sb="2" eb="10">
      <t>デンキコウギョウカブシキガイシャ</t>
    </rPh>
    <phoneticPr fontId="2"/>
  </si>
  <si>
    <t>ｼﾞｪｲﾈｯﾄｺｰﾃｨﾝｸﾞ</t>
    <phoneticPr fontId="2"/>
  </si>
  <si>
    <t>テクニカル</t>
    <phoneticPr fontId="2"/>
  </si>
  <si>
    <t>大杉試作</t>
    <rPh sb="0" eb="2">
      <t>オオスギ</t>
    </rPh>
    <rPh sb="2" eb="4">
      <t>シサク</t>
    </rPh>
    <phoneticPr fontId="2"/>
  </si>
  <si>
    <t>C16-CL-EM_20220614_9</t>
  </si>
  <si>
    <t>塩ビ（白）</t>
    <rPh sb="0" eb="1">
      <t>エン</t>
    </rPh>
    <rPh sb="3" eb="4">
      <t>シロ</t>
    </rPh>
    <phoneticPr fontId="2"/>
  </si>
  <si>
    <t>株式会社SMV JAPAN</t>
    <phoneticPr fontId="2"/>
  </si>
  <si>
    <t>SPC1074-202212-A</t>
  </si>
  <si>
    <t>モリリン株式会</t>
    <phoneticPr fontId="2"/>
  </si>
  <si>
    <t>SPC1074_202210-A</t>
    <phoneticPr fontId="2"/>
  </si>
  <si>
    <t>SPC1074_202210-C</t>
  </si>
  <si>
    <t>研究所</t>
    <rPh sb="0" eb="3">
      <t>ケンキュウジョ</t>
    </rPh>
    <phoneticPr fontId="2"/>
  </si>
  <si>
    <t>A5サンプル用など（研究所保管、全量販促費にて計上）</t>
    <rPh sb="6" eb="7">
      <t>ヨウ</t>
    </rPh>
    <rPh sb="10" eb="15">
      <t>ケンキュウジョホカン</t>
    </rPh>
    <rPh sb="16" eb="18">
      <t>ゼンリョウ</t>
    </rPh>
    <rPh sb="18" eb="21">
      <t>ハンソクヒ</t>
    </rPh>
    <rPh sb="23" eb="25">
      <t>ケイジョウ</t>
    </rPh>
    <phoneticPr fontId="2"/>
  </si>
  <si>
    <t>二次加工</t>
    <rPh sb="0" eb="4">
      <t>ニジカコウ</t>
    </rPh>
    <phoneticPr fontId="2"/>
  </si>
  <si>
    <t>J22L1302-02-01</t>
  </si>
  <si>
    <t>カンボウプラス</t>
    <phoneticPr fontId="2"/>
  </si>
  <si>
    <t>防炎ターポリンへ加工</t>
    <rPh sb="0" eb="2">
      <t>ボウエン</t>
    </rPh>
    <rPh sb="8" eb="10">
      <t>カコウ</t>
    </rPh>
    <phoneticPr fontId="2"/>
  </si>
  <si>
    <t>SPACECOOL帆布（白）</t>
  </si>
  <si>
    <t>－</t>
    <phoneticPr fontId="2"/>
  </si>
  <si>
    <t>30cm幅へスリット加工のためカンボウ内カンボウキャンバスカッティングサービス株式会社へ</t>
    <phoneticPr fontId="2"/>
  </si>
  <si>
    <t>入荷日</t>
    <rPh sb="0" eb="2">
      <t>ニュウカ</t>
    </rPh>
    <rPh sb="2" eb="3">
      <t>ビ</t>
    </rPh>
    <phoneticPr fontId="2"/>
  </si>
  <si>
    <t>入荷元</t>
    <rPh sb="0" eb="2">
      <t>ニュウカ</t>
    </rPh>
    <rPh sb="2" eb="3">
      <t>モト</t>
    </rPh>
    <phoneticPr fontId="2"/>
  </si>
  <si>
    <t>SPACECOOLフィルム（銀マット）</t>
  </si>
  <si>
    <t>SM0001-7-CAP-GL-10</t>
  </si>
  <si>
    <t>SPACECOOL帆布（銀）</t>
  </si>
  <si>
    <t>SPACECOOL帆布(防炎)白</t>
  </si>
  <si>
    <t>WM0001-1-MXJ-K2-25M_切り出し用</t>
  </si>
  <si>
    <t>研究開発費</t>
    <rPh sb="0" eb="5">
      <t>ケンキュウカイハツヒ</t>
    </rPh>
    <phoneticPr fontId="2"/>
  </si>
  <si>
    <t>パンフレット貼り付け用サンプル（販促費）</t>
    <rPh sb="6" eb="7">
      <t>ハ</t>
    </rPh>
    <rPh sb="8" eb="9">
      <t>ツ</t>
    </rPh>
    <rPh sb="10" eb="11">
      <t>ヨウ</t>
    </rPh>
    <rPh sb="16" eb="19">
      <t>ハンソクヒ</t>
    </rPh>
    <phoneticPr fontId="2"/>
  </si>
  <si>
    <t>J23A1101-01-01</t>
  </si>
  <si>
    <t xml:space="preserve">J23A1101-02-01 </t>
  </si>
  <si>
    <t>仕掛品(白)</t>
    <rPh sb="0" eb="3">
      <t>シカカリヒン</t>
    </rPh>
    <rPh sb="4" eb="5">
      <t>シロ</t>
    </rPh>
    <phoneticPr fontId="2"/>
  </si>
  <si>
    <t>裏面塩ビフィルム</t>
    <phoneticPr fontId="2"/>
  </si>
  <si>
    <t>(株)マグエックス</t>
    <rPh sb="0" eb="3">
      <t>カブ</t>
    </rPh>
    <phoneticPr fontId="2"/>
  </si>
  <si>
    <t>マグネットシートへ加工(試作)</t>
    <rPh sb="9" eb="11">
      <t>カコウ</t>
    </rPh>
    <rPh sb="12" eb="14">
      <t>シサク</t>
    </rPh>
    <phoneticPr fontId="2"/>
  </si>
  <si>
    <t>WM0004-CAP-GL-20220830-10</t>
  </si>
  <si>
    <t>MSPC株式会社</t>
    <phoneticPr fontId="2"/>
  </si>
  <si>
    <t>株式会社アクト</t>
    <rPh sb="0" eb="4">
      <t>カブシキガイシャ</t>
    </rPh>
    <phoneticPr fontId="2"/>
  </si>
  <si>
    <t>WHMTe0000a-CAP-GL-11_切り出し用</t>
  </si>
  <si>
    <t>A5サンプル（販促費）</t>
    <rPh sb="7" eb="10">
      <t>ハンソクヒ</t>
    </rPh>
    <phoneticPr fontId="2"/>
  </si>
  <si>
    <t>SPACECOOL防炎ターポリン（白）</t>
  </si>
  <si>
    <t>30cm幅へスリット加工</t>
  </si>
  <si>
    <t>NAP230124-1</t>
  </si>
  <si>
    <t>NAP230124-2</t>
  </si>
  <si>
    <t>PET</t>
    <phoneticPr fontId="2"/>
  </si>
  <si>
    <t>中井工業</t>
    <rPh sb="0" eb="4">
      <t>ナカイコウギョウ</t>
    </rPh>
    <phoneticPr fontId="2"/>
  </si>
  <si>
    <t>新規仕入先</t>
    <rPh sb="0" eb="2">
      <t>シンキ</t>
    </rPh>
    <rPh sb="2" eb="5">
      <t>シイレサキ</t>
    </rPh>
    <phoneticPr fontId="2"/>
  </si>
  <si>
    <t>SPACECOOL不燃膜材料（銀）</t>
  </si>
  <si>
    <t>WM0004-CAP-B-220913-6</t>
  </si>
  <si>
    <t>SPACECOOL不燃膜材料（白）</t>
  </si>
  <si>
    <t>長さ
(m)</t>
    <phoneticPr fontId="2"/>
  </si>
  <si>
    <t>総面積
(㎡)</t>
    <phoneticPr fontId="2"/>
  </si>
  <si>
    <t>加工費</t>
    <rPh sb="0" eb="3">
      <t>カコウヒ</t>
    </rPh>
    <phoneticPr fontId="2"/>
  </si>
  <si>
    <r>
      <t>単価
(円/</t>
    </r>
    <r>
      <rPr>
        <b/>
        <sz val="10"/>
        <color theme="1"/>
        <rFont val="游ゴシック"/>
        <family val="3"/>
        <charset val="128"/>
        <scheme val="minor"/>
      </rPr>
      <t>㎡</t>
    </r>
    <r>
      <rPr>
        <sz val="10"/>
        <color theme="1"/>
        <rFont val="游ゴシック"/>
        <family val="3"/>
        <charset val="128"/>
        <scheme val="minor"/>
      </rPr>
      <t>)</t>
    </r>
    <phoneticPr fontId="2"/>
  </si>
  <si>
    <t>J22L1302-02-01</t>
    <phoneticPr fontId="2"/>
  </si>
  <si>
    <t>単価
(円/m)</t>
    <phoneticPr fontId="2"/>
  </si>
  <si>
    <t>C16-CL-EM_220614_BT70-1</t>
  </si>
  <si>
    <t>塩ビ（白)</t>
    <rPh sb="0" eb="1">
      <t>エン</t>
    </rPh>
    <rPh sb="3" eb="4">
      <t>シロ</t>
    </rPh>
    <phoneticPr fontId="2"/>
  </si>
  <si>
    <t>J22I0801-01</t>
    <phoneticPr fontId="2"/>
  </si>
  <si>
    <t>J23A1101-01-01</t>
    <phoneticPr fontId="2"/>
  </si>
  <si>
    <t>J23A1101-02-01</t>
    <phoneticPr fontId="2"/>
  </si>
  <si>
    <t>マグネットシート（白）</t>
    <rPh sb="9" eb="10">
      <t>シロ</t>
    </rPh>
    <phoneticPr fontId="2"/>
  </si>
  <si>
    <t>使った材料</t>
    <rPh sb="0" eb="1">
      <t>ツカ</t>
    </rPh>
    <rPh sb="3" eb="5">
      <t>ザイリョウ</t>
    </rPh>
    <phoneticPr fontId="2"/>
  </si>
  <si>
    <t xml:space="preserve">C16-CL-EM_20220614_9 </t>
    <phoneticPr fontId="2"/>
  </si>
  <si>
    <t>品名</t>
    <rPh sb="0" eb="2">
      <t>ヒンメイ</t>
    </rPh>
    <phoneticPr fontId="2"/>
  </si>
  <si>
    <t>カラー</t>
    <phoneticPr fontId="2"/>
  </si>
  <si>
    <t>Lot</t>
    <phoneticPr fontId="2"/>
  </si>
  <si>
    <t>幅(m)</t>
    <rPh sb="0" eb="1">
      <t>ハバ</t>
    </rPh>
    <phoneticPr fontId="2"/>
  </si>
  <si>
    <t>長さ合計(ｍ)</t>
    <rPh sb="0" eb="1">
      <t>ナガ</t>
    </rPh>
    <rPh sb="2" eb="4">
      <t>ゴウケイ</t>
    </rPh>
    <phoneticPr fontId="2"/>
  </si>
  <si>
    <t>総面積(㎡)</t>
    <rPh sb="0" eb="1">
      <t>ソウ</t>
    </rPh>
    <rPh sb="1" eb="3">
      <t>メンセキ</t>
    </rPh>
    <phoneticPr fontId="2"/>
  </si>
  <si>
    <t>単価(㎡)</t>
    <rPh sb="0" eb="2">
      <t>タンカ</t>
    </rPh>
    <phoneticPr fontId="2"/>
  </si>
  <si>
    <t>原価</t>
    <rPh sb="0" eb="2">
      <t>ゲンカ</t>
    </rPh>
    <phoneticPr fontId="2"/>
  </si>
  <si>
    <t>保管場所</t>
    <rPh sb="0" eb="4">
      <t>ホカンバショ</t>
    </rPh>
    <phoneticPr fontId="2"/>
  </si>
  <si>
    <t>生産月</t>
    <rPh sb="0" eb="3">
      <t>セイサンツキ</t>
    </rPh>
    <phoneticPr fontId="2"/>
  </si>
  <si>
    <t>SPACECOOLフィルム</t>
    <phoneticPr fontId="2"/>
  </si>
  <si>
    <t>ホワイトマット</t>
    <phoneticPr fontId="2"/>
  </si>
  <si>
    <t>WM0001-1-MXJ-K2-25M_デコラティブ</t>
    <phoneticPr fontId="2"/>
  </si>
  <si>
    <t>デコラティブ</t>
    <phoneticPr fontId="2"/>
  </si>
  <si>
    <t>シルバーマット</t>
    <phoneticPr fontId="2"/>
  </si>
  <si>
    <t>SC-SVMT210325_1-2-A-MX-BW-25</t>
    <phoneticPr fontId="2"/>
  </si>
  <si>
    <t>大阪ガスから500円／㎡</t>
    <rPh sb="0" eb="2">
      <t>オオサカ</t>
    </rPh>
    <rPh sb="9" eb="10">
      <t>エン</t>
    </rPh>
    <phoneticPr fontId="2"/>
  </si>
  <si>
    <t>SM0001-8-MXJ-K2-25M</t>
    <phoneticPr fontId="2"/>
  </si>
  <si>
    <t>SPACECOOL防炎ターポリン</t>
    <phoneticPr fontId="2"/>
  </si>
  <si>
    <t>WM0002-CAP-TP50F-20220221-5_3M</t>
    <phoneticPr fontId="2"/>
  </si>
  <si>
    <t>山本運輸</t>
    <rPh sb="0" eb="4">
      <t>ヤマモトウンユ</t>
    </rPh>
    <phoneticPr fontId="2"/>
  </si>
  <si>
    <t>SPACECOOL防炎ターポリン</t>
  </si>
  <si>
    <t>WM0002-CAP-TP50F-20220221-5</t>
  </si>
  <si>
    <t>WM0002-CAP-TP50F-20220221-6</t>
  </si>
  <si>
    <t>山本運輸</t>
    <rPh sb="0" eb="2">
      <t>ヤマモト</t>
    </rPh>
    <rPh sb="2" eb="4">
      <t>ウンユ</t>
    </rPh>
    <phoneticPr fontId="2"/>
  </si>
  <si>
    <t>SPACECOOL帆布</t>
    <rPh sb="9" eb="11">
      <t>ハンプ</t>
    </rPh>
    <phoneticPr fontId="2"/>
  </si>
  <si>
    <t>SM0001-7-CAP-GL-3_切り出し用</t>
    <rPh sb="18" eb="19">
      <t>キ</t>
    </rPh>
    <rPh sb="20" eb="21">
      <t>ダ</t>
    </rPh>
    <rPh sb="22" eb="23">
      <t>ヨウ</t>
    </rPh>
    <phoneticPr fontId="2"/>
  </si>
  <si>
    <t>SM0001-7-CAP-GL-6</t>
  </si>
  <si>
    <t>SM0001-7-CAP-GL-7</t>
  </si>
  <si>
    <t>SPACECOOLシート</t>
    <phoneticPr fontId="2"/>
  </si>
  <si>
    <t>SM0001-7-CAP-KU-20211102-3</t>
  </si>
  <si>
    <t>SM0001-7-CAP-KU-20211102-4</t>
  </si>
  <si>
    <t>WHMTe0000a-CAP-KU-20211102-6</t>
    <phoneticPr fontId="2"/>
  </si>
  <si>
    <t>WHMTe0000a-CAP-KU-20211102-7_切り出し用</t>
    <rPh sb="29" eb="30">
      <t>キ</t>
    </rPh>
    <rPh sb="31" eb="32">
      <t>ダ</t>
    </rPh>
    <rPh sb="33" eb="34">
      <t>ヨウ</t>
    </rPh>
    <phoneticPr fontId="2"/>
  </si>
  <si>
    <t>SPACECOOL不燃膜材料</t>
    <rPh sb="9" eb="11">
      <t>フネン</t>
    </rPh>
    <rPh sb="11" eb="12">
      <t>マク</t>
    </rPh>
    <rPh sb="12" eb="14">
      <t>ザイリョウ</t>
    </rPh>
    <phoneticPr fontId="2"/>
  </si>
  <si>
    <t>SM0002-CAP-B-220119-2</t>
    <phoneticPr fontId="2"/>
  </si>
  <si>
    <t>WM0002-CAP-B-220119-5</t>
  </si>
  <si>
    <t>WM0002-CAP-B-220119-3</t>
  </si>
  <si>
    <t>SPACECOOL帆布(防炎)</t>
    <rPh sb="9" eb="11">
      <t>ハンプ</t>
    </rPh>
    <rPh sb="12" eb="14">
      <t>ボウエン</t>
    </rPh>
    <phoneticPr fontId="2"/>
  </si>
  <si>
    <t>SC-WHSH210325_3-2-A-CAPC-3-1</t>
    <phoneticPr fontId="2"/>
  </si>
  <si>
    <t>SC-WHSH210325_3-2-A-CAPC-3-2切り出し用</t>
    <rPh sb="28" eb="29">
      <t>キ</t>
    </rPh>
    <rPh sb="30" eb="31">
      <t>ダ</t>
    </rPh>
    <rPh sb="32" eb="33">
      <t>ヨウ</t>
    </rPh>
    <phoneticPr fontId="2"/>
  </si>
  <si>
    <t>SC-SVSH210325_1-1-A-CAPC-6-1</t>
    <phoneticPr fontId="2"/>
  </si>
  <si>
    <t>SC-SVSH210325_1-1-A-CAPC-6-2</t>
    <phoneticPr fontId="2"/>
  </si>
  <si>
    <t>シルバー光沢</t>
    <rPh sb="4" eb="6">
      <t>コウタク</t>
    </rPh>
    <phoneticPr fontId="2"/>
  </si>
  <si>
    <t>SS0001-3-MXJ-K2</t>
    <phoneticPr fontId="2"/>
  </si>
  <si>
    <t>入江運輸</t>
    <rPh sb="0" eb="2">
      <t>イリエ</t>
    </rPh>
    <rPh sb="2" eb="4">
      <t>ウンユ</t>
    </rPh>
    <phoneticPr fontId="2"/>
  </si>
  <si>
    <t>ホワイト光沢</t>
    <rPh sb="4" eb="6">
      <t>コウタク</t>
    </rPh>
    <phoneticPr fontId="2"/>
  </si>
  <si>
    <t>WS0001-5-1～7</t>
    <phoneticPr fontId="2"/>
  </si>
  <si>
    <t>WS0001-5-8</t>
    <phoneticPr fontId="2"/>
  </si>
  <si>
    <t>SM0002-MXJ-K2-220127_38</t>
    <phoneticPr fontId="2"/>
  </si>
  <si>
    <t>オガサハラ</t>
    <phoneticPr fontId="2"/>
  </si>
  <si>
    <t>SM0002-MXJ-K2-220127_39</t>
    <phoneticPr fontId="2"/>
  </si>
  <si>
    <t>WM0002-MXJ-K2-220127_1-32_b</t>
    <phoneticPr fontId="2"/>
  </si>
  <si>
    <t>WM0002-MXJ-K2-220127_1-18_c</t>
    <phoneticPr fontId="2"/>
  </si>
  <si>
    <t>SPACECOOLフィルム(強粘着)</t>
    <rPh sb="14" eb="15">
      <t>キョウ</t>
    </rPh>
    <rPh sb="15" eb="17">
      <t>ネンチャク</t>
    </rPh>
    <phoneticPr fontId="2"/>
  </si>
  <si>
    <t>SM0002-MXJ-R8-220224_1-4</t>
    <phoneticPr fontId="2"/>
  </si>
  <si>
    <t>WM0002-MXJ-R8-220224_1-7</t>
    <phoneticPr fontId="2"/>
  </si>
  <si>
    <t>WM0002-MXJ-R8-220224_8_切り出し用</t>
    <rPh sb="23" eb="24">
      <t>キ</t>
    </rPh>
    <rPh sb="25" eb="26">
      <t>ダ</t>
    </rPh>
    <rPh sb="27" eb="28">
      <t>ヨウ</t>
    </rPh>
    <phoneticPr fontId="2"/>
  </si>
  <si>
    <t>WHMT（粘着加工なし）</t>
    <rPh sb="5" eb="9">
      <t>ネンチャクカコウ</t>
    </rPh>
    <phoneticPr fontId="5"/>
  </si>
  <si>
    <t>ホワイトマット</t>
  </si>
  <si>
    <t>WM0001-2</t>
    <phoneticPr fontId="2"/>
  </si>
  <si>
    <t>SVMT（粘着加工なし）</t>
    <rPh sb="5" eb="9">
      <t>ネンチャクカコウ</t>
    </rPh>
    <phoneticPr fontId="5"/>
  </si>
  <si>
    <t>シルバーマット</t>
  </si>
  <si>
    <t>SM0001-9</t>
  </si>
  <si>
    <t>SM0001-7</t>
  </si>
  <si>
    <t>WHSH（粘着加工なし）</t>
    <phoneticPr fontId="2"/>
  </si>
  <si>
    <t>WS0001-5</t>
  </si>
  <si>
    <t>鴻池運輸</t>
    <rPh sb="0" eb="4">
      <t>コウノイケウンユ</t>
    </rPh>
    <phoneticPr fontId="2"/>
  </si>
  <si>
    <t>WS0001-4</t>
  </si>
  <si>
    <t>WS0001-6</t>
  </si>
  <si>
    <t>SVSH（粘着加工なし）</t>
    <phoneticPr fontId="2"/>
  </si>
  <si>
    <t>SS0001-3</t>
  </si>
  <si>
    <t>J21L2201-09</t>
    <phoneticPr fontId="2"/>
  </si>
  <si>
    <t>SC-30</t>
    <phoneticPr fontId="2"/>
  </si>
  <si>
    <t>SC-SVMT200521-MXB</t>
    <phoneticPr fontId="2"/>
  </si>
  <si>
    <t>SC-SVSH200521-MXB</t>
    <phoneticPr fontId="2"/>
  </si>
  <si>
    <t>大阪ガスから501円／㎡</t>
    <rPh sb="0" eb="2">
      <t>オオサカ</t>
    </rPh>
    <rPh sb="9" eb="10">
      <t>エン</t>
    </rPh>
    <phoneticPr fontId="2"/>
  </si>
  <si>
    <t>SC-SVSH200521-MXB_切り出し用_①</t>
  </si>
  <si>
    <t>大阪ガスから502円／㎡</t>
    <rPh sb="0" eb="2">
      <t>オオサカ</t>
    </rPh>
    <rPh sb="9" eb="10">
      <t>エン</t>
    </rPh>
    <phoneticPr fontId="2"/>
  </si>
  <si>
    <t>SC-SVMT210325_1-2-A-MX-BW-25M</t>
  </si>
  <si>
    <t>SC-SVMT210325_1-2-A-MX-BW-25M_切り出し用</t>
  </si>
  <si>
    <t>SC-SVMT210325_4-A-MD-25M</t>
  </si>
  <si>
    <t>SC-SVMT210325_5-A-ME-25M</t>
  </si>
  <si>
    <t>SC-SVMT210325_5-A-ME-5M_切り出し用</t>
  </si>
  <si>
    <t>SC-SVMT210325_5-A-MF-25M</t>
  </si>
  <si>
    <t>SC-WHMT210325_2-A-MX-BW-25M</t>
  </si>
  <si>
    <t>大阪ガスから508円／㎡</t>
    <rPh sb="0" eb="2">
      <t>オオサカ</t>
    </rPh>
    <rPh sb="9" eb="10">
      <t>エン</t>
    </rPh>
    <phoneticPr fontId="2"/>
  </si>
  <si>
    <t>SVMTe0000a-MXB-25M</t>
  </si>
  <si>
    <t>SC-SVMT210325_1-2-A-MX-BW-25M_切り出し用②</t>
  </si>
  <si>
    <t>SM0001-7-CAP-KU-20211102-1</t>
  </si>
  <si>
    <t>SM0001-7-CAP-KU-20211102-5</t>
  </si>
  <si>
    <t>WHMTe0000a-MXJ-AS-24M_切り出し用_②(2m)</t>
  </si>
  <si>
    <t>大阪ガスから510円／㎡</t>
    <rPh sb="0" eb="2">
      <t>オオサカ</t>
    </rPh>
    <rPh sb="9" eb="10">
      <t>エン</t>
    </rPh>
    <phoneticPr fontId="2"/>
  </si>
  <si>
    <t>WHMTe0000a-MXJ-AS-25M</t>
  </si>
  <si>
    <t>WHMTe0000a-MXJ-K1-25M</t>
  </si>
  <si>
    <t>SS0001-3-MXJ-K2-10M_切り出し用_①</t>
  </si>
  <si>
    <t>9月</t>
    <rPh sb="1" eb="2">
      <t>ガツ</t>
    </rPh>
    <phoneticPr fontId="2"/>
  </si>
  <si>
    <t>WHMTe0000a-MXJ-AS-25M_切り出し用</t>
  </si>
  <si>
    <t>WHMT0000a-CAP-TP50F-20220425-2</t>
  </si>
  <si>
    <t>WHMT0000a-CAP-TP50F-20220425-3</t>
  </si>
  <si>
    <t>J22D0701-1</t>
    <phoneticPr fontId="2"/>
  </si>
  <si>
    <t>SC-3</t>
    <phoneticPr fontId="2"/>
  </si>
  <si>
    <t>J22D0701-2</t>
  </si>
  <si>
    <t>J22D0701-3</t>
    <phoneticPr fontId="2"/>
  </si>
  <si>
    <t>SC-6</t>
    <phoneticPr fontId="2"/>
  </si>
  <si>
    <t>J22D0701-4</t>
    <phoneticPr fontId="2"/>
  </si>
  <si>
    <t>WM0002-MXJ-K2-220422_1-20_a</t>
    <phoneticPr fontId="2"/>
  </si>
  <si>
    <t>入江運輸</t>
    <rPh sb="0" eb="4">
      <t>イリエウンユ</t>
    </rPh>
    <phoneticPr fontId="2"/>
  </si>
  <si>
    <t>WM0002-MXJ-K2-220422_1-30_b</t>
    <phoneticPr fontId="2"/>
  </si>
  <si>
    <t>WM0002-MXJ-K2-220422_31_b</t>
  </si>
  <si>
    <t>WM0002-MXJ-K2-220422_1-38_c</t>
    <phoneticPr fontId="2"/>
  </si>
  <si>
    <t>WM0002-MXJ-K2-220422_39_c</t>
  </si>
  <si>
    <t>SM0002-MXJ-K2-220422_1-12</t>
  </si>
  <si>
    <t>SM0003-MXJ-K2-220422_1-25</t>
    <phoneticPr fontId="2"/>
  </si>
  <si>
    <t>塩ビ</t>
    <rPh sb="0" eb="1">
      <t>エン</t>
    </rPh>
    <phoneticPr fontId="2"/>
  </si>
  <si>
    <t>白</t>
    <rPh sb="0" eb="1">
      <t>シロ</t>
    </rPh>
    <phoneticPr fontId="2"/>
  </si>
  <si>
    <t>鴻池運輸</t>
    <rPh sb="0" eb="2">
      <t>コウノイケ</t>
    </rPh>
    <rPh sb="2" eb="4">
      <t>ウンユ</t>
    </rPh>
    <phoneticPr fontId="2"/>
  </si>
  <si>
    <t>SC-32</t>
    <phoneticPr fontId="2"/>
  </si>
  <si>
    <t>WM0004-MXJ-K2-220713</t>
    <phoneticPr fontId="2"/>
  </si>
  <si>
    <t>WM0004-MXJ-K2-220713-40</t>
    <phoneticPr fontId="2"/>
  </si>
  <si>
    <t>WM0002-MXJ-K2-220713-1_39</t>
    <phoneticPr fontId="2"/>
  </si>
  <si>
    <t>SM0002-MXJ-K2-220713-36</t>
    <phoneticPr fontId="2"/>
  </si>
  <si>
    <t>SM0002-MXJ-K2-220713-37</t>
    <phoneticPr fontId="2"/>
  </si>
  <si>
    <t>SM0002-MXJ-K2-220713-38</t>
    <phoneticPr fontId="2"/>
  </si>
  <si>
    <t>SM0002-MXJ-K2-220713-39</t>
    <phoneticPr fontId="2"/>
  </si>
  <si>
    <t>SM0002-MXJ-K2-220713-41</t>
    <phoneticPr fontId="2"/>
  </si>
  <si>
    <t>SM0002-MXJ-K2-220713-1_35</t>
    <phoneticPr fontId="2"/>
  </si>
  <si>
    <t>J22F2902-05</t>
    <phoneticPr fontId="2"/>
  </si>
  <si>
    <t>SC-15</t>
    <phoneticPr fontId="2"/>
  </si>
  <si>
    <t>J22F2902-06</t>
  </si>
  <si>
    <t>WM0002-CAPC-20220719-3</t>
  </si>
  <si>
    <t>WM0002-CAPC-20220719-4_切り出し用</t>
    <rPh sb="23" eb="24">
      <t>キ</t>
    </rPh>
    <rPh sb="25" eb="26">
      <t>ダ</t>
    </rPh>
    <rPh sb="27" eb="28">
      <t>ヨウ</t>
    </rPh>
    <phoneticPr fontId="2"/>
  </si>
  <si>
    <t>SPACECOOL帆布</t>
    <phoneticPr fontId="2"/>
  </si>
  <si>
    <t>WM0002-CAP-GL-20220719-4</t>
  </si>
  <si>
    <t>WM0002-CAP-GL-20220719-5</t>
  </si>
  <si>
    <t>WM0002-CAP-GL-20220719-6</t>
  </si>
  <si>
    <t>WM0002-CAP-GL-20220719-7</t>
  </si>
  <si>
    <t>WM0002-CAP-GL-20220719-8</t>
  </si>
  <si>
    <t>WM0002-CAP-GL-20220719-9</t>
  </si>
  <si>
    <t>WM0002-CAP-GL-20220719-10_切り出し用</t>
    <rPh sb="26" eb="27">
      <t>キ</t>
    </rPh>
    <rPh sb="28" eb="29">
      <t>ダ</t>
    </rPh>
    <rPh sb="30" eb="31">
      <t>ヨウ</t>
    </rPh>
    <phoneticPr fontId="2"/>
  </si>
  <si>
    <t>透明</t>
    <rPh sb="0" eb="2">
      <t>トウメイ</t>
    </rPh>
    <phoneticPr fontId="2"/>
  </si>
  <si>
    <t>A6-CL-EM_20220801-2</t>
  </si>
  <si>
    <t>A6-CL-EM_20220801-5</t>
    <phoneticPr fontId="2"/>
  </si>
  <si>
    <t>SC-17</t>
    <phoneticPr fontId="2"/>
  </si>
  <si>
    <t>A6-CL-EM_20220801-6</t>
  </si>
  <si>
    <t>SC-18</t>
    <phoneticPr fontId="2"/>
  </si>
  <si>
    <t>A6-CL-EM_20220801-7</t>
  </si>
  <si>
    <t>A6-CL-EM_20220801-8</t>
  </si>
  <si>
    <t>A6-CL-EM_20220801-9</t>
  </si>
  <si>
    <t>A6-CL-EM_20220801-10</t>
  </si>
  <si>
    <t>WHMTe0000a-CAP-GL-8</t>
    <phoneticPr fontId="2"/>
  </si>
  <si>
    <t>WM0001-2-MXJ-K2-25M</t>
    <phoneticPr fontId="2"/>
  </si>
  <si>
    <t>ジェイトリム</t>
    <phoneticPr fontId="2"/>
  </si>
  <si>
    <t>WM0004-MXJ-K2-220713-39</t>
    <phoneticPr fontId="2"/>
  </si>
  <si>
    <t>エクシング</t>
    <phoneticPr fontId="2"/>
  </si>
  <si>
    <t>WM0002-MXJ-K2-220127_1-34_a_セイリツ</t>
    <phoneticPr fontId="2"/>
  </si>
  <si>
    <t>セイリツ工業</t>
    <rPh sb="4" eb="6">
      <t>コウギョウ</t>
    </rPh>
    <phoneticPr fontId="2"/>
  </si>
  <si>
    <t>WM0001-1-MXJ-K2-25M</t>
    <phoneticPr fontId="2"/>
  </si>
  <si>
    <t>2022年8月セイリツ工業分返却</t>
    <rPh sb="4" eb="5">
      <t>ネン</t>
    </rPh>
    <rPh sb="6" eb="7">
      <t>ガツ</t>
    </rPh>
    <rPh sb="11" eb="13">
      <t>コウギョウ</t>
    </rPh>
    <rPh sb="13" eb="14">
      <t>ブン</t>
    </rPh>
    <rPh sb="14" eb="16">
      <t>ヘンキャク</t>
    </rPh>
    <phoneticPr fontId="2"/>
  </si>
  <si>
    <t>SM0004-MXJ-K2-220903-1_10</t>
  </si>
  <si>
    <t>SM0004-MXJ-K2-220903-11</t>
  </si>
  <si>
    <t>SM0004-MXJ-K2-220903-12</t>
  </si>
  <si>
    <t>SM0004-MXJ-K2-220903-13</t>
  </si>
  <si>
    <t>SM0004-MXJ-K2-220921-1_39_a</t>
  </si>
  <si>
    <t>SM0004-MXJ-K2-220921-40_a</t>
  </si>
  <si>
    <t>SM0004-MXJ-K2-220921-1_38_b</t>
  </si>
  <si>
    <t>SM0004-MXJ-K2-220921-39_b</t>
  </si>
  <si>
    <t>SM0004-MXJ-K2-220921-40_b</t>
  </si>
  <si>
    <t>SM0004-MXJ-K2-220921-1_38_c</t>
  </si>
  <si>
    <t>SM0004-MXJ-K2-220921-39_c</t>
  </si>
  <si>
    <t>SM0004-MXJ-K2-220921-40_c</t>
  </si>
  <si>
    <t>SM0004-MXJ-K2-220921-41_c</t>
  </si>
  <si>
    <t>WM0004-MXJ-K2-220921-1_8_a</t>
  </si>
  <si>
    <t>WM0004-MXJ-K2-220921-9_a</t>
  </si>
  <si>
    <t>WM0004-MXJ-K2-220921-1_36_b</t>
  </si>
  <si>
    <t>WM0004-MXJ-K2-220921-37_b</t>
  </si>
  <si>
    <t>WM0004-MXJ-K2-220921-39_b</t>
  </si>
  <si>
    <t>WM0004-MXJ-K2-220921-40_b</t>
  </si>
  <si>
    <t>WM0004-MXJ-K2-220921-41_b</t>
  </si>
  <si>
    <t>WM0004-MXJ-K2-220921-42_b</t>
  </si>
  <si>
    <t>WM0004-MXJ-K2-220921-1_37_c</t>
  </si>
  <si>
    <t>WM0004-MXJ-K2-220921-38_c</t>
  </si>
  <si>
    <t>WM0004-MXJ-K2-220921-39_c</t>
  </si>
  <si>
    <t>SM0002-CAP-TP50F-20220221-2</t>
  </si>
  <si>
    <t>SM0002-CAP-TP50F-20220221-1</t>
  </si>
  <si>
    <t>SM0002-CAP-TP50F-20220221-2_切り出し用</t>
  </si>
  <si>
    <t>WM0002-CAP-TP50F-20220221-9_切り出し用</t>
    <rPh sb="28" eb="29">
      <t>キ</t>
    </rPh>
    <rPh sb="30" eb="31">
      <t>ダ</t>
    </rPh>
    <rPh sb="32" eb="33">
      <t>ヨウ</t>
    </rPh>
    <phoneticPr fontId="1"/>
  </si>
  <si>
    <t>WM0002-CAP-TP50F-20220425-17</t>
  </si>
  <si>
    <t>SC-23</t>
    <phoneticPr fontId="2"/>
  </si>
  <si>
    <t>J22I0801-02</t>
  </si>
  <si>
    <t>J22I0801-03</t>
  </si>
  <si>
    <t>SC-24</t>
    <phoneticPr fontId="2"/>
  </si>
  <si>
    <t>J22I0801-04</t>
  </si>
  <si>
    <t>J22I0801-05</t>
  </si>
  <si>
    <t>SC-25</t>
    <phoneticPr fontId="2"/>
  </si>
  <si>
    <t>J22I0801-06</t>
  </si>
  <si>
    <t>J22I0801-09</t>
  </si>
  <si>
    <t>SC-27</t>
    <phoneticPr fontId="2"/>
  </si>
  <si>
    <t>J22I0801-11</t>
    <phoneticPr fontId="2"/>
  </si>
  <si>
    <t>J22I0801-10</t>
  </si>
  <si>
    <t>SC-28</t>
    <phoneticPr fontId="2"/>
  </si>
  <si>
    <t>SM0001-7-CAP-GL-20220830-1</t>
  </si>
  <si>
    <t>SM0001-7-CAP-GL-20220830-2</t>
  </si>
  <si>
    <t>SM0001-7-CAP-GL-20220830-3</t>
  </si>
  <si>
    <t>SM0001-7-CAP-GL-20220830-4</t>
  </si>
  <si>
    <t>WM0004-CAP-GL-20220830-5</t>
  </si>
  <si>
    <t>WM0004-CAP-GL-20220830-6</t>
  </si>
  <si>
    <t>WM0004-CAP-GL-20220830-7</t>
  </si>
  <si>
    <t>WM0004-CAP-GL-20220830-8</t>
  </si>
  <si>
    <t>WM0004-CAP-GL-20220830-9</t>
  </si>
  <si>
    <t>WM0004-CAP-B-220913-1</t>
  </si>
  <si>
    <t>WM0004-CAP-B-220913-2</t>
  </si>
  <si>
    <t>WM0004-CAP-B-220913-3</t>
  </si>
  <si>
    <t>WM0004-CAP-B-220913-4</t>
  </si>
  <si>
    <t>WM0004-CAP-B-220913-5</t>
  </si>
  <si>
    <t>WM0004-CAP-B-220913-7</t>
  </si>
  <si>
    <t>WM0004-CAP-B-220913-8</t>
  </si>
  <si>
    <t>WM0004-CAP-B-220913-9</t>
  </si>
  <si>
    <t>SPACECOOL不燃膜材料</t>
    <phoneticPr fontId="2"/>
  </si>
  <si>
    <t>SM0002-CAP-B-220913-11</t>
  </si>
  <si>
    <t>SM0002-CAP-B-220913-12</t>
  </si>
  <si>
    <t>SM0002-CAP-B-220913-13</t>
  </si>
  <si>
    <t>SM0002-CAP-B-220913-14</t>
  </si>
  <si>
    <t>SM0002-CAP-B-220913-15</t>
  </si>
  <si>
    <t>SM0002-CAP-B-220913-16</t>
  </si>
  <si>
    <t>SM0002-CAP-B-220913-17</t>
  </si>
  <si>
    <t>SM0002-CAP-B-220913-18</t>
  </si>
  <si>
    <t>研究開発</t>
    <rPh sb="0" eb="2">
      <t>ケンキュウ</t>
    </rPh>
    <rPh sb="2" eb="4">
      <t>カイハツ</t>
    </rPh>
    <phoneticPr fontId="2"/>
  </si>
  <si>
    <t>ー</t>
    <phoneticPr fontId="2"/>
  </si>
  <si>
    <t>E5100 38μ</t>
    <phoneticPr fontId="2"/>
  </si>
  <si>
    <t>SC-33</t>
    <phoneticPr fontId="2"/>
  </si>
  <si>
    <t>3291055-005</t>
    <phoneticPr fontId="2"/>
  </si>
  <si>
    <t>J22I0802-01</t>
    <phoneticPr fontId="2"/>
  </si>
  <si>
    <t>SC-31</t>
    <phoneticPr fontId="2"/>
  </si>
  <si>
    <t>J22I2101-01</t>
  </si>
  <si>
    <t>SC-29</t>
    <phoneticPr fontId="2"/>
  </si>
  <si>
    <t>SM0003-MXJ-K2-220422_26</t>
    <phoneticPr fontId="2"/>
  </si>
  <si>
    <t>C16-CL-EM_20221101-1</t>
  </si>
  <si>
    <t>SC-34</t>
  </si>
  <si>
    <t>C16-CL-EM_20221101-2</t>
  </si>
  <si>
    <t>C16-CL-EM_20221101-3</t>
  </si>
  <si>
    <t>C16-CL-EM_20221101-4</t>
  </si>
  <si>
    <t>C16-CL-EM_20221101-5</t>
  </si>
  <si>
    <t>C16-CL-EM_20221101-6</t>
  </si>
  <si>
    <t>SC-35</t>
  </si>
  <si>
    <t>C16-CL-EM_20221101-7</t>
  </si>
  <si>
    <t>C16-CL-EM_20221101-8</t>
  </si>
  <si>
    <t>C16-CL-EM_20221101-9</t>
  </si>
  <si>
    <t>C16-CL-EM_20221101-10</t>
  </si>
  <si>
    <t>PET</t>
  </si>
  <si>
    <t>OIP221110-1</t>
  </si>
  <si>
    <t>SC-36</t>
  </si>
  <si>
    <t>OIP221110-2</t>
  </si>
  <si>
    <t>SC-37</t>
  </si>
  <si>
    <t>OIP221110-3</t>
  </si>
  <si>
    <t>SC-38</t>
  </si>
  <si>
    <t>OIP221110-4</t>
  </si>
  <si>
    <t>SC-39</t>
  </si>
  <si>
    <t>OIP221110-5</t>
  </si>
  <si>
    <t>SC-40</t>
  </si>
  <si>
    <t>OIP221110-6</t>
  </si>
  <si>
    <t>SC-41</t>
  </si>
  <si>
    <t>ファブリック</t>
    <phoneticPr fontId="2"/>
  </si>
  <si>
    <t>SPC1074_202210-A</t>
  </si>
  <si>
    <t>小松マテーレ</t>
    <rPh sb="0" eb="2">
      <t>コマツ</t>
    </rPh>
    <phoneticPr fontId="2"/>
  </si>
  <si>
    <t>WM0004-CAPC-202211102-1</t>
  </si>
  <si>
    <t>WM0004-CAPC-202211102-2</t>
  </si>
  <si>
    <t>WM0004-CAPC-202211102-3</t>
  </si>
  <si>
    <t>WM0004-CAPC-202211102-4</t>
  </si>
  <si>
    <t>WM0004-CAPC-202211102-5</t>
  </si>
  <si>
    <t>SM0002-CAPC-202211102-7</t>
  </si>
  <si>
    <t>SM0002-CAPC-202211102-8</t>
  </si>
  <si>
    <t>SM0002-CAPC-202211102-9</t>
  </si>
  <si>
    <t>SM0002-CAPC-202211102-10</t>
  </si>
  <si>
    <t>WM0004-CAPC-202211102-11</t>
  </si>
  <si>
    <t>WM0004-CAPC-202211102-12</t>
  </si>
  <si>
    <t>WM0004-CAPC-202211102-13</t>
  </si>
  <si>
    <t>WM0004-CAPC-202211102-14</t>
  </si>
  <si>
    <t>WM0004-CAPC-202211102-15</t>
  </si>
  <si>
    <t>WM0004-CAPC-202211102-16</t>
  </si>
  <si>
    <t>WM0004-CAPC-202211102-17</t>
  </si>
  <si>
    <t>WM0004-CAPC-202211102-18</t>
  </si>
  <si>
    <t>WM0004-CAPC-202211102-19</t>
  </si>
  <si>
    <t>WM0004-CAPC-202211102-20</t>
  </si>
  <si>
    <t>SC-42</t>
    <phoneticPr fontId="2"/>
  </si>
  <si>
    <t>WM000X-CAP-TP50F-20221103-1</t>
  </si>
  <si>
    <t>-</t>
    <phoneticPr fontId="2"/>
  </si>
  <si>
    <t>SC-43</t>
    <phoneticPr fontId="2"/>
  </si>
  <si>
    <t>C16-CL-EM_220614_BT70-2</t>
  </si>
  <si>
    <t>C16-CL-EM_220614_BT70-3</t>
  </si>
  <si>
    <t>銀</t>
    <rPh sb="0" eb="1">
      <t>ギン</t>
    </rPh>
    <phoneticPr fontId="8"/>
  </si>
  <si>
    <t>白</t>
    <rPh sb="0" eb="1">
      <t>シロ</t>
    </rPh>
    <phoneticPr fontId="8"/>
  </si>
  <si>
    <t>ファブリック</t>
  </si>
  <si>
    <t>SPC1074-202212-C</t>
  </si>
  <si>
    <t>原料</t>
    <rPh sb="0" eb="2">
      <t>ゲンリョウ</t>
    </rPh>
    <phoneticPr fontId="2"/>
  </si>
  <si>
    <t>両面塩ビフィルム</t>
    <rPh sb="0" eb="2">
      <t>リョウメン</t>
    </rPh>
    <rPh sb="2" eb="3">
      <t>エン</t>
    </rPh>
    <phoneticPr fontId="2"/>
  </si>
  <si>
    <t>2023月2月</t>
    <rPh sb="4" eb="5">
      <t>ガツ</t>
    </rPh>
    <rPh sb="6" eb="7">
      <t>ガツ</t>
    </rPh>
    <phoneticPr fontId="3"/>
  </si>
  <si>
    <t>SC-43</t>
  </si>
  <si>
    <t>SC-44</t>
  </si>
  <si>
    <t>WM0002-MXJ-K2-220422_40_c</t>
    <phoneticPr fontId="2"/>
  </si>
  <si>
    <t>SPC1074-2</t>
    <phoneticPr fontId="2"/>
  </si>
  <si>
    <t>C16-CL-EM_20220614_9</t>
    <phoneticPr fontId="2"/>
  </si>
  <si>
    <t>SPC1074-202212-A</t>
    <phoneticPr fontId="2"/>
  </si>
  <si>
    <t>SPC1074_202210-C</t>
    <phoneticPr fontId="2"/>
  </si>
  <si>
    <t>WM0001-1-MXJ-K2-25M_切り出し用</t>
    <phoneticPr fontId="2"/>
  </si>
  <si>
    <t>WHMTe0000a-CAP-GL-11</t>
    <phoneticPr fontId="2"/>
  </si>
  <si>
    <t>SM0001-7-CAP-GL-10</t>
    <phoneticPr fontId="2"/>
  </si>
  <si>
    <t>合計 / 原価</t>
  </si>
  <si>
    <t>行ラベル</t>
  </si>
  <si>
    <t>塩ビ</t>
  </si>
  <si>
    <t>総計</t>
  </si>
  <si>
    <t>両面塩ビフィルム（白)</t>
    <rPh sb="0" eb="2">
      <t>リョウメン</t>
    </rPh>
    <rPh sb="2" eb="3">
      <t>エン</t>
    </rPh>
    <rPh sb="9" eb="10">
      <t>シロ</t>
    </rPh>
    <phoneticPr fontId="2"/>
  </si>
  <si>
    <t>材料</t>
    <rPh sb="0" eb="2">
      <t>ザイリョウ</t>
    </rPh>
    <phoneticPr fontId="2"/>
  </si>
  <si>
    <t>WM0005-MAG-M04I-20230127-1</t>
    <phoneticPr fontId="2"/>
  </si>
  <si>
    <t>WM0005-MAG-M04I-20230127-2</t>
  </si>
  <si>
    <t>WM0005-MAG-M04I-20230127-3</t>
  </si>
  <si>
    <t>WM0005-MAG-M04I-20230127-4</t>
  </si>
  <si>
    <t>WM0005-MAG-M04I-20230127-5</t>
  </si>
  <si>
    <t>WM0005-MAG-M04I-20230127-6</t>
  </si>
  <si>
    <t>WM0005-MAG-M04I-20230127-7</t>
  </si>
  <si>
    <t>WM0005-MAG-M04I-20230127-8</t>
  </si>
  <si>
    <t>WM0005-MAG-M04I-20230127-9</t>
  </si>
  <si>
    <t>WM0005-MAG-M04I-20230127-10</t>
  </si>
  <si>
    <t>WM0002-CAPC-20220719-4_切り出し用</t>
    <phoneticPr fontId="2"/>
  </si>
  <si>
    <t>両面塩ビフィルム(白)</t>
    <rPh sb="0" eb="3">
      <t>リョウメンエン</t>
    </rPh>
    <rPh sb="9" eb="10">
      <t>シロ</t>
    </rPh>
    <phoneticPr fontId="2"/>
  </si>
  <si>
    <t>WM0004-CAP-GL-20220830-10</t>
    <phoneticPr fontId="2"/>
  </si>
  <si>
    <t>WHMTe0000a-CAP-GL-11_切り出し用</t>
    <phoneticPr fontId="2"/>
  </si>
  <si>
    <t>WM0002-CAP-GL-20220719-3</t>
    <phoneticPr fontId="2"/>
  </si>
  <si>
    <t>WM0004-CAPC-202211102-6</t>
    <phoneticPr fontId="2"/>
  </si>
  <si>
    <t>WM000X-CAP-TP50F-20221103-2</t>
    <phoneticPr fontId="2"/>
  </si>
  <si>
    <t>WM0004-CAP-B-220913-6</t>
    <phoneticPr fontId="2"/>
  </si>
  <si>
    <t>マグエックス</t>
    <phoneticPr fontId="2"/>
  </si>
  <si>
    <t>両面塩ビフィルム（白）</t>
    <rPh sb="0" eb="3">
      <t>リョウメンエン</t>
    </rPh>
    <rPh sb="9" eb="10">
      <t>シロ</t>
    </rPh>
    <phoneticPr fontId="2"/>
  </si>
  <si>
    <t>両面塩ビフィルム</t>
    <rPh sb="0" eb="3">
      <t>リョウメンエン</t>
    </rPh>
    <phoneticPr fontId="2"/>
  </si>
  <si>
    <t>仕掛品（白)</t>
    <rPh sb="0" eb="3">
      <t>シカカリヒン</t>
    </rPh>
    <rPh sb="4" eb="5">
      <t>シロ</t>
    </rPh>
    <phoneticPr fontId="2"/>
  </si>
  <si>
    <t>大阪ガス</t>
    <rPh sb="0" eb="2">
      <t>オオサカ</t>
    </rPh>
    <phoneticPr fontId="2"/>
  </si>
  <si>
    <t>WM0006-CAP-TP50B-20230126-1</t>
    <phoneticPr fontId="2"/>
  </si>
  <si>
    <t>WM0006-CAP-TP50B-20230126-2</t>
  </si>
  <si>
    <t>WM0006-CAP-TP50B-20230126-3</t>
  </si>
  <si>
    <t>WM0006-CAP-TP50B-20230126-4</t>
  </si>
  <si>
    <t>WM0006-CAP-TP50B-20230126-5</t>
  </si>
  <si>
    <t>WM0006-CAP-TP50B-20230126-6</t>
  </si>
  <si>
    <t>WM0006-CAP-TP50B-20230126-7</t>
  </si>
  <si>
    <t>WM0006-CAP-TP50B-20230126-8</t>
  </si>
  <si>
    <t>WM0006-CAP-TP50B-20230126-9</t>
  </si>
  <si>
    <t>WM0006-CAP-TP50B-20230126-10</t>
  </si>
  <si>
    <t>防炎ターポリン（白）</t>
    <rPh sb="0" eb="2">
      <t>ボウエン</t>
    </rPh>
    <rPh sb="8" eb="9">
      <t>シロ</t>
    </rPh>
    <phoneticPr fontId="2"/>
  </si>
  <si>
    <t>↑</t>
    <phoneticPr fontId="2"/>
  </si>
  <si>
    <t>残り29mは日本ワイドクロスへ研究開発費として出荷</t>
    <rPh sb="0" eb="1">
      <t>ノコ</t>
    </rPh>
    <rPh sb="6" eb="8">
      <t>ニホン</t>
    </rPh>
    <rPh sb="15" eb="20">
      <t>ケンキュウカイハツヒ</t>
    </rPh>
    <rPh sb="23" eb="25">
      <t>シュッカ</t>
    </rPh>
    <phoneticPr fontId="2"/>
  </si>
  <si>
    <t>日本ワイドクロス(株)</t>
    <rPh sb="0" eb="2">
      <t>ニホン</t>
    </rPh>
    <rPh sb="8" eb="11">
      <t>カブ</t>
    </rPh>
    <phoneticPr fontId="2"/>
  </si>
  <si>
    <t>カットロス</t>
    <phoneticPr fontId="2"/>
  </si>
  <si>
    <t>穴あき塩ビ</t>
    <rPh sb="0" eb="1">
      <t>アナ</t>
    </rPh>
    <rPh sb="3" eb="4">
      <t>エン</t>
    </rPh>
    <phoneticPr fontId="3"/>
  </si>
  <si>
    <t>SM0002-CAP-B-220913-19</t>
    <phoneticPr fontId="2"/>
  </si>
  <si>
    <t>SPACECOOL不燃膜材料</t>
    <rPh sb="9" eb="11">
      <t>フネン</t>
    </rPh>
    <rPh sb="11" eb="12">
      <t>マク</t>
    </rPh>
    <rPh sb="12" eb="14">
      <t>ザイリョウ</t>
    </rPh>
    <phoneticPr fontId="3"/>
  </si>
  <si>
    <t>FC208T02</t>
  </si>
  <si>
    <t>研究開発</t>
  </si>
  <si>
    <t>SPACECOOLシート</t>
  </si>
  <si>
    <t>SPACECOOLフィルム</t>
  </si>
  <si>
    <t>SPACECOOLフィルム(強粘着)</t>
  </si>
  <si>
    <t>SPACECOOL帆布</t>
  </si>
  <si>
    <t>SPACECOOL帆布(防炎)</t>
  </si>
  <si>
    <t>SPACECOOL不燃膜材料</t>
  </si>
  <si>
    <t>SVMT（粘着加工なし）</t>
  </si>
  <si>
    <t>SVSH（粘着加工なし）</t>
  </si>
  <si>
    <t>WHMT（粘着加工なし）</t>
  </si>
  <si>
    <t>WHSH（粘着加工なし）</t>
  </si>
  <si>
    <t>WM0006-CAP-TP50B-20230126-1</t>
  </si>
  <si>
    <t>両面塩ビフィルム</t>
  </si>
  <si>
    <t>※両面塩ビフィルムは新商品です</t>
    <rPh sb="1" eb="4">
      <t>リョウメンエン</t>
    </rPh>
    <rPh sb="10" eb="13">
      <t>シンショウヒン</t>
    </rPh>
    <phoneticPr fontId="2"/>
  </si>
  <si>
    <t>J23A1101-02-01</t>
  </si>
  <si>
    <t>E5100 38μ</t>
  </si>
  <si>
    <t>研究開発</t>
    <rPh sb="0" eb="4">
      <t>ケンキュウカイハツ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</si>
</sst>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_);[Red]\(&quot;¥&quot;#,##0\)"/>
    <numFmt numFmtId="177" formatCode="yyyy&quot;年&quot;m&quot;月&quot;;@"/>
  </numFmts>
  <fonts count="12">
    <font>
      <sz val="11"/>
      <color theme="1"/>
      <name val="游ゴシック"/>
      <family val="2"/>
      <charset val="128"/>
      <scheme val="minor"/>
    </font>
    <font>
      <sz val="10"/>
      <color theme="1"/>
      <name val="游ゴシック"/>
      <family val="3"/>
      <charset val="128"/>
      <scheme val="minor"/>
    </font>
    <font>
      <sz val="6"/>
      <name val="游ゴシック"/>
      <family val="2"/>
      <charset val="128"/>
      <scheme val="minor"/>
    </font>
    <font>
      <sz val="10"/>
      <color rgb="FF000000"/>
      <name val="游ゴシック"/>
      <family val="3"/>
      <charset val="128"/>
      <scheme val="minor"/>
    </font>
    <font>
      <sz val="10"/>
      <color theme="1"/>
      <name val="游ゴシック"/>
      <family val="2"/>
      <charset val="128"/>
      <scheme val="minor"/>
    </font>
    <font>
      <sz val="11"/>
      <color theme="1"/>
      <name val="游ゴシック"/>
      <family val="2"/>
      <charset val="128"/>
      <scheme val="minor"/>
    </font>
    <font>
      <b/>
      <sz val="10"/>
      <color theme="0"/>
      <name val="游ゴシック"/>
      <family val="3"/>
      <charset val="128"/>
      <scheme val="minor"/>
    </font>
    <font>
      <b/>
      <sz val="10"/>
      <color theme="1"/>
      <name val="游ゴシック"/>
      <family val="3"/>
      <charset val="128"/>
      <scheme val="minor"/>
    </font>
    <font>
      <b/>
      <sz val="9"/>
      <color indexed="81"/>
      <name val="MS P ゴシック"/>
      <family val="3"/>
      <charset val="128"/>
    </font>
    <font>
      <sz val="10"/>
      <name val="游ゴシック"/>
      <family val="3"/>
      <charset val="128"/>
      <scheme val="minor"/>
    </font>
    <font>
      <sz val="10"/>
      <color theme="1"/>
      <name val="游ゴシック"/>
      <family val="3"/>
      <charset val="128"/>
    </font>
    <font>
      <b/>
      <sz val="11"/>
      <color rgb="FFFF0000"/>
      <name val="游ゴシック"/>
      <family val="3"/>
      <charset val="128"/>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00">
    <xf numFmtId="0" fontId="0" fillId="0" borderId="0" xfId="0">
      <alignment vertical="center"/>
    </xf>
    <xf numFmtId="0" fontId="1" fillId="0" borderId="0" xfId="0" applyFont="1">
      <alignment vertical="center"/>
    </xf>
    <xf numFmtId="176" fontId="1" fillId="0" borderId="0" xfId="0" applyNumberFormat="1" applyFont="1">
      <alignment vertical="center"/>
    </xf>
    <xf numFmtId="14" fontId="1" fillId="0" borderId="0" xfId="0" applyNumberFormat="1" applyFont="1">
      <alignmen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1" fillId="4" borderId="1" xfId="0" applyFont="1" applyFill="1" applyBorder="1" applyAlignment="1">
      <alignment horizontal="center" vertical="center"/>
    </xf>
    <xf numFmtId="0" fontId="1" fillId="0" borderId="1" xfId="0" applyFont="1" applyBorder="1">
      <alignment vertical="center"/>
    </xf>
    <xf numFmtId="0" fontId="1"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176" fontId="1" fillId="0" borderId="1" xfId="0" applyNumberFormat="1" applyFont="1" applyBorder="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8" borderId="3"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right" vertical="center"/>
    </xf>
    <xf numFmtId="55" fontId="1" fillId="0" borderId="1" xfId="0" applyNumberFormat="1" applyFont="1" applyBorder="1" applyAlignment="1">
      <alignment horizontal="center" vertical="center"/>
    </xf>
    <xf numFmtId="0" fontId="1" fillId="5" borderId="1" xfId="0" applyFont="1" applyFill="1" applyBorder="1">
      <alignment vertical="center"/>
    </xf>
    <xf numFmtId="0" fontId="1" fillId="5" borderId="1" xfId="0" applyFont="1" applyFill="1" applyBorder="1" applyAlignment="1">
      <alignment wrapText="1"/>
    </xf>
    <xf numFmtId="0" fontId="1" fillId="5" borderId="1" xfId="0" applyFont="1" applyFill="1" applyBorder="1" applyAlignment="1">
      <alignment horizontal="right" vertical="center"/>
    </xf>
    <xf numFmtId="176" fontId="1" fillId="5" borderId="1" xfId="0" applyNumberFormat="1" applyFont="1" applyFill="1" applyBorder="1">
      <alignment vertical="center"/>
    </xf>
    <xf numFmtId="0" fontId="1" fillId="5" borderId="1" xfId="0" applyFont="1" applyFill="1" applyBorder="1" applyAlignment="1">
      <alignment horizontal="right" wrapText="1"/>
    </xf>
    <xf numFmtId="55" fontId="1" fillId="5" borderId="1" xfId="0" applyNumberFormat="1" applyFont="1" applyFill="1" applyBorder="1" applyAlignment="1">
      <alignment horizontal="center" vertical="center"/>
    </xf>
    <xf numFmtId="0" fontId="7" fillId="0" borderId="1" xfId="0" applyFont="1" applyBorder="1">
      <alignment vertical="center"/>
    </xf>
    <xf numFmtId="0" fontId="1" fillId="5" borderId="1" xfId="0" applyFont="1" applyFill="1" applyBorder="1" applyAlignment="1">
      <alignment vertical="center" wrapText="1"/>
    </xf>
    <xf numFmtId="0" fontId="1" fillId="5" borderId="1" xfId="0" applyFont="1" applyFill="1" applyBorder="1" applyAlignment="1">
      <alignment horizontal="right" vertical="center" wrapText="1"/>
    </xf>
    <xf numFmtId="0" fontId="7" fillId="5" borderId="1" xfId="0" applyFont="1" applyFill="1" applyBorder="1" applyAlignment="1">
      <alignment horizontal="right" vertical="center" wrapText="1"/>
    </xf>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7" fillId="0" borderId="1" xfId="0" applyFont="1" applyBorder="1" applyAlignment="1">
      <alignment horizontal="right" vertical="center" wrapText="1"/>
    </xf>
    <xf numFmtId="0" fontId="1" fillId="9" borderId="1" xfId="0" applyFont="1" applyFill="1" applyBorder="1">
      <alignment vertical="center"/>
    </xf>
    <xf numFmtId="0" fontId="1" fillId="9" borderId="1" xfId="0" applyFont="1" applyFill="1" applyBorder="1" applyAlignment="1">
      <alignment wrapText="1"/>
    </xf>
    <xf numFmtId="0" fontId="1" fillId="9" borderId="1" xfId="0" applyFont="1" applyFill="1" applyBorder="1" applyAlignment="1">
      <alignment horizontal="right" wrapText="1"/>
    </xf>
    <xf numFmtId="176" fontId="1" fillId="9" borderId="1" xfId="0" applyNumberFormat="1" applyFont="1" applyFill="1" applyBorder="1">
      <alignment vertical="center"/>
    </xf>
    <xf numFmtId="55" fontId="1" fillId="9" borderId="1" xfId="0" applyNumberFormat="1" applyFont="1" applyFill="1" applyBorder="1" applyAlignment="1">
      <alignment horizontal="center" vertical="center"/>
    </xf>
    <xf numFmtId="0" fontId="1" fillId="10" borderId="1" xfId="0" applyFont="1" applyFill="1" applyBorder="1">
      <alignment vertical="center"/>
    </xf>
    <xf numFmtId="0" fontId="1" fillId="10" borderId="1" xfId="0" applyFont="1" applyFill="1" applyBorder="1" applyAlignment="1">
      <alignment wrapText="1"/>
    </xf>
    <xf numFmtId="0" fontId="1" fillId="10" borderId="1" xfId="0" applyFont="1" applyFill="1" applyBorder="1" applyAlignment="1">
      <alignment horizontal="right" wrapText="1"/>
    </xf>
    <xf numFmtId="176" fontId="1" fillId="10" borderId="1" xfId="0" applyNumberFormat="1" applyFont="1" applyFill="1" applyBorder="1">
      <alignment vertical="center"/>
    </xf>
    <xf numFmtId="55" fontId="1" fillId="10" borderId="1" xfId="0" applyNumberFormat="1" applyFont="1" applyFill="1" applyBorder="1" applyAlignment="1">
      <alignment horizontal="center" vertical="center"/>
    </xf>
    <xf numFmtId="0" fontId="1" fillId="0" borderId="1" xfId="0" applyFont="1" applyBorder="1" applyAlignment="1">
      <alignment horizontal="right" wrapText="1"/>
    </xf>
    <xf numFmtId="0" fontId="1" fillId="10" borderId="1" xfId="0" applyFont="1" applyFill="1" applyBorder="1" applyAlignment="1">
      <alignment vertical="center" wrapText="1"/>
    </xf>
    <xf numFmtId="0" fontId="1" fillId="10" borderId="1" xfId="0" applyFont="1" applyFill="1" applyBorder="1" applyAlignment="1">
      <alignment horizontal="center" vertical="center"/>
    </xf>
    <xf numFmtId="0" fontId="1" fillId="0" borderId="1" xfId="0" applyFont="1" applyBorder="1" applyAlignment="1">
      <alignment horizontal="left" vertical="center"/>
    </xf>
    <xf numFmtId="0" fontId="1" fillId="9" borderId="1" xfId="0" applyFont="1" applyFill="1" applyBorder="1" applyAlignment="1">
      <alignment vertical="center" wrapText="1"/>
    </xf>
    <xf numFmtId="0" fontId="1" fillId="9" borderId="1" xfId="0" applyFont="1" applyFill="1" applyBorder="1" applyAlignment="1">
      <alignment horizontal="center" vertical="center"/>
    </xf>
    <xf numFmtId="0" fontId="7" fillId="5" borderId="1" xfId="0" applyFont="1" applyFill="1" applyBorder="1">
      <alignment vertical="center"/>
    </xf>
    <xf numFmtId="0" fontId="1" fillId="0" borderId="4" xfId="0" applyFont="1" applyBorder="1">
      <alignment vertical="center"/>
    </xf>
    <xf numFmtId="0" fontId="1" fillId="0" borderId="4" xfId="0" applyFont="1" applyBorder="1" applyAlignment="1">
      <alignment wrapText="1"/>
    </xf>
    <xf numFmtId="55" fontId="1" fillId="0" borderId="4" xfId="0" applyNumberFormat="1" applyFont="1" applyBorder="1" applyAlignment="1">
      <alignment horizontal="center" vertical="center"/>
    </xf>
    <xf numFmtId="0" fontId="7" fillId="0" borderId="4" xfId="0" applyFont="1" applyBorder="1">
      <alignment vertical="center"/>
    </xf>
    <xf numFmtId="176" fontId="1" fillId="0" borderId="4" xfId="0" applyNumberFormat="1" applyFont="1" applyBorder="1">
      <alignment vertical="center"/>
    </xf>
    <xf numFmtId="0" fontId="1" fillId="0" borderId="4" xfId="0" applyFont="1" applyBorder="1" applyAlignment="1">
      <alignment horizontal="right" vertical="center" wrapText="1"/>
    </xf>
    <xf numFmtId="0" fontId="7" fillId="0" borderId="4" xfId="0" applyFont="1" applyBorder="1" applyAlignment="1">
      <alignment horizontal="right" vertical="center" wrapText="1"/>
    </xf>
    <xf numFmtId="0" fontId="1" fillId="5" borderId="4" xfId="0" applyFont="1" applyFill="1" applyBorder="1">
      <alignment vertical="center"/>
    </xf>
    <xf numFmtId="176" fontId="1" fillId="5" borderId="4" xfId="0" applyNumberFormat="1" applyFont="1" applyFill="1" applyBorder="1">
      <alignment vertical="center"/>
    </xf>
    <xf numFmtId="0" fontId="7" fillId="5" borderId="4" xfId="0" applyFont="1" applyFill="1" applyBorder="1">
      <alignment vertical="center"/>
    </xf>
    <xf numFmtId="0" fontId="1" fillId="0" borderId="5" xfId="0" applyFont="1" applyBorder="1">
      <alignment vertical="center"/>
    </xf>
    <xf numFmtId="0" fontId="4" fillId="0" borderId="1" xfId="0" applyFont="1" applyBorder="1">
      <alignment vertical="center"/>
    </xf>
    <xf numFmtId="0" fontId="1" fillId="0" borderId="6" xfId="0" applyFont="1" applyBorder="1" applyAlignment="1">
      <alignment wrapText="1"/>
    </xf>
    <xf numFmtId="0" fontId="1" fillId="0" borderId="6" xfId="0" applyFont="1" applyBorder="1">
      <alignment vertical="center"/>
    </xf>
    <xf numFmtId="14" fontId="1" fillId="2" borderId="7" xfId="0"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176" fontId="1" fillId="2" borderId="8" xfId="0" applyNumberFormat="1" applyFont="1" applyFill="1" applyBorder="1" applyAlignment="1">
      <alignment horizontal="center" vertical="center" wrapText="1"/>
    </xf>
    <xf numFmtId="0" fontId="1" fillId="11" borderId="1" xfId="0" applyFont="1" applyFill="1" applyBorder="1" applyAlignment="1">
      <alignment horizontal="center" vertical="center"/>
    </xf>
    <xf numFmtId="177" fontId="1" fillId="0" borderId="1" xfId="0" applyNumberFormat="1" applyFont="1" applyBorder="1" applyAlignment="1">
      <alignment horizontal="center" vertical="center"/>
    </xf>
    <xf numFmtId="14" fontId="1" fillId="0" borderId="1" xfId="0" applyNumberFormat="1" applyFont="1" applyBorder="1">
      <alignment vertical="center"/>
    </xf>
    <xf numFmtId="176" fontId="1" fillId="3" borderId="1" xfId="0" applyNumberFormat="1" applyFont="1" applyFill="1" applyBorder="1">
      <alignment vertical="center"/>
    </xf>
    <xf numFmtId="0" fontId="1" fillId="3" borderId="1" xfId="0" applyFont="1" applyFill="1" applyBorder="1" applyAlignment="1">
      <alignment horizontal="center" vertical="center"/>
    </xf>
    <xf numFmtId="176" fontId="1" fillId="11" borderId="1" xfId="0" applyNumberFormat="1" applyFont="1" applyFill="1" applyBorder="1" applyAlignment="1">
      <alignment horizontal="center" vertical="center"/>
    </xf>
    <xf numFmtId="176" fontId="1" fillId="5" borderId="1" xfId="0" applyNumberFormat="1" applyFont="1" applyFill="1" applyBorder="1" applyAlignment="1">
      <alignment horizontal="center" vertical="center"/>
    </xf>
    <xf numFmtId="0" fontId="4" fillId="0" borderId="1" xfId="0" applyFont="1" applyBorder="1" applyAlignment="1">
      <alignment horizontal="left" vertical="center"/>
    </xf>
    <xf numFmtId="0" fontId="0" fillId="0" borderId="0" xfId="0" pivotButton="1">
      <alignment vertical="center"/>
    </xf>
    <xf numFmtId="0" fontId="0" fillId="0" borderId="0" xfId="0" applyAlignment="1">
      <alignment horizontal="left" vertical="center"/>
    </xf>
    <xf numFmtId="176" fontId="0" fillId="0" borderId="0" xfId="0" applyNumberForma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vertical="center" wrapText="1"/>
    </xf>
    <xf numFmtId="0" fontId="3" fillId="0" borderId="1" xfId="0" applyFont="1" applyBorder="1" applyAlignment="1">
      <alignment vertical="center" wrapText="1"/>
    </xf>
    <xf numFmtId="176" fontId="1" fillId="0" borderId="1" xfId="0" applyNumberFormat="1" applyFont="1" applyBorder="1" applyAlignment="1">
      <alignment vertical="center" wrapText="1"/>
    </xf>
    <xf numFmtId="14" fontId="1" fillId="0" borderId="4" xfId="0" applyNumberFormat="1" applyFont="1" applyBorder="1">
      <alignment vertical="center"/>
    </xf>
    <xf numFmtId="176" fontId="1" fillId="3" borderId="1" xfId="0" applyNumberFormat="1" applyFont="1" applyFill="1" applyBorder="1" applyAlignment="1">
      <alignment horizontal="center" vertical="center"/>
    </xf>
    <xf numFmtId="0" fontId="1" fillId="0" borderId="4" xfId="0" applyFont="1" applyBorder="1" applyAlignment="1">
      <alignment horizontal="center" vertical="center"/>
    </xf>
    <xf numFmtId="0" fontId="9" fillId="12" borderId="4" xfId="0" applyFont="1" applyFill="1" applyBorder="1">
      <alignment vertical="center"/>
    </xf>
    <xf numFmtId="0" fontId="1" fillId="13" borderId="1" xfId="0" applyFont="1" applyFill="1" applyBorder="1" applyAlignment="1">
      <alignment horizontal="center" vertical="center"/>
    </xf>
    <xf numFmtId="0" fontId="7" fillId="5" borderId="1" xfId="0" applyFont="1" applyFill="1" applyBorder="1" applyAlignment="1">
      <alignment horizontal="right" wrapText="1"/>
    </xf>
    <xf numFmtId="0" fontId="10" fillId="0" borderId="1" xfId="0" applyFont="1" applyBorder="1" applyAlignment="1">
      <alignment vertical="center" wrapText="1"/>
    </xf>
    <xf numFmtId="0" fontId="1" fillId="5" borderId="6" xfId="0" applyFont="1" applyFill="1" applyBorder="1">
      <alignment vertical="center"/>
    </xf>
    <xf numFmtId="0" fontId="9" fillId="12" borderId="1" xfId="0" applyFont="1" applyFill="1" applyBorder="1">
      <alignment vertical="center"/>
    </xf>
    <xf numFmtId="176" fontId="1" fillId="13" borderId="1" xfId="0" applyNumberFormat="1" applyFont="1" applyFill="1" applyBorder="1" applyAlignment="1">
      <alignment horizontal="center" vertical="center"/>
    </xf>
    <xf numFmtId="176" fontId="0" fillId="0" borderId="0" xfId="0" pivotButton="1" applyNumberFormat="1">
      <alignment vertical="center"/>
    </xf>
    <xf numFmtId="176" fontId="0" fillId="0" borderId="0" xfId="0" applyNumberFormat="1" applyAlignment="1">
      <alignment horizontal="left" vertical="center"/>
    </xf>
    <xf numFmtId="0" fontId="11" fillId="0" borderId="0" xfId="0" applyFont="1" applyAlignment="1">
      <alignment horizontal="left" vertical="center"/>
    </xf>
    <xf numFmtId="0" fontId="6" fillId="7" borderId="2" xfId="0" applyFont="1" applyFill="1" applyBorder="1" applyAlignment="1">
      <alignment horizontal="center" vertical="center"/>
    </xf>
    <xf numFmtId="176" fontId="1" fillId="0" borderId="1" xfId="0" applyNumberFormat="1" applyFont="1" applyBorder="1" applyAlignment="1">
      <alignment horizontal="center" vertical="center"/>
    </xf>
    <xf numFmtId="0" fontId="6" fillId="6" borderId="2" xfId="0" applyFont="1" applyFill="1" applyBorder="1" applyAlignment="1">
      <alignment horizontal="center" vertical="center"/>
    </xf>
  </cellXfs>
  <cellStyles count="1">
    <cellStyle name="標準" xfId="0" builtinId="0"/>
  </cellStyles>
  <dxfs count="53">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游ゴシック"/>
        <family val="3"/>
        <charset val="128"/>
        <scheme val="minor"/>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9" formatCode="yyyy/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76" formatCode="&quot;¥&quot;#,##0_);[Red]\(&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游ゴシック"/>
        <family val="3"/>
        <charset val="128"/>
        <scheme val="minor"/>
      </font>
      <numFmt numFmtId="19" formatCode="yyyy/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theme="1"/>
        <name val="游ゴシック"/>
        <family val="3"/>
        <charset val="128"/>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游ゴシック"/>
        <family val="3"/>
        <charset val="128"/>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numFmt numFmtId="176" formatCode="&quot;¥&quot;#,##0_);[Red]\(&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游ゴシック"/>
        <family val="3"/>
        <charset val="128"/>
        <scheme val="minor"/>
      </font>
      <fill>
        <patternFill patternType="none">
          <fgColor indexed="64"/>
          <bgColor auto="1"/>
        </patternFill>
      </fill>
      <border diagonalUp="0" diagonalDown="0" outline="0">
        <left/>
        <right style="thin">
          <color indexed="64"/>
        </right>
        <top style="thin">
          <color indexed="64"/>
        </top>
        <bottom style="thin">
          <color indexed="64"/>
        </bottom>
      </border>
    </dxf>
    <dxf>
      <font>
        <b val="0"/>
        <strike val="0"/>
        <outline val="0"/>
        <shadow val="0"/>
        <u val="none"/>
        <vertAlign val="baseline"/>
        <sz val="10"/>
        <color theme="1"/>
        <name val="游ゴシック"/>
        <family val="3"/>
        <charset val="128"/>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strike val="0"/>
        <outline val="0"/>
        <shadow val="0"/>
        <u val="none"/>
        <vertAlign val="baseline"/>
        <sz val="10"/>
        <color theme="1"/>
        <name val="游ゴシック"/>
        <family val="3"/>
        <charset val="128"/>
        <scheme val="minor"/>
      </font>
    </dxf>
    <dxf>
      <border outline="0">
        <bottom style="thin">
          <color indexed="64"/>
        </bottom>
      </border>
    </dxf>
    <dxf>
      <font>
        <strike val="0"/>
        <outline val="0"/>
        <shadow val="0"/>
        <u val="none"/>
        <vertAlign val="baseline"/>
        <sz val="10"/>
        <color theme="1"/>
        <name val="游ゴシック"/>
        <family val="3"/>
        <charset val="128"/>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family val="3"/>
      </font>
    </dxf>
    <dxf>
      <font>
        <color rgb="FFFF0000"/>
        <family val="3"/>
      </font>
    </dxf>
    <dxf>
      <numFmt numFmtId="176" formatCode="&quot;¥&quot;#,##0_);[Red]\(&quot;¥&quot;#,##0\)"/>
    </dxf>
    <dxf>
      <numFmt numFmtId="176" formatCode="&quot;¥&quot;#,##0_);[Red]\(&quot;¥&quot;#,##0\)"/>
    </dxf>
    <dxf>
      <numFmt numFmtId="176" formatCode="&quot;¥&quot;#,##0_);[Red]\(&quot;¥&quot;#,##0\)"/>
    </dxf>
    <dxf>
      <numFmt numFmtId="176" formatCode="&quot;¥&quot;#,##0_);[Red]\(&quot;¥&quot;#,##0\)"/>
    </dxf>
    <dxf>
      <numFmt numFmtId="176" formatCode="&quot;¥&quot;#,##0_);[Red]\(&quot;¥&quot;#,##0\)"/>
    </dxf>
    <dxf>
      <numFmt numFmtId="176" formatCode="&quot;¥&quot;#,##0_);[Red]\(&quot;¥&quot;#,##0\)"/>
    </dxf>
    <dxf>
      <numFmt numFmtId="176" formatCode="&quot;¥&quot;#,##0_);[Red]\(&quot;¥&quot;#,##0\)"/>
    </dxf>
    <dxf>
      <numFmt numFmtId="176"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 refreshedDate="44963.657185995369" createdVersion="8" refreshedVersion="8" minRefreshableVersion="3" recordCount="248" xr:uid="{5B37D8E8-D11B-4AE6-B37A-7259930534F6}">
  <cacheSource type="worksheet">
    <worksheetSource name="テーブル1"/>
  </cacheSource>
  <cacheFields count="11">
    <cacheField name="品名" numFmtId="0">
      <sharedItems count="19">
        <s v="SPACECOOLフィルム"/>
        <s v="SPACECOOL防炎ターポリン"/>
        <s v="SPACECOOL帆布"/>
        <s v="SPACECOOLシート"/>
        <s v="SPACECOOL不燃膜材料"/>
        <s v="SPACECOOL帆布(防炎)"/>
        <s v="SPACECOOLフィルム(強粘着)"/>
        <s v="WHMT（粘着加工なし）"/>
        <s v="SVMT（粘着加工なし）"/>
        <s v="WHSH（粘着加工なし）"/>
        <s v="SVSH（粘着加工なし）"/>
        <s v="塩ビ"/>
        <s v="研究開発"/>
        <s v="PET"/>
        <s v="ファブリック"/>
        <s v="両面塩ビフィルム"/>
        <s v="SPACECOOL膜材料(防炎)" u="1"/>
        <s v="SPACECOOL膜材料" u="1"/>
        <s v="SPACECOOLターポリン" u="1"/>
      </sharedItems>
    </cacheField>
    <cacheField name="カラー" numFmtId="0">
      <sharedItems/>
    </cacheField>
    <cacheField name="Lot" numFmtId="0">
      <sharedItems/>
    </cacheField>
    <cacheField name="幅(m)" numFmtId="0">
      <sharedItems containsSemiMixedTypes="0" containsString="0" containsNumber="1" minValue="0.6" maxValue="1.3"/>
    </cacheField>
    <cacheField name="長さ合計(ｍ)" numFmtId="0">
      <sharedItems containsSemiMixedTypes="0" containsString="0" containsNumber="1" minValue="1" maxValue="3270"/>
    </cacheField>
    <cacheField name="総面積(㎡)" numFmtId="0">
      <sharedItems containsSemiMixedTypes="0" containsString="0" containsNumber="1" minValue="1.2" maxValue="4251"/>
    </cacheField>
    <cacheField name="単価(㎡)" numFmtId="176">
      <sharedItems containsBlank="1" containsMixedTypes="1" containsNumber="1" minValue="41" maxValue="3845.033368655626"/>
    </cacheField>
    <cacheField name="原価" numFmtId="176">
      <sharedItems containsSemiMixedTypes="0" containsString="0" containsNumber="1" minValue="0" maxValue="1576960.0000000002"/>
    </cacheField>
    <cacheField name="保管場所" numFmtId="0">
      <sharedItems/>
    </cacheField>
    <cacheField name="生産月" numFmtId="0">
      <sharedItems containsDate="1" containsMixedTypes="1" minDate="2021-06-01T00:00:00" maxDate="2023-01-02T00:00:00"/>
    </cacheField>
    <cacheField name="備考" numFmtId="0">
      <sharedItems containsBlank="1" containsMixedTypes="1" containsNumber="1" containsInteger="1" minValue="46" maxValue="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s v="ホワイトマット"/>
    <s v="WM0001-1-MXJ-K2-25M_デコラティブ"/>
    <n v="1.25"/>
    <n v="7.4"/>
    <n v="9.25"/>
    <n v="986.79157138412597"/>
    <n v="9127.8220353031647"/>
    <s v="デコラティブ"/>
    <d v="2021-09-01T00:00:00"/>
    <m/>
  </r>
  <r>
    <x v="0"/>
    <s v="シルバーマット"/>
    <s v="SC-SVMT210325_1-2-A-MX-BW-25"/>
    <n v="1.2"/>
    <n v="17.3"/>
    <n v="20.76"/>
    <n v="500"/>
    <n v="10380"/>
    <s v="デコラティブ"/>
    <s v="－"/>
    <s v="大阪ガスから500円／㎡"/>
  </r>
  <r>
    <x v="0"/>
    <s v="シルバーマット"/>
    <s v="SM0001-8-MXJ-K2-25M"/>
    <n v="1.25"/>
    <n v="25"/>
    <n v="31.25"/>
    <n v="868.0267479595384"/>
    <n v="27125.835873735574"/>
    <s v="デコラティブ"/>
    <d v="2021-09-01T00:00:00"/>
    <m/>
  </r>
  <r>
    <x v="1"/>
    <s v="ホワイトマット"/>
    <s v="WM0002-CAP-TP50F-20220221-5_3M"/>
    <n v="1.202"/>
    <n v="3"/>
    <n v="3.6059999999999999"/>
    <n v="1829.0304691118606"/>
    <n v="6595.483871617369"/>
    <s v="山本運輸"/>
    <d v="2022-02-01T00:00:00"/>
    <m/>
  </r>
  <r>
    <x v="1"/>
    <s v="ホワイトマット"/>
    <s v="WM0002-CAP-TP50F-20220221-5"/>
    <n v="1.202"/>
    <n v="39"/>
    <n v="46.878"/>
    <n v="1829.0304691118606"/>
    <n v="85741.290331025797"/>
    <s v="山本運輸"/>
    <d v="2022-02-01T00:00:00"/>
    <m/>
  </r>
  <r>
    <x v="1"/>
    <s v="ホワイトマット"/>
    <s v="WM0002-CAP-TP50F-20220221-6"/>
    <n v="1.202"/>
    <n v="49"/>
    <n v="58.897999999999996"/>
    <n v="1829.0304691118606"/>
    <n v="107726.23656975036"/>
    <s v="山本運輸"/>
    <d v="2022-02-01T00:00:00"/>
    <m/>
  </r>
  <r>
    <x v="2"/>
    <s v="シルバーマット"/>
    <s v="SM0001-7-CAP-GL-3_切り出し用"/>
    <n v="1.0329999999999999"/>
    <n v="10"/>
    <n v="10.329999999999998"/>
    <n v="1955.4267856800591"/>
    <n v="20199.558696075008"/>
    <s v="山本運輸"/>
    <d v="2021-09-01T00:00:00"/>
    <m/>
  </r>
  <r>
    <x v="2"/>
    <s v="シルバーマット"/>
    <s v="SM0001-7-CAP-GL-6"/>
    <n v="1.0329999999999999"/>
    <n v="50"/>
    <n v="51.65"/>
    <n v="1955.4267856800591"/>
    <n v="100997.79348037505"/>
    <s v="山本運輸"/>
    <d v="2021-09-01T00:00:00"/>
    <m/>
  </r>
  <r>
    <x v="2"/>
    <s v="シルバーマット"/>
    <s v="SM0001-7-CAP-GL-7"/>
    <n v="1.0329999999999999"/>
    <n v="50"/>
    <n v="51.65"/>
    <n v="1955.4267856800591"/>
    <n v="100997.79348037505"/>
    <s v="山本運輸"/>
    <d v="2021-09-01T00:00:00"/>
    <m/>
  </r>
  <r>
    <x v="3"/>
    <s v="シルバーマット"/>
    <s v="SM0001-7-CAP-KU-20211102-3"/>
    <n v="1.2050000000000001"/>
    <n v="50"/>
    <n v="60.25"/>
    <n v="1694.4471129068031"/>
    <n v="102090.43855263489"/>
    <s v="山本運輸"/>
    <d v="2021-11-01T00:00:00"/>
    <m/>
  </r>
  <r>
    <x v="3"/>
    <s v="シルバーマット"/>
    <s v="SM0001-7-CAP-KU-20211102-4"/>
    <n v="1.2050000000000001"/>
    <n v="50"/>
    <n v="60.25"/>
    <n v="1694.4471129068031"/>
    <n v="102090.43855263489"/>
    <s v="山本運輸"/>
    <d v="2021-11-01T00:00:00"/>
    <m/>
  </r>
  <r>
    <x v="3"/>
    <s v="ホワイトマット"/>
    <s v="WHMTe0000a-CAP-KU-20211102-6"/>
    <n v="1.2050000000000001"/>
    <n v="9.5"/>
    <n v="11.447500000000002"/>
    <n v="1627.173279379994"/>
    <n v="18627.066115702484"/>
    <s v="山本運輸"/>
    <d v="2021-11-01T00:00:00"/>
    <m/>
  </r>
  <r>
    <x v="3"/>
    <s v="ホワイトマット"/>
    <s v="WHMTe0000a-CAP-KU-20211102-7_切り出し用"/>
    <n v="1.2050000000000001"/>
    <n v="4.3999999999999986"/>
    <n v="5.3019999999999987"/>
    <n v="1627.173279379994"/>
    <n v="8627.2727272727261"/>
    <s v="山本運輸"/>
    <d v="2021-11-01T00:00:00"/>
    <m/>
  </r>
  <r>
    <x v="4"/>
    <s v="シルバーマット"/>
    <s v="SM0002-CAP-B-220119-2"/>
    <n v="1.042"/>
    <n v="29.7"/>
    <n v="30.947400000000002"/>
    <n v="3845.033368655626"/>
    <n v="118993.78567313313"/>
    <s v="山本運輸"/>
    <d v="2022-01-01T00:00:00"/>
    <m/>
  </r>
  <r>
    <x v="4"/>
    <s v="ホワイトマット"/>
    <s v="WM0002-CAP-B-220119-5"/>
    <n v="1.042"/>
    <n v="6.7"/>
    <n v="6.9814000000000007"/>
    <n v="3595.9646338139178"/>
    <n v="25104.867494508489"/>
    <s v="山本運輸"/>
    <d v="2022-01-01T00:00:00"/>
    <m/>
  </r>
  <r>
    <x v="4"/>
    <s v="ホワイトマット"/>
    <s v="WM0002-CAP-B-220119-3"/>
    <n v="1.042"/>
    <n v="50"/>
    <n v="52.1"/>
    <n v="3595.9646338139178"/>
    <n v="187349.75742170512"/>
    <s v="山本運輸"/>
    <d v="2022-01-01T00:00:00"/>
    <m/>
  </r>
  <r>
    <x v="5"/>
    <s v="ホワイトマット"/>
    <s v="SC-WHSH210325_3-2-A-CAPC-3-1"/>
    <n v="1.0429999999999999"/>
    <n v="50"/>
    <n v="52.15"/>
    <n v="500"/>
    <n v="26075"/>
    <s v="山本運輸"/>
    <d v="2021-06-01T00:00:00"/>
    <s v="大阪ガスから500円／㎡"/>
  </r>
  <r>
    <x v="5"/>
    <s v="ホワイトマット"/>
    <s v="SC-WHSH210325_3-2-A-CAPC-3-2切り出し用"/>
    <n v="1.0429999999999999"/>
    <n v="13.5"/>
    <n v="14.080499999999999"/>
    <n v="500"/>
    <n v="7040.2499999999991"/>
    <s v="山本運輸"/>
    <d v="2021-06-01T00:00:00"/>
    <s v="大阪ガスから500円／㎡"/>
  </r>
  <r>
    <x v="5"/>
    <s v="シルバーマット"/>
    <s v="SC-SVSH210325_1-1-A-CAPC-6-1"/>
    <n v="1.0429999999999999"/>
    <n v="43"/>
    <n v="44.848999999999997"/>
    <n v="500"/>
    <n v="22424.5"/>
    <s v="山本運輸"/>
    <d v="2021-06-01T00:00:00"/>
    <s v="大阪ガスから500円／㎡"/>
  </r>
  <r>
    <x v="5"/>
    <s v="シルバーマット"/>
    <s v="SC-SVSH210325_1-1-A-CAPC-6-2"/>
    <n v="1.0429999999999999"/>
    <n v="50"/>
    <n v="52.15"/>
    <n v="500"/>
    <n v="26075"/>
    <s v="山本運輸"/>
    <d v="2021-06-01T00:00:00"/>
    <s v="大阪ガスから500円／㎡"/>
  </r>
  <r>
    <x v="0"/>
    <s v="シルバー光沢"/>
    <s v="SS0001-3-MXJ-K2"/>
    <n v="1.25"/>
    <n v="125"/>
    <n v="156.25"/>
    <n v="1349.3787234042554"/>
    <n v="210840.42553191492"/>
    <s v="入江運輸"/>
    <d v="2021-09-01T00:00:00"/>
    <m/>
  </r>
  <r>
    <x v="0"/>
    <s v="ホワイト光沢"/>
    <s v="WS0001-5-1～7"/>
    <n v="1.25"/>
    <n v="175"/>
    <n v="218.75"/>
    <n v="1903.3305760488972"/>
    <n v="416353.56351069629"/>
    <s v="入江運輸"/>
    <d v="2021-09-01T00:00:00"/>
    <m/>
  </r>
  <r>
    <x v="0"/>
    <s v="ホワイト光沢"/>
    <s v="WS0001-5-8"/>
    <n v="1.25"/>
    <n v="18"/>
    <n v="22.5"/>
    <n v="1903.3305760488972"/>
    <n v="42824.937961100186"/>
    <s v="入江運輸"/>
    <d v="2021-09-01T00:00:00"/>
    <m/>
  </r>
  <r>
    <x v="0"/>
    <s v="シルバーマット"/>
    <s v="SM0002-MXJ-K2-220127_38"/>
    <n v="1.25"/>
    <n v="15"/>
    <n v="18.75"/>
    <n v="980.99865295983977"/>
    <n v="18393.724742996998"/>
    <s v="オガサハラ"/>
    <d v="2022-02-01T00:00:00"/>
    <m/>
  </r>
  <r>
    <x v="0"/>
    <s v="シルバーマット"/>
    <s v="SM0002-MXJ-K2-220127_39"/>
    <n v="1.25"/>
    <n v="23"/>
    <n v="28.75"/>
    <n v="980.99865295983977"/>
    <n v="28203.711272595392"/>
    <s v="オガサハラ"/>
    <d v="2022-02-01T00:00:00"/>
    <m/>
  </r>
  <r>
    <x v="0"/>
    <s v="ホワイトマット"/>
    <s v="WM0002-MXJ-K2-220127_1-32_b"/>
    <n v="1.25"/>
    <n v="600"/>
    <n v="750"/>
    <n v="991.44394343082831"/>
    <n v="743582.95757312118"/>
    <s v="入江運輸"/>
    <d v="2022-02-01T00:00:00"/>
    <m/>
  </r>
  <r>
    <x v="0"/>
    <s v="ホワイトマット"/>
    <s v="WM0002-MXJ-K2-220127_1-18_c"/>
    <n v="1.25"/>
    <n v="450"/>
    <n v="562.5"/>
    <n v="991.44394343082831"/>
    <n v="557687.21817984094"/>
    <s v="入江運輸"/>
    <d v="2022-02-01T00:00:00"/>
    <m/>
  </r>
  <r>
    <x v="6"/>
    <s v="シルバーマット"/>
    <s v="SM0002-MXJ-R8-220224_1-4"/>
    <n v="1.25"/>
    <n v="100"/>
    <n v="125"/>
    <n v="2761.6622125146446"/>
    <n v="345207.77656433056"/>
    <s v="入江運輸"/>
    <d v="2022-03-01T00:00:00"/>
    <m/>
  </r>
  <r>
    <x v="6"/>
    <s v="ホワイトマット"/>
    <s v="WM0002-MXJ-R8-220224_1-7"/>
    <n v="1.25"/>
    <n v="175"/>
    <n v="218.75"/>
    <n v="2117.4934851041867"/>
    <n v="463201.69986654085"/>
    <s v="入江運輸"/>
    <d v="2022-03-01T00:00:00"/>
    <m/>
  </r>
  <r>
    <x v="6"/>
    <s v="ホワイトマット"/>
    <s v="WM0002-MXJ-R8-220224_8_切り出し用"/>
    <n v="1.25"/>
    <n v="10"/>
    <n v="12.5"/>
    <n v="2117.4934851041867"/>
    <n v="26468.668563802334"/>
    <s v="研究所"/>
    <d v="2022-03-01T00:00:00"/>
    <m/>
  </r>
  <r>
    <x v="7"/>
    <s v="ホワイトマット"/>
    <s v="WM0001-2"/>
    <n v="1.29"/>
    <n v="121"/>
    <n v="156.09"/>
    <n v="598.71687278667991"/>
    <n v="93453.716673272866"/>
    <s v="オガサハラ"/>
    <s v="－"/>
    <m/>
  </r>
  <r>
    <x v="8"/>
    <s v="シルバーマット"/>
    <s v="SM0001-9"/>
    <n v="1.29"/>
    <n v="239"/>
    <n v="308.31"/>
    <n v="590.78755204513288"/>
    <n v="182145.71017103491"/>
    <s v="オガサハラ"/>
    <s v="－"/>
    <m/>
  </r>
  <r>
    <x v="8"/>
    <s v="シルバーマット"/>
    <s v="SM0001-7"/>
    <n v="1.29"/>
    <n v="100"/>
    <n v="129"/>
    <n v="590.78755204513288"/>
    <n v="76211.594213822144"/>
    <s v="カンボウプラス"/>
    <s v="－"/>
    <m/>
  </r>
  <r>
    <x v="9"/>
    <s v="ホワイト光沢"/>
    <s v="WS0001-5"/>
    <n v="1.29"/>
    <n v="212"/>
    <n v="273.48"/>
    <n v="696.23543330165626"/>
    <n v="190406.46629933696"/>
    <s v="鴻池運輸"/>
    <s v="－"/>
    <n v="46"/>
  </r>
  <r>
    <x v="9"/>
    <s v="ホワイト光沢"/>
    <s v="WS0001-4"/>
    <n v="1.29"/>
    <n v="263"/>
    <n v="339.27"/>
    <n v="696.23543330165626"/>
    <n v="236211.7954562529"/>
    <s v="鴻池運輸"/>
    <s v="－"/>
    <n v="54"/>
  </r>
  <r>
    <x v="9"/>
    <s v="ホワイト光沢"/>
    <s v="WS0001-6"/>
    <n v="1.29"/>
    <n v="237"/>
    <n v="305.73"/>
    <n v="696.23543330165626"/>
    <n v="212860.05902331538"/>
    <s v="鴻池運輸"/>
    <s v="－"/>
    <n v="54"/>
  </r>
  <r>
    <x v="10"/>
    <s v="シルバー光沢"/>
    <s v="SS0001-3"/>
    <n v="1.29"/>
    <n v="200"/>
    <n v="258"/>
    <n v="756.59782007427634"/>
    <n v="195202.23757916331"/>
    <s v="鴻池運輸"/>
    <s v="－"/>
    <n v="54"/>
  </r>
  <r>
    <x v="8"/>
    <s v="シルバーマット"/>
    <s v="J21L2201-09"/>
    <n v="1.29"/>
    <n v="480"/>
    <n v="619.20000000000005"/>
    <n v="598.58593247214253"/>
    <n v="370644.40938675066"/>
    <s v="鴻池運輸"/>
    <s v="－"/>
    <s v="SC-30"/>
  </r>
  <r>
    <x v="0"/>
    <s v="シルバーマット"/>
    <s v="SC-SVMT200521-MXB"/>
    <n v="0.6"/>
    <n v="70"/>
    <n v="42"/>
    <n v="500"/>
    <n v="21000"/>
    <s v="研究所"/>
    <s v="－"/>
    <s v="大阪ガスから500円／㎡"/>
  </r>
  <r>
    <x v="0"/>
    <s v="シルバー光沢"/>
    <s v="SC-SVSH200521-MXB"/>
    <n v="0.6"/>
    <n v="120"/>
    <n v="72"/>
    <n v="500"/>
    <n v="36000"/>
    <s v="研究所"/>
    <s v="－"/>
    <s v="大阪ガスから501円／㎡"/>
  </r>
  <r>
    <x v="0"/>
    <s v="シルバー光沢"/>
    <s v="SC-SVSH200521-MXB_切り出し用_①"/>
    <n v="0.6"/>
    <n v="2"/>
    <n v="1.2"/>
    <n v="500"/>
    <n v="600"/>
    <s v="研究所"/>
    <s v="－"/>
    <s v="大阪ガスから502円／㎡"/>
  </r>
  <r>
    <x v="2"/>
    <s v="シルバーマット"/>
    <s v="SM0001-7-CAP-GL-10"/>
    <n v="1.0329999999999999"/>
    <n v="19.8"/>
    <n v="20.453399999999998"/>
    <n v="1955.4267856800591"/>
    <n v="39995.126218228521"/>
    <s v="研究所"/>
    <d v="2021-09-01T00:00:00"/>
    <m/>
  </r>
  <r>
    <x v="2"/>
    <s v="ホワイトマット"/>
    <s v="WHMTe0000a-CAP-GL-11_切り出し用"/>
    <n v="1.0349999999999999"/>
    <n v="4.3"/>
    <n v="4.4504999999999999"/>
    <n v="1385.9317065151874"/>
    <n v="6168.0890598458418"/>
    <s v="研究所"/>
    <d v="2021-08-01T00:00:00"/>
    <m/>
  </r>
  <r>
    <x v="0"/>
    <s v="シルバーマット"/>
    <s v="SC-SVMT210325_1-2-A-MX-BW-25M"/>
    <n v="1.2"/>
    <n v="100"/>
    <n v="120"/>
    <n v="500"/>
    <n v="60000"/>
    <s v="研究所"/>
    <s v="－"/>
    <s v="大阪ガスから500円／㎡"/>
  </r>
  <r>
    <x v="0"/>
    <s v="シルバーマット"/>
    <s v="SC-SVMT210325_1-2-A-MX-BW-25M_切り出し用"/>
    <n v="1.2"/>
    <n v="5.2"/>
    <n v="6.24"/>
    <n v="500"/>
    <n v="3120"/>
    <s v="研究所"/>
    <s v="－"/>
    <s v="大阪ガスから500円／㎡"/>
  </r>
  <r>
    <x v="0"/>
    <s v="シルバーマット"/>
    <s v="SC-SVMT210325_4-A-MD-25M"/>
    <n v="1.2"/>
    <n v="25"/>
    <n v="30"/>
    <n v="500"/>
    <n v="15000"/>
    <s v="研究所"/>
    <s v="－"/>
    <s v="大阪ガスから500円／㎡"/>
  </r>
  <r>
    <x v="0"/>
    <s v="シルバーマット"/>
    <s v="SC-SVMT210325_5-A-ME-25M"/>
    <n v="1.2"/>
    <n v="25"/>
    <n v="30"/>
    <n v="500"/>
    <n v="15000"/>
    <s v="研究所"/>
    <s v="－"/>
    <s v="大阪ガスから500円／㎡"/>
  </r>
  <r>
    <x v="0"/>
    <s v="シルバーマット"/>
    <s v="SC-SVMT210325_5-A-ME-5M_切り出し用"/>
    <n v="1.2"/>
    <n v="2.1"/>
    <n v="2.52"/>
    <n v="500"/>
    <n v="1260"/>
    <s v="研究所"/>
    <s v="－"/>
    <s v="大阪ガスから500円／㎡"/>
  </r>
  <r>
    <x v="0"/>
    <s v="シルバーマット"/>
    <s v="SC-SVMT210325_5-A-MF-25M"/>
    <n v="1.2"/>
    <n v="25"/>
    <n v="30"/>
    <n v="500"/>
    <n v="15000"/>
    <s v="研究所"/>
    <s v="－"/>
    <s v="大阪ガスから500円／㎡"/>
  </r>
  <r>
    <x v="0"/>
    <s v="ホワイトマット"/>
    <s v="SC-WHMT210325_2-A-MX-BW-25M"/>
    <n v="1.2"/>
    <n v="25"/>
    <n v="30"/>
    <n v="500"/>
    <n v="15000"/>
    <s v="研究所"/>
    <s v="－"/>
    <s v="大阪ガスから508円／㎡"/>
  </r>
  <r>
    <x v="0"/>
    <s v="シルバーマット"/>
    <s v="SVMTe0000a-MXB-25M"/>
    <n v="1.2"/>
    <n v="25"/>
    <n v="30"/>
    <n v="645.27089783281701"/>
    <n v="19358.12693498451"/>
    <s v="研究所"/>
    <d v="2021-07-01T00:00:00"/>
    <m/>
  </r>
  <r>
    <x v="0"/>
    <s v="シルバーマット"/>
    <s v="SC-SVMT210325_1-2-A-MX-BW-25M_切り出し用②"/>
    <n v="1.2"/>
    <n v="19.399999999999999"/>
    <n v="23.279999999999998"/>
    <n v="500"/>
    <n v="11639.999999999998"/>
    <s v="研究所"/>
    <s v="－"/>
    <s v="大阪ガスから500円／㎡"/>
  </r>
  <r>
    <x v="3"/>
    <s v="シルバーマット"/>
    <s v="SM0001-7-CAP-KU-20211102-1"/>
    <n v="1.2050000000000001"/>
    <n v="32.5"/>
    <n v="39.162500000000001"/>
    <n v="1694.4471129068031"/>
    <n v="66358.785059212678"/>
    <s v="研究所"/>
    <d v="2021-11-01T00:00:00"/>
    <m/>
  </r>
  <r>
    <x v="3"/>
    <s v="シルバーマット"/>
    <s v="SM0001-7-CAP-KU-20211102-5"/>
    <n v="1.2050000000000001"/>
    <n v="8"/>
    <n v="9.64"/>
    <n v="1694.4471129068031"/>
    <n v="16334.470168421583"/>
    <s v="研究所"/>
    <d v="2021-11-01T00:00:00"/>
    <m/>
  </r>
  <r>
    <x v="0"/>
    <s v="ホワイトマット"/>
    <s v="WHMTe0000a-MXJ-AS-24M_切り出し用_②(2m)"/>
    <n v="1.25"/>
    <n v="2"/>
    <n v="2.5"/>
    <n v="500"/>
    <n v="1250"/>
    <s v="研究所"/>
    <s v="－"/>
    <s v="大阪ガスから510円／㎡"/>
  </r>
  <r>
    <x v="0"/>
    <s v="ホワイトマット"/>
    <s v="WHMTe0000a-MXJ-AS-25M"/>
    <n v="1.25"/>
    <n v="25"/>
    <n v="31.25"/>
    <n v="500"/>
    <n v="15625"/>
    <s v="研究所"/>
    <s v="－"/>
    <s v="大阪ガスから510円／㎡"/>
  </r>
  <r>
    <x v="0"/>
    <s v="ホワイトマット"/>
    <s v="WHMTe0000a-MXJ-K1-25M"/>
    <n v="1.25"/>
    <n v="25"/>
    <n v="31.25"/>
    <n v="500"/>
    <n v="15625"/>
    <s v="研究所"/>
    <s v="－"/>
    <s v="大阪ガスから510円／㎡"/>
  </r>
  <r>
    <x v="0"/>
    <s v="シルバー光沢"/>
    <s v="SS0001-3-MXJ-K2-10M_切り出し用_①"/>
    <n v="1.25"/>
    <n v="8.5"/>
    <n v="10.625"/>
    <n v="1349.3787234042554"/>
    <n v="14337.148936170213"/>
    <s v="研究所"/>
    <s v="9月"/>
    <m/>
  </r>
  <r>
    <x v="0"/>
    <s v="ホワイトマット"/>
    <s v="WHMTe0000a-MXJ-AS-25M_切り出し用"/>
    <n v="1.25"/>
    <n v="18.3"/>
    <n v="22.875"/>
    <n v="500"/>
    <n v="11437.5"/>
    <s v="研究所"/>
    <s v="－"/>
    <s v="大阪ガスから510円／㎡"/>
  </r>
  <r>
    <x v="0"/>
    <s v="ホワイトマット"/>
    <s v="WM0001-1-MXJ-K2-25M_切り出し用"/>
    <n v="1.25"/>
    <n v="7.1"/>
    <n v="8.875"/>
    <n v="986.79157138412597"/>
    <n v="8757.7751960341175"/>
    <s v="研究所"/>
    <d v="2021-09-01T00:00:00"/>
    <m/>
  </r>
  <r>
    <x v="1"/>
    <s v="ホワイトマット"/>
    <s v="WHMT0000a-CAP-TP50F-20220425-2"/>
    <n v="1.204"/>
    <n v="4.5"/>
    <n v="5.4180000000000001"/>
    <n v="1851.8122870175514"/>
    <n v="10033.118971061094"/>
    <s v="山本運輸"/>
    <d v="2022-04-01T00:00:00"/>
    <m/>
  </r>
  <r>
    <x v="1"/>
    <s v="ホワイトマット"/>
    <s v="WHMT0000a-CAP-TP50F-20220425-3"/>
    <n v="1.204"/>
    <n v="24"/>
    <n v="28.896000000000001"/>
    <n v="1851.8122870175514"/>
    <n v="53509.967845659165"/>
    <s v="山本運輸"/>
    <d v="2022-04-01T00:00:00"/>
    <m/>
  </r>
  <r>
    <x v="8"/>
    <s v="シルバーマット"/>
    <s v="J22D0701-1"/>
    <n v="1.29"/>
    <n v="1007"/>
    <n v="1299.03"/>
    <n v="621.00017485574404"/>
    <n v="806697.85714285716"/>
    <s v="鴻池運輸"/>
    <d v="2022-04-01T00:00:00"/>
    <s v="SC-3"/>
  </r>
  <r>
    <x v="8"/>
    <s v="シルバーマット"/>
    <s v="J22D0701-2"/>
    <n v="1.29"/>
    <n v="987"/>
    <n v="1273.23"/>
    <n v="621.00017485574404"/>
    <n v="790676.05263157899"/>
    <s v="鴻池運輸"/>
    <d v="2022-04-01T00:00:00"/>
    <s v="SC-3"/>
  </r>
  <r>
    <x v="8"/>
    <s v="シルバーマット"/>
    <s v="J22D0701-3"/>
    <n v="1.29"/>
    <n v="320"/>
    <n v="412.8"/>
    <n v="621.00017485574392"/>
    <n v="256348.87218045109"/>
    <s v="鴻池運輸"/>
    <d v="2022-04-01T00:00:00"/>
    <s v="SC-6"/>
  </r>
  <r>
    <x v="8"/>
    <s v="シルバーマット"/>
    <s v="J22D0701-4"/>
    <n v="1.29"/>
    <n v="423"/>
    <n v="545.66999999999996"/>
    <n v="621.00017485574404"/>
    <n v="338861.1654135338"/>
    <s v="鴻池運輸"/>
    <d v="2022-04-01T00:00:00"/>
    <s v="SC-30"/>
  </r>
  <r>
    <x v="0"/>
    <s v="ホワイトマット"/>
    <s v="WM0002-MXJ-K2-220422_1-20_a"/>
    <n v="1.25"/>
    <n v="500"/>
    <n v="625"/>
    <n v="1086.1813388965465"/>
    <n v="678863.33681034157"/>
    <s v="入江運輸"/>
    <d v="2022-05-01T00:00:00"/>
    <m/>
  </r>
  <r>
    <x v="0"/>
    <s v="ホワイトマット"/>
    <s v="WM0002-MXJ-K2-220422_1-30_b"/>
    <n v="1.25"/>
    <n v="750"/>
    <n v="937.5"/>
    <n v="1086.1813388965465"/>
    <n v="1018295.0052155124"/>
    <s v="入江運輸"/>
    <d v="2022-05-01T00:00:00"/>
    <m/>
  </r>
  <r>
    <x v="0"/>
    <s v="ホワイトマット"/>
    <s v="WM0002-MXJ-K2-220422_31_b"/>
    <n v="1.25"/>
    <n v="1"/>
    <n v="1.25"/>
    <n v="1086.1813388965465"/>
    <n v="1357.7266736206832"/>
    <s v="オガサハラ"/>
    <d v="2022-05-01T00:00:00"/>
    <m/>
  </r>
  <r>
    <x v="0"/>
    <s v="ホワイトマット"/>
    <s v="WM0002-MXJ-K2-220422_1-38_c"/>
    <n v="1.25"/>
    <n v="950"/>
    <n v="1187.5"/>
    <n v="1086.1813388965463"/>
    <n v="1289840.3399396488"/>
    <s v="入江運輸"/>
    <d v="2022-05-01T00:00:00"/>
    <m/>
  </r>
  <r>
    <x v="0"/>
    <s v="ホワイトマット"/>
    <s v="WM0002-MXJ-K2-220422_39_c"/>
    <n v="1.25"/>
    <n v="13"/>
    <n v="16.25"/>
    <n v="1086.1813388965463"/>
    <n v="17650.446757068879"/>
    <s v="入江運輸"/>
    <d v="2022-05-01T00:00:00"/>
    <m/>
  </r>
  <r>
    <x v="0"/>
    <s v="ホワイトマット"/>
    <s v="WM0002-MXJ-K2-220422_40_c"/>
    <n v="1.25"/>
    <n v="16"/>
    <n v="20"/>
    <n v="1086.1813388965465"/>
    <n v="21723.626777930931"/>
    <s v="オガサハラ"/>
    <d v="2022-05-01T00:00:00"/>
    <m/>
  </r>
  <r>
    <x v="0"/>
    <s v="シルバーマット"/>
    <s v="SM0002-MXJ-K2-220422_1-12"/>
    <n v="1.25"/>
    <n v="300"/>
    <n v="375"/>
    <n v="1099.5225721795628"/>
    <n v="412320.96456733602"/>
    <s v="入江運輸"/>
    <d v="2022-05-01T00:00:00"/>
    <m/>
  </r>
  <r>
    <x v="0"/>
    <s v="シルバーマット"/>
    <s v="SM0003-MXJ-K2-220422_1-25"/>
    <n v="1.25"/>
    <n v="600"/>
    <n v="750"/>
    <n v="1099.5225721795628"/>
    <n v="824641.92913467204"/>
    <s v="入江運輸"/>
    <d v="2022-05-01T00:00:00"/>
    <m/>
  </r>
  <r>
    <x v="11"/>
    <s v="白"/>
    <s v="C16-CL-EM_20220614_9"/>
    <n v="1.29"/>
    <n v="940"/>
    <n v="1212.6000000000001"/>
    <n v="166.7"/>
    <n v="156698"/>
    <s v="鴻池運輸"/>
    <d v="2022-06-01T00:00:00"/>
    <s v="SC-32"/>
  </r>
  <r>
    <x v="0"/>
    <s v="ホワイトマット"/>
    <s v="WM0004-MXJ-K2-220713"/>
    <n v="1.25"/>
    <n v="925"/>
    <n v="1156.25"/>
    <n v="1089.6454038775285"/>
    <n v="1259902.4982333924"/>
    <s v="入江運輸"/>
    <d v="2022-07-01T00:00:00"/>
    <m/>
  </r>
  <r>
    <x v="0"/>
    <s v="ホワイトマット"/>
    <s v="WM0004-MXJ-K2-220713-40"/>
    <n v="1.25"/>
    <n v="16"/>
    <n v="20"/>
    <n v="1089.6454038775285"/>
    <n v="21792.908077550568"/>
    <s v="入江運輸"/>
    <d v="2022-07-01T00:00:00"/>
    <m/>
  </r>
  <r>
    <x v="0"/>
    <s v="ホワイトマット"/>
    <s v="WM0002-MXJ-K2-220713-1_39"/>
    <n v="1.25"/>
    <n v="975"/>
    <n v="1218.75"/>
    <n v="1089.6454038775285"/>
    <n v="1328005.3359757378"/>
    <s v="入江運輸"/>
    <d v="2022-07-01T00:00:00"/>
    <m/>
  </r>
  <r>
    <x v="0"/>
    <s v="シルバーマット"/>
    <s v="SM0002-MXJ-K2-220713-36"/>
    <n v="1.25"/>
    <n v="15"/>
    <n v="18.75"/>
    <n v="1089.6454038775285"/>
    <n v="20430.85132270366"/>
    <s v="入江運輸"/>
    <d v="2022-07-01T00:00:00"/>
    <m/>
  </r>
  <r>
    <x v="0"/>
    <s v="シルバーマット"/>
    <s v="SM0002-MXJ-K2-220713-37"/>
    <n v="1.25"/>
    <n v="18"/>
    <n v="22.5"/>
    <n v="1089.6454038775285"/>
    <n v="24517.021587244391"/>
    <s v="入江運輸"/>
    <d v="2022-07-01T00:00:00"/>
    <m/>
  </r>
  <r>
    <x v="0"/>
    <s v="シルバーマット"/>
    <s v="SM0002-MXJ-K2-220713-38"/>
    <n v="1.25"/>
    <n v="14"/>
    <n v="17.5"/>
    <n v="1089.6454038775285"/>
    <n v="19068.794567856748"/>
    <s v="入江運輸"/>
    <d v="2022-07-01T00:00:00"/>
    <m/>
  </r>
  <r>
    <x v="0"/>
    <s v="シルバーマット"/>
    <s v="SM0002-MXJ-K2-220713-39"/>
    <n v="1.25"/>
    <n v="23"/>
    <n v="28.75"/>
    <n v="1089.6454038775285"/>
    <n v="31327.305361478942"/>
    <s v="入江運輸"/>
    <d v="2022-07-01T00:00:00"/>
    <m/>
  </r>
  <r>
    <x v="0"/>
    <s v="シルバーマット"/>
    <s v="SM0002-MXJ-K2-220713-41"/>
    <n v="1.25"/>
    <n v="23"/>
    <n v="28.75"/>
    <n v="1089.6454038775285"/>
    <n v="31327.305361478942"/>
    <s v="入江運輸"/>
    <d v="2022-07-01T00:00:00"/>
    <m/>
  </r>
  <r>
    <x v="0"/>
    <s v="シルバーマット"/>
    <s v="SM0002-MXJ-K2-220713-1_35"/>
    <n v="1.25"/>
    <n v="825"/>
    <n v="1031.25"/>
    <n v="1081.8091504305573"/>
    <n v="1115615.6863815123"/>
    <s v="入江運輸"/>
    <d v="2022-07-01T00:00:00"/>
    <m/>
  </r>
  <r>
    <x v="7"/>
    <s v="ホワイトマット"/>
    <s v="J22F2902-05"/>
    <n v="1.29"/>
    <n v="400"/>
    <n v="516"/>
    <n v="604.35137476984016"/>
    <n v="311845.30938123754"/>
    <s v="カンボウプラス"/>
    <d v="2022-06-01T00:00:00"/>
    <s v="SC-15"/>
  </r>
  <r>
    <x v="7"/>
    <s v="ホワイトマット"/>
    <s v="J22F2902-06"/>
    <n v="1.29"/>
    <n v="200"/>
    <n v="258"/>
    <n v="604.35137476984016"/>
    <n v="155922.65469061877"/>
    <s v="鴻池運輸"/>
    <d v="2022-06-01T00:00:00"/>
    <s v="SC-15"/>
  </r>
  <r>
    <x v="7"/>
    <s v="ホワイトマット"/>
    <s v="J22F2902-06"/>
    <n v="1.29"/>
    <n v="200"/>
    <n v="258"/>
    <n v="604.35137476984016"/>
    <n v="155922.65469061877"/>
    <s v="鴻池運輸"/>
    <d v="2022-06-01T00:00:00"/>
    <s v="SC-15"/>
  </r>
  <r>
    <x v="5"/>
    <s v="ホワイトマット"/>
    <s v="WM0002-CAPC-20220719-3"/>
    <n v="1.044"/>
    <n v="50"/>
    <n v="52.2"/>
    <n v="2807.836209038991"/>
    <n v="146569.05011183533"/>
    <s v="山本運輸"/>
    <d v="2022-07-01T00:00:00"/>
    <m/>
  </r>
  <r>
    <x v="5"/>
    <s v="ホワイトマット"/>
    <s v="WM0002-CAPC-20220719-4_切り出し用"/>
    <n v="1.044"/>
    <n v="6.2"/>
    <n v="6.4728000000000003"/>
    <n v="2807.836209038991"/>
    <n v="18174.562213867583"/>
    <s v="研究所"/>
    <d v="2022-07-01T00:00:00"/>
    <m/>
  </r>
  <r>
    <x v="2"/>
    <s v="ホワイトマット"/>
    <s v="WM0002-CAP-GL-20220719-4"/>
    <n v="1.034"/>
    <n v="50"/>
    <n v="51.7"/>
    <n v="2032.2833677337587"/>
    <n v="105069.05011183533"/>
    <s v="山本運輸"/>
    <d v="2022-07-01T00:00:00"/>
    <m/>
  </r>
  <r>
    <x v="2"/>
    <s v="ホワイトマット"/>
    <s v="WM0002-CAP-GL-20220719-5"/>
    <n v="1.034"/>
    <n v="50"/>
    <n v="51.7"/>
    <n v="2032.2833677337587"/>
    <n v="105069.05011183533"/>
    <s v="山本運輸"/>
    <d v="2022-07-01T00:00:00"/>
    <m/>
  </r>
  <r>
    <x v="2"/>
    <s v="ホワイトマット"/>
    <s v="WM0002-CAP-GL-20220719-6"/>
    <n v="1.034"/>
    <n v="50"/>
    <n v="51.7"/>
    <n v="2032.2833677337587"/>
    <n v="105069.05011183533"/>
    <s v="山本運輸"/>
    <d v="2022-07-01T00:00:00"/>
    <m/>
  </r>
  <r>
    <x v="2"/>
    <s v="ホワイトマット"/>
    <s v="WM0002-CAP-GL-20220719-7"/>
    <n v="1.034"/>
    <n v="50"/>
    <n v="51.7"/>
    <n v="2032.2833677337587"/>
    <n v="105069.05011183533"/>
    <s v="山本運輸"/>
    <d v="2022-07-01T00:00:00"/>
    <m/>
  </r>
  <r>
    <x v="2"/>
    <s v="ホワイトマット"/>
    <s v="WM0002-CAP-GL-20220719-8"/>
    <n v="1.034"/>
    <n v="50"/>
    <n v="51.7"/>
    <n v="2032.2833677337587"/>
    <n v="105069.05011183533"/>
    <s v="山本運輸"/>
    <d v="2022-07-01T00:00:00"/>
    <m/>
  </r>
  <r>
    <x v="2"/>
    <s v="ホワイトマット"/>
    <s v="WM0002-CAP-GL-20220719-9"/>
    <n v="1.034"/>
    <n v="50"/>
    <n v="51.7"/>
    <n v="2032.2833677337587"/>
    <n v="105069.05011183533"/>
    <s v="山本運輸"/>
    <d v="2022-07-01T00:00:00"/>
    <m/>
  </r>
  <r>
    <x v="2"/>
    <s v="ホワイトマット"/>
    <s v="WM0002-CAP-GL-20220719-10_切り出し用"/>
    <n v="1.034"/>
    <n v="2"/>
    <n v="2.0680000000000001"/>
    <n v="2032.2833677337587"/>
    <n v="4202.7620044734131"/>
    <s v="山本運輸"/>
    <d v="2022-07-01T00:00:00"/>
    <m/>
  </r>
  <r>
    <x v="11"/>
    <s v="透明"/>
    <s v="A6-CL-EM_20220801-2"/>
    <n v="1.29"/>
    <n v="600"/>
    <n v="774"/>
    <n v="157.1"/>
    <n v="94260"/>
    <s v="鴻池運輸"/>
    <d v="2022-07-01T00:00:00"/>
    <s v="SC-32"/>
  </r>
  <r>
    <x v="11"/>
    <s v="透明"/>
    <s v="A6-CL-EM_20220801-5"/>
    <n v="1.29"/>
    <n v="1000"/>
    <n v="1290"/>
    <n v="157.1"/>
    <n v="157100"/>
    <s v="鴻池運輸"/>
    <d v="2022-07-01T00:00:00"/>
    <s v="SC-17"/>
  </r>
  <r>
    <x v="11"/>
    <s v="透明"/>
    <s v="A6-CL-EM_20220801-6"/>
    <n v="1.29"/>
    <n v="1000"/>
    <n v="1290"/>
    <n v="157.1"/>
    <n v="157100"/>
    <s v="鴻池運輸"/>
    <d v="2022-07-01T00:00:00"/>
    <s v="SC-18"/>
  </r>
  <r>
    <x v="11"/>
    <s v="透明"/>
    <s v="A6-CL-EM_20220801-7"/>
    <n v="1.29"/>
    <n v="1000"/>
    <n v="1290"/>
    <n v="157.1"/>
    <n v="157100"/>
    <s v="鴻池運輸"/>
    <d v="2022-07-01T00:00:00"/>
    <s v="SC-18"/>
  </r>
  <r>
    <x v="11"/>
    <s v="透明"/>
    <s v="A6-CL-EM_20220801-8"/>
    <n v="1.29"/>
    <n v="1000"/>
    <n v="1290"/>
    <n v="157.1"/>
    <n v="157100"/>
    <s v="鴻池運輸"/>
    <d v="2022-07-01T00:00:00"/>
    <s v="SC-18"/>
  </r>
  <r>
    <x v="11"/>
    <s v="透明"/>
    <s v="A6-CL-EM_20220801-9"/>
    <n v="1.29"/>
    <n v="1000"/>
    <n v="1290"/>
    <n v="157.1"/>
    <n v="157100"/>
    <s v="鴻池運輸"/>
    <d v="2022-07-01T00:00:00"/>
    <s v="SC-18"/>
  </r>
  <r>
    <x v="11"/>
    <s v="透明"/>
    <s v="A6-CL-EM_20220801-10"/>
    <n v="1.29"/>
    <n v="1000"/>
    <n v="1290"/>
    <n v="157.1"/>
    <n v="157100"/>
    <s v="鴻池運輸"/>
    <d v="2022-07-01T00:00:00"/>
    <s v="SC-18"/>
  </r>
  <r>
    <x v="2"/>
    <s v="ホワイトマット"/>
    <s v="WHMTe0000a-CAP-GL-8"/>
    <n v="1.0349999999999999"/>
    <n v="50"/>
    <n v="51.749999999999993"/>
    <n v="1385.9317065151874"/>
    <n v="71721.965812160939"/>
    <s v="山本運輸"/>
    <d v="2021-08-01T00:00:00"/>
    <m/>
  </r>
  <r>
    <x v="0"/>
    <s v="ホワイトマット"/>
    <s v="WM0001-2-MXJ-K2-25M"/>
    <n v="1.25"/>
    <n v="13"/>
    <n v="16.25"/>
    <n v="986.79157138412597"/>
    <n v="16035.363034992048"/>
    <s v="ジェイトリム"/>
    <d v="2021-09-01T00:00:00"/>
    <m/>
  </r>
  <r>
    <x v="0"/>
    <s v="ホワイトマット"/>
    <s v="WM0004-MXJ-K2-220713-39"/>
    <n v="1.25"/>
    <n v="6.4"/>
    <n v="8"/>
    <n v="1089.6454038775285"/>
    <n v="8717.1632310202276"/>
    <s v="エクシング"/>
    <d v="2022-07-01T00:00:00"/>
    <m/>
  </r>
  <r>
    <x v="0"/>
    <s v="ホワイトマット"/>
    <s v="WM0002-MXJ-K2-220127_1-34_a_セイリツ"/>
    <n v="1.25"/>
    <n v="125"/>
    <n v="156.25"/>
    <n v="991.44394343082831"/>
    <n v="154913.11616106692"/>
    <s v="セイリツ工業"/>
    <d v="2022-02-01T00:00:00"/>
    <m/>
  </r>
  <r>
    <x v="0"/>
    <s v="ホワイトマット"/>
    <s v="WM0001-1-MXJ-K2-25M"/>
    <n v="1.25"/>
    <n v="25"/>
    <n v="31.25"/>
    <n v="986.79157138412597"/>
    <n v="30837.236605753937"/>
    <s v="研究所"/>
    <d v="2021-09-01T00:00:00"/>
    <s v="2022年8月セイリツ工業分返却"/>
  </r>
  <r>
    <x v="0"/>
    <s v="シルバーマット"/>
    <s v="SM0004-MXJ-K2-220903-1_10"/>
    <n v="1.25"/>
    <n v="250"/>
    <n v="312.5"/>
    <n v="1282.1929558379868"/>
    <n v="400685.29869937088"/>
    <s v="入江運輸"/>
    <d v="2022-09-01T00:00:00"/>
    <m/>
  </r>
  <r>
    <x v="0"/>
    <s v="シルバーマット"/>
    <s v="SM0004-MXJ-K2-220903-11"/>
    <n v="1.25"/>
    <n v="24"/>
    <n v="30"/>
    <n v="1282.1929558379868"/>
    <n v="38465.788675139607"/>
    <s v="入江運輸"/>
    <d v="2022-09-01T00:00:00"/>
    <m/>
  </r>
  <r>
    <x v="0"/>
    <s v="シルバーマット"/>
    <s v="SM0004-MXJ-K2-220903-12"/>
    <n v="1.25"/>
    <n v="13"/>
    <n v="16.25"/>
    <n v="1282.1929558379868"/>
    <n v="20835.635532367287"/>
    <s v="入江運輸"/>
    <d v="2022-09-01T00:00:00"/>
    <m/>
  </r>
  <r>
    <x v="0"/>
    <s v="シルバーマット"/>
    <s v="SM0004-MXJ-K2-220903-13"/>
    <n v="1.25"/>
    <n v="9"/>
    <n v="11.25"/>
    <n v="1282.1929558379868"/>
    <n v="14424.670753177352"/>
    <s v="入江運輸"/>
    <d v="2022-09-01T00:00:00"/>
    <m/>
  </r>
  <r>
    <x v="0"/>
    <s v="シルバーマット"/>
    <s v="SM0004-MXJ-K2-220921-1_39_a"/>
    <n v="1.25"/>
    <n v="975"/>
    <n v="1218.75"/>
    <n v="1211.8249041983679"/>
    <n v="1476911.6019917608"/>
    <s v="入江運輸"/>
    <d v="2022-09-01T00:00:00"/>
    <m/>
  </r>
  <r>
    <x v="0"/>
    <s v="シルバーマット"/>
    <s v="SM0004-MXJ-K2-220921-40_a"/>
    <n v="1.25"/>
    <n v="6"/>
    <n v="7.5"/>
    <n v="1211.8249041983679"/>
    <n v="9088.6867814877587"/>
    <s v="入江運輸"/>
    <d v="2022-09-01T00:00:00"/>
    <m/>
  </r>
  <r>
    <x v="0"/>
    <s v="シルバーマット"/>
    <s v="SM0004-MXJ-K2-220921-1_38_b"/>
    <n v="1.25"/>
    <n v="950"/>
    <n v="1187.5"/>
    <n v="1211.8249041983679"/>
    <n v="1439042.0737355619"/>
    <s v="入江運輸"/>
    <d v="2022-09-01T00:00:00"/>
    <m/>
  </r>
  <r>
    <x v="0"/>
    <s v="シルバーマット"/>
    <s v="SM0004-MXJ-K2-220921-39_b"/>
    <n v="1.25"/>
    <n v="17"/>
    <n v="21.25"/>
    <n v="1211.8249041983679"/>
    <n v="25751.279214215319"/>
    <s v="入江運輸"/>
    <d v="2022-09-01T00:00:00"/>
    <m/>
  </r>
  <r>
    <x v="0"/>
    <s v="シルバーマット"/>
    <s v="SM0004-MXJ-K2-220921-40_b"/>
    <n v="1.25"/>
    <n v="16"/>
    <n v="20"/>
    <n v="1211.8249041983679"/>
    <n v="24236.498083967359"/>
    <s v="入江運輸"/>
    <d v="2022-09-01T00:00:00"/>
    <m/>
  </r>
  <r>
    <x v="0"/>
    <s v="シルバーマット"/>
    <s v="SM0004-MXJ-K2-220921-1_38_c"/>
    <n v="1.25"/>
    <n v="950"/>
    <n v="1187.5"/>
    <n v="1211.8249041983679"/>
    <n v="1439042.0737355619"/>
    <s v="入江運輸"/>
    <d v="2022-09-01T00:00:00"/>
    <m/>
  </r>
  <r>
    <x v="0"/>
    <s v="シルバーマット"/>
    <s v="SM0004-MXJ-K2-220921-39_c"/>
    <n v="1.25"/>
    <n v="8"/>
    <n v="10"/>
    <n v="1211.8249041983679"/>
    <n v="12118.249041983679"/>
    <s v="入江運輸"/>
    <d v="2022-09-01T00:00:00"/>
    <m/>
  </r>
  <r>
    <x v="0"/>
    <s v="シルバーマット"/>
    <s v="SM0004-MXJ-K2-220921-40_c"/>
    <n v="1.25"/>
    <n v="22"/>
    <n v="27.5"/>
    <n v="1211.8249041983677"/>
    <n v="33325.184865455114"/>
    <s v="入江運輸"/>
    <d v="2022-09-01T00:00:00"/>
    <m/>
  </r>
  <r>
    <x v="0"/>
    <s v="シルバーマット"/>
    <s v="SM0004-MXJ-K2-220921-41_c"/>
    <n v="1.25"/>
    <n v="7"/>
    <n v="8.75"/>
    <n v="1211.8249041983679"/>
    <n v="10603.467911735719"/>
    <s v="入江運輸"/>
    <d v="2022-09-01T00:00:00"/>
    <m/>
  </r>
  <r>
    <x v="0"/>
    <s v="ホワイトマット"/>
    <s v="WM0004-MXJ-K2-220921-1_8_a"/>
    <n v="1.25"/>
    <n v="200"/>
    <n v="250"/>
    <n v="1125.1613526715632"/>
    <n v="281290.33816789079"/>
    <s v="入江運輸"/>
    <d v="2022-09-01T00:00:00"/>
    <m/>
  </r>
  <r>
    <x v="0"/>
    <s v="ホワイトマット"/>
    <s v="WM0004-MXJ-K2-220921-9_a"/>
    <n v="1.25"/>
    <n v="18"/>
    <n v="22.5"/>
    <n v="1125.161352671563"/>
    <n v="25316.130435110168"/>
    <s v="入江運輸"/>
    <d v="2022-09-01T00:00:00"/>
    <m/>
  </r>
  <r>
    <x v="0"/>
    <s v="ホワイトマット"/>
    <s v="WM0004-MXJ-K2-220921-1_36_b"/>
    <n v="1.25"/>
    <n v="900"/>
    <n v="1125"/>
    <n v="1125.161352671563"/>
    <n v="1265806.5217555084"/>
    <s v="入江運輸"/>
    <d v="2022-09-01T00:00:00"/>
    <m/>
  </r>
  <r>
    <x v="0"/>
    <s v="ホワイトマット"/>
    <s v="WM0004-MXJ-K2-220921-37_b"/>
    <n v="1.25"/>
    <n v="23"/>
    <n v="28.75"/>
    <n v="1125.161352671563"/>
    <n v="32348.388889307436"/>
    <s v="入江運輸"/>
    <d v="2022-09-01T00:00:00"/>
    <m/>
  </r>
  <r>
    <x v="0"/>
    <s v="ホワイトマット"/>
    <s v="WM0004-MXJ-K2-220921-39_b"/>
    <n v="1.25"/>
    <n v="15"/>
    <n v="18.75"/>
    <n v="1125.161352671563"/>
    <n v="21096.775362591805"/>
    <s v="入江運輸"/>
    <d v="2022-09-01T00:00:00"/>
    <m/>
  </r>
  <r>
    <x v="0"/>
    <s v="ホワイトマット"/>
    <s v="WM0004-MXJ-K2-220921-40_b"/>
    <n v="1.25"/>
    <n v="12"/>
    <n v="15"/>
    <n v="1125.161352671563"/>
    <n v="16877.420290073445"/>
    <s v="入江運輸"/>
    <d v="2022-09-01T00:00:00"/>
    <m/>
  </r>
  <r>
    <x v="0"/>
    <s v="ホワイトマット"/>
    <s v="WM0004-MXJ-K2-220921-41_b"/>
    <n v="1.25"/>
    <n v="21"/>
    <n v="26.25"/>
    <n v="1125.161352671563"/>
    <n v="29535.485507628528"/>
    <s v="入江運輸"/>
    <d v="2022-09-01T00:00:00"/>
    <m/>
  </r>
  <r>
    <x v="0"/>
    <s v="ホワイトマット"/>
    <s v="WM0004-MXJ-K2-220921-42_b"/>
    <n v="1.25"/>
    <n v="5"/>
    <n v="6.25"/>
    <n v="1125.161352671563"/>
    <n v="7032.2584541972692"/>
    <s v="入江運輸"/>
    <d v="2022-09-01T00:00:00"/>
    <m/>
  </r>
  <r>
    <x v="0"/>
    <s v="ホワイトマット"/>
    <s v="WM0004-MXJ-K2-220921-1_37_c"/>
    <n v="1.25"/>
    <n v="925"/>
    <n v="1156.25"/>
    <n v="1125.161352671563"/>
    <n v="1300967.8140264947"/>
    <s v="入江運輸"/>
    <d v="2022-09-01T00:00:00"/>
    <m/>
  </r>
  <r>
    <x v="0"/>
    <s v="ホワイトマット"/>
    <s v="WM0004-MXJ-K2-220921-38_c"/>
    <n v="1.25"/>
    <n v="16"/>
    <n v="20"/>
    <n v="1125.1613526715632"/>
    <n v="22503.227053431263"/>
    <s v="入江運輸"/>
    <d v="2022-09-01T00:00:00"/>
    <m/>
  </r>
  <r>
    <x v="0"/>
    <s v="ホワイトマット"/>
    <s v="WM0004-MXJ-K2-220921-39_c"/>
    <n v="1.25"/>
    <n v="19"/>
    <n v="23.75"/>
    <n v="1125.161352671563"/>
    <n v="26722.582125949622"/>
    <s v="入江運輸"/>
    <d v="2022-09-01T00:00:00"/>
    <m/>
  </r>
  <r>
    <x v="1"/>
    <s v="シルバーマット"/>
    <s v="SM0002-CAP-TP50F-20220221-2"/>
    <n v="1.202"/>
    <n v="18"/>
    <n v="21.635999999999999"/>
    <n v="1844.5235479571647"/>
    <n v="39908.111483601213"/>
    <s v="山本運輸"/>
    <d v="2022-02-01T00:00:00"/>
    <m/>
  </r>
  <r>
    <x v="1"/>
    <s v="シルバーマット"/>
    <s v="SM0002-CAP-TP50F-20220221-1"/>
    <n v="1.202"/>
    <n v="46"/>
    <n v="55.292000000000002"/>
    <m/>
    <n v="0"/>
    <s v="山本運輸"/>
    <d v="2022-08-01T00:00:00"/>
    <m/>
  </r>
  <r>
    <x v="1"/>
    <s v="シルバーマット"/>
    <s v="SM0002-CAP-TP50F-20220221-2_切り出し用"/>
    <n v="1.202"/>
    <n v="5"/>
    <n v="6.01"/>
    <n v="1844.5235479571647"/>
    <n v="11085.586523222561"/>
    <s v="研究所"/>
    <d v="2022-02-01T00:00:00"/>
    <m/>
  </r>
  <r>
    <x v="1"/>
    <s v="ホワイトマット"/>
    <s v="WM0002-CAP-TP50F-20220221-9_切り出し用"/>
    <n v="1.202"/>
    <n v="5"/>
    <n v="6.01"/>
    <n v="1829.0304691118606"/>
    <n v="10992.473119362281"/>
    <s v="研究所"/>
    <d v="2022-02-01T00:00:00"/>
    <m/>
  </r>
  <r>
    <x v="1"/>
    <s v="ホワイトマット"/>
    <s v="WM0002-CAP-TP50F-20220425-17"/>
    <n v="1.2030000000000001"/>
    <n v="5"/>
    <n v="6.0150000000000006"/>
    <n v="1720.5653100778291"/>
    <n v="10349.200340118143"/>
    <s v="研究所"/>
    <d v="2022-04-01T00:00:00"/>
    <m/>
  </r>
  <r>
    <x v="7"/>
    <s v="ホワイトマット"/>
    <s v="J22I0801-02"/>
    <n v="1.29"/>
    <n v="1008"/>
    <n v="1300.32"/>
    <n v="803.27333769610118"/>
    <n v="1044512.3864729942"/>
    <s v="鴻池運輸"/>
    <d v="2022-09-01T00:00:00"/>
    <s v="SC-23"/>
  </r>
  <r>
    <x v="7"/>
    <s v="ホワイトマット"/>
    <s v="J22I0801-03"/>
    <n v="1.29"/>
    <n v="1005"/>
    <n v="1296.45"/>
    <n v="803.27333769610118"/>
    <n v="1041403.7186561105"/>
    <s v="鴻池運輸"/>
    <d v="2022-09-01T00:00:00"/>
    <s v="SC-24"/>
  </r>
  <r>
    <x v="7"/>
    <s v="ホワイトマット"/>
    <s v="J22I0801-04"/>
    <n v="1.29"/>
    <n v="1012"/>
    <n v="1305.48"/>
    <n v="803.27333769610107"/>
    <n v="1048657.2768955061"/>
    <s v="鴻池運輸"/>
    <d v="2022-09-01T00:00:00"/>
    <s v="SC-24"/>
  </r>
  <r>
    <x v="7"/>
    <s v="ホワイトマット"/>
    <s v="J22I0801-05"/>
    <n v="1.29"/>
    <n v="1138"/>
    <n v="1468.02"/>
    <n v="803.27333769610118"/>
    <n v="1179221.3252046304"/>
    <s v="鴻池運輸"/>
    <d v="2022-09-01T00:00:00"/>
    <s v="SC-25"/>
  </r>
  <r>
    <x v="7"/>
    <s v="ホワイトマット"/>
    <s v="J22I0801-06"/>
    <n v="1.29"/>
    <n v="1006"/>
    <n v="1297.74"/>
    <n v="803.27333769610118"/>
    <n v="1042439.9412617383"/>
    <s v="鴻池運輸"/>
    <d v="2022-09-01T00:00:00"/>
    <s v="SC-25"/>
  </r>
  <r>
    <x v="8"/>
    <s v="シルバーマット"/>
    <s v="J22I0801-09"/>
    <n v="1.29"/>
    <n v="1078"/>
    <n v="1390.6200000000001"/>
    <n v="798.678120591435"/>
    <n v="1110657.7680568614"/>
    <s v="鴻池運輸"/>
    <d v="2022-09-01T00:00:00"/>
    <s v="SC-27"/>
  </r>
  <r>
    <x v="8"/>
    <s v="シルバーマット"/>
    <s v="J22I0801-11"/>
    <n v="1.29"/>
    <n v="1078"/>
    <n v="1390.6200000000001"/>
    <n v="798.678120591435"/>
    <n v="1110657.7680568614"/>
    <s v="鴻池運輸"/>
    <d v="2022-09-01T00:00:00"/>
    <s v="SC-27"/>
  </r>
  <r>
    <x v="8"/>
    <s v="シルバーマット"/>
    <s v="J22I0801-10"/>
    <n v="1.29"/>
    <n v="1042"/>
    <n v="1344.18"/>
    <n v="798.678120591435"/>
    <n v="1073567.1561365952"/>
    <s v="鴻池運輸"/>
    <d v="2022-09-01T00:00:00"/>
    <s v="SC-28"/>
  </r>
  <r>
    <x v="2"/>
    <s v="シルバーマット"/>
    <s v="SM0001-7-CAP-GL-20220830-1"/>
    <n v="1.0329999999999999"/>
    <n v="50"/>
    <n v="51.65"/>
    <n v="2002.5714855375395"/>
    <n v="103432.81722801391"/>
    <s v="山本運輸"/>
    <d v="2022-09-01T00:00:00"/>
    <m/>
  </r>
  <r>
    <x v="2"/>
    <s v="シルバーマット"/>
    <s v="SM0001-7-CAP-GL-20220830-2"/>
    <n v="1.0329999999999999"/>
    <n v="50"/>
    <n v="51.65"/>
    <n v="2002.5714855375395"/>
    <n v="103432.81722801391"/>
    <s v="山本運輸"/>
    <d v="2022-09-01T00:00:00"/>
    <m/>
  </r>
  <r>
    <x v="2"/>
    <s v="シルバーマット"/>
    <s v="SM0001-7-CAP-GL-20220830-3"/>
    <n v="1.0329999999999999"/>
    <n v="50"/>
    <n v="51.65"/>
    <n v="2002.5714855375395"/>
    <n v="103432.81722801391"/>
    <s v="山本運輸"/>
    <d v="2022-09-01T00:00:00"/>
    <m/>
  </r>
  <r>
    <x v="2"/>
    <s v="シルバーマット"/>
    <s v="SM0001-7-CAP-GL-20220830-4"/>
    <n v="1.0329999999999999"/>
    <n v="45"/>
    <n v="46.484999999999999"/>
    <n v="2002.5714855375393"/>
    <n v="93089.535505212509"/>
    <s v="山本運輸"/>
    <d v="2022-09-01T00:00:00"/>
    <m/>
  </r>
  <r>
    <x v="2"/>
    <s v="ホワイトマット"/>
    <s v="WM0004-CAP-GL-20220830-5"/>
    <n v="1.0329999999999999"/>
    <n v="50"/>
    <n v="51.65"/>
    <n v="2027.9655087612023"/>
    <n v="104744.4185275161"/>
    <s v="山本運輸"/>
    <d v="2022-09-01T00:00:00"/>
    <m/>
  </r>
  <r>
    <x v="2"/>
    <s v="ホワイトマット"/>
    <s v="WM0004-CAP-GL-20220830-6"/>
    <n v="1.0329999999999999"/>
    <n v="50"/>
    <n v="51.65"/>
    <n v="2027.9655087612023"/>
    <n v="104744.4185275161"/>
    <s v="山本運輸"/>
    <d v="2022-09-01T00:00:00"/>
    <m/>
  </r>
  <r>
    <x v="2"/>
    <s v="ホワイトマット"/>
    <s v="WM0004-CAP-GL-20220830-7"/>
    <n v="1.0329999999999999"/>
    <n v="50"/>
    <n v="51.65"/>
    <n v="2027.9655087612023"/>
    <n v="104744.4185275161"/>
    <s v="山本運輸"/>
    <d v="2022-09-01T00:00:00"/>
    <m/>
  </r>
  <r>
    <x v="2"/>
    <s v="ホワイトマット"/>
    <s v="WM0004-CAP-GL-20220830-8"/>
    <n v="1.0329999999999999"/>
    <n v="50"/>
    <n v="51.65"/>
    <n v="2027.9655087612023"/>
    <n v="104744.4185275161"/>
    <s v="山本運輸"/>
    <d v="2022-09-01T00:00:00"/>
    <m/>
  </r>
  <r>
    <x v="2"/>
    <s v="ホワイトマット"/>
    <s v="WM0004-CAP-GL-20220830-9"/>
    <n v="1.0329999999999999"/>
    <n v="50"/>
    <n v="51.65"/>
    <n v="2027.9655087612023"/>
    <n v="104744.4185275161"/>
    <s v="山本運輸"/>
    <d v="2022-09-01T00:00:00"/>
    <m/>
  </r>
  <r>
    <x v="2"/>
    <s v="ホワイトマット"/>
    <s v="WM0004-CAP-GL-20220830-10"/>
    <n v="1.0329999999999999"/>
    <n v="31.5"/>
    <n v="32.539499999999997"/>
    <n v="2027.9655087612023"/>
    <n v="65988.983672335133"/>
    <s v="山本運輸"/>
    <d v="2022-09-01T00:00:00"/>
    <m/>
  </r>
  <r>
    <x v="4"/>
    <s v="ホワイトマット"/>
    <s v="WM0004-CAP-B-220913-1"/>
    <n v="1.042"/>
    <n v="50"/>
    <n v="52.1"/>
    <n v="3466.503992175597"/>
    <n v="180604.85799234861"/>
    <s v="山本運輸"/>
    <d v="2022-09-01T00:00:00"/>
    <m/>
  </r>
  <r>
    <x v="4"/>
    <s v="ホワイトマット"/>
    <s v="WM0004-CAP-B-220913-2"/>
    <n v="1.042"/>
    <n v="50"/>
    <n v="52.1"/>
    <n v="3466.503992175597"/>
    <n v="180604.85799234861"/>
    <s v="山本運輸"/>
    <d v="2022-09-01T00:00:00"/>
    <m/>
  </r>
  <r>
    <x v="4"/>
    <s v="ホワイトマット"/>
    <s v="WM0004-CAP-B-220913-3"/>
    <n v="1.042"/>
    <n v="50"/>
    <n v="52.1"/>
    <n v="3466.503992175597"/>
    <n v="180604.85799234861"/>
    <s v="山本運輸"/>
    <d v="2022-09-01T00:00:00"/>
    <m/>
  </r>
  <r>
    <x v="4"/>
    <s v="ホワイトマット"/>
    <s v="WM0004-CAP-B-220913-4"/>
    <n v="1.042"/>
    <n v="50"/>
    <n v="52.1"/>
    <n v="3466.503992175597"/>
    <n v="180604.85799234861"/>
    <s v="山本運輸"/>
    <d v="2022-09-01T00:00:00"/>
    <m/>
  </r>
  <r>
    <x v="4"/>
    <s v="ホワイトマット"/>
    <s v="WM0004-CAP-B-220913-5"/>
    <n v="1.042"/>
    <n v="50"/>
    <n v="52.1"/>
    <n v="3466.503992175597"/>
    <n v="180604.85799234861"/>
    <s v="山本運輸"/>
    <d v="2022-09-01T00:00:00"/>
    <m/>
  </r>
  <r>
    <x v="4"/>
    <s v="ホワイトマット"/>
    <s v="WM0004-CAP-B-220913-6"/>
    <n v="1.042"/>
    <n v="21"/>
    <n v="21.882000000000001"/>
    <n v="3466.5039921755979"/>
    <n v="75854.040356786441"/>
    <s v="山本運輸"/>
    <d v="2022-09-01T00:00:00"/>
    <m/>
  </r>
  <r>
    <x v="4"/>
    <s v="ホワイトマット"/>
    <s v="WM0004-CAP-B-220913-7"/>
    <n v="1.042"/>
    <n v="50"/>
    <n v="52.1"/>
    <n v="3466.503992175597"/>
    <n v="180604.85799234861"/>
    <s v="山本運輸"/>
    <d v="2022-09-01T00:00:00"/>
    <m/>
  </r>
  <r>
    <x v="4"/>
    <s v="ホワイトマット"/>
    <s v="WM0004-CAP-B-220913-8"/>
    <n v="1.042"/>
    <n v="50"/>
    <n v="52.1"/>
    <n v="3466.503992175597"/>
    <n v="180604.85799234861"/>
    <s v="山本運輸"/>
    <d v="2022-09-01T00:00:00"/>
    <m/>
  </r>
  <r>
    <x v="4"/>
    <s v="ホワイトマット"/>
    <s v="WM0004-CAP-B-220913-9"/>
    <n v="1.042"/>
    <n v="50"/>
    <n v="52.1"/>
    <n v="3466.503992175597"/>
    <n v="180604.85799234861"/>
    <s v="山本運輸"/>
    <d v="2022-09-01T00:00:00"/>
    <m/>
  </r>
  <r>
    <x v="4"/>
    <s v="シルバーマット"/>
    <s v="SM0002-CAP-B-220913-11"/>
    <n v="1.042"/>
    <n v="48.5"/>
    <n v="50.536999999999999"/>
    <n v="3456.3979167913685"/>
    <n v="174675.9815208854"/>
    <s v="山本運輸"/>
    <d v="2022-09-01T00:00:00"/>
    <m/>
  </r>
  <r>
    <x v="4"/>
    <s v="シルバーマット"/>
    <s v="SM0002-CAP-B-220913-12"/>
    <n v="1.042"/>
    <n v="45.5"/>
    <n v="47.411000000000001"/>
    <n v="3456.3979167913685"/>
    <n v="163871.28163299558"/>
    <s v="山本運輸"/>
    <d v="2022-09-01T00:00:00"/>
    <m/>
  </r>
  <r>
    <x v="4"/>
    <s v="シルバーマット"/>
    <s v="SM0002-CAP-B-220913-13"/>
    <n v="1.042"/>
    <n v="50"/>
    <n v="52.1"/>
    <n v="3456.397916791369"/>
    <n v="180078.33146483032"/>
    <s v="山本運輸"/>
    <d v="2022-09-01T00:00:00"/>
    <m/>
  </r>
  <r>
    <x v="4"/>
    <s v="シルバーマット"/>
    <s v="SM0002-CAP-B-220913-14"/>
    <n v="1.042"/>
    <n v="50"/>
    <n v="52.1"/>
    <n v="3456.397916791369"/>
    <n v="180078.33146483032"/>
    <s v="山本運輸"/>
    <d v="2022-09-01T00:00:00"/>
    <m/>
  </r>
  <r>
    <x v="4"/>
    <s v="シルバーマット"/>
    <s v="SM0002-CAP-B-220913-15"/>
    <n v="1.042"/>
    <n v="50"/>
    <n v="52.1"/>
    <n v="3456.397916791369"/>
    <n v="180078.33146483032"/>
    <s v="山本運輸"/>
    <d v="2022-09-01T00:00:00"/>
    <m/>
  </r>
  <r>
    <x v="4"/>
    <s v="シルバーマット"/>
    <s v="SM0002-CAP-B-220913-16"/>
    <n v="1.042"/>
    <n v="50"/>
    <n v="52.1"/>
    <n v="3456.397916791369"/>
    <n v="180078.33146483032"/>
    <s v="山本運輸"/>
    <d v="2022-09-01T00:00:00"/>
    <m/>
  </r>
  <r>
    <x v="4"/>
    <s v="シルバーマット"/>
    <s v="SM0002-CAP-B-220913-17"/>
    <n v="1.042"/>
    <n v="50"/>
    <n v="52.1"/>
    <n v="3456.397916791369"/>
    <n v="180078.33146483032"/>
    <s v="山本運輸"/>
    <d v="2022-09-01T00:00:00"/>
    <m/>
  </r>
  <r>
    <x v="4"/>
    <s v="シルバーマット"/>
    <s v="SM0002-CAP-B-220913-18"/>
    <n v="1.042"/>
    <n v="50"/>
    <n v="52.1"/>
    <n v="3456.397916791369"/>
    <n v="180078.33146483032"/>
    <s v="山本運輸"/>
    <d v="2022-09-01T00:00:00"/>
    <m/>
  </r>
  <r>
    <x v="12"/>
    <s v="ー"/>
    <s v="E5100 38μ"/>
    <n v="1.3"/>
    <n v="3270"/>
    <n v="4251"/>
    <n v="41"/>
    <n v="174291"/>
    <s v="鴻池運輸"/>
    <d v="2022-09-01T00:00:00"/>
    <s v="SC-33"/>
  </r>
  <r>
    <x v="12"/>
    <s v="ー"/>
    <s v="3291055-005"/>
    <n v="1.05"/>
    <n v="130"/>
    <n v="136.5"/>
    <n v="47.61904761904762"/>
    <n v="6500"/>
    <s v="鴻池運輸"/>
    <d v="2022-09-01T00:00:00"/>
    <s v="SC-32"/>
  </r>
  <r>
    <x v="12"/>
    <s v="ー"/>
    <s v="J22I0802-01"/>
    <n v="1.27"/>
    <n v="443"/>
    <n v="562.61"/>
    <n v="845.19656085157396"/>
    <n v="475516.03710070404"/>
    <s v="鴻池運輸"/>
    <d v="2022-09-01T00:00:00"/>
    <s v="SC-31"/>
  </r>
  <r>
    <x v="12"/>
    <s v="ー"/>
    <s v="J22I2101-01"/>
    <n v="1.05"/>
    <n v="56"/>
    <n v="58.800000000000004"/>
    <n v="2807.6590019328414"/>
    <n v="165090.3493136511"/>
    <s v="鴻池運輸"/>
    <d v="2022-09-01T00:00:00"/>
    <s v="SC-29"/>
  </r>
  <r>
    <x v="0"/>
    <s v="シルバーマット"/>
    <s v="SM0003-MXJ-K2-220422_26"/>
    <n v="1.25"/>
    <n v="2.6"/>
    <n v="3.25"/>
    <n v="1099.5225721795628"/>
    <n v="3573.4483595835791"/>
    <s v="研究所"/>
    <d v="2022-04-01T00:00:00"/>
    <m/>
  </r>
  <r>
    <x v="11"/>
    <s v="白"/>
    <s v="C16-CL-EM_20221101-1"/>
    <n v="1.29"/>
    <n v="1000"/>
    <n v="1290"/>
    <n v="179.59"/>
    <n v="179590"/>
    <s v="鴻池運輸"/>
    <d v="2022-11-01T00:00:00"/>
    <s v="SC-34"/>
  </r>
  <r>
    <x v="11"/>
    <s v="白"/>
    <s v="C16-CL-EM_20221101-2"/>
    <n v="1.29"/>
    <n v="1000"/>
    <n v="1290"/>
    <n v="179.59"/>
    <n v="179590"/>
    <s v="鴻池運輸"/>
    <d v="2022-11-01T00:00:00"/>
    <s v="SC-34"/>
  </r>
  <r>
    <x v="11"/>
    <s v="白"/>
    <s v="C16-CL-EM_20221101-3"/>
    <n v="1.29"/>
    <n v="1000"/>
    <n v="1290"/>
    <n v="179.59"/>
    <n v="179590"/>
    <s v="鴻池運輸"/>
    <d v="2022-11-01T00:00:00"/>
    <s v="SC-34"/>
  </r>
  <r>
    <x v="11"/>
    <s v="白"/>
    <s v="C16-CL-EM_20221101-4"/>
    <n v="1.29"/>
    <n v="1000"/>
    <n v="1290"/>
    <n v="179.59"/>
    <n v="179590"/>
    <s v="鴻池運輸"/>
    <d v="2022-11-01T00:00:00"/>
    <s v="SC-34"/>
  </r>
  <r>
    <x v="11"/>
    <s v="白"/>
    <s v="C16-CL-EM_20221101-5"/>
    <n v="1.29"/>
    <n v="150"/>
    <n v="193.5"/>
    <n v="179.59"/>
    <n v="26938.5"/>
    <s v="鴻池運輸"/>
    <d v="2022-11-01T00:00:00"/>
    <s v="SC-34"/>
  </r>
  <r>
    <x v="11"/>
    <s v="白"/>
    <s v="C16-CL-EM_20221101-5"/>
    <n v="1.29"/>
    <n v="800"/>
    <n v="1032"/>
    <n v="179.59"/>
    <n v="143672"/>
    <s v="鴻池運輸"/>
    <d v="2022-11-01T00:00:00"/>
    <s v="SC-34"/>
  </r>
  <r>
    <x v="11"/>
    <s v="白"/>
    <s v="C16-CL-EM_20221101-6"/>
    <n v="1.29"/>
    <n v="1000"/>
    <n v="1290"/>
    <n v="179.59"/>
    <n v="179590"/>
    <s v="鴻池運輸"/>
    <d v="2022-11-01T00:00:00"/>
    <s v="SC-35"/>
  </r>
  <r>
    <x v="11"/>
    <s v="白"/>
    <s v="C16-CL-EM_20221101-7"/>
    <n v="1.29"/>
    <n v="1000"/>
    <n v="1290"/>
    <n v="179.59"/>
    <n v="179590"/>
    <s v="鴻池運輸"/>
    <d v="2022-11-01T00:00:00"/>
    <s v="SC-35"/>
  </r>
  <r>
    <x v="11"/>
    <s v="白"/>
    <s v="C16-CL-EM_20221101-8"/>
    <n v="1.29"/>
    <n v="1000"/>
    <n v="1290"/>
    <n v="179.59"/>
    <n v="179590"/>
    <s v="鴻池運輸"/>
    <d v="2022-11-01T00:00:00"/>
    <s v="SC-35"/>
  </r>
  <r>
    <x v="11"/>
    <s v="白"/>
    <s v="C16-CL-EM_20221101-9"/>
    <n v="1.29"/>
    <n v="1000"/>
    <n v="1290"/>
    <n v="179.59"/>
    <n v="179590"/>
    <s v="鴻池運輸"/>
    <d v="2022-11-01T00:00:00"/>
    <s v="SC-35"/>
  </r>
  <r>
    <x v="11"/>
    <s v="白"/>
    <s v="C16-CL-EM_20221101-10"/>
    <n v="1.29"/>
    <n v="1000"/>
    <n v="1290"/>
    <n v="179.59"/>
    <n v="179590"/>
    <s v="鴻池運輸"/>
    <d v="2022-11-01T00:00:00"/>
    <s v="SC-35"/>
  </r>
  <r>
    <x v="13"/>
    <s v="ー"/>
    <s v="OIP221110-1"/>
    <n v="1.28"/>
    <n v="2000"/>
    <n v="2560"/>
    <n v="437.5"/>
    <n v="875000"/>
    <s v="鴻池運輸"/>
    <d v="2022-11-01T00:00:00"/>
    <s v="SC-36"/>
  </r>
  <r>
    <x v="13"/>
    <s v="ー"/>
    <s v="OIP221110-2"/>
    <n v="1.28"/>
    <n v="2000"/>
    <n v="2560"/>
    <n v="437.5"/>
    <n v="875000"/>
    <s v="鴻池運輸"/>
    <d v="2022-11-01T00:00:00"/>
    <s v="SC-37"/>
  </r>
  <r>
    <x v="13"/>
    <s v="ー"/>
    <s v="OIP221110-3"/>
    <n v="1.28"/>
    <n v="2000"/>
    <n v="2560"/>
    <n v="437.5"/>
    <n v="875000"/>
    <s v="鴻池運輸"/>
    <d v="2022-11-01T00:00:00"/>
    <s v="SC-38"/>
  </r>
  <r>
    <x v="13"/>
    <s v="ー"/>
    <s v="OIP221110-4"/>
    <n v="1.28"/>
    <n v="2000"/>
    <n v="2560"/>
    <n v="437.5"/>
    <n v="875000"/>
    <s v="鴻池運輸"/>
    <d v="2022-11-01T00:00:00"/>
    <s v="SC-39"/>
  </r>
  <r>
    <x v="13"/>
    <s v="ー"/>
    <s v="OIP221110-5"/>
    <n v="1.28"/>
    <n v="1600"/>
    <n v="2048"/>
    <n v="437.5"/>
    <n v="700000"/>
    <s v="鴻池運輸"/>
    <d v="2022-11-01T00:00:00"/>
    <s v="SC-40"/>
  </r>
  <r>
    <x v="13"/>
    <s v="ー"/>
    <s v="OIP221110-6"/>
    <n v="1.28"/>
    <n v="1200"/>
    <n v="1536"/>
    <n v="437.5"/>
    <n v="525000"/>
    <s v="鴻池運輸"/>
    <d v="2022-11-01T00:00:00"/>
    <s v="SC-41"/>
  </r>
  <r>
    <x v="14"/>
    <s v="白"/>
    <s v="SPC1074_202210-A"/>
    <n v="1.1499999999999999"/>
    <n v="14"/>
    <n v="16.099999999999998"/>
    <n v="1661.8303753028922"/>
    <n v="26755.469042376561"/>
    <s v="小松マテーレ"/>
    <d v="2022-10-01T00:00:00"/>
    <m/>
  </r>
  <r>
    <x v="14"/>
    <s v="白"/>
    <s v="SPC1074_202210-A"/>
    <n v="1.1499999999999999"/>
    <n v="14.9"/>
    <n v="17.134999999999998"/>
    <n v="1661.8303753028922"/>
    <n v="28475.463480815055"/>
    <s v="小松マテーレ"/>
    <d v="2022-10-01T00:00:00"/>
    <m/>
  </r>
  <r>
    <x v="14"/>
    <s v="白"/>
    <s v="SPC1074_202210-A"/>
    <n v="1.1499999999999999"/>
    <n v="17.8"/>
    <n v="20.47"/>
    <n v="1661.8303753028922"/>
    <n v="34017.667782450204"/>
    <s v="小松マテーレ"/>
    <d v="2022-10-01T00:00:00"/>
    <m/>
  </r>
  <r>
    <x v="14"/>
    <s v="白"/>
    <s v="SPC1074_202210-A"/>
    <n v="1.1499999999999999"/>
    <n v="18"/>
    <n v="20.7"/>
    <n v="1661.8303753028922"/>
    <n v="34399.888768769866"/>
    <s v="小松マテーレ"/>
    <d v="2022-10-01T00:00:00"/>
    <m/>
  </r>
  <r>
    <x v="14"/>
    <s v="白"/>
    <s v="SPC1074_202210-C"/>
    <n v="1.1499999999999999"/>
    <n v="8.5"/>
    <n v="9.7749999999999986"/>
    <n v="1661.8303753028922"/>
    <n v="16244.391918585769"/>
    <s v="小松マテーレ"/>
    <d v="2022-10-01T00:00:00"/>
    <m/>
  </r>
  <r>
    <x v="5"/>
    <s v="ホワイトマット"/>
    <s v="WM0004-CAPC-202211102-1"/>
    <n v="1.042"/>
    <n v="50"/>
    <n v="52.1"/>
    <n v="2692.4934648095477"/>
    <n v="140278.90951657743"/>
    <s v="カンボウプラス"/>
    <d v="2022-11-01T00:00:00"/>
    <m/>
  </r>
  <r>
    <x v="5"/>
    <s v="ホワイトマット"/>
    <s v="WM0004-CAPC-202211102-2"/>
    <n v="1.042"/>
    <n v="50"/>
    <n v="52.1"/>
    <n v="2692.4934648095477"/>
    <n v="140278.90951657743"/>
    <s v="カンボウプラス"/>
    <d v="2022-11-01T00:00:00"/>
    <m/>
  </r>
  <r>
    <x v="5"/>
    <s v="ホワイトマット"/>
    <s v="WM0004-CAPC-202211102-3"/>
    <n v="1.042"/>
    <n v="50"/>
    <n v="52.1"/>
    <n v="2692.4934648095477"/>
    <n v="140278.90951657743"/>
    <s v="カンボウプラス"/>
    <d v="2022-11-01T00:00:00"/>
    <m/>
  </r>
  <r>
    <x v="5"/>
    <s v="ホワイトマット"/>
    <s v="WM0004-CAPC-202211102-4"/>
    <n v="1.042"/>
    <n v="49.5"/>
    <n v="51.579000000000001"/>
    <n v="2692.4934648095477"/>
    <n v="138876.12042141167"/>
    <s v="カンボウプラス"/>
    <d v="2022-11-01T00:00:00"/>
    <m/>
  </r>
  <r>
    <x v="5"/>
    <s v="ホワイトマット"/>
    <s v="WM0004-CAPC-202211102-5"/>
    <n v="1.042"/>
    <n v="50"/>
    <n v="52.1"/>
    <n v="2692.4934648095477"/>
    <n v="140278.90951657743"/>
    <s v="カンボウプラス"/>
    <d v="2022-11-01T00:00:00"/>
    <m/>
  </r>
  <r>
    <x v="5"/>
    <s v="シルバーマット"/>
    <s v="SM0002-CAPC-202211102-7"/>
    <n v="1.042"/>
    <n v="50"/>
    <n v="52.1"/>
    <n v="2638.8534492006261"/>
    <n v="137484.26470335262"/>
    <s v="カンボウプラス"/>
    <d v="2022-11-01T00:00:00"/>
    <m/>
  </r>
  <r>
    <x v="5"/>
    <s v="シルバーマット"/>
    <s v="SM0002-CAPC-202211102-8"/>
    <n v="1.042"/>
    <n v="50"/>
    <n v="52.1"/>
    <n v="2638.8534492006261"/>
    <n v="137484.26470335262"/>
    <s v="カンボウプラス"/>
    <d v="2022-11-01T00:00:00"/>
    <m/>
  </r>
  <r>
    <x v="5"/>
    <s v="シルバーマット"/>
    <s v="SM0002-CAPC-202211102-9"/>
    <n v="1.042"/>
    <n v="50"/>
    <n v="52.1"/>
    <n v="2638.8534492006261"/>
    <n v="137484.26470335262"/>
    <s v="カンボウプラス"/>
    <d v="2022-11-01T00:00:00"/>
    <m/>
  </r>
  <r>
    <x v="5"/>
    <s v="シルバーマット"/>
    <s v="SM0002-CAPC-202211102-10"/>
    <n v="1.042"/>
    <n v="56"/>
    <n v="58.352000000000004"/>
    <n v="2638.8534492006261"/>
    <n v="153982.37646775495"/>
    <s v="カンボウプラス"/>
    <d v="2022-11-01T00:00:00"/>
    <m/>
  </r>
  <r>
    <x v="5"/>
    <s v="ホワイトマット"/>
    <s v="WM0004-CAPC-202211102-11"/>
    <n v="1.042"/>
    <n v="50"/>
    <n v="52.1"/>
    <n v="2746.5297705402281"/>
    <n v="143094.20104514589"/>
    <s v="カンボウプラス"/>
    <d v="2022-11-01T00:00:00"/>
    <m/>
  </r>
  <r>
    <x v="5"/>
    <s v="ホワイトマット"/>
    <s v="WM0004-CAPC-202211102-12"/>
    <n v="1.042"/>
    <n v="50"/>
    <n v="52.1"/>
    <n v="2746.5297705402281"/>
    <n v="143094.20104514589"/>
    <s v="カンボウプラス"/>
    <d v="2022-11-01T00:00:00"/>
    <m/>
  </r>
  <r>
    <x v="5"/>
    <s v="ホワイトマット"/>
    <s v="WM0004-CAPC-202211102-13"/>
    <n v="1.042"/>
    <n v="50"/>
    <n v="52.1"/>
    <n v="2746.5297705402281"/>
    <n v="143094.20104514589"/>
    <s v="カンボウプラス"/>
    <d v="2022-11-01T00:00:00"/>
    <m/>
  </r>
  <r>
    <x v="5"/>
    <s v="ホワイトマット"/>
    <s v="WM0004-CAPC-202211102-14"/>
    <n v="1.042"/>
    <n v="49"/>
    <n v="51.058"/>
    <n v="2746.5297705402277"/>
    <n v="140232.31702424295"/>
    <s v="カンボウプラス"/>
    <d v="2022-11-01T00:00:00"/>
    <m/>
  </r>
  <r>
    <x v="5"/>
    <s v="ホワイトマット"/>
    <s v="WM0004-CAPC-202211102-15"/>
    <n v="1.042"/>
    <n v="50"/>
    <n v="52.1"/>
    <n v="2692.4934648095477"/>
    <n v="140278.90951657743"/>
    <s v="カンボウプラス"/>
    <d v="2022-11-01T00:00:00"/>
    <m/>
  </r>
  <r>
    <x v="5"/>
    <s v="ホワイトマット"/>
    <s v="WM0004-CAPC-202211102-16"/>
    <n v="1.042"/>
    <n v="50"/>
    <n v="52.1"/>
    <n v="2692.4934648095477"/>
    <n v="140278.90951657743"/>
    <s v="カンボウプラス"/>
    <d v="2022-11-01T00:00:00"/>
    <m/>
  </r>
  <r>
    <x v="5"/>
    <s v="ホワイトマット"/>
    <s v="WM0004-CAPC-202211102-17"/>
    <n v="1.042"/>
    <n v="50"/>
    <n v="52.1"/>
    <n v="2692.4934648095477"/>
    <n v="140278.90951657743"/>
    <s v="カンボウプラス"/>
    <d v="2022-11-01T00:00:00"/>
    <m/>
  </r>
  <r>
    <x v="5"/>
    <s v="ホワイトマット"/>
    <s v="WM0004-CAPC-202211102-18"/>
    <n v="1.042"/>
    <n v="50"/>
    <n v="52.1"/>
    <n v="2692.4934648095477"/>
    <n v="140278.90951657743"/>
    <s v="カンボウプラス"/>
    <d v="2022-11-01T00:00:00"/>
    <m/>
  </r>
  <r>
    <x v="5"/>
    <s v="ホワイトマット"/>
    <s v="WM0004-CAPC-202211102-19"/>
    <n v="1.042"/>
    <n v="50"/>
    <n v="52.1"/>
    <n v="2692.4934648095477"/>
    <n v="140278.90951657743"/>
    <s v="カンボウプラス"/>
    <d v="2022-11-01T00:00:00"/>
    <m/>
  </r>
  <r>
    <x v="5"/>
    <s v="ホワイトマット"/>
    <s v="WM0004-CAPC-202211102-20"/>
    <n v="1.042"/>
    <n v="44"/>
    <n v="45.847999999999999"/>
    <n v="2692.4934648095477"/>
    <n v="123445.44037458814"/>
    <s v="カンボウプラス"/>
    <d v="2022-11-01T00:00:00"/>
    <m/>
  </r>
  <r>
    <x v="12"/>
    <s v="ー"/>
    <s v="E5100 38μ"/>
    <n v="1.3"/>
    <n v="150"/>
    <n v="195"/>
    <n v="41"/>
    <n v="7995"/>
    <s v="小松マテーレ"/>
    <d v="2022-09-01T00:00:00"/>
    <m/>
  </r>
  <r>
    <x v="7"/>
    <s v="ホワイトマット"/>
    <s v="J22L1302-02-01"/>
    <n v="1.29"/>
    <n v="517"/>
    <n v="666.93000000000006"/>
    <n v="1369.3876633015673"/>
    <n v="913285.71428571432"/>
    <s v="鴻池運輸"/>
    <d v="2022-12-01T00:00:00"/>
    <s v="SC-42"/>
  </r>
  <r>
    <x v="1"/>
    <s v="ホワイトマット"/>
    <s v="WM000X-CAP-TP50F-20221103-1"/>
    <n v="1.2030000000000001"/>
    <n v="50"/>
    <n v="60.150000000000006"/>
    <n v="1854.9132786012494"/>
    <n v="111573.03370786516"/>
    <s v="カンボウプラス"/>
    <d v="2022-12-01T00:00:00"/>
    <m/>
  </r>
  <r>
    <x v="11"/>
    <s v="白"/>
    <s v="C16-CL-EM_220614_BT70-1"/>
    <n v="1.29"/>
    <n v="215"/>
    <n v="277.35000000000002"/>
    <s v="-"/>
    <n v="117071"/>
    <s v="鴻池運輸"/>
    <d v="2022-12-01T00:00:00"/>
    <s v="SC-43"/>
  </r>
  <r>
    <x v="11"/>
    <s v="白"/>
    <s v="C16-CL-EM_220614_BT70-2"/>
    <n v="1.29"/>
    <n v="1000"/>
    <n v="1290"/>
    <s v="-"/>
    <n v="157143"/>
    <s v="鴻池運輸"/>
    <d v="2022-12-01T00:00:00"/>
    <s v="SC-43"/>
  </r>
  <r>
    <x v="11"/>
    <s v="白"/>
    <s v="C16-CL-EM_220614_BT70-3"/>
    <n v="1.29"/>
    <n v="1000"/>
    <n v="1290"/>
    <s v="-"/>
    <n v="157143"/>
    <s v="鴻池運輸"/>
    <d v="2022-12-01T00:00:00"/>
    <s v="SC-43"/>
  </r>
  <r>
    <x v="14"/>
    <s v="銀"/>
    <s v="SPC1074-202212-A"/>
    <n v="1.2"/>
    <n v="35"/>
    <n v="42"/>
    <n v="1148.6566419599715"/>
    <n v="48243.578962318803"/>
    <s v="小松マテーレ"/>
    <d v="2022-12-01T00:00:00"/>
    <m/>
  </r>
  <r>
    <x v="14"/>
    <s v="銀"/>
    <s v="SPC1074-202212-A"/>
    <n v="1.2"/>
    <n v="40"/>
    <n v="48"/>
    <n v="1148.6566419599715"/>
    <n v="55135.518814078634"/>
    <s v="小松マテーレ"/>
    <d v="2022-12-01T00:00:00"/>
    <m/>
  </r>
  <r>
    <x v="14"/>
    <s v="銀"/>
    <s v="SPC1074-202212-A"/>
    <n v="1.2"/>
    <n v="49"/>
    <n v="58.8"/>
    <n v="1148.6566419599715"/>
    <n v="67541.010547246318"/>
    <s v="小松マテーレ"/>
    <d v="2022-12-01T00:00:00"/>
    <m/>
  </r>
  <r>
    <x v="14"/>
    <s v="銀"/>
    <s v="SPC1074-202212-A"/>
    <n v="1.2"/>
    <n v="50"/>
    <n v="60"/>
    <n v="1148.6566419599715"/>
    <n v="68919.398517598282"/>
    <s v="小松マテーレ"/>
    <d v="2022-12-01T00:00:00"/>
    <m/>
  </r>
  <r>
    <x v="14"/>
    <s v="白"/>
    <s v="SPC1074-202212-A"/>
    <n v="1.2"/>
    <n v="30"/>
    <n v="36"/>
    <n v="1144.5574314572675"/>
    <n v="41204.067532461631"/>
    <s v="小松マテーレ"/>
    <d v="2022-12-01T00:00:00"/>
    <m/>
  </r>
  <r>
    <x v="14"/>
    <s v="白"/>
    <s v="SPC1074-202212-A"/>
    <n v="1.2"/>
    <n v="39.5"/>
    <n v="47.4"/>
    <n v="1144.5574314572675"/>
    <n v="54252.022251074479"/>
    <s v="小松マテーレ"/>
    <d v="2022-12-01T00:00:00"/>
    <m/>
  </r>
  <r>
    <x v="14"/>
    <s v="白"/>
    <s v="SPC1074-202212-A"/>
    <n v="1.2"/>
    <n v="50"/>
    <n v="60"/>
    <n v="1144.5574314572675"/>
    <n v="68673.445887436057"/>
    <s v="小松マテーレ"/>
    <d v="2022-12-01T00:00:00"/>
    <m/>
  </r>
  <r>
    <x v="14"/>
    <s v="白"/>
    <s v="SPC1074-202212-C"/>
    <n v="1.2"/>
    <n v="49"/>
    <n v="58.8"/>
    <n v="727.89076479060077"/>
    <n v="42799.976969687326"/>
    <s v="小松マテーレ"/>
    <d v="2022-12-01T00:00:00"/>
    <m/>
  </r>
  <r>
    <x v="7"/>
    <s v="ホワイトマット"/>
    <s v="J23A1101-02-01 "/>
    <n v="1.28"/>
    <n v="510"/>
    <n v="652.80000000000007"/>
    <n v="1494.2565773540775"/>
    <n v="975450.69369674195"/>
    <s v="鴻池運輸"/>
    <d v="2023-01-01T00:00:00"/>
    <s v="SC-43"/>
  </r>
  <r>
    <x v="13"/>
    <s v="ー"/>
    <s v="NAP230124-1"/>
    <n v="1.28"/>
    <n v="2450"/>
    <n v="3136"/>
    <n v="563.20000000000005"/>
    <n v="1379840"/>
    <s v="鴻池運輸"/>
    <s v="2023月2月"/>
    <s v="SC-44"/>
  </r>
  <r>
    <x v="13"/>
    <s v="ー"/>
    <s v="NAP230124-2"/>
    <n v="1.28"/>
    <n v="2800"/>
    <n v="3584"/>
    <n v="563.20000000000005"/>
    <n v="1576960.0000000002"/>
    <s v="鴻池運輸"/>
    <s v="2023月2月"/>
    <s v="SC-44"/>
  </r>
  <r>
    <x v="15"/>
    <s v="ホワイトマット"/>
    <s v="J23A1101-02-01 "/>
    <n v="1.28"/>
    <n v="510"/>
    <n v="652.80000000000007"/>
    <n v="1494.2565773540775"/>
    <n v="975450.69369674195"/>
    <s v="鴻池運輸"/>
    <s v="2023月2月"/>
    <m/>
  </r>
  <r>
    <x v="0"/>
    <s v="シルバーマット"/>
    <s v="SM0002-MXJ-K2-220422_1-12"/>
    <n v="1.25"/>
    <n v="25"/>
    <n v="31.25"/>
    <n v="1099.5225721795628"/>
    <n v="34360.080380611333"/>
    <s v="研究所"/>
    <d v="2022-04-01T00:00:00"/>
    <s v="穴あき塩ビ"/>
  </r>
  <r>
    <x v="4"/>
    <s v="シルバーマット"/>
    <s v="SM0002-CAP-B-220913-19"/>
    <n v="1.042"/>
    <n v="26.5"/>
    <n v="27.613"/>
    <n v="3456.397916791369"/>
    <n v="95441.515676360068"/>
    <s v="研究所"/>
    <d v="2022-09-01T00:00:00"/>
    <s v="FC208T02"/>
  </r>
  <r>
    <x v="1"/>
    <s v="ホワイトマット"/>
    <s v="WM0006-CAP-TP50B-20230126-1"/>
    <n v="1.02"/>
    <n v="50"/>
    <n v="51"/>
    <n v="3089.7395087162581"/>
    <n v="157576.71494452917"/>
    <s v="カンボウプラス"/>
    <d v="2023-01-01T00:00:00"/>
    <m/>
  </r>
  <r>
    <x v="1"/>
    <s v="ホワイトマット"/>
    <s v="WM0006-CAP-TP50B-20230126-2"/>
    <n v="1.02"/>
    <n v="50"/>
    <n v="51"/>
    <n v="3089.7395087162581"/>
    <n v="157576.71494452917"/>
    <s v="カンボウプラス"/>
    <d v="2023-01-01T00:00:00"/>
    <m/>
  </r>
  <r>
    <x v="1"/>
    <s v="ホワイトマット"/>
    <s v="WM0006-CAP-TP50B-20230126-3"/>
    <n v="1.02"/>
    <n v="50"/>
    <n v="51"/>
    <n v="3089.7395087162581"/>
    <n v="157576.71494452917"/>
    <s v="カンボウプラス"/>
    <d v="2023-01-01T00:00:00"/>
    <m/>
  </r>
  <r>
    <x v="1"/>
    <s v="ホワイトマット"/>
    <s v="WM0006-CAP-TP50B-20230126-4"/>
    <n v="1.02"/>
    <n v="50"/>
    <n v="51"/>
    <n v="3089.7395087162581"/>
    <n v="157576.71494452917"/>
    <s v="カンボウプラス"/>
    <d v="2023-01-01T00:00:00"/>
    <m/>
  </r>
  <r>
    <x v="1"/>
    <s v="ホワイトマット"/>
    <s v="WM0006-CAP-TP50B-20230126-5"/>
    <n v="1.02"/>
    <n v="50"/>
    <n v="51"/>
    <n v="3089.7395087162581"/>
    <n v="157576.71494452917"/>
    <s v="カンボウプラス"/>
    <d v="2023-01-01T00:00:00"/>
    <m/>
  </r>
  <r>
    <x v="1"/>
    <s v="ホワイトマット"/>
    <s v="WM0006-CAP-TP50B-20230126-6"/>
    <n v="1.02"/>
    <n v="50"/>
    <n v="51"/>
    <n v="3089.7395087162581"/>
    <n v="157576.71494452917"/>
    <s v="カンボウプラス"/>
    <d v="2023-01-01T00:00:00"/>
    <m/>
  </r>
  <r>
    <x v="1"/>
    <s v="ホワイトマット"/>
    <s v="WM0006-CAP-TP50B-20230126-7"/>
    <n v="1.02"/>
    <n v="50"/>
    <n v="51"/>
    <n v="3089.7395087162581"/>
    <n v="157576.71494452917"/>
    <s v="カンボウプラス"/>
    <d v="2023-01-01T00:00:00"/>
    <m/>
  </r>
  <r>
    <x v="1"/>
    <s v="ホワイトマット"/>
    <s v="WM0006-CAP-TP50B-20230126-8"/>
    <n v="1.02"/>
    <n v="50"/>
    <n v="51"/>
    <n v="3089.7395087162581"/>
    <n v="157576.71494452917"/>
    <s v="カンボウプラス"/>
    <d v="2023-01-01T00:00:00"/>
    <m/>
  </r>
  <r>
    <x v="1"/>
    <s v="ホワイトマット"/>
    <s v="WM0006-CAP-TP50B-20230126-9"/>
    <n v="1.02"/>
    <n v="39"/>
    <n v="39.78"/>
    <n v="3089.7395087162586"/>
    <n v="122909.83765673277"/>
    <s v="カンボウプラス"/>
    <d v="2023-01-01T00:00:00"/>
    <m/>
  </r>
  <r>
    <x v="1"/>
    <s v="ホワイトマット"/>
    <s v="WM0006-CAP-TP50B-20230126-10"/>
    <n v="1.02"/>
    <n v="32.5"/>
    <n v="33.15"/>
    <n v="3089.7395087162586"/>
    <n v="102424.86471394397"/>
    <s v="カンボウプラス"/>
    <d v="2023-01-01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A7C1A-23CC-4FFF-9CD9-59F56FEFF976}" name="ピボットテーブル2"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D3:E9" firstHeaderRow="1" firstDataRow="1" firstDataCol="1"/>
  <pivotFields count="11">
    <pivotField axis="axisRow" showAll="0">
      <items count="20">
        <item h="1" x="13"/>
        <item h="1" x="3"/>
        <item h="1" m="1" x="18"/>
        <item h="1" x="0"/>
        <item h="1" x="6"/>
        <item h="1" x="2"/>
        <item h="1" x="5"/>
        <item h="1" x="4"/>
        <item h="1" x="1"/>
        <item h="1" m="1" x="17"/>
        <item h="1" m="1" x="16"/>
        <item x="8"/>
        <item x="10"/>
        <item x="7"/>
        <item x="9"/>
        <item h="1" x="14"/>
        <item h="1" x="11"/>
        <item h="1" x="12"/>
        <item x="15"/>
        <item t="default"/>
      </items>
    </pivotField>
    <pivotField showAll="0"/>
    <pivotField showAll="0"/>
    <pivotField showAll="0"/>
    <pivotField showAll="0"/>
    <pivotField showAll="0"/>
    <pivotField showAll="0"/>
    <pivotField dataField="1" numFmtId="176" showAll="0"/>
    <pivotField showAll="0"/>
    <pivotField showAll="0"/>
    <pivotField showAll="0"/>
  </pivotFields>
  <rowFields count="1">
    <field x="0"/>
  </rowFields>
  <rowItems count="6">
    <i>
      <x v="11"/>
    </i>
    <i>
      <x v="12"/>
    </i>
    <i>
      <x v="13"/>
    </i>
    <i>
      <x v="14"/>
    </i>
    <i>
      <x v="18"/>
    </i>
    <i t="grand">
      <x/>
    </i>
  </rowItems>
  <colItems count="1">
    <i/>
  </colItems>
  <dataFields count="1">
    <dataField name="合計 / 原価" fld="7" baseField="0" baseItem="0" numFmtId="176"/>
  </dataFields>
  <formats count="3">
    <format dxfId="45">
      <pivotArea outline="0" collapsedLevelsAreSubtotals="1" fieldPosition="0"/>
    </format>
    <format dxfId="44">
      <pivotArea dataOnly="0" labelOnly="1" fieldPosition="0">
        <references count="1">
          <reference field="0" count="1">
            <x v="18"/>
          </reference>
        </references>
      </pivotArea>
    </format>
    <format dxfId="43">
      <pivotArea dataOnly="0" labelOnly="1" fieldPosition="0">
        <references count="1">
          <reference field="0" count="1">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EE600-B53B-4F68-BA70-4EF68308F34C}"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B7" firstHeaderRow="1" firstDataRow="1" firstDataCol="1"/>
  <pivotFields count="11">
    <pivotField axis="axisRow" showAll="0">
      <items count="20">
        <item x="13"/>
        <item h="1" x="3"/>
        <item h="1" m="1" x="18"/>
        <item h="1" x="0"/>
        <item h="1" x="6"/>
        <item h="1" x="2"/>
        <item h="1" x="5"/>
        <item h="1" x="4"/>
        <item h="1" x="1"/>
        <item h="1" m="1" x="17"/>
        <item h="1" m="1" x="16"/>
        <item h="1" x="8"/>
        <item h="1" x="10"/>
        <item h="1" x="7"/>
        <item h="1" x="9"/>
        <item h="1" x="14"/>
        <item x="11"/>
        <item x="12"/>
        <item h="1" x="15"/>
        <item t="default"/>
      </items>
    </pivotField>
    <pivotField showAll="0"/>
    <pivotField showAll="0"/>
    <pivotField showAll="0"/>
    <pivotField showAll="0"/>
    <pivotField showAll="0"/>
    <pivotField showAll="0"/>
    <pivotField dataField="1" numFmtId="176" showAll="0"/>
    <pivotField showAll="0"/>
    <pivotField showAll="0"/>
    <pivotField showAll="0"/>
  </pivotFields>
  <rowFields count="1">
    <field x="0"/>
  </rowFields>
  <rowItems count="4">
    <i>
      <x/>
    </i>
    <i>
      <x v="16"/>
    </i>
    <i>
      <x v="17"/>
    </i>
    <i t="grand">
      <x/>
    </i>
  </rowItems>
  <colItems count="1">
    <i/>
  </colItems>
  <dataFields count="1">
    <dataField name="合計 / 原価" fld="7" baseField="0" baseItem="0" numFmtId="176"/>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59EFA-43CC-4668-A73A-E450884239CD}" name="ピボットテーブル3"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G3:H12" firstHeaderRow="1" firstDataRow="1" firstDataCol="1"/>
  <pivotFields count="11">
    <pivotField axis="axisRow" showAll="0">
      <items count="20">
        <item h="1" x="13"/>
        <item x="3"/>
        <item m="1" x="18"/>
        <item x="0"/>
        <item x="6"/>
        <item x="2"/>
        <item x="5"/>
        <item x="4"/>
        <item x="1"/>
        <item m="1" x="17"/>
        <item m="1" x="16"/>
        <item h="1" x="8"/>
        <item h="1" x="10"/>
        <item h="1" x="7"/>
        <item h="1" x="9"/>
        <item x="14"/>
        <item h="1" x="11"/>
        <item h="1" x="12"/>
        <item h="1" x="15"/>
        <item t="default"/>
      </items>
    </pivotField>
    <pivotField showAll="0"/>
    <pivotField showAll="0"/>
    <pivotField showAll="0"/>
    <pivotField showAll="0"/>
    <pivotField showAll="0"/>
    <pivotField showAll="0"/>
    <pivotField dataField="1" numFmtId="176" showAll="0"/>
    <pivotField showAll="0"/>
    <pivotField showAll="0"/>
    <pivotField showAll="0"/>
  </pivotFields>
  <rowFields count="1">
    <field x="0"/>
  </rowFields>
  <rowItems count="9">
    <i>
      <x v="1"/>
    </i>
    <i>
      <x v="3"/>
    </i>
    <i>
      <x v="4"/>
    </i>
    <i>
      <x v="5"/>
    </i>
    <i>
      <x v="6"/>
    </i>
    <i>
      <x v="7"/>
    </i>
    <i>
      <x v="8"/>
    </i>
    <i>
      <x v="15"/>
    </i>
    <i t="grand">
      <x/>
    </i>
  </rowItems>
  <colItems count="1">
    <i/>
  </colItems>
  <dataFields count="1">
    <dataField name="合計 / 原価" fld="7" baseField="0" baseItem="0" numFmtId="176"/>
  </dataFields>
  <formats count="6">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F58B4-6507-4B49-B5EF-4D9AE3BD6107}" name="テーブル1" displayName="テーブル1" ref="A1:K249" totalsRowShown="0" headerRowDxfId="42" dataDxfId="40" headerRowBorderDxfId="41" tableBorderDxfId="39">
  <autoFilter ref="A1:K249" xr:uid="{13123C2B-3821-4560-8DCC-606862BC768C}"/>
  <tableColumns count="11">
    <tableColumn id="1" xr3:uid="{11600C08-B6D8-4C39-902E-15D2C82F3B09}" name="品名" dataDxfId="38"/>
    <tableColumn id="2" xr3:uid="{9539D26D-D235-4B61-AA71-30BA3780F780}" name="カラー" dataDxfId="37"/>
    <tableColumn id="3" xr3:uid="{E22FBE4A-5D0B-44DB-A8CF-4E8F56F092FD}" name="Lot" dataDxfId="36"/>
    <tableColumn id="4" xr3:uid="{60819930-BB51-4751-A02A-F6507E6394AF}" name="幅(m)" dataDxfId="35"/>
    <tableColumn id="5" xr3:uid="{4D293F50-6F78-4847-B61B-A7EFED9E5D3B}" name="長さ合計(ｍ)" dataDxfId="34"/>
    <tableColumn id="6" xr3:uid="{2FC0F8B3-D859-4E8F-AAC9-63380AEA42D9}" name="総面積(㎡)" dataDxfId="33">
      <calculatedColumnFormula>D2*E2</calculatedColumnFormula>
    </tableColumn>
    <tableColumn id="7" xr3:uid="{C43F2126-7A7C-4006-A314-0E6C025D7E2B}" name="単価(㎡)" dataDxfId="32"/>
    <tableColumn id="8" xr3:uid="{24E0D796-F459-484E-AD91-14299D125B44}" name="原価" dataDxfId="31">
      <calculatedColumnFormula>F2*G2</calculatedColumnFormula>
    </tableColumn>
    <tableColumn id="9" xr3:uid="{4A5E8B05-288E-47FF-A419-F9BDF238D57F}" name="保管場所" dataDxfId="30"/>
    <tableColumn id="10" xr3:uid="{4DDE0A10-BCD7-4461-9499-833DD630CA07}" name="生産月" dataDxfId="29"/>
    <tableColumn id="11" xr3:uid="{E93F2640-DFB0-4236-854A-44A3FE44D349}" name="備考"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4581D0-5BC7-4A6A-A436-A2C47F04C415}" name="テーブル3" displayName="テーブル3" ref="A1:J27" totalsRowShown="0" headerRowDxfId="27" headerRowBorderDxfId="26" tableBorderDxfId="25">
  <autoFilter ref="A1:J27" xr:uid="{D04581D0-5BC7-4A6A-A436-A2C47F04C415}"/>
  <tableColumns count="10">
    <tableColumn id="1" xr3:uid="{34AE1194-E265-4205-9ED8-3EB574557432}" name="入荷日" dataDxfId="24"/>
    <tableColumn id="2" xr3:uid="{D6970CA9-2B62-4621-8144-0C51DF23B962}" name="Lot No" dataDxfId="23"/>
    <tableColumn id="3" xr3:uid="{FAA410A4-5E0C-49FF-84A9-21473A68A27C}" name="名称" dataDxfId="22"/>
    <tableColumn id="4" xr3:uid="{E8113AC3-32A8-490A-BE74-21BA8A13A305}" name="幅_x000a_(m)" dataDxfId="21"/>
    <tableColumn id="5" xr3:uid="{896F1FD0-08BE-4262-A1E7-BE0ACC36838B}" name="長さ_x000a_(m)" dataDxfId="20"/>
    <tableColumn id="6" xr3:uid="{F761716B-EC41-4AF0-8F44-F3E0E032C653}" name="入荷元" dataDxfId="19"/>
    <tableColumn id="7" xr3:uid="{91954A9F-035A-459B-8F26-8E28E1CED005}" name="単価_x000a_(円/㎡)" dataDxfId="18"/>
    <tableColumn id="8" xr3:uid="{AEA25CF7-B8B0-4619-B15F-D7A2688E8807}" name="総面積(㎡)" dataDxfId="17">
      <calculatedColumnFormula>テーブル3[[#This Row],[幅
(m)]]*テーブル3[[#This Row],[長さ
(m)]]</calculatedColumnFormula>
    </tableColumn>
    <tableColumn id="9" xr3:uid="{E8BB7C57-354A-4735-B981-9C55B8B19DF9}" name="原価" dataDxfId="16">
      <calculatedColumnFormula>テーブル3[[#This Row],[単価
(円/㎡)]]*テーブル3[[#This Row],[総面積(㎡)]]</calculatedColumnFormula>
    </tableColumn>
    <tableColumn id="10" xr3:uid="{CB870F5C-5197-4ACB-A51A-18F4AF71EB91}" name="備考"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13DDD6-BCF3-42DC-B73A-009CEB408629}" name="テーブル2" displayName="テーブル2" ref="A1:L50" totalsRowShown="0" headerRowDxfId="14" headerRowBorderDxfId="13" tableBorderDxfId="12">
  <autoFilter ref="A1:L50" xr:uid="{4113DDD6-BCF3-42DC-B73A-009CEB408629}"/>
  <tableColumns count="12">
    <tableColumn id="1" xr3:uid="{7A34F797-A9F3-4BA3-9926-6D69412E90DE}" name="出荷日" dataDxfId="11"/>
    <tableColumn id="2" xr3:uid="{299A048A-75D2-4510-832E-6BD8F2F74E08}" name="Lot No" dataDxfId="10"/>
    <tableColumn id="3" xr3:uid="{A83216D5-7AB7-4B28-8260-17555272EF92}" name="名称" dataDxfId="9"/>
    <tableColumn id="4" xr3:uid="{FBCE13BF-36D7-4110-A7FC-3FA446F68152}" name="幅_x000a_(m)" dataDxfId="8"/>
    <tableColumn id="5" xr3:uid="{8550B560-EC6F-409B-BF08-B50E61D316BA}" name="長さ_x000a_(m)" dataDxfId="7"/>
    <tableColumn id="6" xr3:uid="{68606ABD-D382-4B84-ACFA-39992A81A232}" name="出荷先" dataDxfId="6"/>
    <tableColumn id="7" xr3:uid="{CB41D524-7671-4C2B-8C67-E86AF10F61E0}" name="単価_x000a_(円/㎡)" dataDxfId="5"/>
    <tableColumn id="8" xr3:uid="{C6DC0DDA-547E-4014-B02C-11C24D23851E}" name="総面積(㎡)" dataDxfId="4">
      <calculatedColumnFormula>テーブル2[[#This Row],[幅
(m)]]*テーブル2[[#This Row],[長さ
(m)]]</calculatedColumnFormula>
    </tableColumn>
    <tableColumn id="9" xr3:uid="{5A8A0031-C590-4A69-8E8D-F02E13CCD24D}" name="原価" dataDxfId="3">
      <calculatedColumnFormula>テーブル2[[#This Row],[単価
(円/㎡)]]*テーブル2[[#This Row],[総面積(㎡)]]</calculatedColumnFormula>
    </tableColumn>
    <tableColumn id="10" xr3:uid="{A24492F4-F5BB-4226-ABD0-371A2720BBB6}" name="販売価格" dataDxfId="2"/>
    <tableColumn id="11" xr3:uid="{8F27BD97-943D-4FD3-93B9-5754BAE675F5}" name="部署" dataDxfId="1"/>
    <tableColumn id="12" xr3:uid="{1124733D-7BAD-4E9E-9986-6571B33A3EA2}" name="備考"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6F0BA-ADE8-45AE-BF9A-30164BCBA072}">
  <dimension ref="A3:H12"/>
  <sheetViews>
    <sheetView workbookViewId="0">
      <selection activeCell="D12" sqref="D12"/>
    </sheetView>
  </sheetViews>
  <sheetFormatPr defaultRowHeight="18"/>
  <cols>
    <col min="1" max="1" width="10.75" bestFit="1" customWidth="1"/>
    <col min="2" max="2" width="13.1640625" bestFit="1" customWidth="1"/>
    <col min="3" max="3" width="3.6640625" customWidth="1"/>
    <col min="4" max="4" width="22.5" bestFit="1" customWidth="1"/>
    <col min="5" max="5" width="13.1640625" bestFit="1" customWidth="1"/>
    <col min="6" max="6" width="4.1640625" customWidth="1"/>
    <col min="7" max="7" width="27.4140625" bestFit="1" customWidth="1"/>
    <col min="8" max="8" width="13.5" bestFit="1" customWidth="1"/>
  </cols>
  <sheetData>
    <row r="3" spans="1:8">
      <c r="A3" s="76" t="s">
        <v>395</v>
      </c>
      <c r="B3" t="s">
        <v>394</v>
      </c>
      <c r="D3" s="76" t="s">
        <v>395</v>
      </c>
      <c r="E3" t="s">
        <v>394</v>
      </c>
      <c r="G3" s="94" t="s">
        <v>395</v>
      </c>
      <c r="H3" s="78" t="s">
        <v>394</v>
      </c>
    </row>
    <row r="4" spans="1:8">
      <c r="A4" s="77" t="s">
        <v>336</v>
      </c>
      <c r="B4" s="78">
        <v>7681800</v>
      </c>
      <c r="D4" s="77" t="s">
        <v>449</v>
      </c>
      <c r="E4" s="78">
        <v>6116468.3533903463</v>
      </c>
      <c r="G4" s="95" t="s">
        <v>443</v>
      </c>
      <c r="H4" s="78">
        <v>314128.47117587924</v>
      </c>
    </row>
    <row r="5" spans="1:8">
      <c r="A5" s="77" t="s">
        <v>396</v>
      </c>
      <c r="B5" s="78">
        <v>3411835.5</v>
      </c>
      <c r="D5" s="77" t="s">
        <v>450</v>
      </c>
      <c r="E5" s="78">
        <v>195202.23757916331</v>
      </c>
      <c r="G5" s="95" t="s">
        <v>444</v>
      </c>
      <c r="H5" s="78">
        <v>18683675.689356577</v>
      </c>
    </row>
    <row r="6" spans="1:8">
      <c r="A6" s="77" t="s">
        <v>442</v>
      </c>
      <c r="B6" s="78">
        <v>829392.38641435513</v>
      </c>
      <c r="D6" s="77" t="s">
        <v>451</v>
      </c>
      <c r="E6" s="78">
        <v>7962115.391909183</v>
      </c>
      <c r="G6" s="95" t="s">
        <v>445</v>
      </c>
      <c r="H6" s="78">
        <v>834878.14499467378</v>
      </c>
    </row>
    <row r="7" spans="1:8">
      <c r="A7" s="77" t="s">
        <v>397</v>
      </c>
      <c r="B7" s="78">
        <v>11923027.886414355</v>
      </c>
      <c r="D7" s="77" t="s">
        <v>452</v>
      </c>
      <c r="E7" s="78">
        <v>639478.3207789053</v>
      </c>
      <c r="G7" s="95" t="s">
        <v>446</v>
      </c>
      <c r="H7" s="78">
        <v>1967796.4529217156</v>
      </c>
    </row>
    <row r="8" spans="1:8">
      <c r="D8" s="96" t="s">
        <v>454</v>
      </c>
      <c r="E8" s="78">
        <v>975450.69369674195</v>
      </c>
      <c r="G8" s="95" t="s">
        <v>447</v>
      </c>
      <c r="H8" s="78">
        <v>2907140.1995083936</v>
      </c>
    </row>
    <row r="9" spans="1:8">
      <c r="D9" s="77" t="s">
        <v>397</v>
      </c>
      <c r="E9" s="78">
        <v>15888714.99735434</v>
      </c>
      <c r="G9" s="95" t="s">
        <v>448</v>
      </c>
      <c r="H9" s="78">
        <v>3366600.0825041458</v>
      </c>
    </row>
    <row r="10" spans="1:8">
      <c r="G10" s="95" t="s">
        <v>108</v>
      </c>
      <c r="H10" s="78">
        <v>1933462.924690193</v>
      </c>
    </row>
    <row r="11" spans="1:8">
      <c r="D11" s="77" t="s">
        <v>455</v>
      </c>
      <c r="G11" s="95" t="s">
        <v>379</v>
      </c>
      <c r="H11" s="78">
        <v>586661.90047489898</v>
      </c>
    </row>
    <row r="12" spans="1:8">
      <c r="G12" s="95" t="s">
        <v>397</v>
      </c>
      <c r="H12" s="78">
        <v>30594343.865626477</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CE2E9-AA39-49B5-9CCC-BB3EFFD6A1C2}">
  <sheetPr>
    <pageSetUpPr fitToPage="1"/>
  </sheetPr>
  <dimension ref="A1:K249"/>
  <sheetViews>
    <sheetView workbookViewId="0">
      <pane ySplit="1" topLeftCell="A2" activePane="bottomLeft" state="frozen"/>
      <selection pane="bottomLeft" activeCell="F220" sqref="F220"/>
    </sheetView>
  </sheetViews>
  <sheetFormatPr defaultRowHeight="16.5"/>
  <cols>
    <col min="1" max="1" width="26" style="1" bestFit="1" customWidth="1"/>
    <col min="2" max="2" width="20.4140625" style="1" customWidth="1"/>
    <col min="3" max="3" width="47.6640625" style="1" bestFit="1" customWidth="1"/>
    <col min="4" max="4" width="9.25" style="1" customWidth="1"/>
    <col min="5" max="5" width="13.25" style="1" customWidth="1"/>
    <col min="6" max="6" width="11.4140625" style="1" customWidth="1"/>
    <col min="7" max="7" width="10" style="2" customWidth="1"/>
    <col min="8" max="8" width="11.08203125" style="1" bestFit="1" customWidth="1"/>
    <col min="9" max="9" width="14.33203125" style="1" bestFit="1" customWidth="1"/>
    <col min="10" max="10" width="12.1640625" style="1" customWidth="1"/>
    <col min="11" max="11" width="27.58203125" style="1" bestFit="1" customWidth="1"/>
    <col min="12" max="16384" width="8.6640625" style="1"/>
  </cols>
  <sheetData>
    <row r="1" spans="1:11">
      <c r="A1" s="14" t="s">
        <v>87</v>
      </c>
      <c r="B1" s="15" t="s">
        <v>88</v>
      </c>
      <c r="C1" s="15" t="s">
        <v>89</v>
      </c>
      <c r="D1" s="15" t="s">
        <v>90</v>
      </c>
      <c r="E1" s="15" t="s">
        <v>91</v>
      </c>
      <c r="F1" s="15" t="s">
        <v>92</v>
      </c>
      <c r="G1" s="15" t="s">
        <v>93</v>
      </c>
      <c r="H1" s="15" t="s">
        <v>94</v>
      </c>
      <c r="I1" s="15" t="s">
        <v>95</v>
      </c>
      <c r="J1" s="15" t="s">
        <v>96</v>
      </c>
      <c r="K1" s="15" t="s">
        <v>11</v>
      </c>
    </row>
    <row r="2" spans="1:11">
      <c r="A2" s="7" t="s">
        <v>97</v>
      </c>
      <c r="B2" s="16" t="s">
        <v>98</v>
      </c>
      <c r="C2" s="16" t="s">
        <v>99</v>
      </c>
      <c r="D2" s="7">
        <v>1.25</v>
      </c>
      <c r="E2" s="17">
        <f>7.4</f>
        <v>7.4</v>
      </c>
      <c r="F2" s="7">
        <f t="shared" ref="F2:F43" si="0">D2*E2</f>
        <v>9.25</v>
      </c>
      <c r="G2" s="11">
        <v>986.79157138412597</v>
      </c>
      <c r="H2" s="11">
        <f t="shared" ref="H2:H43" si="1">F2*G2</f>
        <v>9127.8220353031647</v>
      </c>
      <c r="I2" s="7" t="s">
        <v>100</v>
      </c>
      <c r="J2" s="18">
        <v>44440</v>
      </c>
      <c r="K2" s="7"/>
    </row>
    <row r="3" spans="1:11">
      <c r="A3" s="19" t="s">
        <v>97</v>
      </c>
      <c r="B3" s="20" t="s">
        <v>101</v>
      </c>
      <c r="C3" s="20" t="s">
        <v>102</v>
      </c>
      <c r="D3" s="19">
        <v>1.2</v>
      </c>
      <c r="E3" s="21">
        <v>17.3</v>
      </c>
      <c r="F3" s="19">
        <f t="shared" si="0"/>
        <v>20.76</v>
      </c>
      <c r="G3" s="22">
        <v>500</v>
      </c>
      <c r="H3" s="22">
        <f t="shared" si="1"/>
        <v>10380</v>
      </c>
      <c r="I3" s="19" t="s">
        <v>100</v>
      </c>
      <c r="J3" s="8" t="s">
        <v>41</v>
      </c>
      <c r="K3" s="12" t="s">
        <v>103</v>
      </c>
    </row>
    <row r="4" spans="1:11">
      <c r="A4" s="19" t="s">
        <v>97</v>
      </c>
      <c r="B4" s="20" t="s">
        <v>101</v>
      </c>
      <c r="C4" s="20" t="s">
        <v>104</v>
      </c>
      <c r="D4" s="19">
        <v>1.25</v>
      </c>
      <c r="E4" s="23">
        <v>25</v>
      </c>
      <c r="F4" s="19">
        <f t="shared" si="0"/>
        <v>31.25</v>
      </c>
      <c r="G4" s="22">
        <v>868.0267479595384</v>
      </c>
      <c r="H4" s="22">
        <f t="shared" si="1"/>
        <v>27125.835873735574</v>
      </c>
      <c r="I4" s="19" t="s">
        <v>100</v>
      </c>
      <c r="J4" s="24">
        <v>44440</v>
      </c>
      <c r="K4" s="7"/>
    </row>
    <row r="5" spans="1:11">
      <c r="A5" s="7" t="s">
        <v>105</v>
      </c>
      <c r="B5" s="16" t="s">
        <v>98</v>
      </c>
      <c r="C5" s="7" t="s">
        <v>106</v>
      </c>
      <c r="D5" s="7">
        <v>1.202</v>
      </c>
      <c r="E5" s="25">
        <v>3</v>
      </c>
      <c r="F5" s="7">
        <f t="shared" si="0"/>
        <v>3.6059999999999999</v>
      </c>
      <c r="G5" s="11">
        <v>1829.0304691118606</v>
      </c>
      <c r="H5" s="11">
        <f t="shared" si="1"/>
        <v>6595.483871617369</v>
      </c>
      <c r="I5" s="7" t="s">
        <v>107</v>
      </c>
      <c r="J5" s="18">
        <v>44593</v>
      </c>
      <c r="K5" s="7"/>
    </row>
    <row r="6" spans="1:11">
      <c r="A6" s="7" t="s">
        <v>108</v>
      </c>
      <c r="B6" s="16" t="s">
        <v>98</v>
      </c>
      <c r="C6" s="7" t="s">
        <v>109</v>
      </c>
      <c r="D6" s="7">
        <v>1.202</v>
      </c>
      <c r="E6" s="25">
        <f>39</f>
        <v>39</v>
      </c>
      <c r="F6" s="7">
        <f t="shared" si="0"/>
        <v>46.878</v>
      </c>
      <c r="G6" s="11">
        <v>1829.0304691118606</v>
      </c>
      <c r="H6" s="11">
        <f t="shared" si="1"/>
        <v>85741.290331025797</v>
      </c>
      <c r="I6" s="7" t="s">
        <v>107</v>
      </c>
      <c r="J6" s="18">
        <v>44593</v>
      </c>
      <c r="K6" s="7"/>
    </row>
    <row r="7" spans="1:11">
      <c r="A7" s="7" t="s">
        <v>108</v>
      </c>
      <c r="B7" s="16" t="s">
        <v>98</v>
      </c>
      <c r="C7" s="7" t="s">
        <v>110</v>
      </c>
      <c r="D7" s="7">
        <v>1.202</v>
      </c>
      <c r="E7" s="25">
        <v>49</v>
      </c>
      <c r="F7" s="7">
        <f t="shared" si="0"/>
        <v>58.897999999999996</v>
      </c>
      <c r="G7" s="11">
        <v>1829.0304691118606</v>
      </c>
      <c r="H7" s="11">
        <f t="shared" si="1"/>
        <v>107726.23656975036</v>
      </c>
      <c r="I7" s="7" t="s">
        <v>111</v>
      </c>
      <c r="J7" s="18">
        <v>44593</v>
      </c>
      <c r="K7" s="7"/>
    </row>
    <row r="8" spans="1:11">
      <c r="A8" s="19" t="s">
        <v>112</v>
      </c>
      <c r="B8" s="20" t="s">
        <v>101</v>
      </c>
      <c r="C8" s="26" t="s">
        <v>113</v>
      </c>
      <c r="D8" s="27">
        <v>1.0329999999999999</v>
      </c>
      <c r="E8" s="27">
        <v>10</v>
      </c>
      <c r="F8" s="19">
        <f t="shared" si="0"/>
        <v>10.329999999999998</v>
      </c>
      <c r="G8" s="22">
        <v>1955.4267856800591</v>
      </c>
      <c r="H8" s="22">
        <f t="shared" si="1"/>
        <v>20199.558696075008</v>
      </c>
      <c r="I8" s="19" t="s">
        <v>111</v>
      </c>
      <c r="J8" s="24">
        <v>44440</v>
      </c>
      <c r="K8" s="7"/>
    </row>
    <row r="9" spans="1:11">
      <c r="A9" s="19" t="s">
        <v>112</v>
      </c>
      <c r="B9" s="20" t="s">
        <v>101</v>
      </c>
      <c r="C9" s="26" t="s">
        <v>114</v>
      </c>
      <c r="D9" s="27">
        <v>1.0329999999999999</v>
      </c>
      <c r="E9" s="27">
        <v>50</v>
      </c>
      <c r="F9" s="19">
        <f t="shared" si="0"/>
        <v>51.65</v>
      </c>
      <c r="G9" s="22">
        <v>1955.4267856800591</v>
      </c>
      <c r="H9" s="22">
        <f t="shared" si="1"/>
        <v>100997.79348037505</v>
      </c>
      <c r="I9" s="19" t="s">
        <v>111</v>
      </c>
      <c r="J9" s="24">
        <v>44440</v>
      </c>
      <c r="K9" s="7"/>
    </row>
    <row r="10" spans="1:11">
      <c r="A10" s="19" t="s">
        <v>112</v>
      </c>
      <c r="B10" s="20" t="s">
        <v>101</v>
      </c>
      <c r="C10" s="26" t="s">
        <v>115</v>
      </c>
      <c r="D10" s="27">
        <v>1.0329999999999999</v>
      </c>
      <c r="E10" s="27">
        <v>50</v>
      </c>
      <c r="F10" s="19">
        <f t="shared" si="0"/>
        <v>51.65</v>
      </c>
      <c r="G10" s="22">
        <v>1955.4267856800591</v>
      </c>
      <c r="H10" s="22">
        <f t="shared" si="1"/>
        <v>100997.79348037505</v>
      </c>
      <c r="I10" s="19" t="s">
        <v>111</v>
      </c>
      <c r="J10" s="24">
        <v>44440</v>
      </c>
      <c r="K10" s="7"/>
    </row>
    <row r="11" spans="1:11">
      <c r="A11" s="19" t="s">
        <v>116</v>
      </c>
      <c r="B11" s="20" t="s">
        <v>101</v>
      </c>
      <c r="C11" s="26" t="s">
        <v>117</v>
      </c>
      <c r="D11" s="27">
        <v>1.2050000000000001</v>
      </c>
      <c r="E11" s="28">
        <v>50</v>
      </c>
      <c r="F11" s="19">
        <f t="shared" si="0"/>
        <v>60.25</v>
      </c>
      <c r="G11" s="22">
        <v>1694.4471129068031</v>
      </c>
      <c r="H11" s="22">
        <f t="shared" si="1"/>
        <v>102090.43855263489</v>
      </c>
      <c r="I11" s="19" t="s">
        <v>111</v>
      </c>
      <c r="J11" s="24">
        <v>44501</v>
      </c>
      <c r="K11" s="7"/>
    </row>
    <row r="12" spans="1:11">
      <c r="A12" s="19" t="s">
        <v>116</v>
      </c>
      <c r="B12" s="20" t="s">
        <v>101</v>
      </c>
      <c r="C12" s="26" t="s">
        <v>118</v>
      </c>
      <c r="D12" s="27">
        <v>1.2050000000000001</v>
      </c>
      <c r="E12" s="28">
        <v>50</v>
      </c>
      <c r="F12" s="19">
        <f t="shared" si="0"/>
        <v>60.25</v>
      </c>
      <c r="G12" s="22">
        <v>1694.4471129068031</v>
      </c>
      <c r="H12" s="22">
        <f t="shared" si="1"/>
        <v>102090.43855263489</v>
      </c>
      <c r="I12" s="19" t="s">
        <v>111</v>
      </c>
      <c r="J12" s="24">
        <v>44501</v>
      </c>
      <c r="K12" s="7"/>
    </row>
    <row r="13" spans="1:11">
      <c r="A13" s="7" t="s">
        <v>116</v>
      </c>
      <c r="B13" s="16" t="s">
        <v>98</v>
      </c>
      <c r="C13" s="29" t="s">
        <v>119</v>
      </c>
      <c r="D13" s="30">
        <v>1.2050000000000001</v>
      </c>
      <c r="E13" s="31">
        <f>9.5</f>
        <v>9.5</v>
      </c>
      <c r="F13" s="7">
        <f t="shared" si="0"/>
        <v>11.447500000000002</v>
      </c>
      <c r="G13" s="11">
        <v>1627.173279379994</v>
      </c>
      <c r="H13" s="11">
        <f t="shared" si="1"/>
        <v>18627.066115702484</v>
      </c>
      <c r="I13" s="7" t="s">
        <v>111</v>
      </c>
      <c r="J13" s="18">
        <v>44501</v>
      </c>
      <c r="K13" s="7"/>
    </row>
    <row r="14" spans="1:11">
      <c r="A14" s="7" t="s">
        <v>116</v>
      </c>
      <c r="B14" s="16" t="s">
        <v>98</v>
      </c>
      <c r="C14" s="29" t="s">
        <v>120</v>
      </c>
      <c r="D14" s="30">
        <v>1.2050000000000001</v>
      </c>
      <c r="E14" s="31">
        <f>50-45.6</f>
        <v>4.3999999999999986</v>
      </c>
      <c r="F14" s="7">
        <f t="shared" si="0"/>
        <v>5.3019999999999987</v>
      </c>
      <c r="G14" s="11">
        <v>1627.173279379994</v>
      </c>
      <c r="H14" s="11">
        <f t="shared" si="1"/>
        <v>8627.2727272727261</v>
      </c>
      <c r="I14" s="7" t="s">
        <v>111</v>
      </c>
      <c r="J14" s="18">
        <v>44501</v>
      </c>
      <c r="K14" s="7"/>
    </row>
    <row r="15" spans="1:11">
      <c r="A15" s="19" t="s">
        <v>121</v>
      </c>
      <c r="B15" s="20" t="s">
        <v>101</v>
      </c>
      <c r="C15" s="26" t="s">
        <v>122</v>
      </c>
      <c r="D15" s="27">
        <v>1.042</v>
      </c>
      <c r="E15" s="28">
        <f>30.7-1</f>
        <v>29.7</v>
      </c>
      <c r="F15" s="19">
        <f t="shared" si="0"/>
        <v>30.947400000000002</v>
      </c>
      <c r="G15" s="22">
        <v>3845.033368655626</v>
      </c>
      <c r="H15" s="22">
        <f t="shared" si="1"/>
        <v>118993.78567313313</v>
      </c>
      <c r="I15" s="19" t="s">
        <v>111</v>
      </c>
      <c r="J15" s="24">
        <v>44562</v>
      </c>
      <c r="K15" s="7"/>
    </row>
    <row r="16" spans="1:11">
      <c r="A16" s="7" t="s">
        <v>121</v>
      </c>
      <c r="B16" s="16" t="s">
        <v>98</v>
      </c>
      <c r="C16" s="29" t="s">
        <v>123</v>
      </c>
      <c r="D16" s="30">
        <v>1.042</v>
      </c>
      <c r="E16" s="31">
        <v>6.7</v>
      </c>
      <c r="F16" s="7">
        <f t="shared" si="0"/>
        <v>6.9814000000000007</v>
      </c>
      <c r="G16" s="11">
        <v>3595.9646338139178</v>
      </c>
      <c r="H16" s="11">
        <f t="shared" si="1"/>
        <v>25104.867494508489</v>
      </c>
      <c r="I16" s="7" t="s">
        <v>111</v>
      </c>
      <c r="J16" s="18">
        <v>44562</v>
      </c>
      <c r="K16" s="7"/>
    </row>
    <row r="17" spans="1:11">
      <c r="A17" s="7" t="s">
        <v>121</v>
      </c>
      <c r="B17" s="16" t="s">
        <v>98</v>
      </c>
      <c r="C17" s="29" t="s">
        <v>124</v>
      </c>
      <c r="D17" s="30">
        <v>1.042</v>
      </c>
      <c r="E17" s="31">
        <v>50</v>
      </c>
      <c r="F17" s="7">
        <f t="shared" si="0"/>
        <v>52.1</v>
      </c>
      <c r="G17" s="11">
        <v>3595.9646338139178</v>
      </c>
      <c r="H17" s="11">
        <f t="shared" si="1"/>
        <v>187349.75742170512</v>
      </c>
      <c r="I17" s="7" t="s">
        <v>111</v>
      </c>
      <c r="J17" s="18">
        <v>44562</v>
      </c>
      <c r="K17" s="7"/>
    </row>
    <row r="18" spans="1:11">
      <c r="A18" s="7" t="s">
        <v>125</v>
      </c>
      <c r="B18" s="16" t="s">
        <v>98</v>
      </c>
      <c r="C18" s="29" t="s">
        <v>126</v>
      </c>
      <c r="D18" s="30">
        <v>1.0429999999999999</v>
      </c>
      <c r="E18" s="31">
        <v>50</v>
      </c>
      <c r="F18" s="7">
        <f t="shared" si="0"/>
        <v>52.15</v>
      </c>
      <c r="G18" s="11">
        <v>500</v>
      </c>
      <c r="H18" s="11">
        <f t="shared" si="1"/>
        <v>26075</v>
      </c>
      <c r="I18" s="7" t="s">
        <v>111</v>
      </c>
      <c r="J18" s="18">
        <v>44348</v>
      </c>
      <c r="K18" s="12" t="s">
        <v>103</v>
      </c>
    </row>
    <row r="19" spans="1:11">
      <c r="A19" s="7" t="s">
        <v>125</v>
      </c>
      <c r="B19" s="16" t="s">
        <v>98</v>
      </c>
      <c r="C19" s="29" t="s">
        <v>127</v>
      </c>
      <c r="D19" s="30">
        <v>1.0429999999999999</v>
      </c>
      <c r="E19" s="31">
        <v>13.5</v>
      </c>
      <c r="F19" s="7">
        <f t="shared" si="0"/>
        <v>14.080499999999999</v>
      </c>
      <c r="G19" s="11">
        <v>500</v>
      </c>
      <c r="H19" s="11">
        <f t="shared" si="1"/>
        <v>7040.2499999999991</v>
      </c>
      <c r="I19" s="7" t="s">
        <v>111</v>
      </c>
      <c r="J19" s="18">
        <v>44348</v>
      </c>
      <c r="K19" s="12" t="s">
        <v>103</v>
      </c>
    </row>
    <row r="20" spans="1:11">
      <c r="A20" s="19" t="s">
        <v>125</v>
      </c>
      <c r="B20" s="20" t="s">
        <v>101</v>
      </c>
      <c r="C20" s="26" t="s">
        <v>128</v>
      </c>
      <c r="D20" s="27">
        <v>1.0429999999999999</v>
      </c>
      <c r="E20" s="27">
        <v>43</v>
      </c>
      <c r="F20" s="19">
        <f t="shared" si="0"/>
        <v>44.848999999999997</v>
      </c>
      <c r="G20" s="22">
        <v>500</v>
      </c>
      <c r="H20" s="22">
        <f t="shared" si="1"/>
        <v>22424.5</v>
      </c>
      <c r="I20" s="19" t="s">
        <v>111</v>
      </c>
      <c r="J20" s="24">
        <v>44348</v>
      </c>
      <c r="K20" s="12" t="s">
        <v>103</v>
      </c>
    </row>
    <row r="21" spans="1:11">
      <c r="A21" s="19" t="s">
        <v>125</v>
      </c>
      <c r="B21" s="20" t="s">
        <v>101</v>
      </c>
      <c r="C21" s="26" t="s">
        <v>129</v>
      </c>
      <c r="D21" s="27">
        <v>1.0429999999999999</v>
      </c>
      <c r="E21" s="27">
        <v>50</v>
      </c>
      <c r="F21" s="19">
        <f t="shared" si="0"/>
        <v>52.15</v>
      </c>
      <c r="G21" s="22">
        <v>500</v>
      </c>
      <c r="H21" s="22">
        <f t="shared" si="1"/>
        <v>26075</v>
      </c>
      <c r="I21" s="19" t="s">
        <v>111</v>
      </c>
      <c r="J21" s="24">
        <v>44348</v>
      </c>
      <c r="K21" s="12" t="s">
        <v>103</v>
      </c>
    </row>
    <row r="22" spans="1:11">
      <c r="A22" s="32" t="s">
        <v>97</v>
      </c>
      <c r="B22" s="33" t="s">
        <v>130</v>
      </c>
      <c r="C22" s="33" t="s">
        <v>131</v>
      </c>
      <c r="D22" s="32">
        <v>1.25</v>
      </c>
      <c r="E22" s="34">
        <f>25*5</f>
        <v>125</v>
      </c>
      <c r="F22" s="32">
        <f t="shared" si="0"/>
        <v>156.25</v>
      </c>
      <c r="G22" s="35">
        <v>1349.3787234042554</v>
      </c>
      <c r="H22" s="35">
        <f t="shared" si="1"/>
        <v>210840.42553191492</v>
      </c>
      <c r="I22" s="32" t="s">
        <v>132</v>
      </c>
      <c r="J22" s="36">
        <v>44440</v>
      </c>
      <c r="K22" s="7"/>
    </row>
    <row r="23" spans="1:11">
      <c r="A23" s="37" t="s">
        <v>97</v>
      </c>
      <c r="B23" s="38" t="s">
        <v>133</v>
      </c>
      <c r="C23" s="38" t="s">
        <v>134</v>
      </c>
      <c r="D23" s="37">
        <v>1.25</v>
      </c>
      <c r="E23" s="39">
        <f>25*7</f>
        <v>175</v>
      </c>
      <c r="F23" s="37">
        <f t="shared" si="0"/>
        <v>218.75</v>
      </c>
      <c r="G23" s="40">
        <v>1903.3305760488972</v>
      </c>
      <c r="H23" s="40">
        <f t="shared" si="1"/>
        <v>416353.56351069629</v>
      </c>
      <c r="I23" s="37" t="s">
        <v>132</v>
      </c>
      <c r="J23" s="41">
        <v>44440</v>
      </c>
      <c r="K23" s="7"/>
    </row>
    <row r="24" spans="1:11">
      <c r="A24" s="37" t="s">
        <v>97</v>
      </c>
      <c r="B24" s="38" t="s">
        <v>133</v>
      </c>
      <c r="C24" s="38" t="s">
        <v>135</v>
      </c>
      <c r="D24" s="37">
        <v>1.25</v>
      </c>
      <c r="E24" s="39">
        <v>18</v>
      </c>
      <c r="F24" s="37">
        <f t="shared" si="0"/>
        <v>22.5</v>
      </c>
      <c r="G24" s="40">
        <v>1903.3305760488972</v>
      </c>
      <c r="H24" s="40">
        <f t="shared" si="1"/>
        <v>42824.937961100186</v>
      </c>
      <c r="I24" s="37" t="s">
        <v>132</v>
      </c>
      <c r="J24" s="41">
        <v>44440</v>
      </c>
      <c r="K24" s="7"/>
    </row>
    <row r="25" spans="1:11">
      <c r="A25" s="19" t="s">
        <v>97</v>
      </c>
      <c r="B25" s="20" t="s">
        <v>101</v>
      </c>
      <c r="C25" s="20" t="s">
        <v>136</v>
      </c>
      <c r="D25" s="19">
        <v>1.25</v>
      </c>
      <c r="E25" s="89">
        <v>15</v>
      </c>
      <c r="F25" s="19">
        <f t="shared" si="0"/>
        <v>18.75</v>
      </c>
      <c r="G25" s="22">
        <v>980.99865295983977</v>
      </c>
      <c r="H25" s="22">
        <f t="shared" si="1"/>
        <v>18393.724742996998</v>
      </c>
      <c r="I25" s="19" t="s">
        <v>137</v>
      </c>
      <c r="J25" s="24">
        <v>44593</v>
      </c>
      <c r="K25" s="7"/>
    </row>
    <row r="26" spans="1:11">
      <c r="A26" s="19" t="s">
        <v>97</v>
      </c>
      <c r="B26" s="20" t="s">
        <v>101</v>
      </c>
      <c r="C26" s="20" t="s">
        <v>138</v>
      </c>
      <c r="D26" s="19">
        <v>1.25</v>
      </c>
      <c r="E26" s="89">
        <v>23</v>
      </c>
      <c r="F26" s="19">
        <f t="shared" si="0"/>
        <v>28.75</v>
      </c>
      <c r="G26" s="22">
        <v>980.99865295983977</v>
      </c>
      <c r="H26" s="22">
        <f t="shared" si="1"/>
        <v>28203.711272595392</v>
      </c>
      <c r="I26" s="19" t="s">
        <v>137</v>
      </c>
      <c r="J26" s="24">
        <v>44593</v>
      </c>
      <c r="K26" s="7"/>
    </row>
    <row r="27" spans="1:11">
      <c r="A27" s="7" t="s">
        <v>97</v>
      </c>
      <c r="B27" s="16" t="s">
        <v>98</v>
      </c>
      <c r="C27" s="16" t="s">
        <v>139</v>
      </c>
      <c r="D27" s="7">
        <v>1.25</v>
      </c>
      <c r="E27" s="42">
        <f>25*24</f>
        <v>600</v>
      </c>
      <c r="F27" s="7">
        <f t="shared" si="0"/>
        <v>750</v>
      </c>
      <c r="G27" s="11">
        <v>991.44394343082831</v>
      </c>
      <c r="H27" s="11">
        <f t="shared" si="1"/>
        <v>743582.95757312118</v>
      </c>
      <c r="I27" s="7" t="s">
        <v>132</v>
      </c>
      <c r="J27" s="18">
        <v>44593</v>
      </c>
      <c r="K27" s="7"/>
    </row>
    <row r="28" spans="1:11">
      <c r="A28" s="7" t="s">
        <v>97</v>
      </c>
      <c r="B28" s="16" t="s">
        <v>98</v>
      </c>
      <c r="C28" s="16" t="s">
        <v>140</v>
      </c>
      <c r="D28" s="7">
        <v>1.25</v>
      </c>
      <c r="E28" s="42">
        <f>25*18</f>
        <v>450</v>
      </c>
      <c r="F28" s="7">
        <f t="shared" si="0"/>
        <v>562.5</v>
      </c>
      <c r="G28" s="11">
        <v>991.44394343082831</v>
      </c>
      <c r="H28" s="11">
        <f t="shared" si="1"/>
        <v>557687.21817984094</v>
      </c>
      <c r="I28" s="7" t="s">
        <v>132</v>
      </c>
      <c r="J28" s="18">
        <v>44593</v>
      </c>
      <c r="K28" s="7"/>
    </row>
    <row r="29" spans="1:11">
      <c r="A29" s="19" t="s">
        <v>141</v>
      </c>
      <c r="B29" s="20" t="s">
        <v>101</v>
      </c>
      <c r="C29" s="20" t="s">
        <v>142</v>
      </c>
      <c r="D29" s="19">
        <v>1.25</v>
      </c>
      <c r="E29" s="23">
        <f>25*4</f>
        <v>100</v>
      </c>
      <c r="F29" s="19">
        <f t="shared" si="0"/>
        <v>125</v>
      </c>
      <c r="G29" s="22">
        <v>2761.6622125146446</v>
      </c>
      <c r="H29" s="22">
        <f t="shared" si="1"/>
        <v>345207.77656433056</v>
      </c>
      <c r="I29" s="19" t="s">
        <v>132</v>
      </c>
      <c r="J29" s="24">
        <v>44621</v>
      </c>
      <c r="K29" s="7"/>
    </row>
    <row r="30" spans="1:11">
      <c r="A30" s="7" t="s">
        <v>141</v>
      </c>
      <c r="B30" s="16" t="s">
        <v>98</v>
      </c>
      <c r="C30" s="16" t="s">
        <v>143</v>
      </c>
      <c r="D30" s="7">
        <v>1.25</v>
      </c>
      <c r="E30" s="42">
        <f>25*7</f>
        <v>175</v>
      </c>
      <c r="F30" s="7">
        <f t="shared" si="0"/>
        <v>218.75</v>
      </c>
      <c r="G30" s="11">
        <v>2117.4934851041867</v>
      </c>
      <c r="H30" s="11">
        <f t="shared" si="1"/>
        <v>463201.69986654085</v>
      </c>
      <c r="I30" s="7" t="s">
        <v>132</v>
      </c>
      <c r="J30" s="18">
        <v>44621</v>
      </c>
      <c r="K30" s="7"/>
    </row>
    <row r="31" spans="1:11">
      <c r="A31" s="7" t="s">
        <v>141</v>
      </c>
      <c r="B31" s="16" t="s">
        <v>98</v>
      </c>
      <c r="C31" s="16" t="s">
        <v>144</v>
      </c>
      <c r="D31" s="7">
        <v>1.25</v>
      </c>
      <c r="E31" s="29">
        <f>20-10</f>
        <v>10</v>
      </c>
      <c r="F31" s="7">
        <f t="shared" si="0"/>
        <v>12.5</v>
      </c>
      <c r="G31" s="11">
        <v>2117.4934851041867</v>
      </c>
      <c r="H31" s="11">
        <f t="shared" si="1"/>
        <v>26468.668563802334</v>
      </c>
      <c r="I31" s="7" t="s">
        <v>34</v>
      </c>
      <c r="J31" s="18">
        <v>44621</v>
      </c>
      <c r="K31" s="7"/>
    </row>
    <row r="32" spans="1:11">
      <c r="A32" s="7" t="s">
        <v>145</v>
      </c>
      <c r="B32" s="7" t="s">
        <v>146</v>
      </c>
      <c r="C32" s="7" t="s">
        <v>147</v>
      </c>
      <c r="D32" s="7">
        <v>1.29</v>
      </c>
      <c r="E32" s="7">
        <f>121</f>
        <v>121</v>
      </c>
      <c r="F32" s="7">
        <f t="shared" si="0"/>
        <v>156.09</v>
      </c>
      <c r="G32" s="11">
        <v>598.71687278667991</v>
      </c>
      <c r="H32" s="11">
        <f t="shared" si="1"/>
        <v>93453.716673272866</v>
      </c>
      <c r="I32" s="7" t="s">
        <v>137</v>
      </c>
      <c r="J32" s="12" t="s">
        <v>41</v>
      </c>
      <c r="K32" s="7"/>
    </row>
    <row r="33" spans="1:11">
      <c r="A33" s="19" t="s">
        <v>148</v>
      </c>
      <c r="B33" s="19" t="s">
        <v>149</v>
      </c>
      <c r="C33" s="19" t="s">
        <v>150</v>
      </c>
      <c r="D33" s="19">
        <v>1.29</v>
      </c>
      <c r="E33" s="19">
        <v>239</v>
      </c>
      <c r="F33" s="19">
        <f t="shared" si="0"/>
        <v>308.31</v>
      </c>
      <c r="G33" s="22">
        <v>590.78755204513288</v>
      </c>
      <c r="H33" s="22">
        <f t="shared" si="1"/>
        <v>182145.71017103491</v>
      </c>
      <c r="I33" s="19" t="s">
        <v>137</v>
      </c>
      <c r="J33" s="8" t="s">
        <v>41</v>
      </c>
      <c r="K33" s="7"/>
    </row>
    <row r="34" spans="1:11">
      <c r="A34" s="19" t="s">
        <v>148</v>
      </c>
      <c r="B34" s="19" t="s">
        <v>149</v>
      </c>
      <c r="C34" s="26" t="s">
        <v>151</v>
      </c>
      <c r="D34" s="26">
        <v>1.29</v>
      </c>
      <c r="E34" s="26">
        <v>100</v>
      </c>
      <c r="F34" s="19">
        <f t="shared" si="0"/>
        <v>129</v>
      </c>
      <c r="G34" s="22">
        <v>590.78755204513288</v>
      </c>
      <c r="H34" s="22">
        <f t="shared" si="1"/>
        <v>76211.594213822144</v>
      </c>
      <c r="I34" s="19" t="s">
        <v>38</v>
      </c>
      <c r="J34" s="8" t="s">
        <v>41</v>
      </c>
      <c r="K34" s="7"/>
    </row>
    <row r="35" spans="1:11">
      <c r="A35" s="37" t="s">
        <v>152</v>
      </c>
      <c r="B35" s="38" t="s">
        <v>133</v>
      </c>
      <c r="C35" s="37" t="s">
        <v>153</v>
      </c>
      <c r="D35" s="43">
        <v>1.29</v>
      </c>
      <c r="E35" s="37">
        <v>212</v>
      </c>
      <c r="F35" s="37">
        <f t="shared" si="0"/>
        <v>273.48</v>
      </c>
      <c r="G35" s="40">
        <v>696.23543330165626</v>
      </c>
      <c r="H35" s="40">
        <f t="shared" si="1"/>
        <v>190406.46629933696</v>
      </c>
      <c r="I35" s="37" t="s">
        <v>154</v>
      </c>
      <c r="J35" s="44" t="s">
        <v>41</v>
      </c>
      <c r="K35" s="45">
        <v>46</v>
      </c>
    </row>
    <row r="36" spans="1:11">
      <c r="A36" s="37" t="s">
        <v>152</v>
      </c>
      <c r="B36" s="38" t="s">
        <v>133</v>
      </c>
      <c r="C36" s="37" t="s">
        <v>155</v>
      </c>
      <c r="D36" s="43">
        <v>1.29</v>
      </c>
      <c r="E36" s="37">
        <v>263</v>
      </c>
      <c r="F36" s="37">
        <f t="shared" si="0"/>
        <v>339.27</v>
      </c>
      <c r="G36" s="40">
        <v>696.23543330165626</v>
      </c>
      <c r="H36" s="40">
        <f t="shared" si="1"/>
        <v>236211.7954562529</v>
      </c>
      <c r="I36" s="37" t="s">
        <v>154</v>
      </c>
      <c r="J36" s="44" t="s">
        <v>41</v>
      </c>
      <c r="K36" s="45">
        <v>54</v>
      </c>
    </row>
    <row r="37" spans="1:11">
      <c r="A37" s="37" t="s">
        <v>152</v>
      </c>
      <c r="B37" s="38" t="s">
        <v>133</v>
      </c>
      <c r="C37" s="37" t="s">
        <v>156</v>
      </c>
      <c r="D37" s="43">
        <v>1.29</v>
      </c>
      <c r="E37" s="37">
        <v>237</v>
      </c>
      <c r="F37" s="37">
        <f t="shared" si="0"/>
        <v>305.73</v>
      </c>
      <c r="G37" s="40">
        <v>696.23543330165626</v>
      </c>
      <c r="H37" s="40">
        <f t="shared" si="1"/>
        <v>212860.05902331538</v>
      </c>
      <c r="I37" s="37" t="s">
        <v>154</v>
      </c>
      <c r="J37" s="44" t="s">
        <v>41</v>
      </c>
      <c r="K37" s="45">
        <v>54</v>
      </c>
    </row>
    <row r="38" spans="1:11">
      <c r="A38" s="32" t="s">
        <v>157</v>
      </c>
      <c r="B38" s="33" t="s">
        <v>130</v>
      </c>
      <c r="C38" s="32" t="s">
        <v>158</v>
      </c>
      <c r="D38" s="46">
        <v>1.29</v>
      </c>
      <c r="E38" s="32">
        <v>200</v>
      </c>
      <c r="F38" s="32">
        <f t="shared" si="0"/>
        <v>258</v>
      </c>
      <c r="G38" s="35">
        <v>756.59782007427634</v>
      </c>
      <c r="H38" s="35">
        <f t="shared" si="1"/>
        <v>195202.23757916331</v>
      </c>
      <c r="I38" s="32" t="s">
        <v>154</v>
      </c>
      <c r="J38" s="47" t="s">
        <v>41</v>
      </c>
      <c r="K38" s="45">
        <v>54</v>
      </c>
    </row>
    <row r="39" spans="1:11">
      <c r="A39" s="19" t="s">
        <v>148</v>
      </c>
      <c r="B39" s="19" t="s">
        <v>149</v>
      </c>
      <c r="C39" s="19" t="s">
        <v>159</v>
      </c>
      <c r="D39" s="26">
        <v>1.29</v>
      </c>
      <c r="E39" s="48">
        <v>480</v>
      </c>
      <c r="F39" s="19">
        <f t="shared" si="0"/>
        <v>619.20000000000005</v>
      </c>
      <c r="G39" s="22">
        <v>598.58593247214253</v>
      </c>
      <c r="H39" s="22">
        <f t="shared" si="1"/>
        <v>370644.40938675066</v>
      </c>
      <c r="I39" s="19" t="s">
        <v>154</v>
      </c>
      <c r="J39" s="8" t="s">
        <v>41</v>
      </c>
      <c r="K39" s="7" t="s">
        <v>160</v>
      </c>
    </row>
    <row r="40" spans="1:11">
      <c r="A40" s="19" t="s">
        <v>97</v>
      </c>
      <c r="B40" s="20" t="s">
        <v>101</v>
      </c>
      <c r="C40" s="19" t="s">
        <v>161</v>
      </c>
      <c r="D40" s="19">
        <v>0.6</v>
      </c>
      <c r="E40" s="48">
        <f>80-10</f>
        <v>70</v>
      </c>
      <c r="F40" s="19">
        <f t="shared" si="0"/>
        <v>42</v>
      </c>
      <c r="G40" s="22">
        <v>500</v>
      </c>
      <c r="H40" s="22">
        <f t="shared" si="1"/>
        <v>21000</v>
      </c>
      <c r="I40" s="19" t="s">
        <v>34</v>
      </c>
      <c r="J40" s="8" t="s">
        <v>41</v>
      </c>
      <c r="K40" s="12" t="s">
        <v>103</v>
      </c>
    </row>
    <row r="41" spans="1:11">
      <c r="A41" s="32" t="s">
        <v>97</v>
      </c>
      <c r="B41" s="33" t="s">
        <v>130</v>
      </c>
      <c r="C41" s="32" t="s">
        <v>162</v>
      </c>
      <c r="D41" s="32">
        <v>0.6</v>
      </c>
      <c r="E41" s="32">
        <v>120</v>
      </c>
      <c r="F41" s="32">
        <f t="shared" si="0"/>
        <v>72</v>
      </c>
      <c r="G41" s="35">
        <v>500</v>
      </c>
      <c r="H41" s="35">
        <f t="shared" si="1"/>
        <v>36000</v>
      </c>
      <c r="I41" s="32" t="s">
        <v>34</v>
      </c>
      <c r="J41" s="47" t="s">
        <v>41</v>
      </c>
      <c r="K41" s="12" t="s">
        <v>163</v>
      </c>
    </row>
    <row r="42" spans="1:11">
      <c r="A42" s="32" t="s">
        <v>97</v>
      </c>
      <c r="B42" s="33" t="s">
        <v>130</v>
      </c>
      <c r="C42" s="32" t="s">
        <v>164</v>
      </c>
      <c r="D42" s="32">
        <v>0.6</v>
      </c>
      <c r="E42" s="32">
        <v>2</v>
      </c>
      <c r="F42" s="32">
        <f t="shared" si="0"/>
        <v>1.2</v>
      </c>
      <c r="G42" s="35">
        <v>500</v>
      </c>
      <c r="H42" s="35">
        <f t="shared" si="1"/>
        <v>600</v>
      </c>
      <c r="I42" s="32" t="s">
        <v>34</v>
      </c>
      <c r="J42" s="47" t="s">
        <v>41</v>
      </c>
      <c r="K42" s="12" t="s">
        <v>165</v>
      </c>
    </row>
    <row r="43" spans="1:11">
      <c r="A43" s="19" t="s">
        <v>112</v>
      </c>
      <c r="B43" s="20" t="s">
        <v>101</v>
      </c>
      <c r="C43" s="19" t="s">
        <v>46</v>
      </c>
      <c r="D43" s="19">
        <v>1.0329999999999999</v>
      </c>
      <c r="E43" s="48">
        <v>19.8</v>
      </c>
      <c r="F43" s="19">
        <f t="shared" si="0"/>
        <v>20.453399999999998</v>
      </c>
      <c r="G43" s="22">
        <v>1955.4267856800591</v>
      </c>
      <c r="H43" s="22">
        <f t="shared" si="1"/>
        <v>39995.126218228521</v>
      </c>
      <c r="I43" s="19" t="s">
        <v>34</v>
      </c>
      <c r="J43" s="24">
        <v>44440</v>
      </c>
      <c r="K43" s="7"/>
    </row>
    <row r="44" spans="1:11">
      <c r="A44" s="7" t="s">
        <v>112</v>
      </c>
      <c r="B44" s="16" t="s">
        <v>98</v>
      </c>
      <c r="C44" s="7" t="s">
        <v>61</v>
      </c>
      <c r="D44" s="7">
        <v>1.0349999999999999</v>
      </c>
      <c r="E44" s="7">
        <v>4.3</v>
      </c>
      <c r="F44" s="7">
        <f>D44*E44</f>
        <v>4.4504999999999999</v>
      </c>
      <c r="G44" s="11">
        <v>1385.9317065151874</v>
      </c>
      <c r="H44" s="11">
        <f>F44*G44</f>
        <v>6168.0890598458418</v>
      </c>
      <c r="I44" s="7" t="s">
        <v>34</v>
      </c>
      <c r="J44" s="18">
        <v>44409</v>
      </c>
      <c r="K44" s="7"/>
    </row>
    <row r="45" spans="1:11">
      <c r="A45" s="19" t="s">
        <v>97</v>
      </c>
      <c r="B45" s="20" t="s">
        <v>101</v>
      </c>
      <c r="C45" s="19" t="s">
        <v>166</v>
      </c>
      <c r="D45" s="19">
        <v>1.2</v>
      </c>
      <c r="E45" s="48">
        <v>100</v>
      </c>
      <c r="F45" s="19">
        <f t="shared" ref="F45:F105" si="2">D45*E45</f>
        <v>120</v>
      </c>
      <c r="G45" s="22">
        <v>500</v>
      </c>
      <c r="H45" s="22">
        <f t="shared" ref="H45:H75" si="3">F45*G45</f>
        <v>60000</v>
      </c>
      <c r="I45" s="19" t="s">
        <v>34</v>
      </c>
      <c r="J45" s="8" t="s">
        <v>41</v>
      </c>
      <c r="K45" s="12" t="s">
        <v>103</v>
      </c>
    </row>
    <row r="46" spans="1:11">
      <c r="A46" s="19" t="s">
        <v>97</v>
      </c>
      <c r="B46" s="20" t="s">
        <v>101</v>
      </c>
      <c r="C46" s="19" t="s">
        <v>167</v>
      </c>
      <c r="D46" s="19">
        <v>1.2</v>
      </c>
      <c r="E46" s="48">
        <f>9.6-2.1-2-0.3</f>
        <v>5.2</v>
      </c>
      <c r="F46" s="19">
        <f t="shared" si="2"/>
        <v>6.24</v>
      </c>
      <c r="G46" s="22">
        <v>500</v>
      </c>
      <c r="H46" s="22">
        <f t="shared" si="3"/>
        <v>3120</v>
      </c>
      <c r="I46" s="19" t="s">
        <v>34</v>
      </c>
      <c r="J46" s="8" t="s">
        <v>41</v>
      </c>
      <c r="K46" s="12" t="s">
        <v>103</v>
      </c>
    </row>
    <row r="47" spans="1:11">
      <c r="A47" s="19" t="s">
        <v>97</v>
      </c>
      <c r="B47" s="20" t="s">
        <v>101</v>
      </c>
      <c r="C47" s="19" t="s">
        <v>168</v>
      </c>
      <c r="D47" s="19">
        <v>1.2</v>
      </c>
      <c r="E47" s="48">
        <v>25</v>
      </c>
      <c r="F47" s="19">
        <f t="shared" si="2"/>
        <v>30</v>
      </c>
      <c r="G47" s="22">
        <v>500</v>
      </c>
      <c r="H47" s="22">
        <f t="shared" si="3"/>
        <v>15000</v>
      </c>
      <c r="I47" s="19" t="s">
        <v>34</v>
      </c>
      <c r="J47" s="8" t="s">
        <v>41</v>
      </c>
      <c r="K47" s="12" t="s">
        <v>103</v>
      </c>
    </row>
    <row r="48" spans="1:11">
      <c r="A48" s="19" t="s">
        <v>97</v>
      </c>
      <c r="B48" s="20" t="s">
        <v>101</v>
      </c>
      <c r="C48" s="19" t="s">
        <v>169</v>
      </c>
      <c r="D48" s="19">
        <v>1.2</v>
      </c>
      <c r="E48" s="48">
        <v>25</v>
      </c>
      <c r="F48" s="19">
        <f t="shared" si="2"/>
        <v>30</v>
      </c>
      <c r="G48" s="22">
        <v>500</v>
      </c>
      <c r="H48" s="22">
        <f t="shared" si="3"/>
        <v>15000</v>
      </c>
      <c r="I48" s="19" t="s">
        <v>34</v>
      </c>
      <c r="J48" s="8" t="s">
        <v>41</v>
      </c>
      <c r="K48" s="12" t="s">
        <v>103</v>
      </c>
    </row>
    <row r="49" spans="1:11">
      <c r="A49" s="19" t="s">
        <v>97</v>
      </c>
      <c r="B49" s="20" t="s">
        <v>101</v>
      </c>
      <c r="C49" s="19" t="s">
        <v>170</v>
      </c>
      <c r="D49" s="19">
        <v>1.2</v>
      </c>
      <c r="E49" s="48">
        <f>2.4-0.3</f>
        <v>2.1</v>
      </c>
      <c r="F49" s="19">
        <f t="shared" si="2"/>
        <v>2.52</v>
      </c>
      <c r="G49" s="22">
        <v>500</v>
      </c>
      <c r="H49" s="22">
        <f t="shared" si="3"/>
        <v>1260</v>
      </c>
      <c r="I49" s="19" t="s">
        <v>34</v>
      </c>
      <c r="J49" s="8" t="s">
        <v>41</v>
      </c>
      <c r="K49" s="12" t="s">
        <v>103</v>
      </c>
    </row>
    <row r="50" spans="1:11">
      <c r="A50" s="19" t="s">
        <v>97</v>
      </c>
      <c r="B50" s="20" t="s">
        <v>101</v>
      </c>
      <c r="C50" s="19" t="s">
        <v>171</v>
      </c>
      <c r="D50" s="19">
        <v>1.2</v>
      </c>
      <c r="E50" s="48">
        <v>25</v>
      </c>
      <c r="F50" s="19">
        <f t="shared" si="2"/>
        <v>30</v>
      </c>
      <c r="G50" s="22">
        <v>500</v>
      </c>
      <c r="H50" s="22">
        <f t="shared" si="3"/>
        <v>15000</v>
      </c>
      <c r="I50" s="19" t="s">
        <v>34</v>
      </c>
      <c r="J50" s="8" t="s">
        <v>41</v>
      </c>
      <c r="K50" s="12" t="s">
        <v>103</v>
      </c>
    </row>
    <row r="51" spans="1:11">
      <c r="A51" s="7" t="s">
        <v>97</v>
      </c>
      <c r="B51" s="16" t="s">
        <v>98</v>
      </c>
      <c r="C51" s="7" t="s">
        <v>172</v>
      </c>
      <c r="D51" s="7">
        <v>1.2</v>
      </c>
      <c r="E51" s="7">
        <v>25</v>
      </c>
      <c r="F51" s="7">
        <f t="shared" si="2"/>
        <v>30</v>
      </c>
      <c r="G51" s="11">
        <v>500</v>
      </c>
      <c r="H51" s="11">
        <f t="shared" si="3"/>
        <v>15000</v>
      </c>
      <c r="I51" s="7" t="s">
        <v>34</v>
      </c>
      <c r="J51" s="12" t="s">
        <v>41</v>
      </c>
      <c r="K51" s="12" t="s">
        <v>173</v>
      </c>
    </row>
    <row r="52" spans="1:11">
      <c r="A52" s="19" t="s">
        <v>97</v>
      </c>
      <c r="B52" s="20" t="s">
        <v>101</v>
      </c>
      <c r="C52" s="19" t="s">
        <v>174</v>
      </c>
      <c r="D52" s="19">
        <v>1.2</v>
      </c>
      <c r="E52" s="48">
        <v>25</v>
      </c>
      <c r="F52" s="19">
        <f t="shared" si="2"/>
        <v>30</v>
      </c>
      <c r="G52" s="22">
        <v>645.27089783281701</v>
      </c>
      <c r="H52" s="22">
        <f t="shared" si="3"/>
        <v>19358.12693498451</v>
      </c>
      <c r="I52" s="19" t="s">
        <v>34</v>
      </c>
      <c r="J52" s="24">
        <v>44378</v>
      </c>
      <c r="K52" s="12"/>
    </row>
    <row r="53" spans="1:11">
      <c r="A53" s="19" t="s">
        <v>97</v>
      </c>
      <c r="B53" s="20" t="s">
        <v>101</v>
      </c>
      <c r="C53" s="19" t="s">
        <v>175</v>
      </c>
      <c r="D53" s="19">
        <v>1.2</v>
      </c>
      <c r="E53" s="48">
        <v>19.399999999999999</v>
      </c>
      <c r="F53" s="19">
        <f t="shared" si="2"/>
        <v>23.279999999999998</v>
      </c>
      <c r="G53" s="22">
        <v>500</v>
      </c>
      <c r="H53" s="22">
        <f t="shared" si="3"/>
        <v>11639.999999999998</v>
      </c>
      <c r="I53" s="19" t="s">
        <v>34</v>
      </c>
      <c r="J53" s="8" t="s">
        <v>41</v>
      </c>
      <c r="K53" s="12" t="s">
        <v>103</v>
      </c>
    </row>
    <row r="54" spans="1:11">
      <c r="A54" s="19" t="s">
        <v>116</v>
      </c>
      <c r="B54" s="20" t="s">
        <v>101</v>
      </c>
      <c r="C54" s="19" t="s">
        <v>176</v>
      </c>
      <c r="D54" s="19">
        <v>1.2050000000000001</v>
      </c>
      <c r="E54" s="19">
        <v>32.5</v>
      </c>
      <c r="F54" s="19">
        <f t="shared" si="2"/>
        <v>39.162500000000001</v>
      </c>
      <c r="G54" s="22">
        <v>1694.4471129068031</v>
      </c>
      <c r="H54" s="22">
        <f t="shared" si="3"/>
        <v>66358.785059212678</v>
      </c>
      <c r="I54" s="19" t="s">
        <v>34</v>
      </c>
      <c r="J54" s="24">
        <v>44501</v>
      </c>
      <c r="K54" s="7"/>
    </row>
    <row r="55" spans="1:11">
      <c r="A55" s="19" t="s">
        <v>116</v>
      </c>
      <c r="B55" s="20" t="s">
        <v>101</v>
      </c>
      <c r="C55" s="19" t="s">
        <v>177</v>
      </c>
      <c r="D55" s="19">
        <v>1.2050000000000001</v>
      </c>
      <c r="E55" s="19">
        <v>8</v>
      </c>
      <c r="F55" s="19">
        <f t="shared" si="2"/>
        <v>9.64</v>
      </c>
      <c r="G55" s="22">
        <v>1694.4471129068031</v>
      </c>
      <c r="H55" s="22">
        <f t="shared" si="3"/>
        <v>16334.470168421583</v>
      </c>
      <c r="I55" s="19" t="s">
        <v>34</v>
      </c>
      <c r="J55" s="24">
        <v>44501</v>
      </c>
      <c r="K55" s="7"/>
    </row>
    <row r="56" spans="1:11">
      <c r="A56" s="7" t="s">
        <v>97</v>
      </c>
      <c r="B56" s="16" t="s">
        <v>98</v>
      </c>
      <c r="C56" s="7" t="s">
        <v>178</v>
      </c>
      <c r="D56" s="7">
        <v>1.25</v>
      </c>
      <c r="E56" s="7">
        <v>2</v>
      </c>
      <c r="F56" s="7">
        <f t="shared" si="2"/>
        <v>2.5</v>
      </c>
      <c r="G56" s="11">
        <v>500</v>
      </c>
      <c r="H56" s="11">
        <f t="shared" si="3"/>
        <v>1250</v>
      </c>
      <c r="I56" s="7" t="s">
        <v>34</v>
      </c>
      <c r="J56" s="12" t="s">
        <v>41</v>
      </c>
      <c r="K56" s="12" t="s">
        <v>179</v>
      </c>
    </row>
    <row r="57" spans="1:11">
      <c r="A57" s="7" t="s">
        <v>97</v>
      </c>
      <c r="B57" s="16" t="s">
        <v>98</v>
      </c>
      <c r="C57" s="7" t="s">
        <v>180</v>
      </c>
      <c r="D57" s="7">
        <v>1.25</v>
      </c>
      <c r="E57" s="7">
        <v>25</v>
      </c>
      <c r="F57" s="7">
        <f t="shared" si="2"/>
        <v>31.25</v>
      </c>
      <c r="G57" s="11">
        <v>500</v>
      </c>
      <c r="H57" s="11">
        <f t="shared" si="3"/>
        <v>15625</v>
      </c>
      <c r="I57" s="7" t="s">
        <v>34</v>
      </c>
      <c r="J57" s="12" t="s">
        <v>41</v>
      </c>
      <c r="K57" s="12" t="s">
        <v>179</v>
      </c>
    </row>
    <row r="58" spans="1:11">
      <c r="A58" s="7" t="s">
        <v>97</v>
      </c>
      <c r="B58" s="16" t="s">
        <v>98</v>
      </c>
      <c r="C58" s="7" t="s">
        <v>181</v>
      </c>
      <c r="D58" s="7">
        <v>1.25</v>
      </c>
      <c r="E58" s="7">
        <v>25</v>
      </c>
      <c r="F58" s="7">
        <f t="shared" si="2"/>
        <v>31.25</v>
      </c>
      <c r="G58" s="11">
        <v>500</v>
      </c>
      <c r="H58" s="11">
        <f t="shared" si="3"/>
        <v>15625</v>
      </c>
      <c r="I58" s="7" t="s">
        <v>34</v>
      </c>
      <c r="J58" s="12" t="s">
        <v>41</v>
      </c>
      <c r="K58" s="12" t="s">
        <v>179</v>
      </c>
    </row>
    <row r="59" spans="1:11">
      <c r="A59" s="32" t="s">
        <v>97</v>
      </c>
      <c r="B59" s="33" t="s">
        <v>130</v>
      </c>
      <c r="C59" s="32" t="s">
        <v>182</v>
      </c>
      <c r="D59" s="32">
        <v>1.25</v>
      </c>
      <c r="E59" s="32">
        <v>8.5</v>
      </c>
      <c r="F59" s="32">
        <f t="shared" si="2"/>
        <v>10.625</v>
      </c>
      <c r="G59" s="35">
        <v>1349.3787234042554</v>
      </c>
      <c r="H59" s="35">
        <f t="shared" si="3"/>
        <v>14337.148936170213</v>
      </c>
      <c r="I59" s="32" t="s">
        <v>34</v>
      </c>
      <c r="J59" s="47" t="s">
        <v>183</v>
      </c>
      <c r="K59" s="7"/>
    </row>
    <row r="60" spans="1:11">
      <c r="A60" s="7" t="s">
        <v>97</v>
      </c>
      <c r="B60" s="16" t="s">
        <v>98</v>
      </c>
      <c r="C60" s="7" t="s">
        <v>184</v>
      </c>
      <c r="D60" s="7">
        <v>1.25</v>
      </c>
      <c r="E60" s="7">
        <v>18.3</v>
      </c>
      <c r="F60" s="7">
        <f t="shared" si="2"/>
        <v>22.875</v>
      </c>
      <c r="G60" s="11">
        <v>500</v>
      </c>
      <c r="H60" s="11">
        <f t="shared" si="3"/>
        <v>11437.5</v>
      </c>
      <c r="I60" s="7" t="s">
        <v>34</v>
      </c>
      <c r="J60" s="12" t="s">
        <v>41</v>
      </c>
      <c r="K60" s="12" t="s">
        <v>179</v>
      </c>
    </row>
    <row r="61" spans="1:11">
      <c r="A61" s="7" t="s">
        <v>97</v>
      </c>
      <c r="B61" s="16" t="s">
        <v>98</v>
      </c>
      <c r="C61" s="7" t="s">
        <v>49</v>
      </c>
      <c r="D61" s="7">
        <v>1.25</v>
      </c>
      <c r="E61" s="7">
        <v>7.1</v>
      </c>
      <c r="F61" s="7">
        <f t="shared" si="2"/>
        <v>8.875</v>
      </c>
      <c r="G61" s="11">
        <v>986.79157138412597</v>
      </c>
      <c r="H61" s="11">
        <f t="shared" si="3"/>
        <v>8757.7751960341175</v>
      </c>
      <c r="I61" s="7" t="s">
        <v>34</v>
      </c>
      <c r="J61" s="18">
        <v>44440</v>
      </c>
      <c r="K61" s="7"/>
    </row>
    <row r="62" spans="1:11">
      <c r="A62" s="49" t="s">
        <v>108</v>
      </c>
      <c r="B62" s="50" t="s">
        <v>98</v>
      </c>
      <c r="C62" s="7" t="s">
        <v>185</v>
      </c>
      <c r="D62" s="7">
        <v>1.204</v>
      </c>
      <c r="E62" s="25">
        <v>4.5</v>
      </c>
      <c r="F62" s="7">
        <f t="shared" si="2"/>
        <v>5.4180000000000001</v>
      </c>
      <c r="G62" s="11">
        <v>1851.8122870175514</v>
      </c>
      <c r="H62" s="11">
        <f t="shared" si="3"/>
        <v>10033.118971061094</v>
      </c>
      <c r="I62" s="7" t="s">
        <v>107</v>
      </c>
      <c r="J62" s="51">
        <v>44652</v>
      </c>
      <c r="K62" s="7"/>
    </row>
    <row r="63" spans="1:11">
      <c r="A63" s="49" t="s">
        <v>108</v>
      </c>
      <c r="B63" s="50" t="s">
        <v>98</v>
      </c>
      <c r="C63" s="7" t="s">
        <v>186</v>
      </c>
      <c r="D63" s="7">
        <v>1.204</v>
      </c>
      <c r="E63" s="25">
        <f>50-26</f>
        <v>24</v>
      </c>
      <c r="F63" s="7">
        <f t="shared" si="2"/>
        <v>28.896000000000001</v>
      </c>
      <c r="G63" s="11">
        <v>1851.8122870175514</v>
      </c>
      <c r="H63" s="11">
        <f t="shared" si="3"/>
        <v>53509.967845659165</v>
      </c>
      <c r="I63" s="7" t="s">
        <v>107</v>
      </c>
      <c r="J63" s="51">
        <v>44652</v>
      </c>
      <c r="K63" s="7"/>
    </row>
    <row r="64" spans="1:11">
      <c r="A64" s="19" t="s">
        <v>148</v>
      </c>
      <c r="B64" s="19" t="s">
        <v>149</v>
      </c>
      <c r="C64" s="19" t="s">
        <v>187</v>
      </c>
      <c r="D64" s="19">
        <v>1.29</v>
      </c>
      <c r="E64" s="48">
        <v>1007</v>
      </c>
      <c r="F64" s="19">
        <f t="shared" si="2"/>
        <v>1299.03</v>
      </c>
      <c r="G64" s="22">
        <v>621.00017485574404</v>
      </c>
      <c r="H64" s="22">
        <f t="shared" si="3"/>
        <v>806697.85714285716</v>
      </c>
      <c r="I64" s="19" t="s">
        <v>154</v>
      </c>
      <c r="J64" s="24">
        <v>44652</v>
      </c>
      <c r="K64" s="7" t="s">
        <v>188</v>
      </c>
    </row>
    <row r="65" spans="1:11">
      <c r="A65" s="19" t="s">
        <v>148</v>
      </c>
      <c r="B65" s="19" t="s">
        <v>149</v>
      </c>
      <c r="C65" s="19" t="s">
        <v>189</v>
      </c>
      <c r="D65" s="19">
        <v>1.29</v>
      </c>
      <c r="E65" s="48">
        <v>987</v>
      </c>
      <c r="F65" s="19">
        <f t="shared" si="2"/>
        <v>1273.23</v>
      </c>
      <c r="G65" s="22">
        <v>621.00017485574404</v>
      </c>
      <c r="H65" s="22">
        <f t="shared" si="3"/>
        <v>790676.05263157899</v>
      </c>
      <c r="I65" s="19" t="s">
        <v>154</v>
      </c>
      <c r="J65" s="24">
        <v>44652</v>
      </c>
      <c r="K65" s="7" t="s">
        <v>188</v>
      </c>
    </row>
    <row r="66" spans="1:11">
      <c r="A66" s="19" t="s">
        <v>148</v>
      </c>
      <c r="B66" s="19" t="s">
        <v>149</v>
      </c>
      <c r="C66" s="19" t="s">
        <v>190</v>
      </c>
      <c r="D66" s="19">
        <v>1.29</v>
      </c>
      <c r="E66" s="48">
        <f>1003-683</f>
        <v>320</v>
      </c>
      <c r="F66" s="19">
        <f t="shared" si="2"/>
        <v>412.8</v>
      </c>
      <c r="G66" s="22">
        <v>621.00017485574392</v>
      </c>
      <c r="H66" s="22">
        <f t="shared" si="3"/>
        <v>256348.87218045109</v>
      </c>
      <c r="I66" s="19" t="s">
        <v>154</v>
      </c>
      <c r="J66" s="24">
        <v>44652</v>
      </c>
      <c r="K66" s="7" t="s">
        <v>191</v>
      </c>
    </row>
    <row r="67" spans="1:11">
      <c r="A67" s="19" t="s">
        <v>148</v>
      </c>
      <c r="B67" s="19" t="s">
        <v>149</v>
      </c>
      <c r="C67" s="19" t="s">
        <v>192</v>
      </c>
      <c r="D67" s="19">
        <v>1.29</v>
      </c>
      <c r="E67" s="48">
        <f>993-570</f>
        <v>423</v>
      </c>
      <c r="F67" s="19">
        <f t="shared" si="2"/>
        <v>545.66999999999996</v>
      </c>
      <c r="G67" s="22">
        <v>621.00017485574404</v>
      </c>
      <c r="H67" s="22">
        <f t="shared" si="3"/>
        <v>338861.1654135338</v>
      </c>
      <c r="I67" s="19" t="s">
        <v>154</v>
      </c>
      <c r="J67" s="24">
        <v>44652</v>
      </c>
      <c r="K67" s="7" t="s">
        <v>160</v>
      </c>
    </row>
    <row r="68" spans="1:11">
      <c r="A68" s="7" t="s">
        <v>97</v>
      </c>
      <c r="B68" s="16" t="s">
        <v>98</v>
      </c>
      <c r="C68" s="7" t="s">
        <v>193</v>
      </c>
      <c r="D68" s="7">
        <v>1.25</v>
      </c>
      <c r="E68" s="7">
        <f>25*20</f>
        <v>500</v>
      </c>
      <c r="F68" s="7">
        <f t="shared" si="2"/>
        <v>625</v>
      </c>
      <c r="G68" s="11">
        <v>1086.1813388965465</v>
      </c>
      <c r="H68" s="11">
        <f t="shared" si="3"/>
        <v>678863.33681034157</v>
      </c>
      <c r="I68" s="7" t="s">
        <v>194</v>
      </c>
      <c r="J68" s="18">
        <v>44682</v>
      </c>
      <c r="K68" s="7"/>
    </row>
    <row r="69" spans="1:11">
      <c r="A69" s="7" t="s">
        <v>97</v>
      </c>
      <c r="B69" s="16" t="s">
        <v>98</v>
      </c>
      <c r="C69" s="7" t="s">
        <v>195</v>
      </c>
      <c r="D69" s="7">
        <v>1.25</v>
      </c>
      <c r="E69" s="7">
        <f>25*30</f>
        <v>750</v>
      </c>
      <c r="F69" s="7">
        <f t="shared" si="2"/>
        <v>937.5</v>
      </c>
      <c r="G69" s="11">
        <v>1086.1813388965465</v>
      </c>
      <c r="H69" s="11">
        <f t="shared" si="3"/>
        <v>1018295.0052155124</v>
      </c>
      <c r="I69" s="7" t="s">
        <v>194</v>
      </c>
      <c r="J69" s="18">
        <v>44682</v>
      </c>
      <c r="K69" s="7"/>
    </row>
    <row r="70" spans="1:11">
      <c r="A70" s="7" t="s">
        <v>97</v>
      </c>
      <c r="B70" s="16" t="s">
        <v>98</v>
      </c>
      <c r="C70" s="7" t="s">
        <v>196</v>
      </c>
      <c r="D70" s="7">
        <v>1.25</v>
      </c>
      <c r="E70" s="25">
        <v>1</v>
      </c>
      <c r="F70" s="7">
        <f t="shared" si="2"/>
        <v>1.25</v>
      </c>
      <c r="G70" s="11">
        <v>1086.1813388965465</v>
      </c>
      <c r="H70" s="11">
        <f t="shared" si="3"/>
        <v>1357.7266736206832</v>
      </c>
      <c r="I70" s="7" t="s">
        <v>137</v>
      </c>
      <c r="J70" s="18">
        <v>44682</v>
      </c>
      <c r="K70" s="7"/>
    </row>
    <row r="71" spans="1:11">
      <c r="A71" s="7" t="s">
        <v>97</v>
      </c>
      <c r="B71" s="16" t="s">
        <v>98</v>
      </c>
      <c r="C71" s="7" t="s">
        <v>197</v>
      </c>
      <c r="D71" s="7">
        <v>1.25</v>
      </c>
      <c r="E71" s="7">
        <f>25*38</f>
        <v>950</v>
      </c>
      <c r="F71" s="7">
        <f t="shared" si="2"/>
        <v>1187.5</v>
      </c>
      <c r="G71" s="11">
        <v>1086.1813388965463</v>
      </c>
      <c r="H71" s="11">
        <f t="shared" si="3"/>
        <v>1289840.3399396488</v>
      </c>
      <c r="I71" s="7" t="s">
        <v>194</v>
      </c>
      <c r="J71" s="18">
        <v>44682</v>
      </c>
      <c r="K71" s="7"/>
    </row>
    <row r="72" spans="1:11">
      <c r="A72" s="7" t="s">
        <v>97</v>
      </c>
      <c r="B72" s="16" t="s">
        <v>98</v>
      </c>
      <c r="C72" s="7" t="s">
        <v>198</v>
      </c>
      <c r="D72" s="7">
        <v>1.25</v>
      </c>
      <c r="E72" s="25">
        <v>13</v>
      </c>
      <c r="F72" s="7">
        <f t="shared" si="2"/>
        <v>16.25</v>
      </c>
      <c r="G72" s="11">
        <v>1086.1813388965463</v>
      </c>
      <c r="H72" s="11">
        <f t="shared" si="3"/>
        <v>17650.446757068879</v>
      </c>
      <c r="I72" s="7" t="s">
        <v>194</v>
      </c>
      <c r="J72" s="18">
        <v>44682</v>
      </c>
      <c r="K72" s="7"/>
    </row>
    <row r="73" spans="1:11">
      <c r="A73" s="7" t="s">
        <v>97</v>
      </c>
      <c r="B73" s="16" t="s">
        <v>98</v>
      </c>
      <c r="C73" s="7" t="s">
        <v>14</v>
      </c>
      <c r="D73" s="7">
        <v>1.25</v>
      </c>
      <c r="E73" s="25">
        <v>16</v>
      </c>
      <c r="F73" s="7">
        <f t="shared" si="2"/>
        <v>20</v>
      </c>
      <c r="G73" s="11">
        <v>1086.1813388965465</v>
      </c>
      <c r="H73" s="11">
        <f t="shared" si="3"/>
        <v>21723.626777930931</v>
      </c>
      <c r="I73" s="7" t="s">
        <v>137</v>
      </c>
      <c r="J73" s="18">
        <v>44682</v>
      </c>
      <c r="K73" s="7"/>
    </row>
    <row r="74" spans="1:11">
      <c r="A74" s="19" t="s">
        <v>97</v>
      </c>
      <c r="B74" s="20" t="s">
        <v>101</v>
      </c>
      <c r="C74" s="19" t="s">
        <v>199</v>
      </c>
      <c r="D74" s="19">
        <v>1.25</v>
      </c>
      <c r="E74" s="19">
        <f>25*12</f>
        <v>300</v>
      </c>
      <c r="F74" s="19">
        <f t="shared" si="2"/>
        <v>375</v>
      </c>
      <c r="G74" s="22">
        <v>1099.5225721795628</v>
      </c>
      <c r="H74" s="22">
        <f t="shared" si="3"/>
        <v>412320.96456733602</v>
      </c>
      <c r="I74" s="19" t="s">
        <v>194</v>
      </c>
      <c r="J74" s="24">
        <v>44682</v>
      </c>
      <c r="K74" s="7"/>
    </row>
    <row r="75" spans="1:11">
      <c r="A75" s="19" t="s">
        <v>97</v>
      </c>
      <c r="B75" s="20" t="s">
        <v>101</v>
      </c>
      <c r="C75" s="19" t="s">
        <v>200</v>
      </c>
      <c r="D75" s="19">
        <v>1.25</v>
      </c>
      <c r="E75" s="19">
        <f>25*24</f>
        <v>600</v>
      </c>
      <c r="F75" s="19">
        <f t="shared" si="2"/>
        <v>750</v>
      </c>
      <c r="G75" s="22">
        <v>1099.5225721795628</v>
      </c>
      <c r="H75" s="22">
        <f t="shared" si="3"/>
        <v>824641.92913467204</v>
      </c>
      <c r="I75" s="19" t="s">
        <v>194</v>
      </c>
      <c r="J75" s="24">
        <v>44682</v>
      </c>
      <c r="K75" s="7"/>
    </row>
    <row r="76" spans="1:11">
      <c r="A76" s="49" t="s">
        <v>201</v>
      </c>
      <c r="B76" s="49" t="s">
        <v>202</v>
      </c>
      <c r="C76" s="7" t="s">
        <v>27</v>
      </c>
      <c r="D76" s="49">
        <v>1.29</v>
      </c>
      <c r="E76" s="25">
        <f>1000-60</f>
        <v>940</v>
      </c>
      <c r="F76" s="7">
        <f t="shared" si="2"/>
        <v>1212.6000000000001</v>
      </c>
      <c r="G76" s="11">
        <v>166.7</v>
      </c>
      <c r="H76" s="11">
        <f>E76*G76</f>
        <v>156698</v>
      </c>
      <c r="I76" s="7" t="s">
        <v>203</v>
      </c>
      <c r="J76" s="18">
        <v>44713</v>
      </c>
      <c r="K76" s="7" t="s">
        <v>204</v>
      </c>
    </row>
    <row r="77" spans="1:11">
      <c r="A77" s="7" t="s">
        <v>97</v>
      </c>
      <c r="B77" s="16" t="s">
        <v>98</v>
      </c>
      <c r="C77" s="7" t="s">
        <v>205</v>
      </c>
      <c r="D77" s="7">
        <v>1.25</v>
      </c>
      <c r="E77" s="1">
        <f>25*37</f>
        <v>925</v>
      </c>
      <c r="F77" s="7">
        <f t="shared" si="2"/>
        <v>1156.25</v>
      </c>
      <c r="G77" s="11">
        <v>1089.6454038775285</v>
      </c>
      <c r="H77" s="11">
        <f t="shared" ref="H77:H97" si="4">F77*G77</f>
        <v>1259902.4982333924</v>
      </c>
      <c r="I77" s="7" t="s">
        <v>194</v>
      </c>
      <c r="J77" s="18">
        <v>44743</v>
      </c>
      <c r="K77" s="7"/>
    </row>
    <row r="78" spans="1:11">
      <c r="A78" s="7" t="s">
        <v>97</v>
      </c>
      <c r="B78" s="16" t="s">
        <v>98</v>
      </c>
      <c r="C78" s="7" t="s">
        <v>206</v>
      </c>
      <c r="D78" s="7">
        <v>1.25</v>
      </c>
      <c r="E78" s="25">
        <v>16</v>
      </c>
      <c r="F78" s="7">
        <f t="shared" si="2"/>
        <v>20</v>
      </c>
      <c r="G78" s="11">
        <v>1089.6454038775285</v>
      </c>
      <c r="H78" s="11">
        <f t="shared" si="4"/>
        <v>21792.908077550568</v>
      </c>
      <c r="I78" s="7" t="s">
        <v>194</v>
      </c>
      <c r="J78" s="18">
        <v>44743</v>
      </c>
      <c r="K78" s="7"/>
    </row>
    <row r="79" spans="1:11">
      <c r="A79" s="7" t="s">
        <v>97</v>
      </c>
      <c r="B79" s="16" t="s">
        <v>98</v>
      </c>
      <c r="C79" s="7" t="s">
        <v>207</v>
      </c>
      <c r="D79" s="7">
        <v>1.25</v>
      </c>
      <c r="E79" s="7">
        <f>25*39</f>
        <v>975</v>
      </c>
      <c r="F79" s="7">
        <f t="shared" si="2"/>
        <v>1218.75</v>
      </c>
      <c r="G79" s="11">
        <v>1089.6454038775285</v>
      </c>
      <c r="H79" s="11">
        <f t="shared" si="4"/>
        <v>1328005.3359757378</v>
      </c>
      <c r="I79" s="7" t="s">
        <v>194</v>
      </c>
      <c r="J79" s="18">
        <v>44743</v>
      </c>
      <c r="K79" s="7"/>
    </row>
    <row r="80" spans="1:11">
      <c r="A80" s="19" t="s">
        <v>97</v>
      </c>
      <c r="B80" s="20" t="s">
        <v>101</v>
      </c>
      <c r="C80" s="19" t="s">
        <v>208</v>
      </c>
      <c r="D80" s="19">
        <v>1.25</v>
      </c>
      <c r="E80" s="48">
        <v>15</v>
      </c>
      <c r="F80" s="19">
        <f t="shared" si="2"/>
        <v>18.75</v>
      </c>
      <c r="G80" s="22">
        <v>1089.6454038775285</v>
      </c>
      <c r="H80" s="22">
        <f t="shared" si="4"/>
        <v>20430.85132270366</v>
      </c>
      <c r="I80" s="19" t="s">
        <v>194</v>
      </c>
      <c r="J80" s="24">
        <v>44743</v>
      </c>
      <c r="K80" s="7"/>
    </row>
    <row r="81" spans="1:11">
      <c r="A81" s="19" t="s">
        <v>97</v>
      </c>
      <c r="B81" s="20" t="s">
        <v>101</v>
      </c>
      <c r="C81" s="19" t="s">
        <v>209</v>
      </c>
      <c r="D81" s="19">
        <v>1.25</v>
      </c>
      <c r="E81" s="48">
        <v>18</v>
      </c>
      <c r="F81" s="19">
        <f t="shared" si="2"/>
        <v>22.5</v>
      </c>
      <c r="G81" s="22">
        <v>1089.6454038775285</v>
      </c>
      <c r="H81" s="22">
        <f t="shared" si="4"/>
        <v>24517.021587244391</v>
      </c>
      <c r="I81" s="19" t="s">
        <v>194</v>
      </c>
      <c r="J81" s="24">
        <v>44743</v>
      </c>
      <c r="K81" s="7"/>
    </row>
    <row r="82" spans="1:11">
      <c r="A82" s="19" t="s">
        <v>97</v>
      </c>
      <c r="B82" s="20" t="s">
        <v>101</v>
      </c>
      <c r="C82" s="19" t="s">
        <v>210</v>
      </c>
      <c r="D82" s="19">
        <v>1.25</v>
      </c>
      <c r="E82" s="48">
        <v>14</v>
      </c>
      <c r="F82" s="19">
        <f t="shared" si="2"/>
        <v>17.5</v>
      </c>
      <c r="G82" s="22">
        <v>1089.6454038775285</v>
      </c>
      <c r="H82" s="22">
        <f t="shared" si="4"/>
        <v>19068.794567856748</v>
      </c>
      <c r="I82" s="19" t="s">
        <v>194</v>
      </c>
      <c r="J82" s="24">
        <v>44743</v>
      </c>
      <c r="K82" s="7"/>
    </row>
    <row r="83" spans="1:11">
      <c r="A83" s="19" t="s">
        <v>97</v>
      </c>
      <c r="B83" s="20" t="s">
        <v>101</v>
      </c>
      <c r="C83" s="19" t="s">
        <v>211</v>
      </c>
      <c r="D83" s="19">
        <v>1.25</v>
      </c>
      <c r="E83" s="48">
        <v>23</v>
      </c>
      <c r="F83" s="19">
        <f t="shared" si="2"/>
        <v>28.75</v>
      </c>
      <c r="G83" s="22">
        <v>1089.6454038775285</v>
      </c>
      <c r="H83" s="22">
        <f t="shared" si="4"/>
        <v>31327.305361478942</v>
      </c>
      <c r="I83" s="19" t="s">
        <v>194</v>
      </c>
      <c r="J83" s="24">
        <v>44743</v>
      </c>
      <c r="K83" s="7"/>
    </row>
    <row r="84" spans="1:11">
      <c r="A84" s="19" t="s">
        <v>97</v>
      </c>
      <c r="B84" s="20" t="s">
        <v>101</v>
      </c>
      <c r="C84" s="19" t="s">
        <v>212</v>
      </c>
      <c r="D84" s="19">
        <v>1.25</v>
      </c>
      <c r="E84" s="48">
        <v>23</v>
      </c>
      <c r="F84" s="19">
        <f t="shared" si="2"/>
        <v>28.75</v>
      </c>
      <c r="G84" s="22">
        <v>1089.6454038775285</v>
      </c>
      <c r="H84" s="22">
        <f t="shared" si="4"/>
        <v>31327.305361478942</v>
      </c>
      <c r="I84" s="19" t="s">
        <v>194</v>
      </c>
      <c r="J84" s="24">
        <v>44743</v>
      </c>
      <c r="K84" s="7"/>
    </row>
    <row r="85" spans="1:11">
      <c r="A85" s="19" t="s">
        <v>97</v>
      </c>
      <c r="B85" s="20" t="s">
        <v>101</v>
      </c>
      <c r="C85" s="19" t="s">
        <v>213</v>
      </c>
      <c r="D85" s="19">
        <v>1.25</v>
      </c>
      <c r="E85" s="19">
        <f>25*33</f>
        <v>825</v>
      </c>
      <c r="F85" s="19">
        <f t="shared" si="2"/>
        <v>1031.25</v>
      </c>
      <c r="G85" s="22">
        <v>1081.8091504305573</v>
      </c>
      <c r="H85" s="22">
        <f t="shared" si="4"/>
        <v>1115615.6863815123</v>
      </c>
      <c r="I85" s="19" t="s">
        <v>194</v>
      </c>
      <c r="J85" s="24">
        <v>44743</v>
      </c>
      <c r="K85" s="7"/>
    </row>
    <row r="86" spans="1:11">
      <c r="A86" s="7" t="s">
        <v>145</v>
      </c>
      <c r="B86" s="16" t="s">
        <v>98</v>
      </c>
      <c r="C86" s="7" t="s">
        <v>214</v>
      </c>
      <c r="D86" s="49">
        <v>1.29</v>
      </c>
      <c r="E86" s="25">
        <v>400</v>
      </c>
      <c r="F86" s="7">
        <f t="shared" si="2"/>
        <v>516</v>
      </c>
      <c r="G86" s="11">
        <v>604.35137476984016</v>
      </c>
      <c r="H86" s="11">
        <f t="shared" si="4"/>
        <v>311845.30938123754</v>
      </c>
      <c r="I86" s="7" t="s">
        <v>38</v>
      </c>
      <c r="J86" s="18">
        <v>44713</v>
      </c>
      <c r="K86" s="7" t="s">
        <v>215</v>
      </c>
    </row>
    <row r="87" spans="1:11">
      <c r="A87" s="7" t="s">
        <v>145</v>
      </c>
      <c r="B87" s="16" t="s">
        <v>98</v>
      </c>
      <c r="C87" s="49" t="s">
        <v>216</v>
      </c>
      <c r="D87" s="49">
        <v>1.29</v>
      </c>
      <c r="E87" s="52">
        <v>200</v>
      </c>
      <c r="F87" s="49">
        <f t="shared" si="2"/>
        <v>258</v>
      </c>
      <c r="G87" s="53">
        <v>604.35137476984016</v>
      </c>
      <c r="H87" s="53">
        <f t="shared" si="4"/>
        <v>155922.65469061877</v>
      </c>
      <c r="I87" s="7" t="s">
        <v>203</v>
      </c>
      <c r="J87" s="18">
        <v>44713</v>
      </c>
      <c r="K87" s="49" t="s">
        <v>215</v>
      </c>
    </row>
    <row r="88" spans="1:11">
      <c r="A88" s="7" t="s">
        <v>145</v>
      </c>
      <c r="B88" s="16" t="s">
        <v>98</v>
      </c>
      <c r="C88" s="49" t="s">
        <v>216</v>
      </c>
      <c r="D88" s="49">
        <v>1.29</v>
      </c>
      <c r="E88" s="52">
        <v>200</v>
      </c>
      <c r="F88" s="49">
        <f t="shared" si="2"/>
        <v>258</v>
      </c>
      <c r="G88" s="53">
        <v>604.35137476984016</v>
      </c>
      <c r="H88" s="53">
        <f t="shared" si="4"/>
        <v>155922.65469061877</v>
      </c>
      <c r="I88" s="7" t="s">
        <v>203</v>
      </c>
      <c r="J88" s="18">
        <v>44713</v>
      </c>
      <c r="K88" s="49" t="s">
        <v>215</v>
      </c>
    </row>
    <row r="89" spans="1:11">
      <c r="A89" s="7" t="s">
        <v>125</v>
      </c>
      <c r="B89" s="50" t="s">
        <v>98</v>
      </c>
      <c r="C89" s="7" t="s">
        <v>217</v>
      </c>
      <c r="D89" s="7">
        <v>1.044</v>
      </c>
      <c r="E89" s="25">
        <v>50</v>
      </c>
      <c r="F89" s="7">
        <f t="shared" si="2"/>
        <v>52.2</v>
      </c>
      <c r="G89" s="11">
        <v>2807.836209038991</v>
      </c>
      <c r="H89" s="11">
        <f t="shared" si="4"/>
        <v>146569.05011183533</v>
      </c>
      <c r="I89" s="7" t="s">
        <v>111</v>
      </c>
      <c r="J89" s="18">
        <v>44743</v>
      </c>
      <c r="K89" s="7"/>
    </row>
    <row r="90" spans="1:11">
      <c r="A90" s="7" t="s">
        <v>125</v>
      </c>
      <c r="B90" s="50" t="s">
        <v>98</v>
      </c>
      <c r="C90" s="7" t="s">
        <v>218</v>
      </c>
      <c r="D90" s="7">
        <v>1.044</v>
      </c>
      <c r="E90" s="7">
        <v>6.2</v>
      </c>
      <c r="F90" s="7">
        <f t="shared" si="2"/>
        <v>6.4728000000000003</v>
      </c>
      <c r="G90" s="11">
        <v>2807.836209038991</v>
      </c>
      <c r="H90" s="11">
        <f t="shared" si="4"/>
        <v>18174.562213867583</v>
      </c>
      <c r="I90" s="7" t="s">
        <v>34</v>
      </c>
      <c r="J90" s="18">
        <v>44743</v>
      </c>
      <c r="K90" s="7"/>
    </row>
    <row r="91" spans="1:11">
      <c r="A91" s="7" t="s">
        <v>219</v>
      </c>
      <c r="B91" s="50" t="s">
        <v>98</v>
      </c>
      <c r="C91" s="7" t="s">
        <v>220</v>
      </c>
      <c r="D91" s="7">
        <v>1.034</v>
      </c>
      <c r="E91" s="25">
        <v>50</v>
      </c>
      <c r="F91" s="7">
        <f t="shared" si="2"/>
        <v>51.7</v>
      </c>
      <c r="G91" s="11">
        <v>2032.2833677337587</v>
      </c>
      <c r="H91" s="11">
        <f t="shared" si="4"/>
        <v>105069.05011183533</v>
      </c>
      <c r="I91" s="7" t="s">
        <v>111</v>
      </c>
      <c r="J91" s="18">
        <v>44743</v>
      </c>
      <c r="K91" s="7"/>
    </row>
    <row r="92" spans="1:11">
      <c r="A92" s="7" t="s">
        <v>219</v>
      </c>
      <c r="B92" s="50" t="s">
        <v>98</v>
      </c>
      <c r="C92" s="7" t="s">
        <v>221</v>
      </c>
      <c r="D92" s="7">
        <v>1.034</v>
      </c>
      <c r="E92" s="25">
        <v>50</v>
      </c>
      <c r="F92" s="7">
        <f t="shared" si="2"/>
        <v>51.7</v>
      </c>
      <c r="G92" s="11">
        <v>2032.2833677337587</v>
      </c>
      <c r="H92" s="11">
        <f t="shared" si="4"/>
        <v>105069.05011183533</v>
      </c>
      <c r="I92" s="7" t="s">
        <v>111</v>
      </c>
      <c r="J92" s="18">
        <v>44743</v>
      </c>
      <c r="K92" s="7"/>
    </row>
    <row r="93" spans="1:11">
      <c r="A93" s="7" t="s">
        <v>219</v>
      </c>
      <c r="B93" s="50" t="s">
        <v>98</v>
      </c>
      <c r="C93" s="7" t="s">
        <v>222</v>
      </c>
      <c r="D93" s="7">
        <v>1.034</v>
      </c>
      <c r="E93" s="25">
        <v>50</v>
      </c>
      <c r="F93" s="7">
        <f t="shared" si="2"/>
        <v>51.7</v>
      </c>
      <c r="G93" s="11">
        <v>2032.2833677337587</v>
      </c>
      <c r="H93" s="11">
        <f t="shared" si="4"/>
        <v>105069.05011183533</v>
      </c>
      <c r="I93" s="7" t="s">
        <v>111</v>
      </c>
      <c r="J93" s="18">
        <v>44743</v>
      </c>
      <c r="K93" s="7"/>
    </row>
    <row r="94" spans="1:11">
      <c r="A94" s="7" t="s">
        <v>219</v>
      </c>
      <c r="B94" s="50" t="s">
        <v>98</v>
      </c>
      <c r="C94" s="7" t="s">
        <v>223</v>
      </c>
      <c r="D94" s="7">
        <v>1.034</v>
      </c>
      <c r="E94" s="25">
        <v>50</v>
      </c>
      <c r="F94" s="7">
        <f t="shared" si="2"/>
        <v>51.7</v>
      </c>
      <c r="G94" s="11">
        <v>2032.2833677337587</v>
      </c>
      <c r="H94" s="11">
        <f t="shared" si="4"/>
        <v>105069.05011183533</v>
      </c>
      <c r="I94" s="7" t="s">
        <v>111</v>
      </c>
      <c r="J94" s="18">
        <v>44743</v>
      </c>
      <c r="K94" s="7"/>
    </row>
    <row r="95" spans="1:11">
      <c r="A95" s="7" t="s">
        <v>219</v>
      </c>
      <c r="B95" s="50" t="s">
        <v>98</v>
      </c>
      <c r="C95" s="7" t="s">
        <v>224</v>
      </c>
      <c r="D95" s="7">
        <v>1.034</v>
      </c>
      <c r="E95" s="25">
        <v>50</v>
      </c>
      <c r="F95" s="7">
        <f t="shared" si="2"/>
        <v>51.7</v>
      </c>
      <c r="G95" s="11">
        <v>2032.2833677337587</v>
      </c>
      <c r="H95" s="11">
        <f t="shared" si="4"/>
        <v>105069.05011183533</v>
      </c>
      <c r="I95" s="7" t="s">
        <v>111</v>
      </c>
      <c r="J95" s="18">
        <v>44743</v>
      </c>
      <c r="K95" s="7"/>
    </row>
    <row r="96" spans="1:11">
      <c r="A96" s="7" t="s">
        <v>219</v>
      </c>
      <c r="B96" s="50" t="s">
        <v>98</v>
      </c>
      <c r="C96" s="7" t="s">
        <v>225</v>
      </c>
      <c r="D96" s="7">
        <v>1.034</v>
      </c>
      <c r="E96" s="25">
        <v>50</v>
      </c>
      <c r="F96" s="7">
        <f t="shared" si="2"/>
        <v>51.7</v>
      </c>
      <c r="G96" s="11">
        <v>2032.2833677337587</v>
      </c>
      <c r="H96" s="11">
        <f t="shared" si="4"/>
        <v>105069.05011183533</v>
      </c>
      <c r="I96" s="7" t="s">
        <v>111</v>
      </c>
      <c r="J96" s="18">
        <v>44743</v>
      </c>
      <c r="K96" s="7"/>
    </row>
    <row r="97" spans="1:11">
      <c r="A97" s="7" t="s">
        <v>219</v>
      </c>
      <c r="B97" s="50" t="s">
        <v>98</v>
      </c>
      <c r="C97" s="7" t="s">
        <v>226</v>
      </c>
      <c r="D97" s="7">
        <v>1.034</v>
      </c>
      <c r="E97" s="25">
        <v>2</v>
      </c>
      <c r="F97" s="7">
        <f t="shared" si="2"/>
        <v>2.0680000000000001</v>
      </c>
      <c r="G97" s="11">
        <v>2032.2833677337587</v>
      </c>
      <c r="H97" s="11">
        <f t="shared" si="4"/>
        <v>4202.7620044734131</v>
      </c>
      <c r="I97" s="7" t="s">
        <v>107</v>
      </c>
      <c r="J97" s="18">
        <v>44743</v>
      </c>
      <c r="K97" s="7"/>
    </row>
    <row r="98" spans="1:11">
      <c r="A98" s="7" t="s">
        <v>201</v>
      </c>
      <c r="B98" s="7" t="s">
        <v>227</v>
      </c>
      <c r="C98" s="7" t="s">
        <v>228</v>
      </c>
      <c r="D98" s="7">
        <v>1.29</v>
      </c>
      <c r="E98" s="25">
        <v>600</v>
      </c>
      <c r="F98" s="7">
        <f t="shared" si="2"/>
        <v>774</v>
      </c>
      <c r="G98" s="11">
        <v>157.1</v>
      </c>
      <c r="H98" s="11">
        <f t="shared" ref="H98:H104" si="5">E98*G98</f>
        <v>94260</v>
      </c>
      <c r="I98" s="7" t="s">
        <v>203</v>
      </c>
      <c r="J98" s="18">
        <v>44743</v>
      </c>
      <c r="K98" s="7" t="s">
        <v>204</v>
      </c>
    </row>
    <row r="99" spans="1:11">
      <c r="A99" s="7" t="s">
        <v>201</v>
      </c>
      <c r="B99" s="7" t="s">
        <v>227</v>
      </c>
      <c r="C99" s="7" t="s">
        <v>229</v>
      </c>
      <c r="D99" s="7">
        <v>1.29</v>
      </c>
      <c r="E99" s="25">
        <v>1000</v>
      </c>
      <c r="F99" s="7">
        <f t="shared" si="2"/>
        <v>1290</v>
      </c>
      <c r="G99" s="11">
        <v>157.1</v>
      </c>
      <c r="H99" s="11">
        <f>E99*G99</f>
        <v>157100</v>
      </c>
      <c r="I99" s="7" t="s">
        <v>203</v>
      </c>
      <c r="J99" s="18">
        <v>44743</v>
      </c>
      <c r="K99" s="7" t="s">
        <v>230</v>
      </c>
    </row>
    <row r="100" spans="1:11">
      <c r="A100" s="7" t="s">
        <v>201</v>
      </c>
      <c r="B100" s="7" t="s">
        <v>227</v>
      </c>
      <c r="C100" s="7" t="s">
        <v>231</v>
      </c>
      <c r="D100" s="7">
        <v>1.29</v>
      </c>
      <c r="E100" s="25">
        <v>1000</v>
      </c>
      <c r="F100" s="7">
        <f t="shared" si="2"/>
        <v>1290</v>
      </c>
      <c r="G100" s="11">
        <v>157.1</v>
      </c>
      <c r="H100" s="11">
        <f t="shared" si="5"/>
        <v>157100</v>
      </c>
      <c r="I100" s="7" t="s">
        <v>203</v>
      </c>
      <c r="J100" s="18">
        <v>44743</v>
      </c>
      <c r="K100" s="7" t="s">
        <v>232</v>
      </c>
    </row>
    <row r="101" spans="1:11">
      <c r="A101" s="7" t="s">
        <v>201</v>
      </c>
      <c r="B101" s="7" t="s">
        <v>227</v>
      </c>
      <c r="C101" s="7" t="s">
        <v>233</v>
      </c>
      <c r="D101" s="7">
        <v>1.29</v>
      </c>
      <c r="E101" s="25">
        <v>1000</v>
      </c>
      <c r="F101" s="7">
        <f t="shared" si="2"/>
        <v>1290</v>
      </c>
      <c r="G101" s="11">
        <v>157.1</v>
      </c>
      <c r="H101" s="11">
        <f t="shared" si="5"/>
        <v>157100</v>
      </c>
      <c r="I101" s="7" t="s">
        <v>203</v>
      </c>
      <c r="J101" s="18">
        <v>44743</v>
      </c>
      <c r="K101" s="7" t="s">
        <v>232</v>
      </c>
    </row>
    <row r="102" spans="1:11">
      <c r="A102" s="7" t="s">
        <v>201</v>
      </c>
      <c r="B102" s="7" t="s">
        <v>227</v>
      </c>
      <c r="C102" s="7" t="s">
        <v>234</v>
      </c>
      <c r="D102" s="7">
        <v>1.29</v>
      </c>
      <c r="E102" s="25">
        <v>1000</v>
      </c>
      <c r="F102" s="7">
        <f t="shared" si="2"/>
        <v>1290</v>
      </c>
      <c r="G102" s="11">
        <v>157.1</v>
      </c>
      <c r="H102" s="11">
        <f t="shared" si="5"/>
        <v>157100</v>
      </c>
      <c r="I102" s="7" t="s">
        <v>203</v>
      </c>
      <c r="J102" s="18">
        <v>44743</v>
      </c>
      <c r="K102" s="7" t="s">
        <v>232</v>
      </c>
    </row>
    <row r="103" spans="1:11">
      <c r="A103" s="7" t="s">
        <v>201</v>
      </c>
      <c r="B103" s="7" t="s">
        <v>227</v>
      </c>
      <c r="C103" s="7" t="s">
        <v>235</v>
      </c>
      <c r="D103" s="7">
        <v>1.29</v>
      </c>
      <c r="E103" s="25">
        <v>1000</v>
      </c>
      <c r="F103" s="7">
        <f t="shared" si="2"/>
        <v>1290</v>
      </c>
      <c r="G103" s="11">
        <v>157.1</v>
      </c>
      <c r="H103" s="11">
        <f t="shared" si="5"/>
        <v>157100</v>
      </c>
      <c r="I103" s="7" t="s">
        <v>203</v>
      </c>
      <c r="J103" s="18">
        <v>44743</v>
      </c>
      <c r="K103" s="7" t="s">
        <v>232</v>
      </c>
    </row>
    <row r="104" spans="1:11">
      <c r="A104" s="7" t="s">
        <v>201</v>
      </c>
      <c r="B104" s="7" t="s">
        <v>227</v>
      </c>
      <c r="C104" s="49" t="s">
        <v>236</v>
      </c>
      <c r="D104" s="49">
        <v>1.29</v>
      </c>
      <c r="E104" s="52">
        <v>1000</v>
      </c>
      <c r="F104" s="49">
        <f t="shared" si="2"/>
        <v>1290</v>
      </c>
      <c r="G104" s="11">
        <v>157.1</v>
      </c>
      <c r="H104" s="11">
        <f t="shared" si="5"/>
        <v>157100</v>
      </c>
      <c r="I104" s="7" t="s">
        <v>203</v>
      </c>
      <c r="J104" s="18">
        <v>44743</v>
      </c>
      <c r="K104" s="7" t="s">
        <v>232</v>
      </c>
    </row>
    <row r="105" spans="1:11">
      <c r="A105" s="49" t="s">
        <v>112</v>
      </c>
      <c r="B105" s="50" t="s">
        <v>98</v>
      </c>
      <c r="C105" s="49" t="s">
        <v>237</v>
      </c>
      <c r="D105" s="54">
        <v>1.0349999999999999</v>
      </c>
      <c r="E105" s="55">
        <v>50</v>
      </c>
      <c r="F105" s="49">
        <f t="shared" si="2"/>
        <v>51.749999999999993</v>
      </c>
      <c r="G105" s="53">
        <v>1385.9317065151874</v>
      </c>
      <c r="H105" s="53">
        <f t="shared" ref="H105" si="6">F105*G105</f>
        <v>71721.965812160939</v>
      </c>
      <c r="I105" s="49" t="s">
        <v>111</v>
      </c>
      <c r="J105" s="51">
        <v>44409</v>
      </c>
      <c r="K105" s="49"/>
    </row>
    <row r="106" spans="1:11">
      <c r="A106" s="7" t="s">
        <v>97</v>
      </c>
      <c r="B106" s="16" t="s">
        <v>98</v>
      </c>
      <c r="C106" s="49" t="s">
        <v>238</v>
      </c>
      <c r="D106" s="49">
        <v>1.25</v>
      </c>
      <c r="E106" s="49">
        <f>25-12</f>
        <v>13</v>
      </c>
      <c r="F106" s="49">
        <f>D106*E106</f>
        <v>16.25</v>
      </c>
      <c r="G106" s="11">
        <v>986.79157138412597</v>
      </c>
      <c r="H106" s="53">
        <f>F106*G106</f>
        <v>16035.363034992048</v>
      </c>
      <c r="I106" s="49" t="s">
        <v>239</v>
      </c>
      <c r="J106" s="18">
        <v>44440</v>
      </c>
      <c r="K106" s="49"/>
    </row>
    <row r="107" spans="1:11">
      <c r="A107" s="49" t="s">
        <v>97</v>
      </c>
      <c r="B107" s="50" t="s">
        <v>98</v>
      </c>
      <c r="C107" s="49" t="s">
        <v>240</v>
      </c>
      <c r="D107" s="49">
        <v>1.25</v>
      </c>
      <c r="E107" s="49">
        <v>6.4</v>
      </c>
      <c r="F107" s="49">
        <f>D107*E107</f>
        <v>8</v>
      </c>
      <c r="G107" s="11">
        <v>1089.6454038775285</v>
      </c>
      <c r="H107" s="53">
        <f>F107*G107</f>
        <v>8717.1632310202276</v>
      </c>
      <c r="I107" s="49" t="s">
        <v>241</v>
      </c>
      <c r="J107" s="18">
        <v>44743</v>
      </c>
      <c r="K107" s="49"/>
    </row>
    <row r="108" spans="1:11">
      <c r="A108" s="49" t="s">
        <v>97</v>
      </c>
      <c r="B108" s="50" t="s">
        <v>98</v>
      </c>
      <c r="C108" s="49" t="s">
        <v>242</v>
      </c>
      <c r="D108" s="49">
        <v>1.25</v>
      </c>
      <c r="E108" s="49">
        <v>125</v>
      </c>
      <c r="F108" s="49">
        <f>D108*E108</f>
        <v>156.25</v>
      </c>
      <c r="G108" s="11">
        <v>991.44394343082831</v>
      </c>
      <c r="H108" s="53">
        <f>F108*G108</f>
        <v>154913.11616106692</v>
      </c>
      <c r="I108" s="49" t="s">
        <v>243</v>
      </c>
      <c r="J108" s="18">
        <v>44593</v>
      </c>
      <c r="K108" s="49"/>
    </row>
    <row r="109" spans="1:11">
      <c r="A109" s="49" t="s">
        <v>97</v>
      </c>
      <c r="B109" s="50" t="s">
        <v>98</v>
      </c>
      <c r="C109" s="49" t="s">
        <v>244</v>
      </c>
      <c r="D109" s="49">
        <v>1.25</v>
      </c>
      <c r="E109" s="49">
        <v>25</v>
      </c>
      <c r="F109" s="49">
        <f>D109*E109</f>
        <v>31.25</v>
      </c>
      <c r="G109" s="53">
        <v>986.79157138412597</v>
      </c>
      <c r="H109" s="53">
        <f>F109*G109</f>
        <v>30837.236605753937</v>
      </c>
      <c r="I109" s="7" t="s">
        <v>34</v>
      </c>
      <c r="J109" s="18">
        <v>44440</v>
      </c>
      <c r="K109" s="49" t="s">
        <v>245</v>
      </c>
    </row>
    <row r="110" spans="1:11">
      <c r="A110" s="19" t="s">
        <v>97</v>
      </c>
      <c r="B110" s="20" t="s">
        <v>101</v>
      </c>
      <c r="C110" s="19" t="s">
        <v>246</v>
      </c>
      <c r="D110" s="19">
        <v>1.25</v>
      </c>
      <c r="E110" s="19">
        <f>25*10</f>
        <v>250</v>
      </c>
      <c r="F110" s="19">
        <f t="shared" ref="F110:F172" si="7">D110*E110</f>
        <v>312.5</v>
      </c>
      <c r="G110" s="22">
        <v>1282.1929558379868</v>
      </c>
      <c r="H110" s="22">
        <f t="shared" ref="H110:H138" si="8">F110*G110</f>
        <v>400685.29869937088</v>
      </c>
      <c r="I110" s="19" t="s">
        <v>194</v>
      </c>
      <c r="J110" s="24">
        <v>44805</v>
      </c>
      <c r="K110" s="7"/>
    </row>
    <row r="111" spans="1:11">
      <c r="A111" s="19" t="s">
        <v>97</v>
      </c>
      <c r="B111" s="20" t="s">
        <v>101</v>
      </c>
      <c r="C111" s="19" t="s">
        <v>247</v>
      </c>
      <c r="D111" s="19">
        <v>1.25</v>
      </c>
      <c r="E111" s="48">
        <v>24</v>
      </c>
      <c r="F111" s="19">
        <f t="shared" si="7"/>
        <v>30</v>
      </c>
      <c r="G111" s="22">
        <v>1282.1929558379868</v>
      </c>
      <c r="H111" s="22">
        <f t="shared" si="8"/>
        <v>38465.788675139607</v>
      </c>
      <c r="I111" s="19" t="s">
        <v>194</v>
      </c>
      <c r="J111" s="24">
        <v>44805</v>
      </c>
      <c r="K111" s="7"/>
    </row>
    <row r="112" spans="1:11">
      <c r="A112" s="19" t="s">
        <v>97</v>
      </c>
      <c r="B112" s="20" t="s">
        <v>101</v>
      </c>
      <c r="C112" s="19" t="s">
        <v>248</v>
      </c>
      <c r="D112" s="19">
        <v>1.25</v>
      </c>
      <c r="E112" s="48">
        <v>13</v>
      </c>
      <c r="F112" s="19">
        <f t="shared" si="7"/>
        <v>16.25</v>
      </c>
      <c r="G112" s="22">
        <v>1282.1929558379868</v>
      </c>
      <c r="H112" s="22">
        <f t="shared" si="8"/>
        <v>20835.635532367287</v>
      </c>
      <c r="I112" s="19" t="s">
        <v>194</v>
      </c>
      <c r="J112" s="24">
        <v>44805</v>
      </c>
      <c r="K112" s="7"/>
    </row>
    <row r="113" spans="1:11">
      <c r="A113" s="19" t="s">
        <v>97</v>
      </c>
      <c r="B113" s="20" t="s">
        <v>101</v>
      </c>
      <c r="C113" s="56" t="s">
        <v>249</v>
      </c>
      <c r="D113" s="19">
        <v>1.25</v>
      </c>
      <c r="E113" s="58">
        <v>9</v>
      </c>
      <c r="F113" s="56">
        <f t="shared" si="7"/>
        <v>11.25</v>
      </c>
      <c r="G113" s="57">
        <v>1282.1929558379868</v>
      </c>
      <c r="H113" s="57">
        <f t="shared" si="8"/>
        <v>14424.670753177352</v>
      </c>
      <c r="I113" s="19" t="s">
        <v>194</v>
      </c>
      <c r="J113" s="24">
        <v>44805</v>
      </c>
      <c r="K113" s="49"/>
    </row>
    <row r="114" spans="1:11">
      <c r="A114" s="19" t="s">
        <v>97</v>
      </c>
      <c r="B114" s="20" t="s">
        <v>101</v>
      </c>
      <c r="C114" s="19" t="s">
        <v>250</v>
      </c>
      <c r="D114" s="19">
        <v>1.25</v>
      </c>
      <c r="E114" s="19">
        <f>25*39</f>
        <v>975</v>
      </c>
      <c r="F114" s="19">
        <f t="shared" si="7"/>
        <v>1218.75</v>
      </c>
      <c r="G114" s="22">
        <v>1211.8249041983679</v>
      </c>
      <c r="H114" s="22">
        <f t="shared" si="8"/>
        <v>1476911.6019917608</v>
      </c>
      <c r="I114" s="19" t="s">
        <v>194</v>
      </c>
      <c r="J114" s="24">
        <v>44805</v>
      </c>
      <c r="K114" s="7"/>
    </row>
    <row r="115" spans="1:11">
      <c r="A115" s="19" t="s">
        <v>97</v>
      </c>
      <c r="B115" s="20" t="s">
        <v>101</v>
      </c>
      <c r="C115" s="19" t="s">
        <v>251</v>
      </c>
      <c r="D115" s="19">
        <v>1.25</v>
      </c>
      <c r="E115" s="48">
        <v>6</v>
      </c>
      <c r="F115" s="19">
        <f t="shared" si="7"/>
        <v>7.5</v>
      </c>
      <c r="G115" s="22">
        <v>1211.8249041983679</v>
      </c>
      <c r="H115" s="22">
        <f t="shared" si="8"/>
        <v>9088.6867814877587</v>
      </c>
      <c r="I115" s="19" t="s">
        <v>194</v>
      </c>
      <c r="J115" s="24">
        <v>44805</v>
      </c>
      <c r="K115" s="7"/>
    </row>
    <row r="116" spans="1:11">
      <c r="A116" s="19" t="s">
        <v>97</v>
      </c>
      <c r="B116" s="20" t="s">
        <v>101</v>
      </c>
      <c r="C116" s="19" t="s">
        <v>252</v>
      </c>
      <c r="D116" s="19">
        <v>1.25</v>
      </c>
      <c r="E116" s="19">
        <f>25*38</f>
        <v>950</v>
      </c>
      <c r="F116" s="19">
        <f t="shared" si="7"/>
        <v>1187.5</v>
      </c>
      <c r="G116" s="22">
        <v>1211.8249041983679</v>
      </c>
      <c r="H116" s="22">
        <f t="shared" si="8"/>
        <v>1439042.0737355619</v>
      </c>
      <c r="I116" s="19" t="s">
        <v>194</v>
      </c>
      <c r="J116" s="24">
        <v>44805</v>
      </c>
      <c r="K116" s="7"/>
    </row>
    <row r="117" spans="1:11">
      <c r="A117" s="19" t="s">
        <v>97</v>
      </c>
      <c r="B117" s="20" t="s">
        <v>101</v>
      </c>
      <c r="C117" s="19" t="s">
        <v>253</v>
      </c>
      <c r="D117" s="19">
        <v>1.25</v>
      </c>
      <c r="E117" s="48">
        <v>17</v>
      </c>
      <c r="F117" s="19">
        <f t="shared" si="7"/>
        <v>21.25</v>
      </c>
      <c r="G117" s="22">
        <v>1211.8249041983679</v>
      </c>
      <c r="H117" s="22">
        <f t="shared" si="8"/>
        <v>25751.279214215319</v>
      </c>
      <c r="I117" s="19" t="s">
        <v>194</v>
      </c>
      <c r="J117" s="24">
        <v>44805</v>
      </c>
      <c r="K117" s="7"/>
    </row>
    <row r="118" spans="1:11">
      <c r="A118" s="19" t="s">
        <v>97</v>
      </c>
      <c r="B118" s="20" t="s">
        <v>101</v>
      </c>
      <c r="C118" s="19" t="s">
        <v>254</v>
      </c>
      <c r="D118" s="19">
        <v>1.25</v>
      </c>
      <c r="E118" s="48">
        <v>16</v>
      </c>
      <c r="F118" s="19">
        <f t="shared" si="7"/>
        <v>20</v>
      </c>
      <c r="G118" s="22">
        <v>1211.8249041983679</v>
      </c>
      <c r="H118" s="22">
        <f t="shared" si="8"/>
        <v>24236.498083967359</v>
      </c>
      <c r="I118" s="19" t="s">
        <v>194</v>
      </c>
      <c r="J118" s="24">
        <v>44805</v>
      </c>
      <c r="K118" s="7"/>
    </row>
    <row r="119" spans="1:11">
      <c r="A119" s="19" t="s">
        <v>97</v>
      </c>
      <c r="B119" s="20" t="s">
        <v>101</v>
      </c>
      <c r="C119" s="19" t="s">
        <v>255</v>
      </c>
      <c r="D119" s="19">
        <v>1.25</v>
      </c>
      <c r="E119" s="19">
        <f>25*38</f>
        <v>950</v>
      </c>
      <c r="F119" s="19">
        <f t="shared" si="7"/>
        <v>1187.5</v>
      </c>
      <c r="G119" s="22">
        <v>1211.8249041983679</v>
      </c>
      <c r="H119" s="22">
        <f t="shared" si="8"/>
        <v>1439042.0737355619</v>
      </c>
      <c r="I119" s="19" t="s">
        <v>194</v>
      </c>
      <c r="J119" s="24">
        <v>44805</v>
      </c>
      <c r="K119" s="7"/>
    </row>
    <row r="120" spans="1:11">
      <c r="A120" s="19" t="s">
        <v>97</v>
      </c>
      <c r="B120" s="20" t="s">
        <v>101</v>
      </c>
      <c r="C120" s="19" t="s">
        <v>256</v>
      </c>
      <c r="D120" s="19">
        <v>1.25</v>
      </c>
      <c r="E120" s="48">
        <v>8</v>
      </c>
      <c r="F120" s="19">
        <f t="shared" si="7"/>
        <v>10</v>
      </c>
      <c r="G120" s="22">
        <v>1211.8249041983679</v>
      </c>
      <c r="H120" s="22">
        <f t="shared" si="8"/>
        <v>12118.249041983679</v>
      </c>
      <c r="I120" s="19" t="s">
        <v>194</v>
      </c>
      <c r="J120" s="24">
        <v>44805</v>
      </c>
      <c r="K120" s="7"/>
    </row>
    <row r="121" spans="1:11">
      <c r="A121" s="19" t="s">
        <v>97</v>
      </c>
      <c r="B121" s="20" t="s">
        <v>101</v>
      </c>
      <c r="C121" s="19" t="s">
        <v>257</v>
      </c>
      <c r="D121" s="19">
        <v>1.25</v>
      </c>
      <c r="E121" s="48">
        <v>22</v>
      </c>
      <c r="F121" s="19">
        <f t="shared" si="7"/>
        <v>27.5</v>
      </c>
      <c r="G121" s="22">
        <v>1211.8249041983677</v>
      </c>
      <c r="H121" s="22">
        <f t="shared" si="8"/>
        <v>33325.184865455114</v>
      </c>
      <c r="I121" s="19" t="s">
        <v>194</v>
      </c>
      <c r="J121" s="24">
        <v>44805</v>
      </c>
      <c r="K121" s="7"/>
    </row>
    <row r="122" spans="1:11">
      <c r="A122" s="19" t="s">
        <v>97</v>
      </c>
      <c r="B122" s="20" t="s">
        <v>101</v>
      </c>
      <c r="C122" s="56" t="s">
        <v>258</v>
      </c>
      <c r="D122" s="19">
        <v>1.25</v>
      </c>
      <c r="E122" s="58">
        <v>7</v>
      </c>
      <c r="F122" s="56">
        <f t="shared" si="7"/>
        <v>8.75</v>
      </c>
      <c r="G122" s="57">
        <v>1211.8249041983679</v>
      </c>
      <c r="H122" s="57">
        <f t="shared" si="8"/>
        <v>10603.467911735719</v>
      </c>
      <c r="I122" s="19" t="s">
        <v>194</v>
      </c>
      <c r="J122" s="24">
        <v>44805</v>
      </c>
      <c r="K122" s="49"/>
    </row>
    <row r="123" spans="1:11">
      <c r="A123" s="7" t="s">
        <v>97</v>
      </c>
      <c r="B123" s="16" t="s">
        <v>98</v>
      </c>
      <c r="C123" s="7" t="s">
        <v>259</v>
      </c>
      <c r="D123" s="7">
        <v>1.25</v>
      </c>
      <c r="E123" s="7">
        <f>25*8</f>
        <v>200</v>
      </c>
      <c r="F123" s="7">
        <f t="shared" si="7"/>
        <v>250</v>
      </c>
      <c r="G123" s="11">
        <v>1125.1613526715632</v>
      </c>
      <c r="H123" s="11">
        <f t="shared" si="8"/>
        <v>281290.33816789079</v>
      </c>
      <c r="I123" s="7" t="s">
        <v>194</v>
      </c>
      <c r="J123" s="18">
        <v>44805</v>
      </c>
      <c r="K123" s="7"/>
    </row>
    <row r="124" spans="1:11">
      <c r="A124" s="7" t="s">
        <v>97</v>
      </c>
      <c r="B124" s="16" t="s">
        <v>98</v>
      </c>
      <c r="C124" s="7" t="s">
        <v>260</v>
      </c>
      <c r="D124" s="7">
        <v>1.25</v>
      </c>
      <c r="E124" s="25">
        <v>18</v>
      </c>
      <c r="F124" s="7">
        <f t="shared" si="7"/>
        <v>22.5</v>
      </c>
      <c r="G124" s="11">
        <v>1125.161352671563</v>
      </c>
      <c r="H124" s="11">
        <f t="shared" si="8"/>
        <v>25316.130435110168</v>
      </c>
      <c r="I124" s="7" t="s">
        <v>194</v>
      </c>
      <c r="J124" s="18">
        <v>44805</v>
      </c>
      <c r="K124" s="7"/>
    </row>
    <row r="125" spans="1:11">
      <c r="A125" s="7" t="s">
        <v>97</v>
      </c>
      <c r="B125" s="16" t="s">
        <v>98</v>
      </c>
      <c r="C125" s="7" t="s">
        <v>261</v>
      </c>
      <c r="D125" s="7">
        <v>1.25</v>
      </c>
      <c r="E125" s="7">
        <f>25*36</f>
        <v>900</v>
      </c>
      <c r="F125" s="7">
        <f t="shared" si="7"/>
        <v>1125</v>
      </c>
      <c r="G125" s="11">
        <v>1125.161352671563</v>
      </c>
      <c r="H125" s="11">
        <f t="shared" si="8"/>
        <v>1265806.5217555084</v>
      </c>
      <c r="I125" s="7" t="s">
        <v>194</v>
      </c>
      <c r="J125" s="18">
        <v>44805</v>
      </c>
      <c r="K125" s="7"/>
    </row>
    <row r="126" spans="1:11">
      <c r="A126" s="7" t="s">
        <v>97</v>
      </c>
      <c r="B126" s="16" t="s">
        <v>98</v>
      </c>
      <c r="C126" s="7" t="s">
        <v>262</v>
      </c>
      <c r="D126" s="7">
        <v>1.25</v>
      </c>
      <c r="E126" s="25">
        <v>23</v>
      </c>
      <c r="F126" s="7">
        <f t="shared" si="7"/>
        <v>28.75</v>
      </c>
      <c r="G126" s="11">
        <v>1125.161352671563</v>
      </c>
      <c r="H126" s="11">
        <f t="shared" si="8"/>
        <v>32348.388889307436</v>
      </c>
      <c r="I126" s="7" t="s">
        <v>194</v>
      </c>
      <c r="J126" s="18">
        <v>44805</v>
      </c>
      <c r="K126" s="7"/>
    </row>
    <row r="127" spans="1:11">
      <c r="A127" s="7" t="s">
        <v>97</v>
      </c>
      <c r="B127" s="16" t="s">
        <v>98</v>
      </c>
      <c r="C127" s="7" t="s">
        <v>263</v>
      </c>
      <c r="D127" s="7">
        <v>1.25</v>
      </c>
      <c r="E127" s="25">
        <v>15</v>
      </c>
      <c r="F127" s="7">
        <f t="shared" si="7"/>
        <v>18.75</v>
      </c>
      <c r="G127" s="11">
        <v>1125.161352671563</v>
      </c>
      <c r="H127" s="11">
        <f t="shared" si="8"/>
        <v>21096.775362591805</v>
      </c>
      <c r="I127" s="7" t="s">
        <v>194</v>
      </c>
      <c r="J127" s="18">
        <v>44805</v>
      </c>
      <c r="K127" s="7"/>
    </row>
    <row r="128" spans="1:11">
      <c r="A128" s="7" t="s">
        <v>97</v>
      </c>
      <c r="B128" s="16" t="s">
        <v>98</v>
      </c>
      <c r="C128" s="7" t="s">
        <v>264</v>
      </c>
      <c r="D128" s="7">
        <v>1.25</v>
      </c>
      <c r="E128" s="25">
        <v>12</v>
      </c>
      <c r="F128" s="7">
        <f t="shared" si="7"/>
        <v>15</v>
      </c>
      <c r="G128" s="11">
        <v>1125.161352671563</v>
      </c>
      <c r="H128" s="11">
        <f t="shared" si="8"/>
        <v>16877.420290073445</v>
      </c>
      <c r="I128" s="7" t="s">
        <v>194</v>
      </c>
      <c r="J128" s="18">
        <v>44805</v>
      </c>
      <c r="K128" s="7"/>
    </row>
    <row r="129" spans="1:11">
      <c r="A129" s="7" t="s">
        <v>97</v>
      </c>
      <c r="B129" s="16" t="s">
        <v>98</v>
      </c>
      <c r="C129" s="7" t="s">
        <v>265</v>
      </c>
      <c r="D129" s="7">
        <v>1.25</v>
      </c>
      <c r="E129" s="25">
        <v>21</v>
      </c>
      <c r="F129" s="7">
        <f t="shared" si="7"/>
        <v>26.25</v>
      </c>
      <c r="G129" s="11">
        <v>1125.161352671563</v>
      </c>
      <c r="H129" s="11">
        <f t="shared" si="8"/>
        <v>29535.485507628528</v>
      </c>
      <c r="I129" s="7" t="s">
        <v>194</v>
      </c>
      <c r="J129" s="18">
        <v>44805</v>
      </c>
      <c r="K129" s="7"/>
    </row>
    <row r="130" spans="1:11">
      <c r="A130" s="7" t="s">
        <v>97</v>
      </c>
      <c r="B130" s="16" t="s">
        <v>98</v>
      </c>
      <c r="C130" s="7" t="s">
        <v>266</v>
      </c>
      <c r="D130" s="7">
        <v>1.25</v>
      </c>
      <c r="E130" s="25">
        <v>5</v>
      </c>
      <c r="F130" s="7">
        <f t="shared" si="7"/>
        <v>6.25</v>
      </c>
      <c r="G130" s="11">
        <v>1125.161352671563</v>
      </c>
      <c r="H130" s="11">
        <f t="shared" si="8"/>
        <v>7032.2584541972692</v>
      </c>
      <c r="I130" s="7" t="s">
        <v>194</v>
      </c>
      <c r="J130" s="18">
        <v>44805</v>
      </c>
      <c r="K130" s="7"/>
    </row>
    <row r="131" spans="1:11">
      <c r="A131" s="7" t="s">
        <v>97</v>
      </c>
      <c r="B131" s="16" t="s">
        <v>98</v>
      </c>
      <c r="C131" s="7" t="s">
        <v>267</v>
      </c>
      <c r="D131" s="7">
        <v>1.25</v>
      </c>
      <c r="E131" s="7">
        <f>25*37</f>
        <v>925</v>
      </c>
      <c r="F131" s="7">
        <f t="shared" si="7"/>
        <v>1156.25</v>
      </c>
      <c r="G131" s="11">
        <v>1125.161352671563</v>
      </c>
      <c r="H131" s="11">
        <f t="shared" si="8"/>
        <v>1300967.8140264947</v>
      </c>
      <c r="I131" s="7" t="s">
        <v>194</v>
      </c>
      <c r="J131" s="18">
        <v>44805</v>
      </c>
      <c r="K131" s="7"/>
    </row>
    <row r="132" spans="1:11">
      <c r="A132" s="7" t="s">
        <v>97</v>
      </c>
      <c r="B132" s="16" t="s">
        <v>98</v>
      </c>
      <c r="C132" s="7" t="s">
        <v>268</v>
      </c>
      <c r="D132" s="7">
        <v>1.25</v>
      </c>
      <c r="E132" s="25">
        <v>16</v>
      </c>
      <c r="F132" s="7">
        <f t="shared" si="7"/>
        <v>20</v>
      </c>
      <c r="G132" s="11">
        <v>1125.1613526715632</v>
      </c>
      <c r="H132" s="11">
        <f t="shared" si="8"/>
        <v>22503.227053431263</v>
      </c>
      <c r="I132" s="7" t="s">
        <v>194</v>
      </c>
      <c r="J132" s="18">
        <v>44805</v>
      </c>
      <c r="K132" s="7"/>
    </row>
    <row r="133" spans="1:11">
      <c r="A133" s="7" t="s">
        <v>97</v>
      </c>
      <c r="B133" s="16" t="s">
        <v>98</v>
      </c>
      <c r="C133" s="49" t="s">
        <v>269</v>
      </c>
      <c r="D133" s="7">
        <v>1.25</v>
      </c>
      <c r="E133" s="52">
        <v>19</v>
      </c>
      <c r="F133" s="49">
        <f t="shared" si="7"/>
        <v>23.75</v>
      </c>
      <c r="G133" s="53">
        <v>1125.161352671563</v>
      </c>
      <c r="H133" s="53">
        <f t="shared" si="8"/>
        <v>26722.582125949622</v>
      </c>
      <c r="I133" s="7" t="s">
        <v>194</v>
      </c>
      <c r="J133" s="18">
        <v>44805</v>
      </c>
      <c r="K133" s="49"/>
    </row>
    <row r="134" spans="1:11">
      <c r="A134" s="56" t="s">
        <v>108</v>
      </c>
      <c r="B134" s="20" t="s">
        <v>101</v>
      </c>
      <c r="C134" s="56" t="s">
        <v>270</v>
      </c>
      <c r="D134" s="56">
        <v>1.202</v>
      </c>
      <c r="E134" s="58">
        <v>18</v>
      </c>
      <c r="F134" s="56">
        <f t="shared" si="7"/>
        <v>21.635999999999999</v>
      </c>
      <c r="G134" s="22">
        <v>1844.5235479571647</v>
      </c>
      <c r="H134" s="57">
        <f t="shared" si="8"/>
        <v>39908.111483601213</v>
      </c>
      <c r="I134" s="19" t="s">
        <v>111</v>
      </c>
      <c r="J134" s="24">
        <v>44593</v>
      </c>
      <c r="K134" s="49"/>
    </row>
    <row r="135" spans="1:11">
      <c r="A135" s="56" t="s">
        <v>108</v>
      </c>
      <c r="B135" s="20" t="s">
        <v>101</v>
      </c>
      <c r="C135" s="56" t="s">
        <v>271</v>
      </c>
      <c r="D135" s="56">
        <v>1.202</v>
      </c>
      <c r="E135" s="58">
        <v>46</v>
      </c>
      <c r="F135" s="56">
        <f t="shared" si="7"/>
        <v>55.292000000000002</v>
      </c>
      <c r="G135" s="57"/>
      <c r="H135" s="57">
        <f t="shared" si="8"/>
        <v>0</v>
      </c>
      <c r="I135" s="19" t="s">
        <v>111</v>
      </c>
      <c r="J135" s="24">
        <v>44774</v>
      </c>
      <c r="K135" s="49"/>
    </row>
    <row r="136" spans="1:11">
      <c r="A136" s="19" t="s">
        <v>108</v>
      </c>
      <c r="B136" s="20" t="s">
        <v>101</v>
      </c>
      <c r="C136" s="56" t="s">
        <v>272</v>
      </c>
      <c r="D136" s="19">
        <v>1.202</v>
      </c>
      <c r="E136" s="58">
        <v>5</v>
      </c>
      <c r="F136" s="56">
        <f t="shared" si="7"/>
        <v>6.01</v>
      </c>
      <c r="G136" s="22">
        <v>1844.5235479571647</v>
      </c>
      <c r="H136" s="57">
        <f t="shared" si="8"/>
        <v>11085.586523222561</v>
      </c>
      <c r="I136" s="19" t="s">
        <v>34</v>
      </c>
      <c r="J136" s="24">
        <v>44593</v>
      </c>
      <c r="K136" s="49"/>
    </row>
    <row r="137" spans="1:11">
      <c r="A137" s="49" t="s">
        <v>108</v>
      </c>
      <c r="B137" s="50" t="s">
        <v>98</v>
      </c>
      <c r="C137" s="49" t="s">
        <v>273</v>
      </c>
      <c r="D137" s="49">
        <v>1.202</v>
      </c>
      <c r="E137" s="49">
        <v>5</v>
      </c>
      <c r="F137" s="49">
        <f t="shared" si="7"/>
        <v>6.01</v>
      </c>
      <c r="G137" s="11">
        <v>1829.0304691118606</v>
      </c>
      <c r="H137" s="53">
        <f t="shared" si="8"/>
        <v>10992.473119362281</v>
      </c>
      <c r="I137" s="7" t="s">
        <v>34</v>
      </c>
      <c r="J137" s="18">
        <v>44593</v>
      </c>
      <c r="K137" s="49"/>
    </row>
    <row r="138" spans="1:11">
      <c r="A138" s="49" t="s">
        <v>108</v>
      </c>
      <c r="B138" s="50" t="s">
        <v>98</v>
      </c>
      <c r="C138" s="49" t="s">
        <v>274</v>
      </c>
      <c r="D138" s="7">
        <v>1.2030000000000001</v>
      </c>
      <c r="E138" s="90">
        <v>5</v>
      </c>
      <c r="F138" s="49">
        <f t="shared" si="7"/>
        <v>6.0150000000000006</v>
      </c>
      <c r="G138" s="11">
        <v>1720.5653100778291</v>
      </c>
      <c r="H138" s="53">
        <f t="shared" si="8"/>
        <v>10349.200340118143</v>
      </c>
      <c r="I138" s="7" t="s">
        <v>34</v>
      </c>
      <c r="J138" s="18">
        <v>44652</v>
      </c>
      <c r="K138" s="49"/>
    </row>
    <row r="139" spans="1:11">
      <c r="A139" s="7" t="s">
        <v>145</v>
      </c>
      <c r="B139" s="16" t="s">
        <v>98</v>
      </c>
      <c r="C139" s="7" t="s">
        <v>276</v>
      </c>
      <c r="D139" s="7">
        <v>1.29</v>
      </c>
      <c r="E139" s="25">
        <v>1008</v>
      </c>
      <c r="F139" s="7">
        <f t="shared" si="7"/>
        <v>1300.32</v>
      </c>
      <c r="G139" s="11">
        <v>803.27333769610118</v>
      </c>
      <c r="H139" s="11">
        <f t="shared" ref="H139:H145" si="9">F139*G139</f>
        <v>1044512.3864729942</v>
      </c>
      <c r="I139" s="7" t="s">
        <v>203</v>
      </c>
      <c r="J139" s="18">
        <v>44805</v>
      </c>
      <c r="K139" s="7" t="s">
        <v>275</v>
      </c>
    </row>
    <row r="140" spans="1:11">
      <c r="A140" s="7" t="s">
        <v>145</v>
      </c>
      <c r="B140" s="16" t="s">
        <v>98</v>
      </c>
      <c r="C140" s="7" t="s">
        <v>277</v>
      </c>
      <c r="D140" s="7">
        <v>1.29</v>
      </c>
      <c r="E140" s="25">
        <v>1005</v>
      </c>
      <c r="F140" s="7">
        <f t="shared" si="7"/>
        <v>1296.45</v>
      </c>
      <c r="G140" s="11">
        <v>803.27333769610118</v>
      </c>
      <c r="H140" s="11">
        <f t="shared" si="9"/>
        <v>1041403.7186561105</v>
      </c>
      <c r="I140" s="7" t="s">
        <v>203</v>
      </c>
      <c r="J140" s="18">
        <v>44805</v>
      </c>
      <c r="K140" s="7" t="s">
        <v>278</v>
      </c>
    </row>
    <row r="141" spans="1:11">
      <c r="A141" s="7" t="s">
        <v>145</v>
      </c>
      <c r="B141" s="16" t="s">
        <v>98</v>
      </c>
      <c r="C141" s="7" t="s">
        <v>279</v>
      </c>
      <c r="D141" s="7">
        <v>1.29</v>
      </c>
      <c r="E141" s="25">
        <v>1012</v>
      </c>
      <c r="F141" s="7">
        <f t="shared" si="7"/>
        <v>1305.48</v>
      </c>
      <c r="G141" s="11">
        <v>803.27333769610107</v>
      </c>
      <c r="H141" s="11">
        <f t="shared" si="9"/>
        <v>1048657.2768955061</v>
      </c>
      <c r="I141" s="7" t="s">
        <v>203</v>
      </c>
      <c r="J141" s="18">
        <v>44805</v>
      </c>
      <c r="K141" s="7" t="s">
        <v>278</v>
      </c>
    </row>
    <row r="142" spans="1:11">
      <c r="A142" s="7" t="s">
        <v>145</v>
      </c>
      <c r="B142" s="16" t="s">
        <v>98</v>
      </c>
      <c r="C142" s="7" t="s">
        <v>280</v>
      </c>
      <c r="D142" s="7">
        <v>1.29</v>
      </c>
      <c r="E142" s="25">
        <v>1138</v>
      </c>
      <c r="F142" s="7">
        <f t="shared" si="7"/>
        <v>1468.02</v>
      </c>
      <c r="G142" s="11">
        <v>803.27333769610118</v>
      </c>
      <c r="H142" s="11">
        <f t="shared" si="9"/>
        <v>1179221.3252046304</v>
      </c>
      <c r="I142" s="7" t="s">
        <v>203</v>
      </c>
      <c r="J142" s="18">
        <v>44805</v>
      </c>
      <c r="K142" s="7" t="s">
        <v>281</v>
      </c>
    </row>
    <row r="143" spans="1:11">
      <c r="A143" s="7" t="s">
        <v>145</v>
      </c>
      <c r="B143" s="16" t="s">
        <v>98</v>
      </c>
      <c r="C143" s="7" t="s">
        <v>282</v>
      </c>
      <c r="D143" s="7">
        <v>1.29</v>
      </c>
      <c r="E143" s="25">
        <v>1006</v>
      </c>
      <c r="F143" s="7">
        <f t="shared" si="7"/>
        <v>1297.74</v>
      </c>
      <c r="G143" s="11">
        <v>803.27333769610118</v>
      </c>
      <c r="H143" s="11">
        <f t="shared" si="9"/>
        <v>1042439.9412617383</v>
      </c>
      <c r="I143" s="7" t="s">
        <v>203</v>
      </c>
      <c r="J143" s="18">
        <v>44805</v>
      </c>
      <c r="K143" s="7" t="s">
        <v>281</v>
      </c>
    </row>
    <row r="144" spans="1:11">
      <c r="A144" s="19" t="s">
        <v>148</v>
      </c>
      <c r="B144" s="19" t="s">
        <v>149</v>
      </c>
      <c r="C144" s="19" t="s">
        <v>283</v>
      </c>
      <c r="D144" s="19">
        <v>1.29</v>
      </c>
      <c r="E144" s="48">
        <v>1078</v>
      </c>
      <c r="F144" s="19">
        <f t="shared" si="7"/>
        <v>1390.6200000000001</v>
      </c>
      <c r="G144" s="22">
        <v>798.678120591435</v>
      </c>
      <c r="H144" s="22">
        <f t="shared" si="9"/>
        <v>1110657.7680568614</v>
      </c>
      <c r="I144" s="19" t="s">
        <v>203</v>
      </c>
      <c r="J144" s="24">
        <v>44805</v>
      </c>
      <c r="K144" s="7" t="s">
        <v>284</v>
      </c>
    </row>
    <row r="145" spans="1:11">
      <c r="A145" s="19" t="s">
        <v>148</v>
      </c>
      <c r="B145" s="19" t="s">
        <v>149</v>
      </c>
      <c r="C145" s="19" t="s">
        <v>285</v>
      </c>
      <c r="D145" s="19">
        <v>1.29</v>
      </c>
      <c r="E145" s="48">
        <v>1078</v>
      </c>
      <c r="F145" s="19">
        <f t="shared" si="7"/>
        <v>1390.6200000000001</v>
      </c>
      <c r="G145" s="22">
        <v>798.678120591435</v>
      </c>
      <c r="H145" s="22">
        <f t="shared" si="9"/>
        <v>1110657.7680568614</v>
      </c>
      <c r="I145" s="19" t="s">
        <v>203</v>
      </c>
      <c r="J145" s="24">
        <v>44805</v>
      </c>
      <c r="K145" s="7" t="s">
        <v>284</v>
      </c>
    </row>
    <row r="146" spans="1:11">
      <c r="A146" s="19" t="s">
        <v>148</v>
      </c>
      <c r="B146" s="19" t="s">
        <v>149</v>
      </c>
      <c r="C146" s="56" t="s">
        <v>286</v>
      </c>
      <c r="D146" s="56">
        <v>1.29</v>
      </c>
      <c r="E146" s="58">
        <v>1042</v>
      </c>
      <c r="F146" s="56">
        <f t="shared" si="7"/>
        <v>1344.18</v>
      </c>
      <c r="G146" s="57">
        <v>798.678120591435</v>
      </c>
      <c r="H146" s="57">
        <f>F146*G146</f>
        <v>1073567.1561365952</v>
      </c>
      <c r="I146" s="19" t="s">
        <v>203</v>
      </c>
      <c r="J146" s="24">
        <v>44805</v>
      </c>
      <c r="K146" s="7" t="s">
        <v>287</v>
      </c>
    </row>
    <row r="147" spans="1:11">
      <c r="A147" s="19" t="s">
        <v>112</v>
      </c>
      <c r="B147" s="19" t="s">
        <v>149</v>
      </c>
      <c r="C147" s="19" t="s">
        <v>288</v>
      </c>
      <c r="D147" s="19">
        <v>1.0329999999999999</v>
      </c>
      <c r="E147" s="19">
        <v>50</v>
      </c>
      <c r="F147" s="19">
        <f t="shared" si="7"/>
        <v>51.65</v>
      </c>
      <c r="G147" s="22">
        <v>2002.5714855375395</v>
      </c>
      <c r="H147" s="22">
        <f t="shared" ref="H147:H177" si="10">F147*G147</f>
        <v>103432.81722801391</v>
      </c>
      <c r="I147" s="19" t="s">
        <v>107</v>
      </c>
      <c r="J147" s="24">
        <v>44805</v>
      </c>
      <c r="K147" s="7"/>
    </row>
    <row r="148" spans="1:11">
      <c r="A148" s="19" t="s">
        <v>112</v>
      </c>
      <c r="B148" s="19" t="s">
        <v>149</v>
      </c>
      <c r="C148" s="19" t="s">
        <v>289</v>
      </c>
      <c r="D148" s="19">
        <v>1.0329999999999999</v>
      </c>
      <c r="E148" s="19">
        <v>50</v>
      </c>
      <c r="F148" s="19">
        <f t="shared" si="7"/>
        <v>51.65</v>
      </c>
      <c r="G148" s="22">
        <v>2002.5714855375395</v>
      </c>
      <c r="H148" s="22">
        <f t="shared" si="10"/>
        <v>103432.81722801391</v>
      </c>
      <c r="I148" s="19" t="s">
        <v>107</v>
      </c>
      <c r="J148" s="24">
        <v>44805</v>
      </c>
      <c r="K148" s="7"/>
    </row>
    <row r="149" spans="1:11">
      <c r="A149" s="19" t="s">
        <v>112</v>
      </c>
      <c r="B149" s="19" t="s">
        <v>149</v>
      </c>
      <c r="C149" s="19" t="s">
        <v>290</v>
      </c>
      <c r="D149" s="19">
        <v>1.0329999999999999</v>
      </c>
      <c r="E149" s="19">
        <v>50</v>
      </c>
      <c r="F149" s="19">
        <f t="shared" si="7"/>
        <v>51.65</v>
      </c>
      <c r="G149" s="22">
        <v>2002.5714855375395</v>
      </c>
      <c r="H149" s="22">
        <f t="shared" si="10"/>
        <v>103432.81722801391</v>
      </c>
      <c r="I149" s="19" t="s">
        <v>107</v>
      </c>
      <c r="J149" s="24">
        <v>44805</v>
      </c>
      <c r="K149" s="7"/>
    </row>
    <row r="150" spans="1:11">
      <c r="A150" s="19" t="s">
        <v>112</v>
      </c>
      <c r="B150" s="19" t="s">
        <v>149</v>
      </c>
      <c r="C150" s="19" t="s">
        <v>291</v>
      </c>
      <c r="D150" s="19">
        <v>1.0329999999999999</v>
      </c>
      <c r="E150" s="19">
        <v>45</v>
      </c>
      <c r="F150" s="19">
        <f t="shared" si="7"/>
        <v>46.484999999999999</v>
      </c>
      <c r="G150" s="22">
        <v>2002.5714855375393</v>
      </c>
      <c r="H150" s="22">
        <f t="shared" si="10"/>
        <v>93089.535505212509</v>
      </c>
      <c r="I150" s="19" t="s">
        <v>107</v>
      </c>
      <c r="J150" s="24">
        <v>44805</v>
      </c>
      <c r="K150" s="7"/>
    </row>
    <row r="151" spans="1:11">
      <c r="A151" s="49" t="s">
        <v>112</v>
      </c>
      <c r="B151" s="16" t="s">
        <v>98</v>
      </c>
      <c r="C151" s="7" t="s">
        <v>292</v>
      </c>
      <c r="D151" s="7">
        <v>1.0329999999999999</v>
      </c>
      <c r="E151" s="7">
        <v>50</v>
      </c>
      <c r="F151" s="7">
        <f t="shared" si="7"/>
        <v>51.65</v>
      </c>
      <c r="G151" s="11">
        <v>2027.9655087612023</v>
      </c>
      <c r="H151" s="11">
        <f t="shared" si="10"/>
        <v>104744.4185275161</v>
      </c>
      <c r="I151" s="7" t="s">
        <v>107</v>
      </c>
      <c r="J151" s="18">
        <v>44805</v>
      </c>
      <c r="K151" s="7"/>
    </row>
    <row r="152" spans="1:11">
      <c r="A152" s="49" t="s">
        <v>112</v>
      </c>
      <c r="B152" s="16" t="s">
        <v>98</v>
      </c>
      <c r="C152" s="7" t="s">
        <v>293</v>
      </c>
      <c r="D152" s="7">
        <v>1.0329999999999999</v>
      </c>
      <c r="E152" s="7">
        <v>50</v>
      </c>
      <c r="F152" s="7">
        <f t="shared" si="7"/>
        <v>51.65</v>
      </c>
      <c r="G152" s="11">
        <v>2027.9655087612023</v>
      </c>
      <c r="H152" s="11">
        <f t="shared" si="10"/>
        <v>104744.4185275161</v>
      </c>
      <c r="I152" s="7" t="s">
        <v>107</v>
      </c>
      <c r="J152" s="18">
        <v>44805</v>
      </c>
      <c r="K152" s="7"/>
    </row>
    <row r="153" spans="1:11">
      <c r="A153" s="49" t="s">
        <v>112</v>
      </c>
      <c r="B153" s="16" t="s">
        <v>98</v>
      </c>
      <c r="C153" s="7" t="s">
        <v>294</v>
      </c>
      <c r="D153" s="7">
        <v>1.0329999999999999</v>
      </c>
      <c r="E153" s="7">
        <v>50</v>
      </c>
      <c r="F153" s="7">
        <f t="shared" si="7"/>
        <v>51.65</v>
      </c>
      <c r="G153" s="11">
        <v>2027.9655087612023</v>
      </c>
      <c r="H153" s="11">
        <f t="shared" si="10"/>
        <v>104744.4185275161</v>
      </c>
      <c r="I153" s="7" t="s">
        <v>107</v>
      </c>
      <c r="J153" s="18">
        <v>44805</v>
      </c>
      <c r="K153" s="7"/>
    </row>
    <row r="154" spans="1:11">
      <c r="A154" s="49" t="s">
        <v>112</v>
      </c>
      <c r="B154" s="16" t="s">
        <v>98</v>
      </c>
      <c r="C154" s="7" t="s">
        <v>295</v>
      </c>
      <c r="D154" s="7">
        <v>1.0329999999999999</v>
      </c>
      <c r="E154" s="7">
        <v>50</v>
      </c>
      <c r="F154" s="7">
        <f t="shared" si="7"/>
        <v>51.65</v>
      </c>
      <c r="G154" s="11">
        <v>2027.9655087612023</v>
      </c>
      <c r="H154" s="11">
        <f t="shared" si="10"/>
        <v>104744.4185275161</v>
      </c>
      <c r="I154" s="7" t="s">
        <v>107</v>
      </c>
      <c r="J154" s="18">
        <v>44805</v>
      </c>
      <c r="K154" s="7"/>
    </row>
    <row r="155" spans="1:11">
      <c r="A155" s="49" t="s">
        <v>112</v>
      </c>
      <c r="B155" s="16" t="s">
        <v>98</v>
      </c>
      <c r="C155" s="7" t="s">
        <v>296</v>
      </c>
      <c r="D155" s="7">
        <v>1.0329999999999999</v>
      </c>
      <c r="E155" s="7">
        <v>50</v>
      </c>
      <c r="F155" s="7">
        <f t="shared" si="7"/>
        <v>51.65</v>
      </c>
      <c r="G155" s="11">
        <v>2027.9655087612023</v>
      </c>
      <c r="H155" s="11">
        <f t="shared" si="10"/>
        <v>104744.4185275161</v>
      </c>
      <c r="I155" s="7" t="s">
        <v>107</v>
      </c>
      <c r="J155" s="18">
        <v>44805</v>
      </c>
      <c r="K155" s="7"/>
    </row>
    <row r="156" spans="1:11">
      <c r="A156" s="49" t="s">
        <v>112</v>
      </c>
      <c r="B156" s="16" t="s">
        <v>98</v>
      </c>
      <c r="C156" s="49" t="s">
        <v>58</v>
      </c>
      <c r="D156" s="49">
        <v>1.0329999999999999</v>
      </c>
      <c r="E156" s="52">
        <f>36.5-5</f>
        <v>31.5</v>
      </c>
      <c r="F156" s="49">
        <f t="shared" si="7"/>
        <v>32.539499999999997</v>
      </c>
      <c r="G156" s="53">
        <v>2027.9655087612023</v>
      </c>
      <c r="H156" s="53">
        <f t="shared" si="10"/>
        <v>65988.983672335133</v>
      </c>
      <c r="I156" s="7" t="s">
        <v>107</v>
      </c>
      <c r="J156" s="18">
        <v>44805</v>
      </c>
      <c r="K156" s="49"/>
    </row>
    <row r="157" spans="1:11">
      <c r="A157" s="7" t="s">
        <v>121</v>
      </c>
      <c r="B157" s="16" t="s">
        <v>98</v>
      </c>
      <c r="C157" s="7" t="s">
        <v>297</v>
      </c>
      <c r="D157" s="7">
        <v>1.042</v>
      </c>
      <c r="E157" s="7">
        <v>50</v>
      </c>
      <c r="F157" s="7">
        <f t="shared" si="7"/>
        <v>52.1</v>
      </c>
      <c r="G157" s="11">
        <v>3466.503992175597</v>
      </c>
      <c r="H157" s="11">
        <f t="shared" si="10"/>
        <v>180604.85799234861</v>
      </c>
      <c r="I157" s="7" t="s">
        <v>107</v>
      </c>
      <c r="J157" s="18">
        <v>44805</v>
      </c>
      <c r="K157" s="7"/>
    </row>
    <row r="158" spans="1:11">
      <c r="A158" s="7" t="s">
        <v>121</v>
      </c>
      <c r="B158" s="16" t="s">
        <v>98</v>
      </c>
      <c r="C158" s="7" t="s">
        <v>298</v>
      </c>
      <c r="D158" s="7">
        <v>1.042</v>
      </c>
      <c r="E158" s="7">
        <v>50</v>
      </c>
      <c r="F158" s="7">
        <f t="shared" si="7"/>
        <v>52.1</v>
      </c>
      <c r="G158" s="11">
        <v>3466.503992175597</v>
      </c>
      <c r="H158" s="11">
        <f t="shared" si="10"/>
        <v>180604.85799234861</v>
      </c>
      <c r="I158" s="7" t="s">
        <v>107</v>
      </c>
      <c r="J158" s="18">
        <v>44805</v>
      </c>
      <c r="K158" s="7"/>
    </row>
    <row r="159" spans="1:11">
      <c r="A159" s="7" t="s">
        <v>121</v>
      </c>
      <c r="B159" s="16" t="s">
        <v>98</v>
      </c>
      <c r="C159" s="7" t="s">
        <v>299</v>
      </c>
      <c r="D159" s="7">
        <v>1.042</v>
      </c>
      <c r="E159" s="7">
        <v>50</v>
      </c>
      <c r="F159" s="7">
        <f t="shared" si="7"/>
        <v>52.1</v>
      </c>
      <c r="G159" s="11">
        <v>3466.503992175597</v>
      </c>
      <c r="H159" s="11">
        <f t="shared" si="10"/>
        <v>180604.85799234861</v>
      </c>
      <c r="I159" s="7" t="s">
        <v>107</v>
      </c>
      <c r="J159" s="18">
        <v>44805</v>
      </c>
      <c r="K159" s="7"/>
    </row>
    <row r="160" spans="1:11">
      <c r="A160" s="7" t="s">
        <v>121</v>
      </c>
      <c r="B160" s="16" t="s">
        <v>98</v>
      </c>
      <c r="C160" s="7" t="s">
        <v>300</v>
      </c>
      <c r="D160" s="7">
        <v>1.042</v>
      </c>
      <c r="E160" s="7">
        <v>50</v>
      </c>
      <c r="F160" s="7">
        <f t="shared" si="7"/>
        <v>52.1</v>
      </c>
      <c r="G160" s="11">
        <v>3466.503992175597</v>
      </c>
      <c r="H160" s="11">
        <f t="shared" si="10"/>
        <v>180604.85799234861</v>
      </c>
      <c r="I160" s="7" t="s">
        <v>107</v>
      </c>
      <c r="J160" s="18">
        <v>44805</v>
      </c>
      <c r="K160" s="7"/>
    </row>
    <row r="161" spans="1:11">
      <c r="A161" s="7" t="s">
        <v>121</v>
      </c>
      <c r="B161" s="16" t="s">
        <v>98</v>
      </c>
      <c r="C161" s="7" t="s">
        <v>301</v>
      </c>
      <c r="D161" s="7">
        <v>1.042</v>
      </c>
      <c r="E161" s="7">
        <v>50</v>
      </c>
      <c r="F161" s="7">
        <f t="shared" si="7"/>
        <v>52.1</v>
      </c>
      <c r="G161" s="11">
        <v>3466.503992175597</v>
      </c>
      <c r="H161" s="11">
        <f t="shared" si="10"/>
        <v>180604.85799234861</v>
      </c>
      <c r="I161" s="7" t="s">
        <v>107</v>
      </c>
      <c r="J161" s="18">
        <v>44805</v>
      </c>
      <c r="K161" s="7"/>
    </row>
    <row r="162" spans="1:11">
      <c r="A162" s="7" t="s">
        <v>121</v>
      </c>
      <c r="B162" s="16" t="s">
        <v>98</v>
      </c>
      <c r="C162" s="7" t="s">
        <v>71</v>
      </c>
      <c r="D162" s="7">
        <v>1.042</v>
      </c>
      <c r="E162" s="25">
        <v>21</v>
      </c>
      <c r="F162" s="7">
        <f t="shared" si="7"/>
        <v>21.882000000000001</v>
      </c>
      <c r="G162" s="11">
        <v>3466.5039921755979</v>
      </c>
      <c r="H162" s="11">
        <f t="shared" si="10"/>
        <v>75854.040356786441</v>
      </c>
      <c r="I162" s="7" t="s">
        <v>107</v>
      </c>
      <c r="J162" s="18">
        <v>44805</v>
      </c>
      <c r="K162" s="7"/>
    </row>
    <row r="163" spans="1:11">
      <c r="A163" s="7" t="s">
        <v>121</v>
      </c>
      <c r="B163" s="16" t="s">
        <v>98</v>
      </c>
      <c r="C163" s="7" t="s">
        <v>302</v>
      </c>
      <c r="D163" s="7">
        <v>1.042</v>
      </c>
      <c r="E163" s="7">
        <v>50</v>
      </c>
      <c r="F163" s="7">
        <f t="shared" si="7"/>
        <v>52.1</v>
      </c>
      <c r="G163" s="11">
        <v>3466.503992175597</v>
      </c>
      <c r="H163" s="11">
        <f t="shared" si="10"/>
        <v>180604.85799234861</v>
      </c>
      <c r="I163" s="7" t="s">
        <v>107</v>
      </c>
      <c r="J163" s="18">
        <v>44805</v>
      </c>
      <c r="K163" s="7"/>
    </row>
    <row r="164" spans="1:11">
      <c r="A164" s="7" t="s">
        <v>121</v>
      </c>
      <c r="B164" s="16" t="s">
        <v>98</v>
      </c>
      <c r="C164" s="7" t="s">
        <v>303</v>
      </c>
      <c r="D164" s="7">
        <v>1.042</v>
      </c>
      <c r="E164" s="7">
        <v>50</v>
      </c>
      <c r="F164" s="7">
        <f t="shared" si="7"/>
        <v>52.1</v>
      </c>
      <c r="G164" s="11">
        <v>3466.503992175597</v>
      </c>
      <c r="H164" s="11">
        <f t="shared" si="10"/>
        <v>180604.85799234861</v>
      </c>
      <c r="I164" s="7" t="s">
        <v>107</v>
      </c>
      <c r="J164" s="18">
        <v>44805</v>
      </c>
      <c r="K164" s="7"/>
    </row>
    <row r="165" spans="1:11">
      <c r="A165" s="7" t="s">
        <v>121</v>
      </c>
      <c r="B165" s="16" t="s">
        <v>98</v>
      </c>
      <c r="C165" s="7" t="s">
        <v>304</v>
      </c>
      <c r="D165" s="7">
        <v>1.042</v>
      </c>
      <c r="E165" s="7">
        <v>50</v>
      </c>
      <c r="F165" s="7">
        <f t="shared" si="7"/>
        <v>52.1</v>
      </c>
      <c r="G165" s="11">
        <v>3466.503992175597</v>
      </c>
      <c r="H165" s="11">
        <f t="shared" si="10"/>
        <v>180604.85799234861</v>
      </c>
      <c r="I165" s="7" t="s">
        <v>107</v>
      </c>
      <c r="J165" s="18">
        <v>44805</v>
      </c>
      <c r="K165" s="7"/>
    </row>
    <row r="166" spans="1:11">
      <c r="A166" s="19" t="s">
        <v>305</v>
      </c>
      <c r="B166" s="19" t="s">
        <v>149</v>
      </c>
      <c r="C166" s="19" t="s">
        <v>306</v>
      </c>
      <c r="D166" s="19">
        <v>1.042</v>
      </c>
      <c r="E166" s="19">
        <v>48.5</v>
      </c>
      <c r="F166" s="19">
        <f t="shared" si="7"/>
        <v>50.536999999999999</v>
      </c>
      <c r="G166" s="22">
        <v>3456.3979167913685</v>
      </c>
      <c r="H166" s="22">
        <f t="shared" si="10"/>
        <v>174675.9815208854</v>
      </c>
      <c r="I166" s="19" t="s">
        <v>107</v>
      </c>
      <c r="J166" s="24">
        <v>44805</v>
      </c>
      <c r="K166" s="7"/>
    </row>
    <row r="167" spans="1:11">
      <c r="A167" s="19" t="s">
        <v>305</v>
      </c>
      <c r="B167" s="19" t="s">
        <v>149</v>
      </c>
      <c r="C167" s="19" t="s">
        <v>307</v>
      </c>
      <c r="D167" s="19">
        <v>1.042</v>
      </c>
      <c r="E167" s="19">
        <v>45.5</v>
      </c>
      <c r="F167" s="19">
        <f t="shared" si="7"/>
        <v>47.411000000000001</v>
      </c>
      <c r="G167" s="22">
        <v>3456.3979167913685</v>
      </c>
      <c r="H167" s="22">
        <f t="shared" si="10"/>
        <v>163871.28163299558</v>
      </c>
      <c r="I167" s="19" t="s">
        <v>107</v>
      </c>
      <c r="J167" s="24">
        <v>44805</v>
      </c>
      <c r="K167" s="7"/>
    </row>
    <row r="168" spans="1:11">
      <c r="A168" s="19" t="s">
        <v>305</v>
      </c>
      <c r="B168" s="19" t="s">
        <v>149</v>
      </c>
      <c r="C168" s="19" t="s">
        <v>308</v>
      </c>
      <c r="D168" s="19">
        <v>1.042</v>
      </c>
      <c r="E168" s="19">
        <v>50</v>
      </c>
      <c r="F168" s="19">
        <f t="shared" si="7"/>
        <v>52.1</v>
      </c>
      <c r="G168" s="22">
        <v>3456.397916791369</v>
      </c>
      <c r="H168" s="22">
        <f t="shared" si="10"/>
        <v>180078.33146483032</v>
      </c>
      <c r="I168" s="19" t="s">
        <v>107</v>
      </c>
      <c r="J168" s="24">
        <v>44805</v>
      </c>
      <c r="K168" s="7"/>
    </row>
    <row r="169" spans="1:11">
      <c r="A169" s="19" t="s">
        <v>305</v>
      </c>
      <c r="B169" s="19" t="s">
        <v>149</v>
      </c>
      <c r="C169" s="19" t="s">
        <v>309</v>
      </c>
      <c r="D169" s="19">
        <v>1.042</v>
      </c>
      <c r="E169" s="19">
        <v>50</v>
      </c>
      <c r="F169" s="19">
        <f t="shared" si="7"/>
        <v>52.1</v>
      </c>
      <c r="G169" s="22">
        <v>3456.397916791369</v>
      </c>
      <c r="H169" s="22">
        <f t="shared" si="10"/>
        <v>180078.33146483032</v>
      </c>
      <c r="I169" s="19" t="s">
        <v>107</v>
      </c>
      <c r="J169" s="24">
        <v>44805</v>
      </c>
      <c r="K169" s="7"/>
    </row>
    <row r="170" spans="1:11">
      <c r="A170" s="19" t="s">
        <v>305</v>
      </c>
      <c r="B170" s="19" t="s">
        <v>149</v>
      </c>
      <c r="C170" s="19" t="s">
        <v>310</v>
      </c>
      <c r="D170" s="19">
        <v>1.042</v>
      </c>
      <c r="E170" s="19">
        <v>50</v>
      </c>
      <c r="F170" s="19">
        <f t="shared" si="7"/>
        <v>52.1</v>
      </c>
      <c r="G170" s="22">
        <v>3456.397916791369</v>
      </c>
      <c r="H170" s="22">
        <f t="shared" si="10"/>
        <v>180078.33146483032</v>
      </c>
      <c r="I170" s="19" t="s">
        <v>107</v>
      </c>
      <c r="J170" s="24">
        <v>44805</v>
      </c>
      <c r="K170" s="7"/>
    </row>
    <row r="171" spans="1:11">
      <c r="A171" s="19" t="s">
        <v>305</v>
      </c>
      <c r="B171" s="19" t="s">
        <v>149</v>
      </c>
      <c r="C171" s="19" t="s">
        <v>311</v>
      </c>
      <c r="D171" s="19">
        <v>1.042</v>
      </c>
      <c r="E171" s="19">
        <v>50</v>
      </c>
      <c r="F171" s="19">
        <f t="shared" si="7"/>
        <v>52.1</v>
      </c>
      <c r="G171" s="22">
        <v>3456.397916791369</v>
      </c>
      <c r="H171" s="22">
        <f t="shared" si="10"/>
        <v>180078.33146483032</v>
      </c>
      <c r="I171" s="19" t="s">
        <v>107</v>
      </c>
      <c r="J171" s="24">
        <v>44805</v>
      </c>
      <c r="K171" s="7"/>
    </row>
    <row r="172" spans="1:11">
      <c r="A172" s="19" t="s">
        <v>305</v>
      </c>
      <c r="B172" s="19" t="s">
        <v>149</v>
      </c>
      <c r="C172" s="19" t="s">
        <v>312</v>
      </c>
      <c r="D172" s="19">
        <v>1.042</v>
      </c>
      <c r="E172" s="19">
        <v>50</v>
      </c>
      <c r="F172" s="19">
        <f t="shared" si="7"/>
        <v>52.1</v>
      </c>
      <c r="G172" s="22">
        <v>3456.397916791369</v>
      </c>
      <c r="H172" s="22">
        <f t="shared" si="10"/>
        <v>180078.33146483032</v>
      </c>
      <c r="I172" s="19" t="s">
        <v>107</v>
      </c>
      <c r="J172" s="24">
        <v>44805</v>
      </c>
      <c r="K172" s="7"/>
    </row>
    <row r="173" spans="1:11">
      <c r="A173" s="19" t="s">
        <v>305</v>
      </c>
      <c r="B173" s="19" t="s">
        <v>149</v>
      </c>
      <c r="C173" s="19" t="s">
        <v>313</v>
      </c>
      <c r="D173" s="19">
        <v>1.042</v>
      </c>
      <c r="E173" s="19">
        <v>50</v>
      </c>
      <c r="F173" s="19">
        <f t="shared" ref="F173:F177" si="11">D173*E173</f>
        <v>52.1</v>
      </c>
      <c r="G173" s="22">
        <v>3456.397916791369</v>
      </c>
      <c r="H173" s="22">
        <f t="shared" si="10"/>
        <v>180078.33146483032</v>
      </c>
      <c r="I173" s="19" t="s">
        <v>107</v>
      </c>
      <c r="J173" s="24">
        <v>44805</v>
      </c>
      <c r="K173" s="7"/>
    </row>
    <row r="174" spans="1:11">
      <c r="A174" s="7" t="s">
        <v>314</v>
      </c>
      <c r="B174" s="7" t="s">
        <v>315</v>
      </c>
      <c r="C174" s="25" t="s">
        <v>316</v>
      </c>
      <c r="D174" s="7">
        <v>1.3</v>
      </c>
      <c r="E174" s="25">
        <f>3470-200</f>
        <v>3270</v>
      </c>
      <c r="F174" s="7">
        <f t="shared" si="11"/>
        <v>4251</v>
      </c>
      <c r="G174" s="11">
        <v>41</v>
      </c>
      <c r="H174" s="11">
        <f t="shared" si="10"/>
        <v>174291</v>
      </c>
      <c r="I174" s="7" t="s">
        <v>203</v>
      </c>
      <c r="J174" s="18">
        <v>44805</v>
      </c>
      <c r="K174" s="7" t="s">
        <v>317</v>
      </c>
    </row>
    <row r="175" spans="1:11">
      <c r="A175" s="7" t="s">
        <v>314</v>
      </c>
      <c r="B175" s="7" t="s">
        <v>315</v>
      </c>
      <c r="C175" s="25" t="s">
        <v>318</v>
      </c>
      <c r="D175" s="7">
        <v>1.05</v>
      </c>
      <c r="E175" s="25">
        <f>200-70</f>
        <v>130</v>
      </c>
      <c r="F175" s="7">
        <f t="shared" si="11"/>
        <v>136.5</v>
      </c>
      <c r="G175" s="11">
        <v>47.61904761904762</v>
      </c>
      <c r="H175" s="11">
        <f t="shared" si="10"/>
        <v>6500</v>
      </c>
      <c r="I175" s="7" t="s">
        <v>203</v>
      </c>
      <c r="J175" s="18">
        <v>44805</v>
      </c>
      <c r="K175" s="7" t="s">
        <v>204</v>
      </c>
    </row>
    <row r="176" spans="1:11">
      <c r="A176" s="7" t="s">
        <v>314</v>
      </c>
      <c r="B176" s="7" t="s">
        <v>315</v>
      </c>
      <c r="C176" s="25" t="s">
        <v>319</v>
      </c>
      <c r="D176" s="7">
        <v>1.27</v>
      </c>
      <c r="E176" s="7">
        <v>443</v>
      </c>
      <c r="F176" s="7">
        <f t="shared" si="11"/>
        <v>562.61</v>
      </c>
      <c r="G176" s="11">
        <v>845.19656085157396</v>
      </c>
      <c r="H176" s="11">
        <f t="shared" si="10"/>
        <v>475516.03710070404</v>
      </c>
      <c r="I176" s="7" t="s">
        <v>203</v>
      </c>
      <c r="J176" s="18">
        <v>44805</v>
      </c>
      <c r="K176" s="7" t="s">
        <v>320</v>
      </c>
    </row>
    <row r="177" spans="1:11">
      <c r="A177" s="7" t="s">
        <v>314</v>
      </c>
      <c r="B177" s="7" t="s">
        <v>315</v>
      </c>
      <c r="C177" s="25" t="s">
        <v>321</v>
      </c>
      <c r="D177" s="7">
        <v>1.05</v>
      </c>
      <c r="E177" s="25">
        <v>56</v>
      </c>
      <c r="F177" s="7">
        <f t="shared" si="11"/>
        <v>58.800000000000004</v>
      </c>
      <c r="G177" s="11">
        <v>2807.6590019328414</v>
      </c>
      <c r="H177" s="11">
        <f t="shared" si="10"/>
        <v>165090.3493136511</v>
      </c>
      <c r="I177" s="7" t="s">
        <v>203</v>
      </c>
      <c r="J177" s="18">
        <v>44805</v>
      </c>
      <c r="K177" s="7" t="s">
        <v>322</v>
      </c>
    </row>
    <row r="178" spans="1:11">
      <c r="A178" s="19" t="s">
        <v>97</v>
      </c>
      <c r="B178" s="20" t="s">
        <v>101</v>
      </c>
      <c r="C178" s="56" t="s">
        <v>323</v>
      </c>
      <c r="D178" s="56">
        <v>1.25</v>
      </c>
      <c r="E178" s="58">
        <v>2.6</v>
      </c>
      <c r="F178" s="56">
        <f>D178*E178</f>
        <v>3.25</v>
      </c>
      <c r="G178" s="22">
        <v>1099.5225721795628</v>
      </c>
      <c r="H178" s="57">
        <f>F178*G178</f>
        <v>3573.4483595835791</v>
      </c>
      <c r="I178" s="19" t="s">
        <v>34</v>
      </c>
      <c r="J178" s="24">
        <v>44652</v>
      </c>
      <c r="K178" s="49"/>
    </row>
    <row r="179" spans="1:11">
      <c r="A179" s="59" t="s">
        <v>201</v>
      </c>
      <c r="B179" s="59" t="s">
        <v>202</v>
      </c>
      <c r="C179" s="7" t="s">
        <v>324</v>
      </c>
      <c r="D179" s="7">
        <v>1.29</v>
      </c>
      <c r="E179" s="7">
        <v>1000</v>
      </c>
      <c r="F179" s="7">
        <f t="shared" ref="F179:F198" si="12">D179*E179</f>
        <v>1290</v>
      </c>
      <c r="G179" s="11">
        <v>179.59</v>
      </c>
      <c r="H179" s="11">
        <f>E179*G179</f>
        <v>179590</v>
      </c>
      <c r="I179" s="7" t="s">
        <v>203</v>
      </c>
      <c r="J179" s="18">
        <v>44866</v>
      </c>
      <c r="K179" s="7" t="s">
        <v>325</v>
      </c>
    </row>
    <row r="180" spans="1:11">
      <c r="A180" s="59" t="s">
        <v>201</v>
      </c>
      <c r="B180" s="59" t="s">
        <v>202</v>
      </c>
      <c r="C180" s="7" t="s">
        <v>326</v>
      </c>
      <c r="D180" s="7">
        <v>1.29</v>
      </c>
      <c r="E180" s="7">
        <v>1000</v>
      </c>
      <c r="F180" s="7">
        <f t="shared" si="12"/>
        <v>1290</v>
      </c>
      <c r="G180" s="11">
        <v>179.59</v>
      </c>
      <c r="H180" s="11">
        <f t="shared" ref="H180:H195" si="13">E180*G180</f>
        <v>179590</v>
      </c>
      <c r="I180" s="7" t="s">
        <v>203</v>
      </c>
      <c r="J180" s="18">
        <v>44866</v>
      </c>
      <c r="K180" s="7" t="s">
        <v>325</v>
      </c>
    </row>
    <row r="181" spans="1:11">
      <c r="A181" s="59" t="s">
        <v>201</v>
      </c>
      <c r="B181" s="59" t="s">
        <v>202</v>
      </c>
      <c r="C181" s="7" t="s">
        <v>327</v>
      </c>
      <c r="D181" s="7">
        <v>1.29</v>
      </c>
      <c r="E181" s="7">
        <v>1000</v>
      </c>
      <c r="F181" s="7">
        <f t="shared" si="12"/>
        <v>1290</v>
      </c>
      <c r="G181" s="11">
        <v>179.59</v>
      </c>
      <c r="H181" s="11">
        <f t="shared" si="13"/>
        <v>179590</v>
      </c>
      <c r="I181" s="7" t="s">
        <v>203</v>
      </c>
      <c r="J181" s="18">
        <v>44866</v>
      </c>
      <c r="K181" s="7" t="s">
        <v>325</v>
      </c>
    </row>
    <row r="182" spans="1:11">
      <c r="A182" s="59" t="s">
        <v>201</v>
      </c>
      <c r="B182" s="59" t="s">
        <v>202</v>
      </c>
      <c r="C182" s="7" t="s">
        <v>328</v>
      </c>
      <c r="D182" s="7">
        <v>1.29</v>
      </c>
      <c r="E182" s="7">
        <v>1000</v>
      </c>
      <c r="F182" s="7">
        <f t="shared" si="12"/>
        <v>1290</v>
      </c>
      <c r="G182" s="11">
        <v>179.59</v>
      </c>
      <c r="H182" s="11">
        <f t="shared" si="13"/>
        <v>179590</v>
      </c>
      <c r="I182" s="7" t="s">
        <v>203</v>
      </c>
      <c r="J182" s="18">
        <v>44866</v>
      </c>
      <c r="K182" s="7" t="s">
        <v>325</v>
      </c>
    </row>
    <row r="183" spans="1:11">
      <c r="A183" s="59" t="s">
        <v>201</v>
      </c>
      <c r="B183" s="59" t="s">
        <v>202</v>
      </c>
      <c r="C183" s="7" t="s">
        <v>329</v>
      </c>
      <c r="D183" s="7">
        <v>1.29</v>
      </c>
      <c r="E183" s="7">
        <v>150</v>
      </c>
      <c r="F183" s="7">
        <f t="shared" si="12"/>
        <v>193.5</v>
      </c>
      <c r="G183" s="11">
        <v>179.59</v>
      </c>
      <c r="H183" s="11">
        <f t="shared" si="13"/>
        <v>26938.5</v>
      </c>
      <c r="I183" s="7" t="s">
        <v>203</v>
      </c>
      <c r="J183" s="18">
        <v>44866</v>
      </c>
      <c r="K183" s="7" t="s">
        <v>325</v>
      </c>
    </row>
    <row r="184" spans="1:11">
      <c r="A184" s="59" t="s">
        <v>201</v>
      </c>
      <c r="B184" s="59" t="s">
        <v>202</v>
      </c>
      <c r="C184" s="7" t="s">
        <v>329</v>
      </c>
      <c r="D184" s="7">
        <v>1.29</v>
      </c>
      <c r="E184" s="7">
        <v>800</v>
      </c>
      <c r="F184" s="7">
        <f t="shared" si="12"/>
        <v>1032</v>
      </c>
      <c r="G184" s="11">
        <v>179.59</v>
      </c>
      <c r="H184" s="11">
        <f>E184*G184</f>
        <v>143672</v>
      </c>
      <c r="I184" s="7" t="s">
        <v>203</v>
      </c>
      <c r="J184" s="18">
        <v>44866</v>
      </c>
      <c r="K184" s="7" t="s">
        <v>325</v>
      </c>
    </row>
    <row r="185" spans="1:11">
      <c r="A185" s="59" t="s">
        <v>201</v>
      </c>
      <c r="B185" s="59" t="s">
        <v>202</v>
      </c>
      <c r="C185" s="7" t="s">
        <v>330</v>
      </c>
      <c r="D185" s="7">
        <v>1.29</v>
      </c>
      <c r="E185" s="7">
        <v>1000</v>
      </c>
      <c r="F185" s="7">
        <f t="shared" si="12"/>
        <v>1290</v>
      </c>
      <c r="G185" s="11">
        <v>179.59</v>
      </c>
      <c r="H185" s="11">
        <f t="shared" si="13"/>
        <v>179590</v>
      </c>
      <c r="I185" s="7" t="s">
        <v>203</v>
      </c>
      <c r="J185" s="18">
        <v>44866</v>
      </c>
      <c r="K185" s="7" t="s">
        <v>331</v>
      </c>
    </row>
    <row r="186" spans="1:11">
      <c r="A186" s="59" t="s">
        <v>201</v>
      </c>
      <c r="B186" s="59" t="s">
        <v>202</v>
      </c>
      <c r="C186" s="7" t="s">
        <v>332</v>
      </c>
      <c r="D186" s="7">
        <v>1.29</v>
      </c>
      <c r="E186" s="7">
        <v>1000</v>
      </c>
      <c r="F186" s="7">
        <f t="shared" si="12"/>
        <v>1290</v>
      </c>
      <c r="G186" s="11">
        <v>179.59</v>
      </c>
      <c r="H186" s="11">
        <f t="shared" si="13"/>
        <v>179590</v>
      </c>
      <c r="I186" s="7" t="s">
        <v>203</v>
      </c>
      <c r="J186" s="18">
        <v>44866</v>
      </c>
      <c r="K186" s="7" t="s">
        <v>331</v>
      </c>
    </row>
    <row r="187" spans="1:11">
      <c r="A187" s="59" t="s">
        <v>201</v>
      </c>
      <c r="B187" s="59" t="s">
        <v>202</v>
      </c>
      <c r="C187" s="7" t="s">
        <v>333</v>
      </c>
      <c r="D187" s="7">
        <v>1.29</v>
      </c>
      <c r="E187" s="7">
        <v>1000</v>
      </c>
      <c r="F187" s="7">
        <f t="shared" si="12"/>
        <v>1290</v>
      </c>
      <c r="G187" s="11">
        <v>179.59</v>
      </c>
      <c r="H187" s="11">
        <f t="shared" si="13"/>
        <v>179590</v>
      </c>
      <c r="I187" s="7" t="s">
        <v>203</v>
      </c>
      <c r="J187" s="18">
        <v>44866</v>
      </c>
      <c r="K187" s="7" t="s">
        <v>331</v>
      </c>
    </row>
    <row r="188" spans="1:11">
      <c r="A188" s="59" t="s">
        <v>201</v>
      </c>
      <c r="B188" s="59" t="s">
        <v>202</v>
      </c>
      <c r="C188" s="7" t="s">
        <v>334</v>
      </c>
      <c r="D188" s="7">
        <v>1.29</v>
      </c>
      <c r="E188" s="7">
        <v>1000</v>
      </c>
      <c r="F188" s="7">
        <f t="shared" si="12"/>
        <v>1290</v>
      </c>
      <c r="G188" s="11">
        <v>179.59</v>
      </c>
      <c r="H188" s="11">
        <f t="shared" si="13"/>
        <v>179590</v>
      </c>
      <c r="I188" s="7" t="s">
        <v>203</v>
      </c>
      <c r="J188" s="18">
        <v>44866</v>
      </c>
      <c r="K188" s="7" t="s">
        <v>331</v>
      </c>
    </row>
    <row r="189" spans="1:11">
      <c r="A189" s="59" t="s">
        <v>201</v>
      </c>
      <c r="B189" s="59" t="s">
        <v>202</v>
      </c>
      <c r="C189" s="7" t="s">
        <v>335</v>
      </c>
      <c r="D189" s="7">
        <v>1.29</v>
      </c>
      <c r="E189" s="7">
        <v>1000</v>
      </c>
      <c r="F189" s="7">
        <f t="shared" si="12"/>
        <v>1290</v>
      </c>
      <c r="G189" s="11">
        <v>179.59</v>
      </c>
      <c r="H189" s="11">
        <f t="shared" si="13"/>
        <v>179590</v>
      </c>
      <c r="I189" s="7" t="s">
        <v>203</v>
      </c>
      <c r="J189" s="18">
        <v>44866</v>
      </c>
      <c r="K189" s="7" t="s">
        <v>331</v>
      </c>
    </row>
    <row r="190" spans="1:11">
      <c r="A190" s="59" t="s">
        <v>336</v>
      </c>
      <c r="B190" s="7" t="s">
        <v>315</v>
      </c>
      <c r="C190" s="7" t="s">
        <v>337</v>
      </c>
      <c r="D190" s="7">
        <v>1.28</v>
      </c>
      <c r="E190" s="7">
        <v>2000</v>
      </c>
      <c r="F190" s="7">
        <f t="shared" si="12"/>
        <v>2560</v>
      </c>
      <c r="G190" s="11">
        <v>437.5</v>
      </c>
      <c r="H190" s="11">
        <f t="shared" si="13"/>
        <v>875000</v>
      </c>
      <c r="I190" s="7" t="s">
        <v>203</v>
      </c>
      <c r="J190" s="18">
        <v>44866</v>
      </c>
      <c r="K190" s="60" t="s">
        <v>338</v>
      </c>
    </row>
    <row r="191" spans="1:11">
      <c r="A191" s="59" t="s">
        <v>336</v>
      </c>
      <c r="B191" s="7" t="s">
        <v>315</v>
      </c>
      <c r="C191" s="7" t="s">
        <v>339</v>
      </c>
      <c r="D191" s="7">
        <v>1.28</v>
      </c>
      <c r="E191" s="7">
        <v>2000</v>
      </c>
      <c r="F191" s="7">
        <f t="shared" si="12"/>
        <v>2560</v>
      </c>
      <c r="G191" s="11">
        <v>437.5</v>
      </c>
      <c r="H191" s="11">
        <f t="shared" si="13"/>
        <v>875000</v>
      </c>
      <c r="I191" s="7" t="s">
        <v>203</v>
      </c>
      <c r="J191" s="18">
        <v>44866</v>
      </c>
      <c r="K191" s="7" t="s">
        <v>340</v>
      </c>
    </row>
    <row r="192" spans="1:11">
      <c r="A192" s="59" t="s">
        <v>336</v>
      </c>
      <c r="B192" s="7" t="s">
        <v>315</v>
      </c>
      <c r="C192" s="7" t="s">
        <v>341</v>
      </c>
      <c r="D192" s="7">
        <v>1.28</v>
      </c>
      <c r="E192" s="7">
        <v>2000</v>
      </c>
      <c r="F192" s="7">
        <f t="shared" si="12"/>
        <v>2560</v>
      </c>
      <c r="G192" s="11">
        <v>437.5</v>
      </c>
      <c r="H192" s="11">
        <f t="shared" si="13"/>
        <v>875000</v>
      </c>
      <c r="I192" s="7" t="s">
        <v>203</v>
      </c>
      <c r="J192" s="18">
        <v>44866</v>
      </c>
      <c r="K192" s="7" t="s">
        <v>342</v>
      </c>
    </row>
    <row r="193" spans="1:11">
      <c r="A193" s="59" t="s">
        <v>336</v>
      </c>
      <c r="B193" s="7" t="s">
        <v>315</v>
      </c>
      <c r="C193" s="7" t="s">
        <v>343</v>
      </c>
      <c r="D193" s="7">
        <v>1.28</v>
      </c>
      <c r="E193" s="7">
        <v>2000</v>
      </c>
      <c r="F193" s="7">
        <f t="shared" si="12"/>
        <v>2560</v>
      </c>
      <c r="G193" s="11">
        <v>437.5</v>
      </c>
      <c r="H193" s="11">
        <f t="shared" si="13"/>
        <v>875000</v>
      </c>
      <c r="I193" s="7" t="s">
        <v>203</v>
      </c>
      <c r="J193" s="18">
        <v>44866</v>
      </c>
      <c r="K193" s="7" t="s">
        <v>344</v>
      </c>
    </row>
    <row r="194" spans="1:11">
      <c r="A194" s="59" t="s">
        <v>336</v>
      </c>
      <c r="B194" s="7" t="s">
        <v>315</v>
      </c>
      <c r="C194" s="7" t="s">
        <v>345</v>
      </c>
      <c r="D194" s="7">
        <v>1.28</v>
      </c>
      <c r="E194" s="7">
        <v>1600</v>
      </c>
      <c r="F194" s="7">
        <f t="shared" si="12"/>
        <v>2048</v>
      </c>
      <c r="G194" s="11">
        <v>437.5</v>
      </c>
      <c r="H194" s="11">
        <f t="shared" si="13"/>
        <v>700000</v>
      </c>
      <c r="I194" s="7" t="s">
        <v>203</v>
      </c>
      <c r="J194" s="18">
        <v>44866</v>
      </c>
      <c r="K194" s="7" t="s">
        <v>346</v>
      </c>
    </row>
    <row r="195" spans="1:11">
      <c r="A195" s="59" t="s">
        <v>336</v>
      </c>
      <c r="B195" s="7" t="s">
        <v>315</v>
      </c>
      <c r="C195" s="7" t="s">
        <v>347</v>
      </c>
      <c r="D195" s="7">
        <v>1.28</v>
      </c>
      <c r="E195" s="7">
        <v>1200</v>
      </c>
      <c r="F195" s="7">
        <f t="shared" si="12"/>
        <v>1536</v>
      </c>
      <c r="G195" s="11">
        <v>437.5</v>
      </c>
      <c r="H195" s="11">
        <f t="shared" si="13"/>
        <v>525000</v>
      </c>
      <c r="I195" s="7" t="s">
        <v>203</v>
      </c>
      <c r="J195" s="18">
        <v>44866</v>
      </c>
      <c r="K195" s="7" t="s">
        <v>348</v>
      </c>
    </row>
    <row r="196" spans="1:11">
      <c r="A196" s="7" t="s">
        <v>349</v>
      </c>
      <c r="B196" s="7" t="s">
        <v>202</v>
      </c>
      <c r="C196" s="7" t="s">
        <v>350</v>
      </c>
      <c r="D196" s="7">
        <v>1.1499999999999999</v>
      </c>
      <c r="E196" s="7">
        <v>14</v>
      </c>
      <c r="F196" s="7">
        <f t="shared" si="12"/>
        <v>16.099999999999998</v>
      </c>
      <c r="G196" s="11">
        <v>1661.8303753028922</v>
      </c>
      <c r="H196" s="11">
        <f t="shared" ref="H196:H198" si="14">F196*G196</f>
        <v>26755.469042376561</v>
      </c>
      <c r="I196" s="7" t="s">
        <v>351</v>
      </c>
      <c r="J196" s="18">
        <v>44835</v>
      </c>
      <c r="K196" s="7"/>
    </row>
    <row r="197" spans="1:11">
      <c r="A197" s="7" t="s">
        <v>349</v>
      </c>
      <c r="B197" s="7" t="s">
        <v>202</v>
      </c>
      <c r="C197" s="7" t="s">
        <v>32</v>
      </c>
      <c r="D197" s="7">
        <v>1.1499999999999999</v>
      </c>
      <c r="E197" s="7">
        <v>14.9</v>
      </c>
      <c r="F197" s="7">
        <f t="shared" si="12"/>
        <v>17.134999999999998</v>
      </c>
      <c r="G197" s="11">
        <v>1661.8303753028922</v>
      </c>
      <c r="H197" s="11">
        <f t="shared" si="14"/>
        <v>28475.463480815055</v>
      </c>
      <c r="I197" s="7" t="s">
        <v>351</v>
      </c>
      <c r="J197" s="18">
        <v>44835</v>
      </c>
      <c r="K197" s="7"/>
    </row>
    <row r="198" spans="1:11">
      <c r="A198" s="7" t="s">
        <v>349</v>
      </c>
      <c r="B198" s="7" t="s">
        <v>202</v>
      </c>
      <c r="C198" s="7" t="s">
        <v>350</v>
      </c>
      <c r="D198" s="7">
        <v>1.1499999999999999</v>
      </c>
      <c r="E198" s="7">
        <v>17.8</v>
      </c>
      <c r="F198" s="7">
        <f t="shared" si="12"/>
        <v>20.47</v>
      </c>
      <c r="G198" s="11">
        <v>1661.8303753028922</v>
      </c>
      <c r="H198" s="11">
        <f t="shared" si="14"/>
        <v>34017.667782450204</v>
      </c>
      <c r="I198" s="7" t="s">
        <v>351</v>
      </c>
      <c r="J198" s="18">
        <v>44835</v>
      </c>
      <c r="K198" s="7"/>
    </row>
    <row r="199" spans="1:11">
      <c r="A199" s="7" t="s">
        <v>349</v>
      </c>
      <c r="B199" s="7" t="s">
        <v>202</v>
      </c>
      <c r="C199" s="7" t="s">
        <v>350</v>
      </c>
      <c r="D199" s="7">
        <v>1.1499999999999999</v>
      </c>
      <c r="E199" s="7">
        <v>18</v>
      </c>
      <c r="F199" s="7">
        <f>D199*E199</f>
        <v>20.7</v>
      </c>
      <c r="G199" s="11">
        <v>1661.8303753028922</v>
      </c>
      <c r="H199" s="11">
        <f>F199*G199</f>
        <v>34399.888768769866</v>
      </c>
      <c r="I199" s="7" t="s">
        <v>351</v>
      </c>
      <c r="J199" s="18">
        <v>44835</v>
      </c>
      <c r="K199" s="7"/>
    </row>
    <row r="200" spans="1:11">
      <c r="A200" s="7" t="s">
        <v>349</v>
      </c>
      <c r="B200" s="7" t="s">
        <v>202</v>
      </c>
      <c r="C200" s="7" t="s">
        <v>33</v>
      </c>
      <c r="D200" s="7">
        <v>1.1499999999999999</v>
      </c>
      <c r="E200" s="7">
        <v>8.5</v>
      </c>
      <c r="F200" s="7">
        <f>D200*E200</f>
        <v>9.7749999999999986</v>
      </c>
      <c r="G200" s="11">
        <v>1661.8303753028922</v>
      </c>
      <c r="H200" s="11">
        <f>F200*G200</f>
        <v>16244.391918585769</v>
      </c>
      <c r="I200" s="7" t="s">
        <v>351</v>
      </c>
      <c r="J200" s="18">
        <v>44835</v>
      </c>
      <c r="K200" s="7"/>
    </row>
    <row r="201" spans="1:11">
      <c r="A201" s="49" t="s">
        <v>125</v>
      </c>
      <c r="B201" s="61" t="s">
        <v>98</v>
      </c>
      <c r="C201" s="49" t="s">
        <v>352</v>
      </c>
      <c r="D201" s="49">
        <v>1.042</v>
      </c>
      <c r="E201" s="49">
        <v>50</v>
      </c>
      <c r="F201" s="49">
        <f>D201*E201</f>
        <v>52.1</v>
      </c>
      <c r="G201" s="53">
        <v>2692.4934648095477</v>
      </c>
      <c r="H201" s="53">
        <f>F201*G201</f>
        <v>140278.90951657743</v>
      </c>
      <c r="I201" s="49" t="s">
        <v>38</v>
      </c>
      <c r="J201" s="18">
        <v>44866</v>
      </c>
      <c r="K201" s="49"/>
    </row>
    <row r="202" spans="1:11">
      <c r="A202" s="49" t="s">
        <v>125</v>
      </c>
      <c r="B202" s="61" t="s">
        <v>98</v>
      </c>
      <c r="C202" s="7" t="s">
        <v>353</v>
      </c>
      <c r="D202" s="7">
        <v>1.042</v>
      </c>
      <c r="E202" s="7">
        <v>50</v>
      </c>
      <c r="F202" s="7">
        <f t="shared" ref="F202:F227" si="15">D202*E202</f>
        <v>52.1</v>
      </c>
      <c r="G202" s="11">
        <v>2692.4934648095477</v>
      </c>
      <c r="H202" s="11">
        <f t="shared" ref="H202:H222" si="16">F202*G202</f>
        <v>140278.90951657743</v>
      </c>
      <c r="I202" s="49" t="s">
        <v>38</v>
      </c>
      <c r="J202" s="18">
        <v>44866</v>
      </c>
      <c r="K202" s="7"/>
    </row>
    <row r="203" spans="1:11">
      <c r="A203" s="49" t="s">
        <v>125</v>
      </c>
      <c r="B203" s="61" t="s">
        <v>98</v>
      </c>
      <c r="C203" s="7" t="s">
        <v>354</v>
      </c>
      <c r="D203" s="7">
        <v>1.042</v>
      </c>
      <c r="E203" s="7">
        <v>50</v>
      </c>
      <c r="F203" s="7">
        <f t="shared" si="15"/>
        <v>52.1</v>
      </c>
      <c r="G203" s="11">
        <v>2692.4934648095477</v>
      </c>
      <c r="H203" s="11">
        <f t="shared" si="16"/>
        <v>140278.90951657743</v>
      </c>
      <c r="I203" s="49" t="s">
        <v>38</v>
      </c>
      <c r="J203" s="18">
        <v>44866</v>
      </c>
      <c r="K203" s="7"/>
    </row>
    <row r="204" spans="1:11">
      <c r="A204" s="49" t="s">
        <v>125</v>
      </c>
      <c r="B204" s="61" t="s">
        <v>98</v>
      </c>
      <c r="C204" s="7" t="s">
        <v>355</v>
      </c>
      <c r="D204" s="7">
        <v>1.042</v>
      </c>
      <c r="E204" s="7">
        <v>49.5</v>
      </c>
      <c r="F204" s="7">
        <f t="shared" si="15"/>
        <v>51.579000000000001</v>
      </c>
      <c r="G204" s="11">
        <v>2692.4934648095477</v>
      </c>
      <c r="H204" s="11">
        <f t="shared" si="16"/>
        <v>138876.12042141167</v>
      </c>
      <c r="I204" s="49" t="s">
        <v>38</v>
      </c>
      <c r="J204" s="18">
        <v>44866</v>
      </c>
      <c r="K204" s="7"/>
    </row>
    <row r="205" spans="1:11">
      <c r="A205" s="49" t="s">
        <v>125</v>
      </c>
      <c r="B205" s="61" t="s">
        <v>98</v>
      </c>
      <c r="C205" s="7" t="s">
        <v>356</v>
      </c>
      <c r="D205" s="7">
        <v>1.042</v>
      </c>
      <c r="E205" s="7">
        <v>50</v>
      </c>
      <c r="F205" s="7">
        <f t="shared" si="15"/>
        <v>52.1</v>
      </c>
      <c r="G205" s="11">
        <v>2692.4934648095477</v>
      </c>
      <c r="H205" s="11">
        <f t="shared" si="16"/>
        <v>140278.90951657743</v>
      </c>
      <c r="I205" s="49" t="s">
        <v>38</v>
      </c>
      <c r="J205" s="18">
        <v>44866</v>
      </c>
      <c r="K205" s="7"/>
    </row>
    <row r="206" spans="1:11">
      <c r="A206" s="56" t="s">
        <v>125</v>
      </c>
      <c r="B206" s="19" t="s">
        <v>149</v>
      </c>
      <c r="C206" s="19" t="s">
        <v>357</v>
      </c>
      <c r="D206" s="19">
        <v>1.042</v>
      </c>
      <c r="E206" s="19">
        <v>50</v>
      </c>
      <c r="F206" s="19">
        <f t="shared" si="15"/>
        <v>52.1</v>
      </c>
      <c r="G206" s="22">
        <v>2638.8534492006261</v>
      </c>
      <c r="H206" s="22">
        <f t="shared" si="16"/>
        <v>137484.26470335262</v>
      </c>
      <c r="I206" s="56" t="s">
        <v>38</v>
      </c>
      <c r="J206" s="24">
        <v>44866</v>
      </c>
      <c r="K206" s="7"/>
    </row>
    <row r="207" spans="1:11">
      <c r="A207" s="56" t="s">
        <v>125</v>
      </c>
      <c r="B207" s="19" t="s">
        <v>149</v>
      </c>
      <c r="C207" s="19" t="s">
        <v>358</v>
      </c>
      <c r="D207" s="19">
        <v>1.042</v>
      </c>
      <c r="E207" s="19">
        <v>50</v>
      </c>
      <c r="F207" s="19">
        <f t="shared" si="15"/>
        <v>52.1</v>
      </c>
      <c r="G207" s="22">
        <v>2638.8534492006261</v>
      </c>
      <c r="H207" s="22">
        <f t="shared" si="16"/>
        <v>137484.26470335262</v>
      </c>
      <c r="I207" s="56" t="s">
        <v>38</v>
      </c>
      <c r="J207" s="24">
        <v>44866</v>
      </c>
      <c r="K207" s="7"/>
    </row>
    <row r="208" spans="1:11">
      <c r="A208" s="56" t="s">
        <v>125</v>
      </c>
      <c r="B208" s="19" t="s">
        <v>149</v>
      </c>
      <c r="C208" s="19" t="s">
        <v>359</v>
      </c>
      <c r="D208" s="19">
        <v>1.042</v>
      </c>
      <c r="E208" s="19">
        <v>50</v>
      </c>
      <c r="F208" s="19">
        <f t="shared" si="15"/>
        <v>52.1</v>
      </c>
      <c r="G208" s="22">
        <v>2638.8534492006261</v>
      </c>
      <c r="H208" s="22">
        <f t="shared" si="16"/>
        <v>137484.26470335262</v>
      </c>
      <c r="I208" s="56" t="s">
        <v>38</v>
      </c>
      <c r="J208" s="24">
        <v>44866</v>
      </c>
      <c r="K208" s="7"/>
    </row>
    <row r="209" spans="1:11">
      <c r="A209" s="56" t="s">
        <v>125</v>
      </c>
      <c r="B209" s="19" t="s">
        <v>149</v>
      </c>
      <c r="C209" s="19" t="s">
        <v>360</v>
      </c>
      <c r="D209" s="19">
        <v>1.042</v>
      </c>
      <c r="E209" s="19">
        <v>56</v>
      </c>
      <c r="F209" s="19">
        <f t="shared" si="15"/>
        <v>58.352000000000004</v>
      </c>
      <c r="G209" s="22">
        <v>2638.8534492006261</v>
      </c>
      <c r="H209" s="22">
        <f t="shared" si="16"/>
        <v>153982.37646775495</v>
      </c>
      <c r="I209" s="56" t="s">
        <v>38</v>
      </c>
      <c r="J209" s="24">
        <v>44866</v>
      </c>
      <c r="K209" s="7"/>
    </row>
    <row r="210" spans="1:11">
      <c r="A210" s="49" t="s">
        <v>125</v>
      </c>
      <c r="B210" s="61" t="s">
        <v>98</v>
      </c>
      <c r="C210" s="7" t="s">
        <v>361</v>
      </c>
      <c r="D210" s="7">
        <v>1.042</v>
      </c>
      <c r="E210" s="7">
        <v>50</v>
      </c>
      <c r="F210" s="7">
        <f t="shared" si="15"/>
        <v>52.1</v>
      </c>
      <c r="G210" s="11">
        <v>2746.5297705402281</v>
      </c>
      <c r="H210" s="11">
        <f t="shared" si="16"/>
        <v>143094.20104514589</v>
      </c>
      <c r="I210" s="49" t="s">
        <v>38</v>
      </c>
      <c r="J210" s="18">
        <v>44866</v>
      </c>
      <c r="K210" s="7"/>
    </row>
    <row r="211" spans="1:11">
      <c r="A211" s="49" t="s">
        <v>125</v>
      </c>
      <c r="B211" s="61" t="s">
        <v>98</v>
      </c>
      <c r="C211" s="7" t="s">
        <v>362</v>
      </c>
      <c r="D211" s="7">
        <v>1.042</v>
      </c>
      <c r="E211" s="7">
        <v>50</v>
      </c>
      <c r="F211" s="7">
        <f t="shared" si="15"/>
        <v>52.1</v>
      </c>
      <c r="G211" s="11">
        <v>2746.5297705402281</v>
      </c>
      <c r="H211" s="11">
        <f t="shared" si="16"/>
        <v>143094.20104514589</v>
      </c>
      <c r="I211" s="49" t="s">
        <v>38</v>
      </c>
      <c r="J211" s="18">
        <v>44866</v>
      </c>
      <c r="K211" s="7"/>
    </row>
    <row r="212" spans="1:11">
      <c r="A212" s="49" t="s">
        <v>125</v>
      </c>
      <c r="B212" s="61" t="s">
        <v>98</v>
      </c>
      <c r="C212" s="7" t="s">
        <v>363</v>
      </c>
      <c r="D212" s="7">
        <v>1.042</v>
      </c>
      <c r="E212" s="7">
        <v>50</v>
      </c>
      <c r="F212" s="7">
        <f t="shared" si="15"/>
        <v>52.1</v>
      </c>
      <c r="G212" s="11">
        <v>2746.5297705402281</v>
      </c>
      <c r="H212" s="11">
        <f t="shared" si="16"/>
        <v>143094.20104514589</v>
      </c>
      <c r="I212" s="49" t="s">
        <v>38</v>
      </c>
      <c r="J212" s="18">
        <v>44866</v>
      </c>
      <c r="K212" s="7"/>
    </row>
    <row r="213" spans="1:11">
      <c r="A213" s="49" t="s">
        <v>125</v>
      </c>
      <c r="B213" s="61" t="s">
        <v>98</v>
      </c>
      <c r="C213" s="7" t="s">
        <v>364</v>
      </c>
      <c r="D213" s="7">
        <v>1.042</v>
      </c>
      <c r="E213" s="7">
        <v>49</v>
      </c>
      <c r="F213" s="7">
        <f t="shared" si="15"/>
        <v>51.058</v>
      </c>
      <c r="G213" s="11">
        <v>2746.5297705402277</v>
      </c>
      <c r="H213" s="11">
        <f t="shared" si="16"/>
        <v>140232.31702424295</v>
      </c>
      <c r="I213" s="49" t="s">
        <v>38</v>
      </c>
      <c r="J213" s="18">
        <v>44866</v>
      </c>
      <c r="K213" s="7"/>
    </row>
    <row r="214" spans="1:11">
      <c r="A214" s="49" t="s">
        <v>125</v>
      </c>
      <c r="B214" s="61" t="s">
        <v>98</v>
      </c>
      <c r="C214" s="7" t="s">
        <v>365</v>
      </c>
      <c r="D214" s="7">
        <v>1.042</v>
      </c>
      <c r="E214" s="7">
        <v>50</v>
      </c>
      <c r="F214" s="7">
        <f t="shared" si="15"/>
        <v>52.1</v>
      </c>
      <c r="G214" s="11">
        <v>2692.4934648095477</v>
      </c>
      <c r="H214" s="11">
        <f t="shared" si="16"/>
        <v>140278.90951657743</v>
      </c>
      <c r="I214" s="49" t="s">
        <v>38</v>
      </c>
      <c r="J214" s="18">
        <v>44866</v>
      </c>
      <c r="K214" s="7"/>
    </row>
    <row r="215" spans="1:11">
      <c r="A215" s="49" t="s">
        <v>125</v>
      </c>
      <c r="B215" s="61" t="s">
        <v>98</v>
      </c>
      <c r="C215" s="7" t="s">
        <v>366</v>
      </c>
      <c r="D215" s="7">
        <v>1.042</v>
      </c>
      <c r="E215" s="7">
        <v>50</v>
      </c>
      <c r="F215" s="7">
        <f t="shared" si="15"/>
        <v>52.1</v>
      </c>
      <c r="G215" s="11">
        <v>2692.4934648095477</v>
      </c>
      <c r="H215" s="11">
        <f t="shared" si="16"/>
        <v>140278.90951657743</v>
      </c>
      <c r="I215" s="49" t="s">
        <v>38</v>
      </c>
      <c r="J215" s="18">
        <v>44866</v>
      </c>
      <c r="K215" s="7"/>
    </row>
    <row r="216" spans="1:11">
      <c r="A216" s="49" t="s">
        <v>125</v>
      </c>
      <c r="B216" s="61" t="s">
        <v>98</v>
      </c>
      <c r="C216" s="7" t="s">
        <v>367</v>
      </c>
      <c r="D216" s="7">
        <v>1.042</v>
      </c>
      <c r="E216" s="7">
        <v>50</v>
      </c>
      <c r="F216" s="7">
        <f t="shared" si="15"/>
        <v>52.1</v>
      </c>
      <c r="G216" s="11">
        <v>2692.4934648095477</v>
      </c>
      <c r="H216" s="11">
        <f t="shared" si="16"/>
        <v>140278.90951657743</v>
      </c>
      <c r="I216" s="49" t="s">
        <v>38</v>
      </c>
      <c r="J216" s="18">
        <v>44866</v>
      </c>
      <c r="K216" s="7"/>
    </row>
    <row r="217" spans="1:11">
      <c r="A217" s="49" t="s">
        <v>125</v>
      </c>
      <c r="B217" s="61" t="s">
        <v>98</v>
      </c>
      <c r="C217" s="7" t="s">
        <v>368</v>
      </c>
      <c r="D217" s="7">
        <v>1.042</v>
      </c>
      <c r="E217" s="7">
        <v>50</v>
      </c>
      <c r="F217" s="7">
        <f t="shared" si="15"/>
        <v>52.1</v>
      </c>
      <c r="G217" s="11">
        <v>2692.4934648095477</v>
      </c>
      <c r="H217" s="11">
        <f t="shared" si="16"/>
        <v>140278.90951657743</v>
      </c>
      <c r="I217" s="49" t="s">
        <v>38</v>
      </c>
      <c r="J217" s="18">
        <v>44866</v>
      </c>
      <c r="K217" s="7"/>
    </row>
    <row r="218" spans="1:11">
      <c r="A218" s="49" t="s">
        <v>125</v>
      </c>
      <c r="B218" s="61" t="s">
        <v>98</v>
      </c>
      <c r="C218" s="7" t="s">
        <v>369</v>
      </c>
      <c r="D218" s="7">
        <v>1.042</v>
      </c>
      <c r="E218" s="7">
        <v>50</v>
      </c>
      <c r="F218" s="7">
        <f t="shared" si="15"/>
        <v>52.1</v>
      </c>
      <c r="G218" s="11">
        <v>2692.4934648095477</v>
      </c>
      <c r="H218" s="11">
        <f t="shared" si="16"/>
        <v>140278.90951657743</v>
      </c>
      <c r="I218" s="49" t="s">
        <v>38</v>
      </c>
      <c r="J218" s="18">
        <v>44866</v>
      </c>
      <c r="K218" s="7"/>
    </row>
    <row r="219" spans="1:11">
      <c r="A219" s="49" t="s">
        <v>125</v>
      </c>
      <c r="B219" s="61" t="s">
        <v>98</v>
      </c>
      <c r="C219" s="7" t="s">
        <v>370</v>
      </c>
      <c r="D219" s="7">
        <v>1.042</v>
      </c>
      <c r="E219" s="7">
        <v>44</v>
      </c>
      <c r="F219" s="7">
        <f t="shared" si="15"/>
        <v>45.847999999999999</v>
      </c>
      <c r="G219" s="11">
        <v>2692.4934648095477</v>
      </c>
      <c r="H219" s="11">
        <f t="shared" si="16"/>
        <v>123445.44037458814</v>
      </c>
      <c r="I219" s="49" t="s">
        <v>38</v>
      </c>
      <c r="J219" s="18">
        <v>44866</v>
      </c>
      <c r="K219" s="7"/>
    </row>
    <row r="220" spans="1:11">
      <c r="A220" s="49" t="s">
        <v>314</v>
      </c>
      <c r="B220" s="62" t="s">
        <v>315</v>
      </c>
      <c r="C220" s="52" t="s">
        <v>316</v>
      </c>
      <c r="D220" s="49">
        <v>1.3</v>
      </c>
      <c r="E220" s="52">
        <f>200-20-30</f>
        <v>150</v>
      </c>
      <c r="F220" s="49">
        <f t="shared" si="15"/>
        <v>195</v>
      </c>
      <c r="G220" s="53">
        <v>41</v>
      </c>
      <c r="H220" s="53">
        <f t="shared" si="16"/>
        <v>7995</v>
      </c>
      <c r="I220" s="49" t="s">
        <v>351</v>
      </c>
      <c r="J220" s="51">
        <v>44805</v>
      </c>
      <c r="K220" s="49"/>
    </row>
    <row r="221" spans="1:11">
      <c r="A221" s="7" t="s">
        <v>145</v>
      </c>
      <c r="B221" s="16" t="s">
        <v>98</v>
      </c>
      <c r="C221" s="7" t="s">
        <v>37</v>
      </c>
      <c r="D221" s="7">
        <v>1.29</v>
      </c>
      <c r="E221" s="7">
        <v>517</v>
      </c>
      <c r="F221" s="7">
        <f t="shared" si="15"/>
        <v>666.93000000000006</v>
      </c>
      <c r="G221" s="11">
        <v>1369.3876633015673</v>
      </c>
      <c r="H221" s="11">
        <f t="shared" si="16"/>
        <v>913285.71428571432</v>
      </c>
      <c r="I221" s="7" t="s">
        <v>203</v>
      </c>
      <c r="J221" s="18">
        <v>44896</v>
      </c>
      <c r="K221" s="7" t="s">
        <v>371</v>
      </c>
    </row>
    <row r="222" spans="1:11">
      <c r="A222" s="49" t="s">
        <v>108</v>
      </c>
      <c r="B222" s="50" t="s">
        <v>98</v>
      </c>
      <c r="C222" s="7" t="s">
        <v>372</v>
      </c>
      <c r="D222" s="7">
        <v>1.2030000000000001</v>
      </c>
      <c r="E222" s="7">
        <v>50</v>
      </c>
      <c r="F222" s="7">
        <f t="shared" si="15"/>
        <v>60.150000000000006</v>
      </c>
      <c r="G222" s="11">
        <v>1854.9132786012494</v>
      </c>
      <c r="H222" s="11">
        <f t="shared" si="16"/>
        <v>111573.03370786516</v>
      </c>
      <c r="I222" s="49" t="s">
        <v>38</v>
      </c>
      <c r="J222" s="18">
        <v>44896</v>
      </c>
      <c r="K222" s="7"/>
    </row>
    <row r="223" spans="1:11">
      <c r="A223" s="59" t="s">
        <v>201</v>
      </c>
      <c r="B223" s="59" t="s">
        <v>202</v>
      </c>
      <c r="C223" s="7" t="s">
        <v>79</v>
      </c>
      <c r="D223" s="7">
        <v>1.29</v>
      </c>
      <c r="E223" s="7">
        <v>215</v>
      </c>
      <c r="F223" s="7">
        <f t="shared" si="15"/>
        <v>277.35000000000002</v>
      </c>
      <c r="G223" s="13" t="s">
        <v>373</v>
      </c>
      <c r="H223" s="11">
        <v>117071</v>
      </c>
      <c r="I223" s="7" t="s">
        <v>203</v>
      </c>
      <c r="J223" s="18">
        <v>44896</v>
      </c>
      <c r="K223" s="7" t="s">
        <v>374</v>
      </c>
    </row>
    <row r="224" spans="1:11">
      <c r="A224" s="59" t="s">
        <v>201</v>
      </c>
      <c r="B224" s="59" t="s">
        <v>202</v>
      </c>
      <c r="C224" s="7" t="s">
        <v>375</v>
      </c>
      <c r="D224" s="7">
        <v>1.29</v>
      </c>
      <c r="E224" s="7">
        <v>1000</v>
      </c>
      <c r="F224" s="7">
        <f t="shared" si="15"/>
        <v>1290</v>
      </c>
      <c r="G224" s="13" t="s">
        <v>373</v>
      </c>
      <c r="H224" s="11">
        <v>157143</v>
      </c>
      <c r="I224" s="7" t="s">
        <v>203</v>
      </c>
      <c r="J224" s="18">
        <v>44896</v>
      </c>
      <c r="K224" s="7" t="s">
        <v>374</v>
      </c>
    </row>
    <row r="225" spans="1:11">
      <c r="A225" s="59" t="s">
        <v>201</v>
      </c>
      <c r="B225" s="59" t="s">
        <v>202</v>
      </c>
      <c r="C225" s="49" t="s">
        <v>376</v>
      </c>
      <c r="D225" s="49">
        <v>1.29</v>
      </c>
      <c r="E225" s="49">
        <v>1000</v>
      </c>
      <c r="F225" s="49">
        <f t="shared" si="15"/>
        <v>1290</v>
      </c>
      <c r="G225" s="13" t="s">
        <v>373</v>
      </c>
      <c r="H225" s="53">
        <v>157143</v>
      </c>
      <c r="I225" s="7" t="s">
        <v>203</v>
      </c>
      <c r="J225" s="18">
        <v>44896</v>
      </c>
      <c r="K225" s="7" t="s">
        <v>374</v>
      </c>
    </row>
    <row r="226" spans="1:11">
      <c r="A226" s="7" t="s">
        <v>349</v>
      </c>
      <c r="B226" s="59" t="s">
        <v>377</v>
      </c>
      <c r="C226" s="7" t="s">
        <v>30</v>
      </c>
      <c r="D226" s="7">
        <v>1.2</v>
      </c>
      <c r="E226" s="7">
        <v>35</v>
      </c>
      <c r="F226" s="7">
        <f t="shared" si="15"/>
        <v>42</v>
      </c>
      <c r="G226" s="11">
        <v>1148.6566419599715</v>
      </c>
      <c r="H226" s="11">
        <f t="shared" ref="H226:H227" si="17">F226*G226</f>
        <v>48243.578962318803</v>
      </c>
      <c r="I226" s="7" t="s">
        <v>351</v>
      </c>
      <c r="J226" s="18">
        <v>44896</v>
      </c>
      <c r="K226" s="7"/>
    </row>
    <row r="227" spans="1:11">
      <c r="A227" s="7" t="s">
        <v>349</v>
      </c>
      <c r="B227" s="59" t="s">
        <v>377</v>
      </c>
      <c r="C227" s="7" t="s">
        <v>30</v>
      </c>
      <c r="D227" s="7">
        <v>1.2</v>
      </c>
      <c r="E227" s="7">
        <v>40</v>
      </c>
      <c r="F227" s="7">
        <f t="shared" si="15"/>
        <v>48</v>
      </c>
      <c r="G227" s="11">
        <v>1148.6566419599715</v>
      </c>
      <c r="H227" s="11">
        <f t="shared" si="17"/>
        <v>55135.518814078634</v>
      </c>
      <c r="I227" s="7" t="s">
        <v>351</v>
      </c>
      <c r="J227" s="18">
        <v>44896</v>
      </c>
      <c r="K227" s="7"/>
    </row>
    <row r="228" spans="1:11">
      <c r="A228" s="7" t="s">
        <v>349</v>
      </c>
      <c r="B228" s="59" t="s">
        <v>377</v>
      </c>
      <c r="C228" s="7" t="s">
        <v>30</v>
      </c>
      <c r="D228" s="7">
        <v>1.2</v>
      </c>
      <c r="E228" s="7">
        <v>49</v>
      </c>
      <c r="F228" s="7">
        <f>D228*E228</f>
        <v>58.8</v>
      </c>
      <c r="G228" s="11">
        <v>1148.6566419599715</v>
      </c>
      <c r="H228" s="11">
        <f>F228*G228</f>
        <v>67541.010547246318</v>
      </c>
      <c r="I228" s="7" t="s">
        <v>351</v>
      </c>
      <c r="J228" s="18">
        <v>44896</v>
      </c>
      <c r="K228" s="7"/>
    </row>
    <row r="229" spans="1:11">
      <c r="A229" s="7" t="s">
        <v>349</v>
      </c>
      <c r="B229" s="59" t="s">
        <v>377</v>
      </c>
      <c r="C229" s="7" t="s">
        <v>30</v>
      </c>
      <c r="D229" s="7">
        <v>1.2</v>
      </c>
      <c r="E229" s="7">
        <v>50</v>
      </c>
      <c r="F229" s="7">
        <f t="shared" ref="F229:F233" si="18">D229*E229</f>
        <v>60</v>
      </c>
      <c r="G229" s="11">
        <v>1148.6566419599715</v>
      </c>
      <c r="H229" s="11">
        <f t="shared" ref="H229:H233" si="19">F229*G229</f>
        <v>68919.398517598282</v>
      </c>
      <c r="I229" s="7" t="s">
        <v>351</v>
      </c>
      <c r="J229" s="18">
        <v>44896</v>
      </c>
      <c r="K229" s="7"/>
    </row>
    <row r="230" spans="1:11">
      <c r="A230" s="7" t="s">
        <v>349</v>
      </c>
      <c r="B230" s="59" t="s">
        <v>378</v>
      </c>
      <c r="C230" s="7" t="s">
        <v>30</v>
      </c>
      <c r="D230" s="7">
        <v>1.2</v>
      </c>
      <c r="E230" s="7">
        <v>30</v>
      </c>
      <c r="F230" s="7">
        <f t="shared" si="18"/>
        <v>36</v>
      </c>
      <c r="G230" s="11">
        <v>1144.5574314572675</v>
      </c>
      <c r="H230" s="11">
        <f t="shared" si="19"/>
        <v>41204.067532461631</v>
      </c>
      <c r="I230" s="7" t="s">
        <v>351</v>
      </c>
      <c r="J230" s="18">
        <v>44896</v>
      </c>
      <c r="K230" s="7"/>
    </row>
    <row r="231" spans="1:11">
      <c r="A231" s="7" t="s">
        <v>349</v>
      </c>
      <c r="B231" s="59" t="s">
        <v>378</v>
      </c>
      <c r="C231" s="7" t="s">
        <v>30</v>
      </c>
      <c r="D231" s="7">
        <v>1.2</v>
      </c>
      <c r="E231" s="7">
        <v>39.5</v>
      </c>
      <c r="F231" s="7">
        <f t="shared" si="18"/>
        <v>47.4</v>
      </c>
      <c r="G231" s="11">
        <v>1144.5574314572675</v>
      </c>
      <c r="H231" s="11">
        <f t="shared" si="19"/>
        <v>54252.022251074479</v>
      </c>
      <c r="I231" s="7" t="s">
        <v>351</v>
      </c>
      <c r="J231" s="18">
        <v>44896</v>
      </c>
      <c r="K231" s="7"/>
    </row>
    <row r="232" spans="1:11">
      <c r="A232" s="7" t="s">
        <v>379</v>
      </c>
      <c r="B232" s="59" t="s">
        <v>378</v>
      </c>
      <c r="C232" s="7" t="s">
        <v>30</v>
      </c>
      <c r="D232" s="7">
        <v>1.2</v>
      </c>
      <c r="E232" s="7">
        <v>50</v>
      </c>
      <c r="F232" s="7">
        <f t="shared" si="18"/>
        <v>60</v>
      </c>
      <c r="G232" s="11">
        <v>1144.5574314572675</v>
      </c>
      <c r="H232" s="11">
        <f t="shared" si="19"/>
        <v>68673.445887436057</v>
      </c>
      <c r="I232" s="49" t="s">
        <v>351</v>
      </c>
      <c r="J232" s="18">
        <v>44896</v>
      </c>
      <c r="K232" s="7"/>
    </row>
    <row r="233" spans="1:11">
      <c r="A233" s="49" t="s">
        <v>379</v>
      </c>
      <c r="B233" s="62" t="s">
        <v>378</v>
      </c>
      <c r="C233" s="49" t="s">
        <v>380</v>
      </c>
      <c r="D233" s="49">
        <v>1.2</v>
      </c>
      <c r="E233" s="49">
        <v>49</v>
      </c>
      <c r="F233" s="49">
        <f t="shared" si="18"/>
        <v>58.8</v>
      </c>
      <c r="G233" s="53">
        <v>727.89076479060077</v>
      </c>
      <c r="H233" s="53">
        <f t="shared" si="19"/>
        <v>42799.976969687326</v>
      </c>
      <c r="I233" s="49" t="s">
        <v>351</v>
      </c>
      <c r="J233" s="18">
        <v>44896</v>
      </c>
      <c r="K233" s="49"/>
    </row>
    <row r="234" spans="1:11">
      <c r="A234" s="7" t="s">
        <v>145</v>
      </c>
      <c r="B234" s="16" t="s">
        <v>98</v>
      </c>
      <c r="C234" s="7" t="s">
        <v>53</v>
      </c>
      <c r="D234" s="7">
        <v>1.28</v>
      </c>
      <c r="E234" s="7">
        <v>510</v>
      </c>
      <c r="F234" s="7">
        <f t="shared" ref="F234:F236" si="20">D234*E234</f>
        <v>652.80000000000007</v>
      </c>
      <c r="G234" s="11">
        <v>1494.2565773540775</v>
      </c>
      <c r="H234" s="11">
        <f t="shared" ref="H234" si="21">F234*G234</f>
        <v>975450.69369674195</v>
      </c>
      <c r="I234" s="7" t="s">
        <v>203</v>
      </c>
      <c r="J234" s="69">
        <v>44927</v>
      </c>
      <c r="K234" s="7" t="s">
        <v>384</v>
      </c>
    </row>
    <row r="235" spans="1:11">
      <c r="A235" s="7" t="s">
        <v>336</v>
      </c>
      <c r="B235" s="7" t="s">
        <v>315</v>
      </c>
      <c r="C235" s="7" t="s">
        <v>65</v>
      </c>
      <c r="D235" s="7">
        <v>1.28</v>
      </c>
      <c r="E235" s="7">
        <v>2450</v>
      </c>
      <c r="F235" s="7">
        <f t="shared" si="20"/>
        <v>3136</v>
      </c>
      <c r="G235" s="11">
        <v>563.20000000000005</v>
      </c>
      <c r="H235" s="11">
        <f>E235*G235</f>
        <v>1379840</v>
      </c>
      <c r="I235" s="7" t="s">
        <v>203</v>
      </c>
      <c r="J235" s="69" t="s">
        <v>383</v>
      </c>
      <c r="K235" s="7" t="s">
        <v>385</v>
      </c>
    </row>
    <row r="236" spans="1:11">
      <c r="A236" s="7" t="s">
        <v>336</v>
      </c>
      <c r="B236" s="7" t="s">
        <v>315</v>
      </c>
      <c r="C236" s="7" t="s">
        <v>66</v>
      </c>
      <c r="D236" s="7">
        <v>1.28</v>
      </c>
      <c r="E236" s="7">
        <v>2800</v>
      </c>
      <c r="F236" s="7">
        <f t="shared" si="20"/>
        <v>3584</v>
      </c>
      <c r="G236" s="11">
        <v>563.20000000000005</v>
      </c>
      <c r="H236" s="11">
        <f>E236*G236</f>
        <v>1576960.0000000002</v>
      </c>
      <c r="I236" s="7" t="s">
        <v>203</v>
      </c>
      <c r="J236" s="69" t="s">
        <v>383</v>
      </c>
      <c r="K236" s="7" t="s">
        <v>385</v>
      </c>
    </row>
    <row r="237" spans="1:11">
      <c r="A237" s="7" t="s">
        <v>420</v>
      </c>
      <c r="B237" s="16" t="s">
        <v>98</v>
      </c>
      <c r="C237" s="49" t="s">
        <v>53</v>
      </c>
      <c r="D237" s="49">
        <v>1.28</v>
      </c>
      <c r="E237" s="49">
        <v>510</v>
      </c>
      <c r="F237" s="49">
        <f t="shared" ref="F237" si="22">D237*E237</f>
        <v>652.80000000000007</v>
      </c>
      <c r="G237" s="11">
        <v>1494.2565773540775</v>
      </c>
      <c r="H237" s="53">
        <f t="shared" ref="H237" si="23">F237*G237</f>
        <v>975450.69369674195</v>
      </c>
      <c r="I237" s="7" t="s">
        <v>203</v>
      </c>
      <c r="J237" s="69" t="s">
        <v>383</v>
      </c>
      <c r="K237" s="49"/>
    </row>
    <row r="238" spans="1:11">
      <c r="A238" s="19" t="s">
        <v>97</v>
      </c>
      <c r="B238" s="20" t="s">
        <v>101</v>
      </c>
      <c r="C238" s="56" t="s">
        <v>199</v>
      </c>
      <c r="D238" s="56">
        <v>1.25</v>
      </c>
      <c r="E238" s="56">
        <v>25</v>
      </c>
      <c r="F238" s="56">
        <f>D238*E238</f>
        <v>31.25</v>
      </c>
      <c r="G238" s="57">
        <v>1099.5225721795628</v>
      </c>
      <c r="H238" s="57">
        <f>F238*G238</f>
        <v>34360.080380611333</v>
      </c>
      <c r="I238" s="19" t="s">
        <v>34</v>
      </c>
      <c r="J238" s="24">
        <v>44652</v>
      </c>
      <c r="K238" s="49" t="s">
        <v>438</v>
      </c>
    </row>
    <row r="239" spans="1:11">
      <c r="A239" s="56" t="s">
        <v>440</v>
      </c>
      <c r="B239" s="91" t="s">
        <v>149</v>
      </c>
      <c r="C239" s="56" t="s">
        <v>439</v>
      </c>
      <c r="D239" s="56">
        <v>1.042</v>
      </c>
      <c r="E239" s="56">
        <v>26.5</v>
      </c>
      <c r="F239" s="56">
        <f>D239*E239</f>
        <v>27.613</v>
      </c>
      <c r="G239" s="22">
        <v>3456.397916791369</v>
      </c>
      <c r="H239" s="57">
        <f>F239*G239</f>
        <v>95441.515676360068</v>
      </c>
      <c r="I239" s="19" t="s">
        <v>34</v>
      </c>
      <c r="J239" s="24">
        <v>44805</v>
      </c>
      <c r="K239" s="49" t="s">
        <v>441</v>
      </c>
    </row>
    <row r="240" spans="1:11">
      <c r="A240" s="49" t="s">
        <v>108</v>
      </c>
      <c r="B240" s="50" t="s">
        <v>98</v>
      </c>
      <c r="C240" s="7" t="s">
        <v>453</v>
      </c>
      <c r="D240" s="7">
        <v>1.02</v>
      </c>
      <c r="E240" s="7">
        <v>50</v>
      </c>
      <c r="F240" s="7">
        <f t="shared" ref="F240:F249" si="24">D240*E240</f>
        <v>51</v>
      </c>
      <c r="G240" s="11">
        <v>3089.7395087162581</v>
      </c>
      <c r="H240" s="11">
        <f t="shared" ref="H240:H249" si="25">F240*G240</f>
        <v>157576.71494452917</v>
      </c>
      <c r="I240" s="49" t="s">
        <v>38</v>
      </c>
      <c r="J240" s="69">
        <v>44927</v>
      </c>
      <c r="K240" s="7"/>
    </row>
    <row r="241" spans="1:11">
      <c r="A241" s="49" t="s">
        <v>108</v>
      </c>
      <c r="B241" s="50" t="s">
        <v>98</v>
      </c>
      <c r="C241" s="7" t="s">
        <v>424</v>
      </c>
      <c r="D241" s="7">
        <v>1.02</v>
      </c>
      <c r="E241" s="7">
        <v>50</v>
      </c>
      <c r="F241" s="7">
        <f t="shared" si="24"/>
        <v>51</v>
      </c>
      <c r="G241" s="11">
        <v>3089.7395087162581</v>
      </c>
      <c r="H241" s="11">
        <f t="shared" si="25"/>
        <v>157576.71494452917</v>
      </c>
      <c r="I241" s="49" t="s">
        <v>38</v>
      </c>
      <c r="J241" s="69">
        <v>44927</v>
      </c>
      <c r="K241" s="7"/>
    </row>
    <row r="242" spans="1:11">
      <c r="A242" s="49" t="s">
        <v>108</v>
      </c>
      <c r="B242" s="50" t="s">
        <v>98</v>
      </c>
      <c r="C242" s="7" t="s">
        <v>425</v>
      </c>
      <c r="D242" s="7">
        <v>1.02</v>
      </c>
      <c r="E242" s="7">
        <v>50</v>
      </c>
      <c r="F242" s="7">
        <f t="shared" si="24"/>
        <v>51</v>
      </c>
      <c r="G242" s="11">
        <v>3089.7395087162581</v>
      </c>
      <c r="H242" s="11">
        <f t="shared" si="25"/>
        <v>157576.71494452917</v>
      </c>
      <c r="I242" s="49" t="s">
        <v>38</v>
      </c>
      <c r="J242" s="69">
        <v>44927</v>
      </c>
      <c r="K242" s="7"/>
    </row>
    <row r="243" spans="1:11">
      <c r="A243" s="49" t="s">
        <v>108</v>
      </c>
      <c r="B243" s="50" t="s">
        <v>98</v>
      </c>
      <c r="C243" s="7" t="s">
        <v>426</v>
      </c>
      <c r="D243" s="7">
        <v>1.02</v>
      </c>
      <c r="E243" s="7">
        <v>50</v>
      </c>
      <c r="F243" s="7">
        <f t="shared" si="24"/>
        <v>51</v>
      </c>
      <c r="G243" s="11">
        <v>3089.7395087162581</v>
      </c>
      <c r="H243" s="11">
        <f t="shared" si="25"/>
        <v>157576.71494452917</v>
      </c>
      <c r="I243" s="49" t="s">
        <v>38</v>
      </c>
      <c r="J243" s="69">
        <v>44927</v>
      </c>
      <c r="K243" s="7"/>
    </row>
    <row r="244" spans="1:11">
      <c r="A244" s="49" t="s">
        <v>108</v>
      </c>
      <c r="B244" s="50" t="s">
        <v>98</v>
      </c>
      <c r="C244" s="7" t="s">
        <v>427</v>
      </c>
      <c r="D244" s="7">
        <v>1.02</v>
      </c>
      <c r="E244" s="7">
        <v>50</v>
      </c>
      <c r="F244" s="7">
        <f t="shared" si="24"/>
        <v>51</v>
      </c>
      <c r="G244" s="11">
        <v>3089.7395087162581</v>
      </c>
      <c r="H244" s="11">
        <f t="shared" si="25"/>
        <v>157576.71494452917</v>
      </c>
      <c r="I244" s="49" t="s">
        <v>38</v>
      </c>
      <c r="J244" s="69">
        <v>44927</v>
      </c>
      <c r="K244" s="7"/>
    </row>
    <row r="245" spans="1:11">
      <c r="A245" s="49" t="s">
        <v>108</v>
      </c>
      <c r="B245" s="50" t="s">
        <v>98</v>
      </c>
      <c r="C245" s="7" t="s">
        <v>428</v>
      </c>
      <c r="D245" s="7">
        <v>1.02</v>
      </c>
      <c r="E245" s="7">
        <v>50</v>
      </c>
      <c r="F245" s="7">
        <f t="shared" si="24"/>
        <v>51</v>
      </c>
      <c r="G245" s="11">
        <v>3089.7395087162581</v>
      </c>
      <c r="H245" s="11">
        <f t="shared" si="25"/>
        <v>157576.71494452917</v>
      </c>
      <c r="I245" s="49" t="s">
        <v>38</v>
      </c>
      <c r="J245" s="69">
        <v>44927</v>
      </c>
      <c r="K245" s="7"/>
    </row>
    <row r="246" spans="1:11">
      <c r="A246" s="49" t="s">
        <v>108</v>
      </c>
      <c r="B246" s="50" t="s">
        <v>98</v>
      </c>
      <c r="C246" s="7" t="s">
        <v>429</v>
      </c>
      <c r="D246" s="7">
        <v>1.02</v>
      </c>
      <c r="E246" s="7">
        <v>50</v>
      </c>
      <c r="F246" s="7">
        <f t="shared" si="24"/>
        <v>51</v>
      </c>
      <c r="G246" s="11">
        <v>3089.7395087162581</v>
      </c>
      <c r="H246" s="11">
        <f t="shared" si="25"/>
        <v>157576.71494452917</v>
      </c>
      <c r="I246" s="49" t="s">
        <v>38</v>
      </c>
      <c r="J246" s="69">
        <v>44927</v>
      </c>
      <c r="K246" s="7"/>
    </row>
    <row r="247" spans="1:11">
      <c r="A247" s="49" t="s">
        <v>108</v>
      </c>
      <c r="B247" s="50" t="s">
        <v>98</v>
      </c>
      <c r="C247" s="7" t="s">
        <v>430</v>
      </c>
      <c r="D247" s="7">
        <v>1.02</v>
      </c>
      <c r="E247" s="7">
        <v>50</v>
      </c>
      <c r="F247" s="7">
        <f t="shared" si="24"/>
        <v>51</v>
      </c>
      <c r="G247" s="11">
        <v>3089.7395087162581</v>
      </c>
      <c r="H247" s="11">
        <f t="shared" si="25"/>
        <v>157576.71494452917</v>
      </c>
      <c r="I247" s="49" t="s">
        <v>38</v>
      </c>
      <c r="J247" s="69">
        <v>44927</v>
      </c>
      <c r="K247" s="7"/>
    </row>
    <row r="248" spans="1:11">
      <c r="A248" s="49" t="s">
        <v>108</v>
      </c>
      <c r="B248" s="50" t="s">
        <v>98</v>
      </c>
      <c r="C248" s="7" t="s">
        <v>431</v>
      </c>
      <c r="D248" s="7">
        <v>1.02</v>
      </c>
      <c r="E248" s="7">
        <v>39</v>
      </c>
      <c r="F248" s="7">
        <f t="shared" si="24"/>
        <v>39.78</v>
      </c>
      <c r="G248" s="11">
        <v>3089.7395087162586</v>
      </c>
      <c r="H248" s="11">
        <f t="shared" si="25"/>
        <v>122909.83765673277</v>
      </c>
      <c r="I248" s="49" t="s">
        <v>38</v>
      </c>
      <c r="J248" s="69">
        <v>44927</v>
      </c>
      <c r="K248" s="7"/>
    </row>
    <row r="249" spans="1:11">
      <c r="A249" s="49" t="s">
        <v>108</v>
      </c>
      <c r="B249" s="50" t="s">
        <v>98</v>
      </c>
      <c r="C249" s="49" t="s">
        <v>432</v>
      </c>
      <c r="D249" s="49">
        <v>1.02</v>
      </c>
      <c r="E249" s="49">
        <v>32.5</v>
      </c>
      <c r="F249" s="49">
        <f t="shared" si="24"/>
        <v>33.15</v>
      </c>
      <c r="G249" s="53">
        <v>3089.7395087162586</v>
      </c>
      <c r="H249" s="53">
        <f t="shared" si="25"/>
        <v>102424.86471394397</v>
      </c>
      <c r="I249" s="49" t="s">
        <v>38</v>
      </c>
      <c r="J249" s="69">
        <v>44927</v>
      </c>
      <c r="K249" s="49"/>
    </row>
  </sheetData>
  <phoneticPr fontId="2"/>
  <pageMargins left="0.7" right="0.7" top="0.75" bottom="0.75" header="0.3" footer="0.3"/>
  <pageSetup paperSize="9" scale="19" orientation="landscape"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35E7-0F4A-489D-B0BC-54917B26784E}">
  <dimension ref="A1:J27"/>
  <sheetViews>
    <sheetView workbookViewId="0">
      <pane ySplit="1" topLeftCell="A5" activePane="bottomLeft" state="frozen"/>
      <selection pane="bottomLeft" activeCell="G26" sqref="G26:G27"/>
    </sheetView>
  </sheetViews>
  <sheetFormatPr defaultRowHeight="16.5"/>
  <cols>
    <col min="1" max="1" width="10.1640625" style="3" bestFit="1" customWidth="1"/>
    <col min="2" max="2" width="33.4140625" style="1" bestFit="1" customWidth="1"/>
    <col min="3" max="3" width="34.33203125" style="1" bestFit="1" customWidth="1"/>
    <col min="4" max="5" width="8.6640625" style="1"/>
    <col min="6" max="6" width="23.75" style="4" bestFit="1" customWidth="1"/>
    <col min="7" max="7" width="8.6640625" style="2"/>
    <col min="8" max="8" width="10.58203125" style="1" customWidth="1"/>
    <col min="9" max="9" width="10" style="2" bestFit="1" customWidth="1"/>
    <col min="10" max="10" width="57.5" style="1" bestFit="1" customWidth="1"/>
    <col min="11" max="16384" width="8.6640625" style="1"/>
  </cols>
  <sheetData>
    <row r="1" spans="1:10" ht="33">
      <c r="A1" s="63" t="s">
        <v>43</v>
      </c>
      <c r="B1" s="64" t="s">
        <v>1</v>
      </c>
      <c r="C1" s="65" t="s">
        <v>2</v>
      </c>
      <c r="D1" s="64" t="s">
        <v>3</v>
      </c>
      <c r="E1" s="66" t="s">
        <v>4</v>
      </c>
      <c r="F1" s="65" t="s">
        <v>44</v>
      </c>
      <c r="G1" s="67" t="s">
        <v>6</v>
      </c>
      <c r="H1" s="65" t="s">
        <v>7</v>
      </c>
      <c r="I1" s="67" t="s">
        <v>8</v>
      </c>
      <c r="J1" s="65" t="s">
        <v>11</v>
      </c>
    </row>
    <row r="2" spans="1:10">
      <c r="A2" s="70">
        <v>44213</v>
      </c>
      <c r="B2" s="7" t="s">
        <v>52</v>
      </c>
      <c r="C2" s="7" t="s">
        <v>54</v>
      </c>
      <c r="D2" s="7">
        <v>1.06</v>
      </c>
      <c r="E2" s="7">
        <v>139</v>
      </c>
      <c r="F2" s="12" t="s">
        <v>24</v>
      </c>
      <c r="G2" s="11">
        <v>1804.3853009558673</v>
      </c>
      <c r="H2" s="7">
        <f>テーブル3[[#This Row],[幅
(m)]]*テーブル3[[#This Row],[長さ
(m)]]</f>
        <v>147.34</v>
      </c>
      <c r="I2" s="11">
        <f>テーブル3[[#This Row],[単価
(円/㎡)]]*テーブル3[[#This Row],[総面積(㎡)]]</f>
        <v>265858.13024283748</v>
      </c>
      <c r="J2" s="7" t="s">
        <v>55</v>
      </c>
    </row>
    <row r="3" spans="1:10">
      <c r="A3" s="70">
        <v>44213</v>
      </c>
      <c r="B3" s="7" t="s">
        <v>53</v>
      </c>
      <c r="C3" s="7" t="s">
        <v>54</v>
      </c>
      <c r="D3" s="7">
        <v>1.28</v>
      </c>
      <c r="E3" s="7">
        <v>510</v>
      </c>
      <c r="F3" s="12" t="s">
        <v>24</v>
      </c>
      <c r="G3" s="11">
        <v>1494.2565773540775</v>
      </c>
      <c r="H3" s="7">
        <f>テーブル3[[#This Row],[幅
(m)]]*テーブル3[[#This Row],[長さ
(m)]]</f>
        <v>652.80000000000007</v>
      </c>
      <c r="I3" s="11">
        <f>テーブル3[[#This Row],[単価
(円/㎡)]]*テーブル3[[#This Row],[総面積(㎡)]]</f>
        <v>975450.69369674195</v>
      </c>
      <c r="J3" s="7" t="s">
        <v>55</v>
      </c>
    </row>
    <row r="4" spans="1:10">
      <c r="A4" s="70">
        <v>44950</v>
      </c>
      <c r="B4" s="7" t="s">
        <v>65</v>
      </c>
      <c r="C4" s="7" t="s">
        <v>67</v>
      </c>
      <c r="D4" s="7">
        <v>1.28</v>
      </c>
      <c r="E4" s="7">
        <v>2450</v>
      </c>
      <c r="F4" s="12" t="s">
        <v>68</v>
      </c>
      <c r="G4" s="11">
        <v>563.20000000000005</v>
      </c>
      <c r="H4" s="7">
        <f>テーブル3[[#This Row],[幅
(m)]]*テーブル3[[#This Row],[長さ
(m)]]</f>
        <v>3136</v>
      </c>
      <c r="I4" s="11">
        <f>テーブル3[[#This Row],[長さ
(m)]]*テーブル3[[#This Row],[単価
(円/㎡)]]</f>
        <v>1379840</v>
      </c>
      <c r="J4" s="7" t="s">
        <v>69</v>
      </c>
    </row>
    <row r="5" spans="1:10">
      <c r="A5" s="70">
        <v>44950</v>
      </c>
      <c r="B5" s="7" t="s">
        <v>66</v>
      </c>
      <c r="C5" s="7" t="s">
        <v>67</v>
      </c>
      <c r="D5" s="7">
        <v>1.28</v>
      </c>
      <c r="E5" s="7">
        <v>2800</v>
      </c>
      <c r="F5" s="12" t="s">
        <v>68</v>
      </c>
      <c r="G5" s="11">
        <v>563.20000000000005</v>
      </c>
      <c r="H5" s="7">
        <f>テーブル3[[#This Row],[幅
(m)]]*テーブル3[[#This Row],[長さ
(m)]]</f>
        <v>3584</v>
      </c>
      <c r="I5" s="11">
        <f>テーブル3[[#This Row],[長さ
(m)]]*テーブル3[[#This Row],[単価
(円/㎡)]]</f>
        <v>1576960.0000000002</v>
      </c>
      <c r="J5" s="7" t="s">
        <v>69</v>
      </c>
    </row>
    <row r="6" spans="1:10">
      <c r="A6" s="70">
        <v>44956</v>
      </c>
      <c r="B6" s="29" t="s">
        <v>400</v>
      </c>
      <c r="C6" s="29" t="s">
        <v>84</v>
      </c>
      <c r="D6" s="7">
        <v>1.02</v>
      </c>
      <c r="E6" s="7">
        <v>10</v>
      </c>
      <c r="F6" s="12" t="s">
        <v>418</v>
      </c>
      <c r="G6" s="11">
        <v>3764.648340454703</v>
      </c>
      <c r="H6" s="7">
        <f>テーブル3[[#This Row],[幅
(m)]]*テーブル3[[#This Row],[長さ
(m)]]</f>
        <v>10.199999999999999</v>
      </c>
      <c r="I6" s="11">
        <f>テーブル3[[#This Row],[単価
(円/㎡)]]*テーブル3[[#This Row],[総面積(㎡)]]</f>
        <v>38399.413072637966</v>
      </c>
      <c r="J6" s="7" t="s">
        <v>69</v>
      </c>
    </row>
    <row r="7" spans="1:10">
      <c r="A7" s="70">
        <v>44956</v>
      </c>
      <c r="B7" s="29" t="s">
        <v>401</v>
      </c>
      <c r="C7" s="29" t="s">
        <v>84</v>
      </c>
      <c r="D7" s="7">
        <v>1.02</v>
      </c>
      <c r="E7" s="7">
        <v>10</v>
      </c>
      <c r="F7" s="12" t="s">
        <v>418</v>
      </c>
      <c r="G7" s="11">
        <v>3764.648340454703</v>
      </c>
      <c r="H7" s="7">
        <f>テーブル3[[#This Row],[幅
(m)]]*テーブル3[[#This Row],[長さ
(m)]]</f>
        <v>10.199999999999999</v>
      </c>
      <c r="I7" s="11">
        <f>テーブル3[[#This Row],[単価
(円/㎡)]]*テーブル3[[#This Row],[総面積(㎡)]]</f>
        <v>38399.413072637966</v>
      </c>
      <c r="J7" s="7" t="s">
        <v>69</v>
      </c>
    </row>
    <row r="8" spans="1:10">
      <c r="A8" s="70">
        <v>44956</v>
      </c>
      <c r="B8" s="29" t="s">
        <v>402</v>
      </c>
      <c r="C8" s="29" t="s">
        <v>84</v>
      </c>
      <c r="D8" s="7">
        <v>1.02</v>
      </c>
      <c r="E8" s="7">
        <v>10</v>
      </c>
      <c r="F8" s="12" t="s">
        <v>418</v>
      </c>
      <c r="G8" s="11">
        <v>3764.648340454703</v>
      </c>
      <c r="H8" s="7">
        <f>テーブル3[[#This Row],[幅
(m)]]*テーブル3[[#This Row],[長さ
(m)]]</f>
        <v>10.199999999999999</v>
      </c>
      <c r="I8" s="11">
        <f>テーブル3[[#This Row],[単価
(円/㎡)]]*テーブル3[[#This Row],[総面積(㎡)]]</f>
        <v>38399.413072637966</v>
      </c>
      <c r="J8" s="7" t="s">
        <v>69</v>
      </c>
    </row>
    <row r="9" spans="1:10">
      <c r="A9" s="70">
        <v>44956</v>
      </c>
      <c r="B9" s="29" t="s">
        <v>403</v>
      </c>
      <c r="C9" s="29" t="s">
        <v>84</v>
      </c>
      <c r="D9" s="7">
        <v>1.02</v>
      </c>
      <c r="E9" s="7">
        <v>10</v>
      </c>
      <c r="F9" s="12" t="s">
        <v>418</v>
      </c>
      <c r="G9" s="11">
        <v>3764.648340454703</v>
      </c>
      <c r="H9" s="7">
        <f>テーブル3[[#This Row],[幅
(m)]]*テーブル3[[#This Row],[長さ
(m)]]</f>
        <v>10.199999999999999</v>
      </c>
      <c r="I9" s="11">
        <f>テーブル3[[#This Row],[単価
(円/㎡)]]*テーブル3[[#This Row],[総面積(㎡)]]</f>
        <v>38399.413072637966</v>
      </c>
      <c r="J9" s="7" t="s">
        <v>69</v>
      </c>
    </row>
    <row r="10" spans="1:10">
      <c r="A10" s="70">
        <v>44956</v>
      </c>
      <c r="B10" s="29" t="s">
        <v>404</v>
      </c>
      <c r="C10" s="29" t="s">
        <v>84</v>
      </c>
      <c r="D10" s="7">
        <v>1.02</v>
      </c>
      <c r="E10" s="7">
        <v>10</v>
      </c>
      <c r="F10" s="12" t="s">
        <v>418</v>
      </c>
      <c r="G10" s="11">
        <v>3764.648340454703</v>
      </c>
      <c r="H10" s="7">
        <f>テーブル3[[#This Row],[幅
(m)]]*テーブル3[[#This Row],[長さ
(m)]]</f>
        <v>10.199999999999999</v>
      </c>
      <c r="I10" s="11">
        <f>テーブル3[[#This Row],[単価
(円/㎡)]]*テーブル3[[#This Row],[総面積(㎡)]]</f>
        <v>38399.413072637966</v>
      </c>
      <c r="J10" s="7" t="s">
        <v>69</v>
      </c>
    </row>
    <row r="11" spans="1:10">
      <c r="A11" s="70">
        <v>44956</v>
      </c>
      <c r="B11" s="29" t="s">
        <v>405</v>
      </c>
      <c r="C11" s="29" t="s">
        <v>84</v>
      </c>
      <c r="D11" s="7">
        <v>1.02</v>
      </c>
      <c r="E11" s="7">
        <v>10</v>
      </c>
      <c r="F11" s="12" t="s">
        <v>418</v>
      </c>
      <c r="G11" s="11">
        <v>3764.648340454703</v>
      </c>
      <c r="H11" s="7">
        <f>テーブル3[[#This Row],[幅
(m)]]*テーブル3[[#This Row],[長さ
(m)]]</f>
        <v>10.199999999999999</v>
      </c>
      <c r="I11" s="11">
        <f>テーブル3[[#This Row],[単価
(円/㎡)]]*テーブル3[[#This Row],[総面積(㎡)]]</f>
        <v>38399.413072637966</v>
      </c>
      <c r="J11" s="7" t="s">
        <v>69</v>
      </c>
    </row>
    <row r="12" spans="1:10">
      <c r="A12" s="70">
        <v>44956</v>
      </c>
      <c r="B12" s="29" t="s">
        <v>406</v>
      </c>
      <c r="C12" s="29" t="s">
        <v>84</v>
      </c>
      <c r="D12" s="7">
        <v>1.02</v>
      </c>
      <c r="E12" s="7">
        <v>10</v>
      </c>
      <c r="F12" s="12" t="s">
        <v>418</v>
      </c>
      <c r="G12" s="11">
        <v>3764.648340454703</v>
      </c>
      <c r="H12" s="7">
        <f>テーブル3[[#This Row],[幅
(m)]]*テーブル3[[#This Row],[長さ
(m)]]</f>
        <v>10.199999999999999</v>
      </c>
      <c r="I12" s="11">
        <f>テーブル3[[#This Row],[単価
(円/㎡)]]*テーブル3[[#This Row],[総面積(㎡)]]</f>
        <v>38399.413072637966</v>
      </c>
      <c r="J12" s="7" t="s">
        <v>69</v>
      </c>
    </row>
    <row r="13" spans="1:10">
      <c r="A13" s="70">
        <v>44956</v>
      </c>
      <c r="B13" s="29" t="s">
        <v>407</v>
      </c>
      <c r="C13" s="29" t="s">
        <v>84</v>
      </c>
      <c r="D13" s="7">
        <v>1.02</v>
      </c>
      <c r="E13" s="7">
        <v>10</v>
      </c>
      <c r="F13" s="12" t="s">
        <v>418</v>
      </c>
      <c r="G13" s="11">
        <v>3764.648340454703</v>
      </c>
      <c r="H13" s="7">
        <f>テーブル3[[#This Row],[幅
(m)]]*テーブル3[[#This Row],[長さ
(m)]]</f>
        <v>10.199999999999999</v>
      </c>
      <c r="I13" s="11">
        <f>テーブル3[[#This Row],[単価
(円/㎡)]]*テーブル3[[#This Row],[総面積(㎡)]]</f>
        <v>38399.413072637966</v>
      </c>
      <c r="J13" s="7" t="s">
        <v>69</v>
      </c>
    </row>
    <row r="14" spans="1:10">
      <c r="A14" s="70">
        <v>44956</v>
      </c>
      <c r="B14" s="29" t="s">
        <v>408</v>
      </c>
      <c r="C14" s="29" t="s">
        <v>84</v>
      </c>
      <c r="D14" s="7">
        <v>1.02</v>
      </c>
      <c r="E14" s="7">
        <v>10</v>
      </c>
      <c r="F14" s="12" t="s">
        <v>418</v>
      </c>
      <c r="G14" s="11">
        <v>3764.648340454703</v>
      </c>
      <c r="H14" s="7">
        <f>テーブル3[[#This Row],[幅
(m)]]*テーブル3[[#This Row],[長さ
(m)]]</f>
        <v>10.199999999999999</v>
      </c>
      <c r="I14" s="11">
        <f>テーブル3[[#This Row],[単価
(円/㎡)]]*テーブル3[[#This Row],[総面積(㎡)]]</f>
        <v>38399.413072637966</v>
      </c>
      <c r="J14" s="7" t="s">
        <v>69</v>
      </c>
    </row>
    <row r="15" spans="1:10">
      <c r="A15" s="70">
        <v>44956</v>
      </c>
      <c r="B15" s="29" t="s">
        <v>409</v>
      </c>
      <c r="C15" s="29" t="s">
        <v>84</v>
      </c>
      <c r="D15" s="7">
        <v>1.02</v>
      </c>
      <c r="E15" s="7">
        <v>5.7</v>
      </c>
      <c r="F15" s="12" t="s">
        <v>418</v>
      </c>
      <c r="G15" s="11">
        <v>3764.6483404547025</v>
      </c>
      <c r="H15" s="7">
        <f>テーブル3[[#This Row],[幅
(m)]]*テーブル3[[#This Row],[長さ
(m)]]</f>
        <v>5.8140000000000001</v>
      </c>
      <c r="I15" s="11">
        <f>テーブル3[[#This Row],[単価
(円/㎡)]]*テーブル3[[#This Row],[総面積(㎡)]]</f>
        <v>21887.665451403642</v>
      </c>
      <c r="J15" s="7" t="s">
        <v>69</v>
      </c>
    </row>
    <row r="16" spans="1:10">
      <c r="A16" s="84">
        <v>44952</v>
      </c>
      <c r="B16" s="82" t="s">
        <v>423</v>
      </c>
      <c r="C16" s="49" t="s">
        <v>433</v>
      </c>
      <c r="D16" s="49">
        <v>1.02</v>
      </c>
      <c r="E16" s="49">
        <v>50</v>
      </c>
      <c r="F16" s="86" t="s">
        <v>38</v>
      </c>
      <c r="G16" s="53">
        <v>3089.7395087162581</v>
      </c>
      <c r="H16" s="49">
        <f>テーブル3[[#This Row],[幅
(m)]]*テーブル3[[#This Row],[長さ
(m)]]</f>
        <v>51</v>
      </c>
      <c r="I16" s="11">
        <f>テーブル3[[#This Row],[単価
(円/㎡)]]*テーブル3[[#This Row],[総面積(㎡)]]</f>
        <v>157576.71494452917</v>
      </c>
      <c r="J16" s="49"/>
    </row>
    <row r="17" spans="1:10">
      <c r="A17" s="84">
        <v>44952</v>
      </c>
      <c r="B17" s="82" t="s">
        <v>424</v>
      </c>
      <c r="C17" s="7" t="s">
        <v>433</v>
      </c>
      <c r="D17" s="7">
        <v>1.02</v>
      </c>
      <c r="E17" s="7">
        <v>50</v>
      </c>
      <c r="F17" s="86" t="s">
        <v>38</v>
      </c>
      <c r="G17" s="11">
        <v>3089.7395087162581</v>
      </c>
      <c r="H17" s="7">
        <f>テーブル3[[#This Row],[幅
(m)]]*テーブル3[[#This Row],[長さ
(m)]]</f>
        <v>51</v>
      </c>
      <c r="I17" s="11">
        <f>テーブル3[[#This Row],[単価
(円/㎡)]]*テーブル3[[#This Row],[総面積(㎡)]]</f>
        <v>157576.71494452917</v>
      </c>
      <c r="J17" s="7"/>
    </row>
    <row r="18" spans="1:10">
      <c r="A18" s="84">
        <v>44952</v>
      </c>
      <c r="B18" s="82" t="s">
        <v>425</v>
      </c>
      <c r="C18" s="7" t="s">
        <v>433</v>
      </c>
      <c r="D18" s="7">
        <v>1.02</v>
      </c>
      <c r="E18" s="7">
        <v>50</v>
      </c>
      <c r="F18" s="86" t="s">
        <v>38</v>
      </c>
      <c r="G18" s="11">
        <v>3089.7395087162581</v>
      </c>
      <c r="H18" s="7">
        <f>テーブル3[[#This Row],[幅
(m)]]*テーブル3[[#This Row],[長さ
(m)]]</f>
        <v>51</v>
      </c>
      <c r="I18" s="11">
        <f>テーブル3[[#This Row],[単価
(円/㎡)]]*テーブル3[[#This Row],[総面積(㎡)]]</f>
        <v>157576.71494452917</v>
      </c>
      <c r="J18" s="7"/>
    </row>
    <row r="19" spans="1:10">
      <c r="A19" s="84">
        <v>44952</v>
      </c>
      <c r="B19" s="82" t="s">
        <v>426</v>
      </c>
      <c r="C19" s="7" t="s">
        <v>433</v>
      </c>
      <c r="D19" s="7">
        <v>1.02</v>
      </c>
      <c r="E19" s="7">
        <v>50</v>
      </c>
      <c r="F19" s="86" t="s">
        <v>38</v>
      </c>
      <c r="G19" s="11">
        <v>3089.7395087162581</v>
      </c>
      <c r="H19" s="7">
        <f>テーブル3[[#This Row],[幅
(m)]]*テーブル3[[#This Row],[長さ
(m)]]</f>
        <v>51</v>
      </c>
      <c r="I19" s="11">
        <f>テーブル3[[#This Row],[単価
(円/㎡)]]*テーブル3[[#This Row],[総面積(㎡)]]</f>
        <v>157576.71494452917</v>
      </c>
      <c r="J19" s="7"/>
    </row>
    <row r="20" spans="1:10">
      <c r="A20" s="84">
        <v>44952</v>
      </c>
      <c r="B20" s="82" t="s">
        <v>427</v>
      </c>
      <c r="C20" s="7" t="s">
        <v>433</v>
      </c>
      <c r="D20" s="7">
        <v>1.02</v>
      </c>
      <c r="E20" s="7">
        <v>50</v>
      </c>
      <c r="F20" s="86" t="s">
        <v>38</v>
      </c>
      <c r="G20" s="11">
        <v>3089.7395087162581</v>
      </c>
      <c r="H20" s="7">
        <f>テーブル3[[#This Row],[幅
(m)]]*テーブル3[[#This Row],[長さ
(m)]]</f>
        <v>51</v>
      </c>
      <c r="I20" s="11">
        <f>テーブル3[[#This Row],[単価
(円/㎡)]]*テーブル3[[#This Row],[総面積(㎡)]]</f>
        <v>157576.71494452917</v>
      </c>
      <c r="J20" s="7"/>
    </row>
    <row r="21" spans="1:10">
      <c r="A21" s="84">
        <v>44952</v>
      </c>
      <c r="B21" s="82" t="s">
        <v>428</v>
      </c>
      <c r="C21" s="7" t="s">
        <v>433</v>
      </c>
      <c r="D21" s="7">
        <v>1.02</v>
      </c>
      <c r="E21" s="7">
        <v>50</v>
      </c>
      <c r="F21" s="86" t="s">
        <v>38</v>
      </c>
      <c r="G21" s="11">
        <v>3089.7395087162581</v>
      </c>
      <c r="H21" s="7">
        <f>テーブル3[[#This Row],[幅
(m)]]*テーブル3[[#This Row],[長さ
(m)]]</f>
        <v>51</v>
      </c>
      <c r="I21" s="11">
        <f>テーブル3[[#This Row],[単価
(円/㎡)]]*テーブル3[[#This Row],[総面積(㎡)]]</f>
        <v>157576.71494452917</v>
      </c>
      <c r="J21" s="7"/>
    </row>
    <row r="22" spans="1:10">
      <c r="A22" s="84">
        <v>44952</v>
      </c>
      <c r="B22" s="82" t="s">
        <v>429</v>
      </c>
      <c r="C22" s="7" t="s">
        <v>433</v>
      </c>
      <c r="D22" s="7">
        <v>1.02</v>
      </c>
      <c r="E22" s="7">
        <v>50</v>
      </c>
      <c r="F22" s="86" t="s">
        <v>38</v>
      </c>
      <c r="G22" s="11">
        <v>3089.7395087162581</v>
      </c>
      <c r="H22" s="7">
        <f>テーブル3[[#This Row],[幅
(m)]]*テーブル3[[#This Row],[長さ
(m)]]</f>
        <v>51</v>
      </c>
      <c r="I22" s="11">
        <f>テーブル3[[#This Row],[単価
(円/㎡)]]*テーブル3[[#This Row],[総面積(㎡)]]</f>
        <v>157576.71494452917</v>
      </c>
      <c r="J22" s="7"/>
    </row>
    <row r="23" spans="1:10">
      <c r="A23" s="84">
        <v>44952</v>
      </c>
      <c r="B23" s="82" t="s">
        <v>430</v>
      </c>
      <c r="C23" s="7" t="s">
        <v>433</v>
      </c>
      <c r="D23" s="7">
        <v>1.02</v>
      </c>
      <c r="E23" s="7">
        <v>50</v>
      </c>
      <c r="F23" s="86" t="s">
        <v>38</v>
      </c>
      <c r="G23" s="11">
        <v>3089.7395087162581</v>
      </c>
      <c r="H23" s="7">
        <f>テーブル3[[#This Row],[幅
(m)]]*テーブル3[[#This Row],[長さ
(m)]]</f>
        <v>51</v>
      </c>
      <c r="I23" s="11">
        <f>テーブル3[[#This Row],[単価
(円/㎡)]]*テーブル3[[#This Row],[総面積(㎡)]]</f>
        <v>157576.71494452917</v>
      </c>
      <c r="J23" s="7"/>
    </row>
    <row r="24" spans="1:10">
      <c r="A24" s="84">
        <v>44952</v>
      </c>
      <c r="B24" s="82" t="s">
        <v>431</v>
      </c>
      <c r="C24" s="7" t="s">
        <v>433</v>
      </c>
      <c r="D24" s="7">
        <v>1.02</v>
      </c>
      <c r="E24" s="7">
        <v>39</v>
      </c>
      <c r="F24" s="86" t="s">
        <v>38</v>
      </c>
      <c r="G24" s="11">
        <v>3089.7395087162586</v>
      </c>
      <c r="H24" s="7">
        <f>テーブル3[[#This Row],[幅
(m)]]*テーブル3[[#This Row],[長さ
(m)]]</f>
        <v>39.78</v>
      </c>
      <c r="I24" s="11">
        <f>テーブル3[[#This Row],[単価
(円/㎡)]]*テーブル3[[#This Row],[総面積(㎡)]]</f>
        <v>122909.83765673277</v>
      </c>
      <c r="J24" s="7"/>
    </row>
    <row r="25" spans="1:10">
      <c r="A25" s="70">
        <v>44952</v>
      </c>
      <c r="B25" s="82" t="s">
        <v>432</v>
      </c>
      <c r="C25" s="7" t="s">
        <v>433</v>
      </c>
      <c r="D25" s="7">
        <v>1.02</v>
      </c>
      <c r="E25" s="7">
        <v>32.5</v>
      </c>
      <c r="F25" s="86" t="s">
        <v>38</v>
      </c>
      <c r="G25" s="11">
        <v>3089.7395087162586</v>
      </c>
      <c r="H25" s="7">
        <f>テーブル3[[#This Row],[幅
(m)]]*テーブル3[[#This Row],[長さ
(m)]]</f>
        <v>33.15</v>
      </c>
      <c r="I25" s="11">
        <f>テーブル3[[#This Row],[単価
(円/㎡)]]*テーブル3[[#This Row],[総面積(㎡)]]</f>
        <v>102424.86471394397</v>
      </c>
      <c r="J25" s="7"/>
    </row>
    <row r="26" spans="1:10">
      <c r="A26" s="70">
        <v>44952</v>
      </c>
      <c r="B26" s="7" t="s">
        <v>52</v>
      </c>
      <c r="C26" s="7" t="s">
        <v>419</v>
      </c>
      <c r="D26" s="7">
        <v>1.06</v>
      </c>
      <c r="E26" s="7">
        <v>139</v>
      </c>
      <c r="F26" s="12" t="s">
        <v>24</v>
      </c>
      <c r="G26" s="11">
        <v>1804.3853009558673</v>
      </c>
      <c r="H26" s="7">
        <f>テーブル3[[#This Row],[幅
(m)]]*テーブル3[[#This Row],[長さ
(m)]]</f>
        <v>147.34</v>
      </c>
      <c r="I26" s="11">
        <f>テーブル3[[#This Row],[単価
(円/㎡)]]*テーブル3[[#This Row],[総面積(㎡)]]</f>
        <v>265858.13024283748</v>
      </c>
      <c r="J26" s="7"/>
    </row>
    <row r="27" spans="1:10">
      <c r="A27" s="70">
        <v>44952</v>
      </c>
      <c r="B27" s="49" t="s">
        <v>456</v>
      </c>
      <c r="C27" s="49" t="s">
        <v>419</v>
      </c>
      <c r="D27" s="49">
        <v>1.28</v>
      </c>
      <c r="E27" s="49">
        <v>510</v>
      </c>
      <c r="F27" s="12" t="s">
        <v>24</v>
      </c>
      <c r="G27" s="53">
        <v>1494.2565773540775</v>
      </c>
      <c r="H27" s="49">
        <f>テーブル3[[#This Row],[幅
(m)]]*テーブル3[[#This Row],[長さ
(m)]]</f>
        <v>652.80000000000007</v>
      </c>
      <c r="I27" s="53">
        <f>テーブル3[[#This Row],[単価
(円/㎡)]]*テーブル3[[#This Row],[総面積(㎡)]]</f>
        <v>975450.69369674195</v>
      </c>
      <c r="J27" s="49"/>
    </row>
  </sheetData>
  <phoneticPr fontId="2"/>
  <pageMargins left="0.7" right="0.7" top="0.75" bottom="0.75" header="0.3" footer="0.3"/>
  <pageSetup paperSize="9" orientation="portrait" horizontalDpi="0" verticalDpi="0" r:id="rId1"/>
  <ignoredErrors>
    <ignoredError sqref="I4:I5"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CAA-BE0C-4FD9-8C99-16B26047E66E}">
  <dimension ref="A1:L57"/>
  <sheetViews>
    <sheetView tabSelected="1" workbookViewId="0">
      <pane ySplit="1" topLeftCell="A2" activePane="bottomLeft" state="frozen"/>
      <selection pane="bottomLeft" activeCell="G53" sqref="G53"/>
    </sheetView>
  </sheetViews>
  <sheetFormatPr defaultRowHeight="16.5"/>
  <cols>
    <col min="1" max="1" width="10.1640625" style="3" bestFit="1" customWidth="1"/>
    <col min="2" max="2" width="33.4140625" style="1" bestFit="1" customWidth="1"/>
    <col min="3" max="3" width="34.33203125" style="1" bestFit="1" customWidth="1"/>
    <col min="4" max="5" width="8.6640625" style="1"/>
    <col min="6" max="6" width="23.75" style="4" bestFit="1" customWidth="1"/>
    <col min="7" max="7" width="8.6640625" style="2"/>
    <col min="8" max="8" width="10.58203125" style="1" customWidth="1"/>
    <col min="9" max="9" width="10" style="2" bestFit="1" customWidth="1"/>
    <col min="10" max="10" width="12" style="2" bestFit="1" customWidth="1"/>
    <col min="11" max="11" width="11.25" style="5" bestFit="1" customWidth="1"/>
    <col min="12" max="12" width="57.5" style="1" bestFit="1" customWidth="1"/>
    <col min="13" max="16384" width="8.6640625" style="1"/>
  </cols>
  <sheetData>
    <row r="1" spans="1:12" ht="33">
      <c r="A1" s="63" t="s">
        <v>0</v>
      </c>
      <c r="B1" s="64" t="s">
        <v>1</v>
      </c>
      <c r="C1" s="65" t="s">
        <v>2</v>
      </c>
      <c r="D1" s="64" t="s">
        <v>3</v>
      </c>
      <c r="E1" s="66" t="s">
        <v>4</v>
      </c>
      <c r="F1" s="65" t="s">
        <v>5</v>
      </c>
      <c r="G1" s="67" t="s">
        <v>6</v>
      </c>
      <c r="H1" s="65" t="s">
        <v>7</v>
      </c>
      <c r="I1" s="67" t="s">
        <v>8</v>
      </c>
      <c r="J1" s="65" t="s">
        <v>9</v>
      </c>
      <c r="K1" s="65" t="s">
        <v>10</v>
      </c>
      <c r="L1" s="65" t="s">
        <v>11</v>
      </c>
    </row>
    <row r="2" spans="1:12">
      <c r="A2" s="70">
        <v>44937</v>
      </c>
      <c r="B2" s="7" t="s">
        <v>386</v>
      </c>
      <c r="C2" s="7" t="s">
        <v>13</v>
      </c>
      <c r="D2" s="7">
        <v>1.25</v>
      </c>
      <c r="E2" s="7">
        <v>3</v>
      </c>
      <c r="F2" s="11" t="s">
        <v>15</v>
      </c>
      <c r="G2" s="11">
        <v>1086.1813388965465</v>
      </c>
      <c r="H2" s="7">
        <f>テーブル2[[#This Row],[幅
(m)]]*テーブル2[[#This Row],[長さ
(m)]]</f>
        <v>3.75</v>
      </c>
      <c r="I2" s="11">
        <f>テーブル2[[#This Row],[単価
(円/㎡)]]*テーブル2[[#This Row],[総面積(㎡)]]</f>
        <v>4073.1800208620498</v>
      </c>
      <c r="J2" s="71">
        <v>24000</v>
      </c>
      <c r="K2" s="72" t="s">
        <v>12</v>
      </c>
      <c r="L2" s="7"/>
    </row>
    <row r="3" spans="1:12">
      <c r="A3" s="70">
        <v>44939</v>
      </c>
      <c r="B3" s="7" t="s">
        <v>139</v>
      </c>
      <c r="C3" s="7" t="s">
        <v>13</v>
      </c>
      <c r="D3" s="7">
        <v>1.25</v>
      </c>
      <c r="E3" s="7">
        <v>25</v>
      </c>
      <c r="F3" s="11" t="s">
        <v>17</v>
      </c>
      <c r="G3" s="11">
        <v>991.44394343082831</v>
      </c>
      <c r="H3" s="7">
        <f>テーブル2[[#This Row],[幅
(m)]]*テーブル2[[#This Row],[長さ
(m)]]</f>
        <v>31.25</v>
      </c>
      <c r="I3" s="11">
        <f>テーブル2[[#This Row],[単価
(円/㎡)]]*テーブル2[[#This Row],[総面積(㎡)]]</f>
        <v>30982.623232213384</v>
      </c>
      <c r="J3" s="71">
        <v>170000</v>
      </c>
      <c r="K3" s="72" t="s">
        <v>12</v>
      </c>
      <c r="L3" s="7"/>
    </row>
    <row r="4" spans="1:12">
      <c r="A4" s="70">
        <v>44932</v>
      </c>
      <c r="B4" s="7" t="s">
        <v>387</v>
      </c>
      <c r="C4" s="7" t="s">
        <v>18</v>
      </c>
      <c r="D4" s="7">
        <v>1.2</v>
      </c>
      <c r="E4" s="7">
        <v>130</v>
      </c>
      <c r="F4" s="7" t="s">
        <v>19</v>
      </c>
      <c r="G4" s="11">
        <v>1144.5574314572675</v>
      </c>
      <c r="H4" s="7">
        <f>テーブル2[[#This Row],[幅
(m)]]*テーブル2[[#This Row],[長さ
(m)]]</f>
        <v>156</v>
      </c>
      <c r="I4" s="11">
        <f>テーブル2[[#This Row],[単価
(円/㎡)]]*テーブル2[[#This Row],[総面積(㎡)]]</f>
        <v>178550.95930733375</v>
      </c>
      <c r="J4" s="6" t="s">
        <v>20</v>
      </c>
      <c r="K4" s="6" t="s">
        <v>12</v>
      </c>
      <c r="L4" s="7"/>
    </row>
    <row r="5" spans="1:12">
      <c r="A5" s="70">
        <v>44931</v>
      </c>
      <c r="B5" s="7" t="s">
        <v>16</v>
      </c>
      <c r="C5" s="7" t="s">
        <v>13</v>
      </c>
      <c r="D5" s="7">
        <v>1.25</v>
      </c>
      <c r="E5" s="7">
        <v>25</v>
      </c>
      <c r="F5" s="11" t="s">
        <v>21</v>
      </c>
      <c r="G5" s="11">
        <v>991.44394343082831</v>
      </c>
      <c r="H5" s="7">
        <f>テーブル2[[#This Row],[幅
(m)]]*テーブル2[[#This Row],[長さ
(m)]]</f>
        <v>31.25</v>
      </c>
      <c r="I5" s="11">
        <f>テーブル2[[#This Row],[単価
(円/㎡)]]*テーブル2[[#This Row],[総面積(㎡)]]</f>
        <v>30982.623232213384</v>
      </c>
      <c r="J5" s="71">
        <v>153000</v>
      </c>
      <c r="K5" s="72" t="s">
        <v>12</v>
      </c>
      <c r="L5" s="7"/>
    </row>
    <row r="6" spans="1:12">
      <c r="A6" s="70">
        <v>44931</v>
      </c>
      <c r="B6" s="7" t="s">
        <v>16</v>
      </c>
      <c r="C6" s="7" t="s">
        <v>13</v>
      </c>
      <c r="D6" s="7">
        <v>1.25</v>
      </c>
      <c r="E6" s="7">
        <v>25</v>
      </c>
      <c r="F6" s="11" t="s">
        <v>23</v>
      </c>
      <c r="G6" s="11">
        <v>991.44394343082831</v>
      </c>
      <c r="H6" s="7">
        <f>テーブル2[[#This Row],[幅
(m)]]*テーブル2[[#This Row],[長さ
(m)]]</f>
        <v>31.25</v>
      </c>
      <c r="I6" s="11">
        <f>テーブル2[[#This Row],[単価
(円/㎡)]]*テーブル2[[#This Row],[総面積(㎡)]]</f>
        <v>30982.623232213384</v>
      </c>
      <c r="J6" s="71">
        <v>153000</v>
      </c>
      <c r="K6" s="72" t="s">
        <v>12</v>
      </c>
      <c r="L6" s="7"/>
    </row>
    <row r="7" spans="1:12">
      <c r="A7" s="70">
        <v>44936</v>
      </c>
      <c r="B7" s="7" t="s">
        <v>81</v>
      </c>
      <c r="C7" s="7" t="s">
        <v>22</v>
      </c>
      <c r="D7" s="7">
        <v>1.29</v>
      </c>
      <c r="E7" s="7">
        <v>700</v>
      </c>
      <c r="F7" s="7" t="s">
        <v>24</v>
      </c>
      <c r="G7" s="11">
        <v>803.27333769610118</v>
      </c>
      <c r="H7" s="7">
        <f>テーブル2[[#This Row],[幅
(m)]]*テーブル2[[#This Row],[長さ
(m)]]</f>
        <v>903</v>
      </c>
      <c r="I7" s="11">
        <f>テーブル2[[#This Row],[単価
(円/㎡)]]*テーブル2[[#This Row],[総面積(㎡)]]</f>
        <v>725355.82393957942</v>
      </c>
      <c r="J7" s="68" t="s">
        <v>36</v>
      </c>
      <c r="K7" s="73" t="s">
        <v>25</v>
      </c>
      <c r="L7" s="7" t="s">
        <v>26</v>
      </c>
    </row>
    <row r="8" spans="1:12">
      <c r="A8" s="70">
        <v>44936</v>
      </c>
      <c r="B8" s="7" t="s">
        <v>388</v>
      </c>
      <c r="C8" s="7" t="s">
        <v>28</v>
      </c>
      <c r="D8" s="7">
        <v>1.29</v>
      </c>
      <c r="E8" s="7">
        <v>590</v>
      </c>
      <c r="F8" s="7" t="s">
        <v>24</v>
      </c>
      <c r="G8" s="11">
        <v>166.7</v>
      </c>
      <c r="H8" s="7">
        <f>テーブル2[[#This Row],[幅
(m)]]*テーブル2[[#This Row],[長さ
(m)]]</f>
        <v>761.1</v>
      </c>
      <c r="I8" s="11">
        <f>テーブル2[[#This Row],[単価
(円/㎡)]]*テーブル2[[#This Row],[総面積(㎡)]]</f>
        <v>126875.37</v>
      </c>
      <c r="J8" s="68" t="s">
        <v>36</v>
      </c>
      <c r="K8" s="73" t="s">
        <v>25</v>
      </c>
      <c r="L8" s="7" t="s">
        <v>26</v>
      </c>
    </row>
    <row r="9" spans="1:12">
      <c r="A9" s="70">
        <v>44932</v>
      </c>
      <c r="B9" s="7" t="s">
        <v>389</v>
      </c>
      <c r="C9" s="7" t="s">
        <v>18</v>
      </c>
      <c r="D9" s="7">
        <v>1.2</v>
      </c>
      <c r="E9" s="7">
        <v>10</v>
      </c>
      <c r="F9" s="7" t="s">
        <v>29</v>
      </c>
      <c r="G9" s="11">
        <v>1144.5574314572675</v>
      </c>
      <c r="H9" s="7">
        <f>テーブル2[[#This Row],[幅
(m)]]*テーブル2[[#This Row],[長さ
(m)]]</f>
        <v>12</v>
      </c>
      <c r="I9" s="11">
        <f>テーブル2[[#This Row],[単価
(円/㎡)]]*テーブル2[[#This Row],[総面積(㎡)]]</f>
        <v>13734.689177487209</v>
      </c>
      <c r="J9" s="6" t="s">
        <v>20</v>
      </c>
      <c r="K9" s="6" t="s">
        <v>12</v>
      </c>
      <c r="L9" s="7"/>
    </row>
    <row r="10" spans="1:12">
      <c r="A10" s="70">
        <v>44932</v>
      </c>
      <c r="B10" s="7" t="s">
        <v>32</v>
      </c>
      <c r="C10" s="7" t="s">
        <v>18</v>
      </c>
      <c r="D10" s="7">
        <v>1.1499999999999999</v>
      </c>
      <c r="E10" s="7">
        <v>2</v>
      </c>
      <c r="F10" s="7" t="s">
        <v>31</v>
      </c>
      <c r="G10" s="11">
        <v>1144.5574314572675</v>
      </c>
      <c r="H10" s="7">
        <f>テーブル2[[#This Row],[幅
(m)]]*テーブル2[[#This Row],[長さ
(m)]]</f>
        <v>2.2999999999999998</v>
      </c>
      <c r="I10" s="11">
        <f>テーブル2[[#This Row],[単価
(円/㎡)]]*テーブル2[[#This Row],[総面積(㎡)]]</f>
        <v>2632.482092351715</v>
      </c>
      <c r="J10" s="6" t="s">
        <v>20</v>
      </c>
      <c r="K10" s="6" t="s">
        <v>12</v>
      </c>
      <c r="L10" s="7"/>
    </row>
    <row r="11" spans="1:12">
      <c r="A11" s="70">
        <v>44938</v>
      </c>
      <c r="B11" s="7" t="s">
        <v>390</v>
      </c>
      <c r="C11" s="7" t="s">
        <v>18</v>
      </c>
      <c r="D11" s="7">
        <v>1.1499999999999999</v>
      </c>
      <c r="E11" s="7">
        <v>31.4</v>
      </c>
      <c r="F11" s="7" t="s">
        <v>34</v>
      </c>
      <c r="G11" s="11">
        <v>1661.830375302892</v>
      </c>
      <c r="H11" s="7">
        <f>テーブル2[[#This Row],[幅
(m)]]*テーブル2[[#This Row],[長さ
(m)]]</f>
        <v>36.109999999999992</v>
      </c>
      <c r="I11" s="11">
        <f>テーブル2[[#This Row],[単価
(円/㎡)]]*テーブル2[[#This Row],[総面積(㎡)]]</f>
        <v>60008.694852187415</v>
      </c>
      <c r="J11" s="6" t="s">
        <v>20</v>
      </c>
      <c r="K11" s="6" t="s">
        <v>12</v>
      </c>
      <c r="L11" s="7" t="s">
        <v>35</v>
      </c>
    </row>
    <row r="12" spans="1:12">
      <c r="A12" s="70">
        <v>44942</v>
      </c>
      <c r="B12" s="7" t="s">
        <v>77</v>
      </c>
      <c r="C12" s="7" t="s">
        <v>22</v>
      </c>
      <c r="D12" s="7">
        <v>1.29</v>
      </c>
      <c r="E12" s="7">
        <v>517</v>
      </c>
      <c r="F12" s="7" t="s">
        <v>38</v>
      </c>
      <c r="G12" s="11">
        <v>1369.3876633015673</v>
      </c>
      <c r="H12" s="7">
        <f>テーブル2[[#This Row],[幅
(m)]]*テーブル2[[#This Row],[長さ
(m)]]</f>
        <v>666.93000000000006</v>
      </c>
      <c r="I12" s="11">
        <f>テーブル2[[#This Row],[単価
(円/㎡)]]*テーブル2[[#This Row],[総面積(㎡)]]</f>
        <v>913285.71428571432</v>
      </c>
      <c r="J12" s="68" t="s">
        <v>36</v>
      </c>
      <c r="K12" s="73" t="s">
        <v>25</v>
      </c>
      <c r="L12" s="7" t="s">
        <v>39</v>
      </c>
    </row>
    <row r="13" spans="1:12">
      <c r="A13" s="70">
        <v>44943</v>
      </c>
      <c r="B13" s="7" t="s">
        <v>391</v>
      </c>
      <c r="C13" s="7" t="s">
        <v>13</v>
      </c>
      <c r="D13" s="7">
        <v>1.25</v>
      </c>
      <c r="E13" s="7">
        <v>3</v>
      </c>
      <c r="F13" s="12" t="s">
        <v>41</v>
      </c>
      <c r="G13" s="11">
        <v>986.79157138412597</v>
      </c>
      <c r="H13" s="7">
        <f>テーブル2[[#This Row],[幅
(m)]]*テーブル2[[#This Row],[長さ
(m)]]</f>
        <v>3.75</v>
      </c>
      <c r="I13" s="11">
        <f>テーブル2[[#This Row],[単価
(円/㎡)]]*テーブル2[[#This Row],[総面積(㎡)]]</f>
        <v>3700.4683926904722</v>
      </c>
      <c r="J13" s="6" t="s">
        <v>20</v>
      </c>
      <c r="K13" s="6" t="s">
        <v>12</v>
      </c>
      <c r="L13" s="7" t="s">
        <v>51</v>
      </c>
    </row>
    <row r="14" spans="1:12">
      <c r="A14" s="70">
        <v>44943</v>
      </c>
      <c r="B14" s="7" t="s">
        <v>323</v>
      </c>
      <c r="C14" s="7" t="s">
        <v>45</v>
      </c>
      <c r="D14" s="7">
        <v>1.25</v>
      </c>
      <c r="E14" s="7">
        <v>3</v>
      </c>
      <c r="F14" s="12" t="s">
        <v>41</v>
      </c>
      <c r="G14" s="11">
        <v>1099.5225721795628</v>
      </c>
      <c r="H14" s="7">
        <f>テーブル2[[#This Row],[幅
(m)]]*テーブル2[[#This Row],[長さ
(m)]]</f>
        <v>3.75</v>
      </c>
      <c r="I14" s="11">
        <f>テーブル2[[#This Row],[単価
(円/㎡)]]*テーブル2[[#This Row],[総面積(㎡)]]</f>
        <v>4123.2096456733607</v>
      </c>
      <c r="J14" s="6" t="s">
        <v>20</v>
      </c>
      <c r="K14" s="6" t="s">
        <v>12</v>
      </c>
      <c r="L14" s="7" t="s">
        <v>51</v>
      </c>
    </row>
    <row r="15" spans="1:12">
      <c r="A15" s="70">
        <v>44943</v>
      </c>
      <c r="B15" s="7" t="s">
        <v>392</v>
      </c>
      <c r="C15" s="7" t="s">
        <v>40</v>
      </c>
      <c r="D15" s="7">
        <v>1.0349999999999999</v>
      </c>
      <c r="E15" s="7">
        <v>3</v>
      </c>
      <c r="F15" s="12" t="s">
        <v>41</v>
      </c>
      <c r="G15" s="11">
        <v>1385.9317065151874</v>
      </c>
      <c r="H15" s="7">
        <f>テーブル2[[#This Row],[幅
(m)]]*テーブル2[[#This Row],[長さ
(m)]]</f>
        <v>3.1049999999999995</v>
      </c>
      <c r="I15" s="11">
        <f>テーブル2[[#This Row],[単価
(円/㎡)]]*テーブル2[[#This Row],[総面積(㎡)]]</f>
        <v>4303.3179487296566</v>
      </c>
      <c r="J15" s="6" t="s">
        <v>20</v>
      </c>
      <c r="K15" s="6" t="s">
        <v>12</v>
      </c>
      <c r="L15" s="7" t="s">
        <v>51</v>
      </c>
    </row>
    <row r="16" spans="1:12">
      <c r="A16" s="70">
        <v>44943</v>
      </c>
      <c r="B16" s="7" t="s">
        <v>393</v>
      </c>
      <c r="C16" s="7" t="s">
        <v>47</v>
      </c>
      <c r="D16" s="7">
        <v>1.0329999999999999</v>
      </c>
      <c r="E16" s="7">
        <v>3</v>
      </c>
      <c r="F16" s="12" t="s">
        <v>41</v>
      </c>
      <c r="G16" s="11">
        <v>1955.4267856800591</v>
      </c>
      <c r="H16" s="7">
        <f>テーブル2[[#This Row],[幅
(m)]]*テーブル2[[#This Row],[長さ
(m)]]</f>
        <v>3.0989999999999998</v>
      </c>
      <c r="I16" s="11">
        <f>テーブル2[[#This Row],[単価
(円/㎡)]]*テーブル2[[#This Row],[総面積(㎡)]]</f>
        <v>6059.8676088225029</v>
      </c>
      <c r="J16" s="6" t="s">
        <v>20</v>
      </c>
      <c r="K16" s="6" t="s">
        <v>12</v>
      </c>
      <c r="L16" s="7" t="s">
        <v>51</v>
      </c>
    </row>
    <row r="17" spans="1:12">
      <c r="A17" s="70">
        <v>44943</v>
      </c>
      <c r="B17" s="7" t="s">
        <v>410</v>
      </c>
      <c r="C17" s="7" t="s">
        <v>48</v>
      </c>
      <c r="D17" s="7">
        <v>1.044</v>
      </c>
      <c r="E17" s="7">
        <v>3</v>
      </c>
      <c r="F17" s="12" t="s">
        <v>41</v>
      </c>
      <c r="G17" s="11">
        <v>2807.836209038991</v>
      </c>
      <c r="H17" s="7">
        <f>テーブル2[[#This Row],[幅
(m)]]*テーブル2[[#This Row],[長さ
(m)]]</f>
        <v>3.1320000000000001</v>
      </c>
      <c r="I17" s="11">
        <f>テーブル2[[#This Row],[単価
(円/㎡)]]*テーブル2[[#This Row],[総面積(㎡)]]</f>
        <v>8794.143006710121</v>
      </c>
      <c r="J17" s="6" t="s">
        <v>20</v>
      </c>
      <c r="K17" s="6" t="s">
        <v>12</v>
      </c>
      <c r="L17" s="7" t="s">
        <v>51</v>
      </c>
    </row>
    <row r="18" spans="1:12">
      <c r="A18" s="70">
        <v>44943</v>
      </c>
      <c r="B18" s="7" t="s">
        <v>49</v>
      </c>
      <c r="C18" s="7" t="s">
        <v>13</v>
      </c>
      <c r="D18" s="7">
        <v>1.25</v>
      </c>
      <c r="E18" s="7">
        <v>0.6</v>
      </c>
      <c r="F18" s="12" t="s">
        <v>41</v>
      </c>
      <c r="G18" s="11">
        <v>986.79157138412597</v>
      </c>
      <c r="H18" s="7">
        <f>テーブル2[[#This Row],[幅
(m)]]*テーブル2[[#This Row],[長さ
(m)]]</f>
        <v>0.75</v>
      </c>
      <c r="I18" s="11">
        <f>テーブル2[[#This Row],[単価
(円/㎡)]]*テーブル2[[#This Row],[総面積(㎡)]]</f>
        <v>740.09367853809454</v>
      </c>
      <c r="J18" s="8" t="s">
        <v>50</v>
      </c>
      <c r="K18" s="74" t="s">
        <v>25</v>
      </c>
      <c r="L18" s="7"/>
    </row>
    <row r="19" spans="1:12">
      <c r="A19" s="70">
        <v>44943</v>
      </c>
      <c r="B19" s="7" t="s">
        <v>82</v>
      </c>
      <c r="C19" s="7" t="s">
        <v>411</v>
      </c>
      <c r="D19" s="7">
        <v>1.06</v>
      </c>
      <c r="E19" s="7">
        <v>110</v>
      </c>
      <c r="F19" s="7" t="s">
        <v>56</v>
      </c>
      <c r="G19" s="11">
        <f>両面塩ビフィルム!I3</f>
        <v>1804.3853009558673</v>
      </c>
      <c r="H19" s="7">
        <f>テーブル2[[#This Row],[幅
(m)]]*テーブル2[[#This Row],[長さ
(m)]]</f>
        <v>116.60000000000001</v>
      </c>
      <c r="I19" s="11">
        <f>テーブル2[[#This Row],[単価
(円/㎡)]]*テーブル2[[#This Row],[総面積(㎡)]]</f>
        <v>210391.32609145413</v>
      </c>
      <c r="J19" s="68" t="s">
        <v>36</v>
      </c>
      <c r="K19" s="73" t="s">
        <v>25</v>
      </c>
      <c r="L19" s="7" t="s">
        <v>57</v>
      </c>
    </row>
    <row r="20" spans="1:12">
      <c r="A20" s="70">
        <v>44943</v>
      </c>
      <c r="B20" s="7" t="s">
        <v>82</v>
      </c>
      <c r="C20" s="7" t="s">
        <v>411</v>
      </c>
      <c r="D20" s="7">
        <v>1.06</v>
      </c>
      <c r="E20" s="7">
        <v>29</v>
      </c>
      <c r="F20" s="7" t="s">
        <v>436</v>
      </c>
      <c r="G20" s="11">
        <f>両面塩ビフィルム!I4</f>
        <v>1494.2565773540775</v>
      </c>
      <c r="H20" s="7">
        <f>テーブル2[[#This Row],[幅
(m)]]*テーブル2[[#This Row],[長さ
(m)]]</f>
        <v>30.740000000000002</v>
      </c>
      <c r="I20" s="11">
        <f>テーブル2[[#This Row],[単価
(円/㎡)]]*テーブル2[[#This Row],[総面積(㎡)]]</f>
        <v>45933.447187864345</v>
      </c>
      <c r="J20" s="68" t="s">
        <v>36</v>
      </c>
      <c r="K20" s="73" t="s">
        <v>25</v>
      </c>
      <c r="L20" s="7"/>
    </row>
    <row r="21" spans="1:12">
      <c r="A21" s="70">
        <v>44946</v>
      </c>
      <c r="B21" s="7" t="s">
        <v>412</v>
      </c>
      <c r="C21" s="7" t="s">
        <v>40</v>
      </c>
      <c r="D21" s="7">
        <v>1.0329999999999999</v>
      </c>
      <c r="E21" s="7">
        <v>5</v>
      </c>
      <c r="F21" s="75" t="s">
        <v>59</v>
      </c>
      <c r="G21" s="53">
        <v>2027.9655087612023</v>
      </c>
      <c r="H21" s="7">
        <f>テーブル2[[#This Row],[幅
(m)]]*テーブル2[[#This Row],[長さ
(m)]]</f>
        <v>5.1649999999999991</v>
      </c>
      <c r="I21" s="11">
        <f>テーブル2[[#This Row],[単価
(円/㎡)]]*テーブル2[[#This Row],[総面積(㎡)]]</f>
        <v>10474.441852751608</v>
      </c>
      <c r="J21" s="6" t="s">
        <v>20</v>
      </c>
      <c r="K21" s="6" t="s">
        <v>12</v>
      </c>
      <c r="L21" s="7"/>
    </row>
    <row r="22" spans="1:12">
      <c r="A22" s="70">
        <v>44945</v>
      </c>
      <c r="B22" s="7" t="s">
        <v>386</v>
      </c>
      <c r="C22" s="7" t="s">
        <v>13</v>
      </c>
      <c r="D22" s="7">
        <v>1.25</v>
      </c>
      <c r="E22" s="7">
        <v>5</v>
      </c>
      <c r="F22" s="11" t="s">
        <v>60</v>
      </c>
      <c r="G22" s="11">
        <v>1086.1813388965465</v>
      </c>
      <c r="H22" s="7">
        <f>テーブル2[[#This Row],[幅
(m)]]*テーブル2[[#This Row],[長さ
(m)]]</f>
        <v>6.25</v>
      </c>
      <c r="I22" s="11">
        <f>テーブル2[[#This Row],[単価
(円/㎡)]]*テーブル2[[#This Row],[総面積(㎡)]]</f>
        <v>6788.6333681034157</v>
      </c>
      <c r="J22" s="71">
        <v>40000</v>
      </c>
      <c r="K22" s="72" t="s">
        <v>12</v>
      </c>
      <c r="L22" s="7"/>
    </row>
    <row r="23" spans="1:12">
      <c r="A23" s="70">
        <v>44945</v>
      </c>
      <c r="B23" s="7" t="s">
        <v>391</v>
      </c>
      <c r="C23" s="7" t="s">
        <v>13</v>
      </c>
      <c r="D23" s="7">
        <v>1.25</v>
      </c>
      <c r="E23" s="7">
        <v>1.2</v>
      </c>
      <c r="F23" s="12" t="s">
        <v>41</v>
      </c>
      <c r="G23" s="11">
        <v>986.79157138412597</v>
      </c>
      <c r="H23" s="7">
        <f>テーブル2[[#This Row],[幅
(m)]]*テーブル2[[#This Row],[長さ
(m)]]</f>
        <v>1.5</v>
      </c>
      <c r="I23" s="11">
        <f>テーブル2[[#This Row],[単価
(円/㎡)]]*テーブル2[[#This Row],[総面積(㎡)]]</f>
        <v>1480.1873570761891</v>
      </c>
      <c r="J23" s="8" t="s">
        <v>50</v>
      </c>
      <c r="K23" s="74" t="s">
        <v>25</v>
      </c>
      <c r="L23" s="7"/>
    </row>
    <row r="24" spans="1:12">
      <c r="A24" s="70">
        <v>44945</v>
      </c>
      <c r="B24" s="7" t="s">
        <v>323</v>
      </c>
      <c r="C24" s="7" t="s">
        <v>45</v>
      </c>
      <c r="D24" s="7">
        <v>1.25</v>
      </c>
      <c r="E24" s="7">
        <v>1.2</v>
      </c>
      <c r="F24" s="12" t="s">
        <v>41</v>
      </c>
      <c r="G24" s="11">
        <v>1099.5225721795628</v>
      </c>
      <c r="H24" s="7">
        <f>テーブル2[[#This Row],[幅
(m)]]*テーブル2[[#This Row],[長さ
(m)]]</f>
        <v>1.5</v>
      </c>
      <c r="I24" s="11">
        <f>テーブル2[[#This Row],[単価
(円/㎡)]]*テーブル2[[#This Row],[総面積(㎡)]]</f>
        <v>1649.2838582693441</v>
      </c>
      <c r="J24" s="8" t="s">
        <v>50</v>
      </c>
      <c r="K24" s="74" t="s">
        <v>12</v>
      </c>
      <c r="L24" s="7"/>
    </row>
    <row r="25" spans="1:12">
      <c r="A25" s="70">
        <v>44949</v>
      </c>
      <c r="B25" s="7" t="s">
        <v>391</v>
      </c>
      <c r="C25" s="7" t="s">
        <v>13</v>
      </c>
      <c r="D25" s="7">
        <v>1.25</v>
      </c>
      <c r="E25" s="7">
        <v>2.2999999999999998</v>
      </c>
      <c r="F25" s="12" t="s">
        <v>41</v>
      </c>
      <c r="G25" s="11">
        <v>986.79157138412597</v>
      </c>
      <c r="H25" s="7">
        <f>テーブル2[[#This Row],[幅
(m)]]*テーブル2[[#This Row],[長さ
(m)]]</f>
        <v>2.875</v>
      </c>
      <c r="I25" s="11">
        <f>テーブル2[[#This Row],[単価
(円/㎡)]]*テーブル2[[#This Row],[総面積(㎡)]]</f>
        <v>2837.0257677293621</v>
      </c>
      <c r="J25" s="6" t="s">
        <v>20</v>
      </c>
      <c r="K25" s="6" t="s">
        <v>12</v>
      </c>
      <c r="L25" s="7" t="s">
        <v>62</v>
      </c>
    </row>
    <row r="26" spans="1:12">
      <c r="A26" s="70">
        <v>44949</v>
      </c>
      <c r="B26" s="7" t="s">
        <v>323</v>
      </c>
      <c r="C26" s="7" t="s">
        <v>45</v>
      </c>
      <c r="D26" s="7">
        <v>1.25</v>
      </c>
      <c r="E26" s="7">
        <v>2.2999999999999998</v>
      </c>
      <c r="F26" s="12" t="s">
        <v>41</v>
      </c>
      <c r="G26" s="11">
        <v>1099.5225721795628</v>
      </c>
      <c r="H26" s="7">
        <f>テーブル2[[#This Row],[幅
(m)]]*テーブル2[[#This Row],[長さ
(m)]]</f>
        <v>2.875</v>
      </c>
      <c r="I26" s="11">
        <f>テーブル2[[#This Row],[単価
(円/㎡)]]*テーブル2[[#This Row],[総面積(㎡)]]</f>
        <v>3161.1273950162431</v>
      </c>
      <c r="J26" s="6" t="s">
        <v>20</v>
      </c>
      <c r="K26" s="6" t="s">
        <v>12</v>
      </c>
      <c r="L26" s="7" t="s">
        <v>62</v>
      </c>
    </row>
    <row r="27" spans="1:12">
      <c r="A27" s="70">
        <v>44949</v>
      </c>
      <c r="B27" s="7" t="s">
        <v>393</v>
      </c>
      <c r="C27" s="7" t="s">
        <v>47</v>
      </c>
      <c r="D27" s="7">
        <v>1.0329999999999999</v>
      </c>
      <c r="E27" s="7">
        <v>2.1</v>
      </c>
      <c r="F27" s="12" t="s">
        <v>41</v>
      </c>
      <c r="G27" s="11">
        <v>1955.4267856800591</v>
      </c>
      <c r="H27" s="7">
        <f>テーブル2[[#This Row],[幅
(m)]]*テーブル2[[#This Row],[長さ
(m)]]</f>
        <v>2.1692999999999998</v>
      </c>
      <c r="I27" s="11">
        <f>テーブル2[[#This Row],[単価
(円/㎡)]]*テーブル2[[#This Row],[総面積(㎡)]]</f>
        <v>4241.9073261757521</v>
      </c>
      <c r="J27" s="6" t="s">
        <v>20</v>
      </c>
      <c r="K27" s="6" t="s">
        <v>12</v>
      </c>
      <c r="L27" s="7" t="s">
        <v>62</v>
      </c>
    </row>
    <row r="28" spans="1:12">
      <c r="A28" s="70">
        <v>44949</v>
      </c>
      <c r="B28" s="7" t="s">
        <v>413</v>
      </c>
      <c r="C28" s="7" t="s">
        <v>40</v>
      </c>
      <c r="D28" s="7">
        <v>1.0349999999999999</v>
      </c>
      <c r="E28" s="7">
        <v>2.1</v>
      </c>
      <c r="F28" s="12" t="s">
        <v>41</v>
      </c>
      <c r="G28" s="11">
        <v>1385.9317065151874</v>
      </c>
      <c r="H28" s="7">
        <f>テーブル2[[#This Row],[幅
(m)]]*テーブル2[[#This Row],[長さ
(m)]]</f>
        <v>2.1734999999999998</v>
      </c>
      <c r="I28" s="11">
        <f>テーブル2[[#This Row],[単価
(円/㎡)]]*テーブル2[[#This Row],[総面積(㎡)]]</f>
        <v>3012.3225641107597</v>
      </c>
      <c r="J28" s="6" t="s">
        <v>20</v>
      </c>
      <c r="K28" s="6" t="s">
        <v>12</v>
      </c>
      <c r="L28" s="7" t="s">
        <v>62</v>
      </c>
    </row>
    <row r="29" spans="1:12">
      <c r="A29" s="70">
        <v>44949</v>
      </c>
      <c r="B29" s="7" t="s">
        <v>410</v>
      </c>
      <c r="C29" s="7" t="s">
        <v>48</v>
      </c>
      <c r="D29" s="7">
        <v>1.044</v>
      </c>
      <c r="E29" s="7">
        <v>1.3</v>
      </c>
      <c r="F29" s="12" t="s">
        <v>41</v>
      </c>
      <c r="G29" s="11">
        <v>2807.836209038991</v>
      </c>
      <c r="H29" s="7">
        <f>テーブル2[[#This Row],[幅
(m)]]*テーブル2[[#This Row],[長さ
(m)]]</f>
        <v>1.3572000000000002</v>
      </c>
      <c r="I29" s="11">
        <f>テーブル2[[#This Row],[単価
(円/㎡)]]*テーブル2[[#This Row],[総面積(㎡)]]</f>
        <v>3810.7953029077189</v>
      </c>
      <c r="J29" s="6" t="s">
        <v>20</v>
      </c>
      <c r="K29" s="6" t="s">
        <v>12</v>
      </c>
      <c r="L29" s="7" t="s">
        <v>62</v>
      </c>
    </row>
    <row r="30" spans="1:12">
      <c r="A30" s="70">
        <v>44943</v>
      </c>
      <c r="B30" s="7" t="s">
        <v>414</v>
      </c>
      <c r="C30" s="7" t="s">
        <v>40</v>
      </c>
      <c r="D30" s="7">
        <v>1.034</v>
      </c>
      <c r="E30" s="7">
        <v>33</v>
      </c>
      <c r="F30" s="7" t="s">
        <v>38</v>
      </c>
      <c r="G30" s="11">
        <v>2032.2833677337587</v>
      </c>
      <c r="H30" s="7">
        <f>テーブル2[[#This Row],[幅
(m)]]*テーブル2[[#This Row],[長さ
(m)]]</f>
        <v>34.122</v>
      </c>
      <c r="I30" s="11">
        <f>テーブル2[[#This Row],[単価
(円/㎡)]]*テーブル2[[#This Row],[総面積(㎡)]]</f>
        <v>69345.57307381132</v>
      </c>
      <c r="J30" s="6" t="s">
        <v>20</v>
      </c>
      <c r="K30" s="6" t="s">
        <v>12</v>
      </c>
      <c r="L30" s="7" t="s">
        <v>42</v>
      </c>
    </row>
    <row r="31" spans="1:12">
      <c r="A31" s="70">
        <v>44949</v>
      </c>
      <c r="B31" s="7" t="s">
        <v>415</v>
      </c>
      <c r="C31" s="7" t="s">
        <v>48</v>
      </c>
      <c r="D31" s="7">
        <v>1.042</v>
      </c>
      <c r="E31" s="7">
        <v>42</v>
      </c>
      <c r="F31" s="7" t="s">
        <v>38</v>
      </c>
      <c r="G31" s="11">
        <v>2692.4934648095477</v>
      </c>
      <c r="H31" s="7">
        <f>テーブル2[[#This Row],[幅
(m)]]*テーブル2[[#This Row],[長さ
(m)]]</f>
        <v>43.764000000000003</v>
      </c>
      <c r="I31" s="11">
        <f>テーブル2[[#This Row],[単価
(円/㎡)]]*テーブル2[[#This Row],[総面積(㎡)]]</f>
        <v>117834.28399392506</v>
      </c>
      <c r="J31" s="6" t="s">
        <v>20</v>
      </c>
      <c r="K31" s="6" t="s">
        <v>12</v>
      </c>
      <c r="L31" s="7" t="s">
        <v>64</v>
      </c>
    </row>
    <row r="32" spans="1:12">
      <c r="A32" s="70">
        <v>44949</v>
      </c>
      <c r="B32" s="7" t="s">
        <v>416</v>
      </c>
      <c r="C32" s="7" t="s">
        <v>63</v>
      </c>
      <c r="D32" s="7">
        <v>1.2030000000000001</v>
      </c>
      <c r="E32" s="7">
        <v>34</v>
      </c>
      <c r="F32" s="7" t="s">
        <v>38</v>
      </c>
      <c r="G32" s="53">
        <v>1854.9132786012497</v>
      </c>
      <c r="H32" s="7">
        <f>テーブル2[[#This Row],[幅
(m)]]*テーブル2[[#This Row],[長さ
(m)]]</f>
        <v>40.902000000000001</v>
      </c>
      <c r="I32" s="11">
        <f>テーブル2[[#This Row],[単価
(円/㎡)]]*テーブル2[[#This Row],[総面積(㎡)]]</f>
        <v>75869.66292134831</v>
      </c>
      <c r="J32" s="6" t="s">
        <v>20</v>
      </c>
      <c r="K32" s="6" t="s">
        <v>12</v>
      </c>
      <c r="L32" s="7" t="s">
        <v>64</v>
      </c>
    </row>
    <row r="33" spans="1:12">
      <c r="A33" s="70">
        <v>44952</v>
      </c>
      <c r="B33" s="7" t="s">
        <v>122</v>
      </c>
      <c r="C33" s="7" t="s">
        <v>70</v>
      </c>
      <c r="D33" s="7">
        <v>1.042</v>
      </c>
      <c r="E33" s="7">
        <v>1</v>
      </c>
      <c r="F33" s="11" t="s">
        <v>34</v>
      </c>
      <c r="G33" s="11">
        <v>3845.033368655626</v>
      </c>
      <c r="H33" s="7">
        <f>テーブル2[[#This Row],[幅
(m)]]*テーブル2[[#This Row],[長さ
(m)]]</f>
        <v>1.042</v>
      </c>
      <c r="I33" s="11">
        <f>テーブル2[[#This Row],[単価
(円/㎡)]]*テーブル2[[#This Row],[総面積(㎡)]]</f>
        <v>4006.5247701391622</v>
      </c>
      <c r="J33" s="8" t="s">
        <v>50</v>
      </c>
      <c r="K33" s="74" t="s">
        <v>25</v>
      </c>
      <c r="L33" s="7"/>
    </row>
    <row r="34" spans="1:12">
      <c r="A34" s="70">
        <v>44952</v>
      </c>
      <c r="B34" s="7" t="s">
        <v>417</v>
      </c>
      <c r="C34" s="7" t="s">
        <v>72</v>
      </c>
      <c r="D34" s="7">
        <v>1.042</v>
      </c>
      <c r="E34" s="7">
        <v>1</v>
      </c>
      <c r="F34" s="11" t="s">
        <v>34</v>
      </c>
      <c r="G34" s="11">
        <v>3466.5039921755979</v>
      </c>
      <c r="H34" s="7">
        <f>テーブル2[[#This Row],[幅
(m)]]*テーブル2[[#This Row],[長さ
(m)]]</f>
        <v>1.042</v>
      </c>
      <c r="I34" s="11">
        <f>テーブル2[[#This Row],[単価
(円/㎡)]]*テーブル2[[#This Row],[総面積(㎡)]]</f>
        <v>3612.0971598469732</v>
      </c>
      <c r="J34" s="8" t="s">
        <v>50</v>
      </c>
      <c r="K34" s="74" t="s">
        <v>25</v>
      </c>
      <c r="L34" s="7"/>
    </row>
    <row r="35" spans="1:12">
      <c r="A35" s="84">
        <v>44956</v>
      </c>
      <c r="B35" s="29" t="s">
        <v>400</v>
      </c>
      <c r="C35" s="29" t="s">
        <v>84</v>
      </c>
      <c r="D35" s="49">
        <v>1.02</v>
      </c>
      <c r="E35" s="49">
        <v>10</v>
      </c>
      <c r="F35" s="12" t="s">
        <v>41</v>
      </c>
      <c r="G35" s="53">
        <f>マグネットシート!I3</f>
        <v>3764.648340454703</v>
      </c>
      <c r="H35" s="7">
        <f>テーブル2[[#This Row],[幅
(m)]]*テーブル2[[#This Row],[長さ
(m)]]</f>
        <v>10.199999999999999</v>
      </c>
      <c r="I35" s="53">
        <f>テーブル2[[#This Row],[単価
(円/㎡)]]*テーブル2[[#This Row],[総面積(㎡)]]</f>
        <v>38399.413072637966</v>
      </c>
      <c r="J35" s="8" t="s">
        <v>50</v>
      </c>
      <c r="K35" s="74" t="s">
        <v>25</v>
      </c>
      <c r="L35" s="49"/>
    </row>
    <row r="36" spans="1:12">
      <c r="A36" s="84">
        <v>44956</v>
      </c>
      <c r="B36" s="29" t="s">
        <v>401</v>
      </c>
      <c r="C36" s="29" t="s">
        <v>84</v>
      </c>
      <c r="D36" s="7">
        <v>1.02</v>
      </c>
      <c r="E36" s="7">
        <v>10</v>
      </c>
      <c r="F36" s="12" t="s">
        <v>41</v>
      </c>
      <c r="G36" s="53">
        <f>マグネットシート!I4</f>
        <v>3764.648340454703</v>
      </c>
      <c r="H36" s="7">
        <f>テーブル2[[#This Row],[幅
(m)]]*テーブル2[[#This Row],[長さ
(m)]]</f>
        <v>10.199999999999999</v>
      </c>
      <c r="I36" s="11">
        <f>テーブル2[[#This Row],[単価
(円/㎡)]]*テーブル2[[#This Row],[総面積(㎡)]]</f>
        <v>38399.413072637966</v>
      </c>
      <c r="J36" s="8" t="s">
        <v>50</v>
      </c>
      <c r="K36" s="74" t="s">
        <v>25</v>
      </c>
      <c r="L36" s="7"/>
    </row>
    <row r="37" spans="1:12">
      <c r="A37" s="84">
        <v>44956</v>
      </c>
      <c r="B37" s="29" t="s">
        <v>402</v>
      </c>
      <c r="C37" s="29" t="s">
        <v>84</v>
      </c>
      <c r="D37" s="7">
        <v>1.02</v>
      </c>
      <c r="E37" s="7">
        <v>10</v>
      </c>
      <c r="F37" s="12" t="s">
        <v>41</v>
      </c>
      <c r="G37" s="53">
        <f>マグネットシート!I5</f>
        <v>3764.648340454703</v>
      </c>
      <c r="H37" s="7">
        <f>テーブル2[[#This Row],[幅
(m)]]*テーブル2[[#This Row],[長さ
(m)]]</f>
        <v>10.199999999999999</v>
      </c>
      <c r="I37" s="11">
        <f>テーブル2[[#This Row],[単価
(円/㎡)]]*テーブル2[[#This Row],[総面積(㎡)]]</f>
        <v>38399.413072637966</v>
      </c>
      <c r="J37" s="8" t="s">
        <v>50</v>
      </c>
      <c r="K37" s="74" t="s">
        <v>25</v>
      </c>
      <c r="L37" s="7"/>
    </row>
    <row r="38" spans="1:12">
      <c r="A38" s="84">
        <v>44956</v>
      </c>
      <c r="B38" s="29" t="s">
        <v>403</v>
      </c>
      <c r="C38" s="29" t="s">
        <v>84</v>
      </c>
      <c r="D38" s="7">
        <v>1.02</v>
      </c>
      <c r="E38" s="7">
        <v>10</v>
      </c>
      <c r="F38" s="12" t="s">
        <v>41</v>
      </c>
      <c r="G38" s="53">
        <f>マグネットシート!I6</f>
        <v>3764.648340454703</v>
      </c>
      <c r="H38" s="7">
        <f>テーブル2[[#This Row],[幅
(m)]]*テーブル2[[#This Row],[長さ
(m)]]</f>
        <v>10.199999999999999</v>
      </c>
      <c r="I38" s="11">
        <f>テーブル2[[#This Row],[単価
(円/㎡)]]*テーブル2[[#This Row],[総面積(㎡)]]</f>
        <v>38399.413072637966</v>
      </c>
      <c r="J38" s="8" t="s">
        <v>50</v>
      </c>
      <c r="K38" s="74" t="s">
        <v>25</v>
      </c>
      <c r="L38" s="7"/>
    </row>
    <row r="39" spans="1:12">
      <c r="A39" s="84">
        <v>44956</v>
      </c>
      <c r="B39" s="29" t="s">
        <v>404</v>
      </c>
      <c r="C39" s="29" t="s">
        <v>84</v>
      </c>
      <c r="D39" s="7">
        <v>1.02</v>
      </c>
      <c r="E39" s="7">
        <v>10</v>
      </c>
      <c r="F39" s="12" t="s">
        <v>41</v>
      </c>
      <c r="G39" s="53">
        <f>マグネットシート!I7</f>
        <v>3764.648340454703</v>
      </c>
      <c r="H39" s="7">
        <f>テーブル2[[#This Row],[幅
(m)]]*テーブル2[[#This Row],[長さ
(m)]]</f>
        <v>10.199999999999999</v>
      </c>
      <c r="I39" s="11">
        <f>テーブル2[[#This Row],[単価
(円/㎡)]]*テーブル2[[#This Row],[総面積(㎡)]]</f>
        <v>38399.413072637966</v>
      </c>
      <c r="J39" s="8" t="s">
        <v>50</v>
      </c>
      <c r="K39" s="74" t="s">
        <v>25</v>
      </c>
      <c r="L39" s="7"/>
    </row>
    <row r="40" spans="1:12">
      <c r="A40" s="84">
        <v>44956</v>
      </c>
      <c r="B40" s="29" t="s">
        <v>405</v>
      </c>
      <c r="C40" s="29" t="s">
        <v>84</v>
      </c>
      <c r="D40" s="7">
        <v>1.02</v>
      </c>
      <c r="E40" s="7">
        <v>10</v>
      </c>
      <c r="F40" s="12" t="s">
        <v>41</v>
      </c>
      <c r="G40" s="53">
        <f>マグネットシート!I8</f>
        <v>3764.648340454703</v>
      </c>
      <c r="H40" s="7">
        <f>テーブル2[[#This Row],[幅
(m)]]*テーブル2[[#This Row],[長さ
(m)]]</f>
        <v>10.199999999999999</v>
      </c>
      <c r="I40" s="11">
        <f>テーブル2[[#This Row],[単価
(円/㎡)]]*テーブル2[[#This Row],[総面積(㎡)]]</f>
        <v>38399.413072637966</v>
      </c>
      <c r="J40" s="8" t="s">
        <v>50</v>
      </c>
      <c r="K40" s="74" t="s">
        <v>25</v>
      </c>
      <c r="L40" s="7"/>
    </row>
    <row r="41" spans="1:12">
      <c r="A41" s="84">
        <v>44956</v>
      </c>
      <c r="B41" s="29" t="s">
        <v>406</v>
      </c>
      <c r="C41" s="29" t="s">
        <v>84</v>
      </c>
      <c r="D41" s="7">
        <v>1.02</v>
      </c>
      <c r="E41" s="7">
        <v>10</v>
      </c>
      <c r="F41" s="12" t="s">
        <v>41</v>
      </c>
      <c r="G41" s="53">
        <f>マグネットシート!I9</f>
        <v>3764.648340454703</v>
      </c>
      <c r="H41" s="7">
        <f>テーブル2[[#This Row],[幅
(m)]]*テーブル2[[#This Row],[長さ
(m)]]</f>
        <v>10.199999999999999</v>
      </c>
      <c r="I41" s="11">
        <f>テーブル2[[#This Row],[単価
(円/㎡)]]*テーブル2[[#This Row],[総面積(㎡)]]</f>
        <v>38399.413072637966</v>
      </c>
      <c r="J41" s="8" t="s">
        <v>50</v>
      </c>
      <c r="K41" s="74" t="s">
        <v>25</v>
      </c>
      <c r="L41" s="7"/>
    </row>
    <row r="42" spans="1:12">
      <c r="A42" s="84">
        <v>44956</v>
      </c>
      <c r="B42" s="29" t="s">
        <v>407</v>
      </c>
      <c r="C42" s="29" t="s">
        <v>84</v>
      </c>
      <c r="D42" s="7">
        <v>1.02</v>
      </c>
      <c r="E42" s="7">
        <v>10</v>
      </c>
      <c r="F42" s="12" t="s">
        <v>41</v>
      </c>
      <c r="G42" s="53">
        <f>マグネットシート!I10</f>
        <v>3764.648340454703</v>
      </c>
      <c r="H42" s="7">
        <f>テーブル2[[#This Row],[幅
(m)]]*テーブル2[[#This Row],[長さ
(m)]]</f>
        <v>10.199999999999999</v>
      </c>
      <c r="I42" s="11">
        <f>テーブル2[[#This Row],[単価
(円/㎡)]]*テーブル2[[#This Row],[総面積(㎡)]]</f>
        <v>38399.413072637966</v>
      </c>
      <c r="J42" s="8" t="s">
        <v>50</v>
      </c>
      <c r="K42" s="74" t="s">
        <v>25</v>
      </c>
      <c r="L42" s="7"/>
    </row>
    <row r="43" spans="1:12">
      <c r="A43" s="84">
        <v>44956</v>
      </c>
      <c r="B43" s="29" t="s">
        <v>408</v>
      </c>
      <c r="C43" s="29" t="s">
        <v>84</v>
      </c>
      <c r="D43" s="7">
        <v>1.02</v>
      </c>
      <c r="E43" s="7">
        <v>10</v>
      </c>
      <c r="F43" s="12" t="s">
        <v>41</v>
      </c>
      <c r="G43" s="53">
        <f>マグネットシート!I11</f>
        <v>3764.648340454703</v>
      </c>
      <c r="H43" s="7">
        <f>テーブル2[[#This Row],[幅
(m)]]*テーブル2[[#This Row],[長さ
(m)]]</f>
        <v>10.199999999999999</v>
      </c>
      <c r="I43" s="11">
        <f>テーブル2[[#This Row],[単価
(円/㎡)]]*テーブル2[[#This Row],[総面積(㎡)]]</f>
        <v>38399.413072637966</v>
      </c>
      <c r="J43" s="8" t="s">
        <v>50</v>
      </c>
      <c r="K43" s="74" t="s">
        <v>25</v>
      </c>
      <c r="L43" s="7"/>
    </row>
    <row r="44" spans="1:12">
      <c r="A44" s="84">
        <v>44956</v>
      </c>
      <c r="B44" s="29" t="s">
        <v>409</v>
      </c>
      <c r="C44" s="29" t="s">
        <v>84</v>
      </c>
      <c r="D44" s="7">
        <v>1.02</v>
      </c>
      <c r="E44" s="7">
        <v>5.7</v>
      </c>
      <c r="F44" s="12" t="s">
        <v>41</v>
      </c>
      <c r="G44" s="53">
        <f>マグネットシート!I12</f>
        <v>3764.6483404547025</v>
      </c>
      <c r="H44" s="7">
        <f>テーブル2[[#This Row],[幅
(m)]]*テーブル2[[#This Row],[長さ
(m)]]</f>
        <v>5.8140000000000001</v>
      </c>
      <c r="I44" s="11">
        <f>テーブル2[[#This Row],[単価
(円/㎡)]]*テーブル2[[#This Row],[総面積(㎡)]]</f>
        <v>21887.665451403642</v>
      </c>
      <c r="J44" s="8" t="s">
        <v>50</v>
      </c>
      <c r="K44" s="74" t="s">
        <v>25</v>
      </c>
      <c r="L44" s="7"/>
    </row>
    <row r="45" spans="1:12">
      <c r="A45" s="70">
        <v>44953</v>
      </c>
      <c r="B45" s="7" t="s">
        <v>323</v>
      </c>
      <c r="C45" s="7" t="s">
        <v>45</v>
      </c>
      <c r="D45" s="7">
        <v>1.25</v>
      </c>
      <c r="E45" s="7">
        <v>3</v>
      </c>
      <c r="F45" s="12" t="s">
        <v>41</v>
      </c>
      <c r="G45" s="11">
        <v>1099.5225721795628</v>
      </c>
      <c r="H45" s="7">
        <f>テーブル2[[#This Row],[幅
(m)]]*テーブル2[[#This Row],[長さ
(m)]]</f>
        <v>3.75</v>
      </c>
      <c r="I45" s="11">
        <f>テーブル2[[#This Row],[単価
(円/㎡)]]*テーブル2[[#This Row],[総面積(㎡)]]</f>
        <v>4123.2096456733607</v>
      </c>
      <c r="J45" s="8" t="s">
        <v>50</v>
      </c>
      <c r="K45" s="74" t="s">
        <v>25</v>
      </c>
      <c r="L45" s="7"/>
    </row>
    <row r="46" spans="1:12">
      <c r="A46" s="70">
        <v>44957</v>
      </c>
      <c r="B46" s="7" t="s">
        <v>82</v>
      </c>
      <c r="C46" s="7" t="s">
        <v>22</v>
      </c>
      <c r="D46" s="7">
        <v>1.29</v>
      </c>
      <c r="E46" s="7">
        <v>304</v>
      </c>
      <c r="F46" s="11" t="s">
        <v>422</v>
      </c>
      <c r="G46" s="11">
        <v>803.27333769610118</v>
      </c>
      <c r="H46" s="7">
        <f>テーブル2[[#This Row],[幅
(m)]]*テーブル2[[#This Row],[長さ
(m)]]</f>
        <v>392.16</v>
      </c>
      <c r="I46" s="11">
        <f>テーブル2[[#This Row],[単価
(円/㎡)]]*テーブル2[[#This Row],[総面積(㎡)]]</f>
        <v>315011.67211090308</v>
      </c>
      <c r="J46" s="85">
        <f>テーブル2[[#This Row],[原価]]</f>
        <v>315011.67211090308</v>
      </c>
      <c r="K46" s="85" t="s">
        <v>25</v>
      </c>
      <c r="L46" s="7"/>
    </row>
    <row r="47" spans="1:12">
      <c r="A47" s="84">
        <v>44957</v>
      </c>
      <c r="B47" s="49" t="s">
        <v>33</v>
      </c>
      <c r="C47" s="49" t="s">
        <v>18</v>
      </c>
      <c r="D47" s="49">
        <v>1.1499999999999999</v>
      </c>
      <c r="E47" s="87">
        <v>31.4</v>
      </c>
      <c r="F47" s="12" t="s">
        <v>41</v>
      </c>
      <c r="G47" s="11">
        <v>1661.830375302892</v>
      </c>
      <c r="H47" s="7">
        <f>テーブル2[[#This Row],[幅
(m)]]*テーブル2[[#This Row],[長さ
(m)]]</f>
        <v>36.109999999999992</v>
      </c>
      <c r="I47" s="53">
        <f>テーブル2[[#This Row],[単価
(円/㎡)]]*テーブル2[[#This Row],[総面積(㎡)]]</f>
        <v>60008.694852187415</v>
      </c>
      <c r="J47" s="6" t="s">
        <v>20</v>
      </c>
      <c r="K47" s="6" t="s">
        <v>12</v>
      </c>
      <c r="L47" s="49"/>
    </row>
    <row r="48" spans="1:12">
      <c r="A48" s="70">
        <v>44957</v>
      </c>
      <c r="B48" s="7" t="s">
        <v>30</v>
      </c>
      <c r="C48" s="7" t="s">
        <v>18</v>
      </c>
      <c r="D48" s="7">
        <v>1.2</v>
      </c>
      <c r="E48" s="92">
        <v>0.5</v>
      </c>
      <c r="F48" s="12" t="s">
        <v>41</v>
      </c>
      <c r="G48" s="11">
        <v>1148.6566419599715</v>
      </c>
      <c r="H48" s="7">
        <f>テーブル2[[#This Row],[幅
(m)]]*テーブル2[[#This Row],[長さ
(m)]]</f>
        <v>0.6</v>
      </c>
      <c r="I48" s="11">
        <f>テーブル2[[#This Row],[単価
(円/㎡)]]*テーブル2[[#This Row],[総面積(㎡)]]</f>
        <v>689.1939851759829</v>
      </c>
      <c r="J48" s="93" t="s">
        <v>437</v>
      </c>
      <c r="K48" s="88" t="s">
        <v>12</v>
      </c>
      <c r="L48" s="49"/>
    </row>
    <row r="49" spans="1:12">
      <c r="A49" s="70">
        <v>44957</v>
      </c>
      <c r="B49" s="7" t="s">
        <v>350</v>
      </c>
      <c r="C49" s="7" t="s">
        <v>18</v>
      </c>
      <c r="D49" s="7">
        <v>1.1499999999999999</v>
      </c>
      <c r="E49" s="92">
        <v>0.5</v>
      </c>
      <c r="F49" s="12" t="s">
        <v>41</v>
      </c>
      <c r="G49" s="11">
        <v>1661.8303753028922</v>
      </c>
      <c r="H49" s="7">
        <f>テーブル2[[#This Row],[幅
(m)]]*テーブル2[[#This Row],[長さ
(m)]]</f>
        <v>0.57499999999999996</v>
      </c>
      <c r="I49" s="11">
        <f>テーブル2[[#This Row],[単価
(円/㎡)]]*テーブル2[[#This Row],[総面積(㎡)]]</f>
        <v>955.55246579916297</v>
      </c>
      <c r="J49" s="93" t="s">
        <v>437</v>
      </c>
      <c r="K49" s="88" t="s">
        <v>12</v>
      </c>
      <c r="L49" s="49"/>
    </row>
    <row r="50" spans="1:12">
      <c r="A50" s="70">
        <v>44957</v>
      </c>
      <c r="B50" s="7" t="s">
        <v>457</v>
      </c>
      <c r="C50" s="7" t="s">
        <v>458</v>
      </c>
      <c r="D50" s="7">
        <v>1.3</v>
      </c>
      <c r="E50" s="7">
        <v>30</v>
      </c>
      <c r="F50" s="12" t="s">
        <v>41</v>
      </c>
      <c r="G50" s="11">
        <v>195</v>
      </c>
      <c r="H50" s="7">
        <f>テーブル2[[#This Row],[幅
(m)]]*テーブル2[[#This Row],[長さ
(m)]]</f>
        <v>39</v>
      </c>
      <c r="I50" s="11">
        <f>テーブル2[[#This Row],[単価
(円/㎡)]]*テーブル2[[#This Row],[総面積(㎡)]]</f>
        <v>7605</v>
      </c>
      <c r="J50" s="8" t="s">
        <v>50</v>
      </c>
      <c r="K50" s="74" t="s">
        <v>12</v>
      </c>
      <c r="L50" s="49"/>
    </row>
    <row r="52" spans="1:12">
      <c r="J52" s="2" t="s">
        <v>50</v>
      </c>
    </row>
    <row r="53" spans="1:12">
      <c r="J53" s="2" t="s">
        <v>12</v>
      </c>
      <c r="K53" s="2">
        <v>9254</v>
      </c>
    </row>
    <row r="54" spans="1:12">
      <c r="J54" s="2" t="s">
        <v>25</v>
      </c>
      <c r="K54" s="2">
        <v>381444</v>
      </c>
    </row>
    <row r="55" spans="1:12">
      <c r="J55" s="2" t="s">
        <v>20</v>
      </c>
    </row>
    <row r="56" spans="1:12">
      <c r="J56" s="2" t="s">
        <v>12</v>
      </c>
      <c r="K56" s="2">
        <v>632504</v>
      </c>
    </row>
    <row r="57" spans="1:12">
      <c r="J57" s="2" t="s">
        <v>25</v>
      </c>
      <c r="K57" s="2">
        <v>0</v>
      </c>
    </row>
  </sheetData>
  <phoneticPr fontId="2"/>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CD9F8-500E-4ABC-A69D-6C5561BA7FD9}">
  <dimension ref="A1:I11"/>
  <sheetViews>
    <sheetView workbookViewId="0">
      <selection activeCell="I3" sqref="I3:I4"/>
    </sheetView>
  </sheetViews>
  <sheetFormatPr defaultRowHeight="16.5"/>
  <cols>
    <col min="1" max="1" width="24.25" style="1" bestFit="1" customWidth="1"/>
    <col min="2" max="2" width="20.08203125" style="1" bestFit="1" customWidth="1"/>
    <col min="3" max="5" width="8.6640625" style="1"/>
    <col min="6" max="6" width="9.5" style="1" bestFit="1" customWidth="1"/>
    <col min="7" max="8" width="8.6640625" style="1"/>
    <col min="9" max="9" width="10" style="1" bestFit="1" customWidth="1"/>
    <col min="10" max="16384" width="8.6640625" style="1"/>
  </cols>
  <sheetData>
    <row r="1" spans="1:9">
      <c r="A1" s="99" t="s">
        <v>382</v>
      </c>
      <c r="B1" s="99"/>
      <c r="C1" s="99"/>
      <c r="D1" s="99"/>
      <c r="E1" s="99"/>
      <c r="F1" s="99"/>
      <c r="G1" s="99"/>
      <c r="H1" s="99"/>
      <c r="I1" s="99"/>
    </row>
    <row r="2" spans="1:9" ht="33">
      <c r="A2" s="9" t="s">
        <v>1</v>
      </c>
      <c r="B2" s="10" t="s">
        <v>2</v>
      </c>
      <c r="C2" s="9" t="s">
        <v>3</v>
      </c>
      <c r="D2" s="9" t="s">
        <v>73</v>
      </c>
      <c r="E2" s="10" t="s">
        <v>74</v>
      </c>
      <c r="F2" s="10" t="s">
        <v>381</v>
      </c>
      <c r="G2" s="10" t="s">
        <v>75</v>
      </c>
      <c r="H2" s="10" t="s">
        <v>94</v>
      </c>
      <c r="I2" s="10" t="s">
        <v>76</v>
      </c>
    </row>
    <row r="3" spans="1:9">
      <c r="A3" s="7" t="s">
        <v>82</v>
      </c>
      <c r="B3" s="7" t="s">
        <v>419</v>
      </c>
      <c r="C3" s="7">
        <v>1.06</v>
      </c>
      <c r="D3" s="7">
        <v>139</v>
      </c>
      <c r="E3" s="7">
        <f>C3*D3</f>
        <v>147.34</v>
      </c>
      <c r="F3" s="11">
        <f>$F$11/$D$5*D3</f>
        <v>176418.37677596539</v>
      </c>
      <c r="G3" s="11">
        <f>$G$9/$D$5*D3</f>
        <v>89439.753466872105</v>
      </c>
      <c r="H3" s="11">
        <f>SUM(F3:G3)</f>
        <v>265858.13024283748</v>
      </c>
      <c r="I3" s="11">
        <f>H3/E3</f>
        <v>1804.3853009558673</v>
      </c>
    </row>
    <row r="4" spans="1:9">
      <c r="A4" s="7" t="s">
        <v>83</v>
      </c>
      <c r="B4" s="7" t="s">
        <v>419</v>
      </c>
      <c r="C4" s="7">
        <v>1.28</v>
      </c>
      <c r="D4" s="7">
        <v>510</v>
      </c>
      <c r="E4" s="7">
        <f>C4*D4</f>
        <v>652.80000000000007</v>
      </c>
      <c r="F4" s="11">
        <f>$F$11/$D$5*D4</f>
        <v>647290.4471636141</v>
      </c>
      <c r="G4" s="11">
        <f>$G$9/$D$5*D4</f>
        <v>328160.24653312791</v>
      </c>
      <c r="H4" s="11">
        <f>SUM(F4:G4)</f>
        <v>975450.69369674195</v>
      </c>
      <c r="I4" s="11">
        <f>H4/E4</f>
        <v>1494.2565773540775</v>
      </c>
    </row>
    <row r="5" spans="1:9">
      <c r="D5" s="7">
        <f>SUM(D3:D4)</f>
        <v>649</v>
      </c>
    </row>
    <row r="7" spans="1:9">
      <c r="A7" s="97" t="s">
        <v>85</v>
      </c>
      <c r="B7" s="97"/>
      <c r="C7" s="97"/>
      <c r="D7" s="97"/>
      <c r="E7" s="97"/>
      <c r="F7" s="97"/>
      <c r="G7" s="97"/>
    </row>
    <row r="8" spans="1:9" ht="33">
      <c r="A8" s="9" t="s">
        <v>1</v>
      </c>
      <c r="B8" s="10" t="s">
        <v>2</v>
      </c>
      <c r="C8" s="9" t="s">
        <v>3</v>
      </c>
      <c r="D8" s="9" t="s">
        <v>73</v>
      </c>
      <c r="E8" s="10" t="s">
        <v>78</v>
      </c>
      <c r="F8" s="10" t="s">
        <v>8</v>
      </c>
      <c r="G8" s="10" t="s">
        <v>75</v>
      </c>
    </row>
    <row r="9" spans="1:9">
      <c r="A9" s="7" t="s">
        <v>86</v>
      </c>
      <c r="B9" s="7" t="s">
        <v>80</v>
      </c>
      <c r="C9" s="12" t="s">
        <v>41</v>
      </c>
      <c r="D9" s="7">
        <v>590</v>
      </c>
      <c r="E9" s="11">
        <v>166.7</v>
      </c>
      <c r="F9" s="11">
        <f>D9*E9</f>
        <v>98353</v>
      </c>
      <c r="G9" s="98">
        <v>417600</v>
      </c>
    </row>
    <row r="10" spans="1:9">
      <c r="A10" s="7" t="s">
        <v>81</v>
      </c>
      <c r="B10" s="7" t="s">
        <v>22</v>
      </c>
      <c r="C10" s="12">
        <v>1.29</v>
      </c>
      <c r="D10" s="7">
        <v>700</v>
      </c>
      <c r="E10" s="11">
        <v>803.27333769610118</v>
      </c>
      <c r="F10" s="11">
        <f>C10*D10*E10</f>
        <v>725355.82393957942</v>
      </c>
      <c r="G10" s="98"/>
    </row>
    <row r="11" spans="1:9">
      <c r="F11" s="11">
        <f>SUM(F9:F10)</f>
        <v>823708.82393957942</v>
      </c>
    </row>
  </sheetData>
  <mergeCells count="3">
    <mergeCell ref="A7:G7"/>
    <mergeCell ref="G9:G10"/>
    <mergeCell ref="A1:I1"/>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4750-5891-44CC-ABDD-0B850A00B321}">
  <dimension ref="A1:I20"/>
  <sheetViews>
    <sheetView workbookViewId="0">
      <selection activeCell="D18" sqref="D18"/>
    </sheetView>
  </sheetViews>
  <sheetFormatPr defaultRowHeight="16.5"/>
  <cols>
    <col min="1" max="1" width="28.08203125" style="1" bestFit="1" customWidth="1"/>
    <col min="2" max="2" width="20.08203125" style="1" bestFit="1" customWidth="1"/>
    <col min="3" max="5" width="8.6640625" style="1"/>
    <col min="6" max="7" width="9.83203125" style="1" bestFit="1" customWidth="1"/>
    <col min="8" max="8" width="8.6640625" style="1"/>
    <col min="9" max="9" width="8.9140625" style="1" bestFit="1" customWidth="1"/>
    <col min="10" max="16384" width="8.6640625" style="1"/>
  </cols>
  <sheetData>
    <row r="1" spans="1:9">
      <c r="A1" s="99" t="s">
        <v>382</v>
      </c>
      <c r="B1" s="99"/>
      <c r="C1" s="99"/>
      <c r="D1" s="99"/>
      <c r="E1" s="99"/>
      <c r="F1" s="99"/>
      <c r="G1" s="99"/>
      <c r="H1" s="99"/>
      <c r="I1" s="99"/>
    </row>
    <row r="2" spans="1:9" ht="33">
      <c r="A2" s="9" t="s">
        <v>1</v>
      </c>
      <c r="B2" s="10" t="s">
        <v>2</v>
      </c>
      <c r="C2" s="9" t="s">
        <v>3</v>
      </c>
      <c r="D2" s="9" t="s">
        <v>73</v>
      </c>
      <c r="E2" s="10" t="s">
        <v>74</v>
      </c>
      <c r="F2" s="10" t="s">
        <v>399</v>
      </c>
      <c r="G2" s="10" t="s">
        <v>75</v>
      </c>
      <c r="H2" s="10" t="s">
        <v>94</v>
      </c>
      <c r="I2" s="10" t="s">
        <v>76</v>
      </c>
    </row>
    <row r="3" spans="1:9">
      <c r="A3" s="82" t="s">
        <v>400</v>
      </c>
      <c r="B3" s="29" t="s">
        <v>84</v>
      </c>
      <c r="C3" s="82">
        <v>1.02</v>
      </c>
      <c r="D3" s="82">
        <v>10</v>
      </c>
      <c r="E3" s="29">
        <f>C3*D3</f>
        <v>10.199999999999999</v>
      </c>
      <c r="F3" s="83">
        <f>$F$17/$D$13*D3</f>
        <v>20740.060930527208</v>
      </c>
      <c r="G3" s="83">
        <f>$G$17/$D$13*D3</f>
        <v>17659.352142110762</v>
      </c>
      <c r="H3" s="83">
        <f>SUM(F3:G3)</f>
        <v>38399.413072637966</v>
      </c>
      <c r="I3" s="83">
        <f>H3/E3</f>
        <v>3764.648340454703</v>
      </c>
    </row>
    <row r="4" spans="1:9">
      <c r="A4" s="82" t="s">
        <v>401</v>
      </c>
      <c r="B4" s="29" t="s">
        <v>84</v>
      </c>
      <c r="C4" s="82">
        <v>1.02</v>
      </c>
      <c r="D4" s="82">
        <v>10</v>
      </c>
      <c r="E4" s="29">
        <f t="shared" ref="E4:E12" si="0">C4*D4</f>
        <v>10.199999999999999</v>
      </c>
      <c r="F4" s="83">
        <f t="shared" ref="F4:F12" si="1">$F$17/$D$13*D4</f>
        <v>20740.060930527208</v>
      </c>
      <c r="G4" s="83">
        <f t="shared" ref="G4:G12" si="2">$G$17/$D$13*D4</f>
        <v>17659.352142110762</v>
      </c>
      <c r="H4" s="83">
        <f t="shared" ref="H4:H12" si="3">SUM(F4:G4)</f>
        <v>38399.413072637966</v>
      </c>
      <c r="I4" s="83">
        <f t="shared" ref="I4:I12" si="4">H4/E4</f>
        <v>3764.648340454703</v>
      </c>
    </row>
    <row r="5" spans="1:9">
      <c r="A5" s="82" t="s">
        <v>402</v>
      </c>
      <c r="B5" s="29" t="s">
        <v>84</v>
      </c>
      <c r="C5" s="82">
        <v>1.02</v>
      </c>
      <c r="D5" s="82">
        <v>10</v>
      </c>
      <c r="E5" s="29">
        <f t="shared" si="0"/>
        <v>10.199999999999999</v>
      </c>
      <c r="F5" s="83">
        <f t="shared" si="1"/>
        <v>20740.060930527208</v>
      </c>
      <c r="G5" s="83">
        <f t="shared" si="2"/>
        <v>17659.352142110762</v>
      </c>
      <c r="H5" s="83">
        <f t="shared" si="3"/>
        <v>38399.413072637966</v>
      </c>
      <c r="I5" s="83">
        <f t="shared" si="4"/>
        <v>3764.648340454703</v>
      </c>
    </row>
    <row r="6" spans="1:9">
      <c r="A6" s="82" t="s">
        <v>403</v>
      </c>
      <c r="B6" s="29" t="s">
        <v>84</v>
      </c>
      <c r="C6" s="82">
        <v>1.02</v>
      </c>
      <c r="D6" s="82">
        <v>10</v>
      </c>
      <c r="E6" s="29">
        <f t="shared" si="0"/>
        <v>10.199999999999999</v>
      </c>
      <c r="F6" s="83">
        <f t="shared" si="1"/>
        <v>20740.060930527208</v>
      </c>
      <c r="G6" s="83">
        <f t="shared" si="2"/>
        <v>17659.352142110762</v>
      </c>
      <c r="H6" s="83">
        <f t="shared" si="3"/>
        <v>38399.413072637966</v>
      </c>
      <c r="I6" s="83">
        <f t="shared" si="4"/>
        <v>3764.648340454703</v>
      </c>
    </row>
    <row r="7" spans="1:9">
      <c r="A7" s="82" t="s">
        <v>404</v>
      </c>
      <c r="B7" s="29" t="s">
        <v>84</v>
      </c>
      <c r="C7" s="82">
        <v>1.02</v>
      </c>
      <c r="D7" s="82">
        <v>10</v>
      </c>
      <c r="E7" s="29">
        <f t="shared" si="0"/>
        <v>10.199999999999999</v>
      </c>
      <c r="F7" s="83">
        <f t="shared" si="1"/>
        <v>20740.060930527208</v>
      </c>
      <c r="G7" s="83">
        <f t="shared" si="2"/>
        <v>17659.352142110762</v>
      </c>
      <c r="H7" s="83">
        <f t="shared" si="3"/>
        <v>38399.413072637966</v>
      </c>
      <c r="I7" s="83">
        <f t="shared" si="4"/>
        <v>3764.648340454703</v>
      </c>
    </row>
    <row r="8" spans="1:9">
      <c r="A8" s="82" t="s">
        <v>405</v>
      </c>
      <c r="B8" s="29" t="s">
        <v>84</v>
      </c>
      <c r="C8" s="82">
        <v>1.02</v>
      </c>
      <c r="D8" s="82">
        <v>10</v>
      </c>
      <c r="E8" s="29">
        <f t="shared" si="0"/>
        <v>10.199999999999999</v>
      </c>
      <c r="F8" s="83">
        <f t="shared" si="1"/>
        <v>20740.060930527208</v>
      </c>
      <c r="G8" s="83">
        <f t="shared" si="2"/>
        <v>17659.352142110762</v>
      </c>
      <c r="H8" s="83">
        <f t="shared" si="3"/>
        <v>38399.413072637966</v>
      </c>
      <c r="I8" s="83">
        <f t="shared" si="4"/>
        <v>3764.648340454703</v>
      </c>
    </row>
    <row r="9" spans="1:9">
      <c r="A9" s="82" t="s">
        <v>406</v>
      </c>
      <c r="B9" s="29" t="s">
        <v>84</v>
      </c>
      <c r="C9" s="82">
        <v>1.02</v>
      </c>
      <c r="D9" s="82">
        <v>10</v>
      </c>
      <c r="E9" s="29">
        <f t="shared" si="0"/>
        <v>10.199999999999999</v>
      </c>
      <c r="F9" s="83">
        <f t="shared" si="1"/>
        <v>20740.060930527208</v>
      </c>
      <c r="G9" s="83">
        <f t="shared" si="2"/>
        <v>17659.352142110762</v>
      </c>
      <c r="H9" s="83">
        <f t="shared" si="3"/>
        <v>38399.413072637966</v>
      </c>
      <c r="I9" s="83">
        <f t="shared" si="4"/>
        <v>3764.648340454703</v>
      </c>
    </row>
    <row r="10" spans="1:9">
      <c r="A10" s="82" t="s">
        <v>407</v>
      </c>
      <c r="B10" s="29" t="s">
        <v>84</v>
      </c>
      <c r="C10" s="82">
        <v>1.02</v>
      </c>
      <c r="D10" s="82">
        <v>10</v>
      </c>
      <c r="E10" s="29">
        <f t="shared" si="0"/>
        <v>10.199999999999999</v>
      </c>
      <c r="F10" s="83">
        <f t="shared" si="1"/>
        <v>20740.060930527208</v>
      </c>
      <c r="G10" s="83">
        <f t="shared" si="2"/>
        <v>17659.352142110762</v>
      </c>
      <c r="H10" s="83">
        <f t="shared" si="3"/>
        <v>38399.413072637966</v>
      </c>
      <c r="I10" s="83">
        <f t="shared" si="4"/>
        <v>3764.648340454703</v>
      </c>
    </row>
    <row r="11" spans="1:9">
      <c r="A11" s="82" t="s">
        <v>408</v>
      </c>
      <c r="B11" s="29" t="s">
        <v>84</v>
      </c>
      <c r="C11" s="82">
        <v>1.02</v>
      </c>
      <c r="D11" s="82">
        <v>10</v>
      </c>
      <c r="E11" s="29">
        <f t="shared" si="0"/>
        <v>10.199999999999999</v>
      </c>
      <c r="F11" s="83">
        <f t="shared" si="1"/>
        <v>20740.060930527208</v>
      </c>
      <c r="G11" s="83">
        <f t="shared" si="2"/>
        <v>17659.352142110762</v>
      </c>
      <c r="H11" s="83">
        <f t="shared" si="3"/>
        <v>38399.413072637966</v>
      </c>
      <c r="I11" s="83">
        <f t="shared" si="4"/>
        <v>3764.648340454703</v>
      </c>
    </row>
    <row r="12" spans="1:9">
      <c r="A12" s="82" t="s">
        <v>409</v>
      </c>
      <c r="B12" s="29" t="s">
        <v>84</v>
      </c>
      <c r="C12" s="82">
        <v>1.02</v>
      </c>
      <c r="D12" s="82">
        <v>5.7</v>
      </c>
      <c r="E12" s="29">
        <f t="shared" si="0"/>
        <v>5.8140000000000001</v>
      </c>
      <c r="F12" s="83">
        <f t="shared" si="1"/>
        <v>11821.834730400507</v>
      </c>
      <c r="G12" s="83">
        <f t="shared" si="2"/>
        <v>10065.830721003134</v>
      </c>
      <c r="H12" s="83">
        <f t="shared" si="3"/>
        <v>21887.665451403642</v>
      </c>
      <c r="I12" s="83">
        <f t="shared" si="4"/>
        <v>3764.6483404547025</v>
      </c>
    </row>
    <row r="13" spans="1:9">
      <c r="A13" s="81"/>
      <c r="B13" s="80"/>
      <c r="C13" s="81"/>
      <c r="D13" s="82">
        <f>SUM(D3:D12)</f>
        <v>95.7</v>
      </c>
      <c r="E13" s="79"/>
      <c r="F13" s="79"/>
      <c r="G13" s="79"/>
      <c r="H13" s="79"/>
      <c r="I13" s="79"/>
    </row>
    <row r="15" spans="1:9">
      <c r="A15" s="97" t="s">
        <v>85</v>
      </c>
      <c r="B15" s="97"/>
      <c r="C15" s="97"/>
      <c r="D15" s="97"/>
      <c r="E15" s="97"/>
      <c r="F15" s="97"/>
      <c r="G15" s="97"/>
    </row>
    <row r="16" spans="1:9" ht="33">
      <c r="A16" s="9" t="s">
        <v>1</v>
      </c>
      <c r="B16" s="10" t="s">
        <v>2</v>
      </c>
      <c r="C16" s="9" t="s">
        <v>3</v>
      </c>
      <c r="D16" s="9" t="s">
        <v>73</v>
      </c>
      <c r="E16" s="10" t="s">
        <v>76</v>
      </c>
      <c r="F16" s="10" t="s">
        <v>8</v>
      </c>
      <c r="G16" s="10" t="s">
        <v>75</v>
      </c>
    </row>
    <row r="17" spans="1:7">
      <c r="A17" s="7" t="s">
        <v>82</v>
      </c>
      <c r="B17" s="7" t="s">
        <v>398</v>
      </c>
      <c r="C17" s="7">
        <v>1.06</v>
      </c>
      <c r="D17" s="7">
        <f>139-29</f>
        <v>110</v>
      </c>
      <c r="E17" s="11">
        <f>両面塩ビフィルム!I3</f>
        <v>1804.3853009558673</v>
      </c>
      <c r="F17" s="11">
        <f>D17*E17</f>
        <v>198482.38310514539</v>
      </c>
      <c r="G17" s="11">
        <v>169000</v>
      </c>
    </row>
    <row r="19" spans="1:7">
      <c r="D19" s="4" t="s">
        <v>434</v>
      </c>
    </row>
    <row r="20" spans="1:7">
      <c r="D20" s="1" t="s">
        <v>435</v>
      </c>
    </row>
  </sheetData>
  <mergeCells count="2">
    <mergeCell ref="A1:I1"/>
    <mergeCell ref="A15:G15"/>
  </mergeCells>
  <phoneticPr fontId="2"/>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93429-828C-4B43-83A9-B52E407914FC}">
  <dimension ref="A1:I17"/>
  <sheetViews>
    <sheetView workbookViewId="0">
      <selection activeCell="I3" sqref="I3:I12"/>
    </sheetView>
  </sheetViews>
  <sheetFormatPr defaultRowHeight="16.5"/>
  <cols>
    <col min="1" max="1" width="31.1640625" style="1" customWidth="1"/>
    <col min="2" max="2" width="20.08203125" style="1" bestFit="1" customWidth="1"/>
    <col min="3" max="5" width="8.6640625" style="1"/>
    <col min="6" max="7" width="9.83203125" style="1" bestFit="1" customWidth="1"/>
    <col min="8" max="8" width="8.6640625" style="1"/>
    <col min="9" max="9" width="8.9140625" style="1" bestFit="1" customWidth="1"/>
    <col min="10" max="16384" width="8.6640625" style="1"/>
  </cols>
  <sheetData>
    <row r="1" spans="1:9">
      <c r="A1" s="99" t="s">
        <v>382</v>
      </c>
      <c r="B1" s="99"/>
      <c r="C1" s="99"/>
      <c r="D1" s="99"/>
      <c r="E1" s="99"/>
      <c r="F1" s="99"/>
      <c r="G1" s="99"/>
      <c r="H1" s="99"/>
      <c r="I1" s="99"/>
    </row>
    <row r="2" spans="1:9" ht="33">
      <c r="A2" s="9" t="s">
        <v>1</v>
      </c>
      <c r="B2" s="10" t="s">
        <v>2</v>
      </c>
      <c r="C2" s="9" t="s">
        <v>3</v>
      </c>
      <c r="D2" s="9" t="s">
        <v>73</v>
      </c>
      <c r="E2" s="10" t="s">
        <v>74</v>
      </c>
      <c r="F2" s="10" t="s">
        <v>399</v>
      </c>
      <c r="G2" s="10" t="s">
        <v>75</v>
      </c>
      <c r="H2" s="10" t="s">
        <v>94</v>
      </c>
      <c r="I2" s="10" t="s">
        <v>76</v>
      </c>
    </row>
    <row r="3" spans="1:9">
      <c r="A3" s="82" t="s">
        <v>423</v>
      </c>
      <c r="B3" s="29" t="s">
        <v>433</v>
      </c>
      <c r="C3" s="82">
        <v>1.02</v>
      </c>
      <c r="D3" s="82">
        <v>50</v>
      </c>
      <c r="E3" s="29">
        <f>C3*D3</f>
        <v>51</v>
      </c>
      <c r="F3" s="83">
        <f>$F$17/$D$13*D3</f>
        <v>75076.714944529187</v>
      </c>
      <c r="G3" s="83">
        <f>$G$17/$D$13*D3</f>
        <v>82500</v>
      </c>
      <c r="H3" s="83">
        <f>SUM(F3:G3)</f>
        <v>157576.71494452917</v>
      </c>
      <c r="I3" s="83">
        <f>H3/E3</f>
        <v>3089.7395087162581</v>
      </c>
    </row>
    <row r="4" spans="1:9">
      <c r="A4" s="82" t="s">
        <v>424</v>
      </c>
      <c r="B4" s="29" t="s">
        <v>433</v>
      </c>
      <c r="C4" s="82">
        <v>1.02</v>
      </c>
      <c r="D4" s="82">
        <v>50</v>
      </c>
      <c r="E4" s="29">
        <f t="shared" ref="E4:E12" si="0">C4*D4</f>
        <v>51</v>
      </c>
      <c r="F4" s="83">
        <f t="shared" ref="F4:F12" si="1">$F$17/$D$13*D4</f>
        <v>75076.714944529187</v>
      </c>
      <c r="G4" s="83">
        <f t="shared" ref="G4:G12" si="2">$G$17/$D$13*D4</f>
        <v>82500</v>
      </c>
      <c r="H4" s="83">
        <f t="shared" ref="H4:H12" si="3">SUM(F4:G4)</f>
        <v>157576.71494452917</v>
      </c>
      <c r="I4" s="83">
        <f t="shared" ref="I4:I12" si="4">H4/E4</f>
        <v>3089.7395087162581</v>
      </c>
    </row>
    <row r="5" spans="1:9">
      <c r="A5" s="82" t="s">
        <v>425</v>
      </c>
      <c r="B5" s="29" t="s">
        <v>433</v>
      </c>
      <c r="C5" s="82">
        <v>1.02</v>
      </c>
      <c r="D5" s="82">
        <v>50</v>
      </c>
      <c r="E5" s="29">
        <f t="shared" si="0"/>
        <v>51</v>
      </c>
      <c r="F5" s="83">
        <f t="shared" si="1"/>
        <v>75076.714944529187</v>
      </c>
      <c r="G5" s="83">
        <f t="shared" si="2"/>
        <v>82500</v>
      </c>
      <c r="H5" s="83">
        <f t="shared" si="3"/>
        <v>157576.71494452917</v>
      </c>
      <c r="I5" s="83">
        <f t="shared" si="4"/>
        <v>3089.7395087162581</v>
      </c>
    </row>
    <row r="6" spans="1:9">
      <c r="A6" s="82" t="s">
        <v>426</v>
      </c>
      <c r="B6" s="29" t="s">
        <v>433</v>
      </c>
      <c r="C6" s="82">
        <v>1.02</v>
      </c>
      <c r="D6" s="82">
        <v>50</v>
      </c>
      <c r="E6" s="29">
        <f t="shared" si="0"/>
        <v>51</v>
      </c>
      <c r="F6" s="83">
        <f t="shared" si="1"/>
        <v>75076.714944529187</v>
      </c>
      <c r="G6" s="83">
        <f t="shared" si="2"/>
        <v>82500</v>
      </c>
      <c r="H6" s="83">
        <f t="shared" si="3"/>
        <v>157576.71494452917</v>
      </c>
      <c r="I6" s="83">
        <f t="shared" si="4"/>
        <v>3089.7395087162581</v>
      </c>
    </row>
    <row r="7" spans="1:9">
      <c r="A7" s="82" t="s">
        <v>427</v>
      </c>
      <c r="B7" s="29" t="s">
        <v>433</v>
      </c>
      <c r="C7" s="82">
        <v>1.02</v>
      </c>
      <c r="D7" s="82">
        <v>50</v>
      </c>
      <c r="E7" s="29">
        <f t="shared" si="0"/>
        <v>51</v>
      </c>
      <c r="F7" s="83">
        <f t="shared" si="1"/>
        <v>75076.714944529187</v>
      </c>
      <c r="G7" s="83">
        <f t="shared" si="2"/>
        <v>82500</v>
      </c>
      <c r="H7" s="83">
        <f t="shared" si="3"/>
        <v>157576.71494452917</v>
      </c>
      <c r="I7" s="83">
        <f t="shared" si="4"/>
        <v>3089.7395087162581</v>
      </c>
    </row>
    <row r="8" spans="1:9">
      <c r="A8" s="82" t="s">
        <v>428</v>
      </c>
      <c r="B8" s="29" t="s">
        <v>433</v>
      </c>
      <c r="C8" s="82">
        <v>1.02</v>
      </c>
      <c r="D8" s="82">
        <v>50</v>
      </c>
      <c r="E8" s="29">
        <f t="shared" si="0"/>
        <v>51</v>
      </c>
      <c r="F8" s="83">
        <f t="shared" si="1"/>
        <v>75076.714944529187</v>
      </c>
      <c r="G8" s="83">
        <f t="shared" si="2"/>
        <v>82500</v>
      </c>
      <c r="H8" s="83">
        <f t="shared" si="3"/>
        <v>157576.71494452917</v>
      </c>
      <c r="I8" s="83">
        <f t="shared" si="4"/>
        <v>3089.7395087162581</v>
      </c>
    </row>
    <row r="9" spans="1:9">
      <c r="A9" s="82" t="s">
        <v>429</v>
      </c>
      <c r="B9" s="29" t="s">
        <v>433</v>
      </c>
      <c r="C9" s="82">
        <v>1.02</v>
      </c>
      <c r="D9" s="82">
        <v>50</v>
      </c>
      <c r="E9" s="29">
        <f t="shared" si="0"/>
        <v>51</v>
      </c>
      <c r="F9" s="83">
        <f t="shared" si="1"/>
        <v>75076.714944529187</v>
      </c>
      <c r="G9" s="83">
        <f t="shared" si="2"/>
        <v>82500</v>
      </c>
      <c r="H9" s="83">
        <f t="shared" si="3"/>
        <v>157576.71494452917</v>
      </c>
      <c r="I9" s="83">
        <f t="shared" si="4"/>
        <v>3089.7395087162581</v>
      </c>
    </row>
    <row r="10" spans="1:9">
      <c r="A10" s="82" t="s">
        <v>430</v>
      </c>
      <c r="B10" s="29" t="s">
        <v>433</v>
      </c>
      <c r="C10" s="82">
        <v>1.02</v>
      </c>
      <c r="D10" s="82">
        <v>50</v>
      </c>
      <c r="E10" s="29">
        <f t="shared" si="0"/>
        <v>51</v>
      </c>
      <c r="F10" s="83">
        <f t="shared" si="1"/>
        <v>75076.714944529187</v>
      </c>
      <c r="G10" s="83">
        <f t="shared" si="2"/>
        <v>82500</v>
      </c>
      <c r="H10" s="83">
        <f t="shared" si="3"/>
        <v>157576.71494452917</v>
      </c>
      <c r="I10" s="83">
        <f t="shared" si="4"/>
        <v>3089.7395087162581</v>
      </c>
    </row>
    <row r="11" spans="1:9">
      <c r="A11" s="82" t="s">
        <v>431</v>
      </c>
      <c r="B11" s="29" t="s">
        <v>433</v>
      </c>
      <c r="C11" s="82">
        <v>1.02</v>
      </c>
      <c r="D11" s="82">
        <v>39</v>
      </c>
      <c r="E11" s="29">
        <f t="shared" si="0"/>
        <v>39.78</v>
      </c>
      <c r="F11" s="83">
        <f t="shared" si="1"/>
        <v>58559.837656732772</v>
      </c>
      <c r="G11" s="83">
        <f t="shared" si="2"/>
        <v>64350</v>
      </c>
      <c r="H11" s="83">
        <f t="shared" si="3"/>
        <v>122909.83765673277</v>
      </c>
      <c r="I11" s="83">
        <f t="shared" si="4"/>
        <v>3089.7395087162586</v>
      </c>
    </row>
    <row r="12" spans="1:9">
      <c r="A12" s="82" t="s">
        <v>432</v>
      </c>
      <c r="B12" s="29" t="s">
        <v>433</v>
      </c>
      <c r="C12" s="82">
        <v>1.02</v>
      </c>
      <c r="D12" s="82">
        <v>32.5</v>
      </c>
      <c r="E12" s="29">
        <f t="shared" si="0"/>
        <v>33.15</v>
      </c>
      <c r="F12" s="83">
        <f t="shared" si="1"/>
        <v>48799.864713943978</v>
      </c>
      <c r="G12" s="83">
        <f t="shared" si="2"/>
        <v>53625</v>
      </c>
      <c r="H12" s="83">
        <f t="shared" si="3"/>
        <v>102424.86471394397</v>
      </c>
      <c r="I12" s="83">
        <f t="shared" si="4"/>
        <v>3089.7395087162586</v>
      </c>
    </row>
    <row r="13" spans="1:9">
      <c r="A13" s="81"/>
      <c r="B13" s="80"/>
      <c r="C13" s="81"/>
      <c r="D13" s="82">
        <f>SUM(D3:D12)</f>
        <v>471.5</v>
      </c>
      <c r="E13" s="79"/>
      <c r="F13" s="79"/>
      <c r="G13" s="79"/>
      <c r="H13" s="79"/>
      <c r="I13" s="79"/>
    </row>
    <row r="15" spans="1:9">
      <c r="A15" s="97" t="s">
        <v>85</v>
      </c>
      <c r="B15" s="97"/>
      <c r="C15" s="97"/>
      <c r="D15" s="97"/>
      <c r="E15" s="97"/>
      <c r="F15" s="97"/>
      <c r="G15" s="97"/>
    </row>
    <row r="16" spans="1:9" ht="33">
      <c r="A16" s="9" t="s">
        <v>1</v>
      </c>
      <c r="B16" s="10" t="s">
        <v>2</v>
      </c>
      <c r="C16" s="9" t="s">
        <v>3</v>
      </c>
      <c r="D16" s="9" t="s">
        <v>73</v>
      </c>
      <c r="E16" s="10" t="s">
        <v>76</v>
      </c>
      <c r="F16" s="10" t="s">
        <v>8</v>
      </c>
      <c r="G16" s="10" t="s">
        <v>75</v>
      </c>
    </row>
    <row r="17" spans="1:7">
      <c r="A17" s="7" t="s">
        <v>77</v>
      </c>
      <c r="B17" s="7" t="s">
        <v>421</v>
      </c>
      <c r="C17" s="7">
        <v>1.29</v>
      </c>
      <c r="D17" s="7">
        <v>517</v>
      </c>
      <c r="E17" s="11">
        <v>1369.3876633015673</v>
      </c>
      <c r="F17" s="11">
        <f>D17*E17</f>
        <v>707973.42192691029</v>
      </c>
      <c r="G17" s="11">
        <v>777975</v>
      </c>
    </row>
  </sheetData>
  <mergeCells count="2">
    <mergeCell ref="A1:I1"/>
    <mergeCell ref="A15:G15"/>
  </mergeCells>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1月末在庫</vt:lpstr>
      <vt:lpstr>1月末在庫(詳細)</vt:lpstr>
      <vt:lpstr>1月入荷履歴</vt:lpstr>
      <vt:lpstr>1月出荷履歴</vt:lpstr>
      <vt:lpstr>両面塩ビフィルム</vt:lpstr>
      <vt:lpstr>マグネットシート</vt:lpstr>
      <vt:lpstr>ターポリン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dc:creator>
  <cp:lastModifiedBy>techn</cp:lastModifiedBy>
  <dcterms:created xsi:type="dcterms:W3CDTF">2022-12-21T00:49:09Z</dcterms:created>
  <dcterms:modified xsi:type="dcterms:W3CDTF">2023-02-08T00:46:29Z</dcterms:modified>
</cp:coreProperties>
</file>